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omments2.xml" ContentType="application/vnd.openxmlformats-officedocument.spreadsheetml.comments+xml"/>
  <Override PartName="/xl/charts/chart1.xml" ContentType="application/vnd.openxmlformats-officedocument.drawingml.chart+xml"/>
  <Override PartName="/xl/drawings/drawing4.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charts/chart5.xml" ContentType="application/vnd.openxmlformats-officedocument.drawingml.chart+xml"/>
  <Override PartName="/xl/drawings/drawing8.xml" ContentType="application/vnd.openxmlformats-officedocument.drawing+xml"/>
  <Override PartName="/xl/comments6.xml" ContentType="application/vnd.openxmlformats-officedocument.spreadsheetml.comment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2.xml" ContentType="application/vnd.openxmlformats-officedocument.spreadsheetml.comments+xml"/>
  <Override PartName="/xl/drawings/drawing20.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drawings/drawing21.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drawings/drawing22.xml" ContentType="application/vnd.openxmlformats-officedocument.drawing+xml"/>
  <Override PartName="/xl/comments17.xml" ContentType="application/vnd.openxmlformats-officedocument.spreadsheetml.comments+xml"/>
  <Override PartName="/xl/charts/chart9.xml" ContentType="application/vnd.openxmlformats-officedocument.drawingml.chart+xml"/>
  <Override PartName="/xl/charts/chart10.xml" ContentType="application/vnd.openxmlformats-officedocument.drawingml.chart+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3.xml" ContentType="application/vnd.openxmlformats-officedocument.drawing+xml"/>
  <Override PartName="/xl/comments22.xml" ContentType="application/vnd.openxmlformats-officedocument.spreadsheetml.comments+xml"/>
  <Override PartName="/xl/drawings/drawing24.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mc:AlternateContent xmlns:mc="http://schemas.openxmlformats.org/markup-compatibility/2006">
    <mc:Choice Requires="x15">
      <x15ac:absPath xmlns:x15ac="http://schemas.microsoft.com/office/spreadsheetml/2010/11/ac" url="G:\avdelning\Växt- och kontrollavdelningen\3 Greppa\MODULUNDERLAG\12B\"/>
    </mc:Choice>
  </mc:AlternateContent>
  <bookViews>
    <workbookView xWindow="-105" yWindow="-105" windowWidth="23250" windowHeight="12570" activeTab="1"/>
  </bookViews>
  <sheets>
    <sheet name="Manual" sheetId="45" r:id="rId1"/>
    <sheet name="Grunddata" sheetId="1" r:id="rId2"/>
    <sheet name="Huvudinmatning" sheetId="2" r:id="rId3"/>
    <sheet name="Försöksdata" sheetId="3" r:id="rId4"/>
    <sheet name="Kostnader" sheetId="4" r:id="rId5"/>
    <sheet name="Miljösammanfattning" sheetId="10" r:id="rId6"/>
    <sheet name="RAPPORT" sheetId="12" r:id="rId7"/>
    <sheet name="Mull_ICBM" sheetId="37" r:id="rId8"/>
    <sheet name="ICBM" sheetId="38" r:id="rId9"/>
    <sheet name="Data skörd-mull" sheetId="7" r:id="rId10"/>
    <sheet name="Mullinfo" sheetId="15" r:id="rId11"/>
    <sheet name="Produktionsområde" sheetId="44" r:id="rId12"/>
    <sheet name="Utlakning" sheetId="19" r:id="rId13"/>
    <sheet name="Växthusgaser" sheetId="16" r:id="rId14"/>
    <sheet name="Gröddata" sheetId="5" r:id="rId15"/>
    <sheet name="Stallgödseldata" sheetId="18" r:id="rId16"/>
    <sheet name="TB_spannmål" sheetId="14" r:id="rId17"/>
    <sheet name="TB_oljeväxter, trindsäd" sheetId="20" r:id="rId18"/>
    <sheet name="TB_sbetor,potatis, grovfoder" sheetId="47" r:id="rId19"/>
    <sheet name="NPK-rekommendationer" sheetId="34" r:id="rId20"/>
    <sheet name="&quot;Kvävesimulator&quot;" sheetId="21" state="hidden" r:id="rId21"/>
    <sheet name="Rapport OP" sheetId="42" state="hidden" r:id="rId22"/>
    <sheet name="klimat" sheetId="39" state="hidden" r:id="rId23"/>
    <sheet name="Utveckling" sheetId="43" state="hidden" r:id="rId24"/>
    <sheet name="Energi" sheetId="40" state="hidden" r:id="rId25"/>
    <sheet name="Mullberäkning" sheetId="6" state="hidden" r:id="rId26"/>
    <sheet name="Tekniskt underlag" sheetId="17" state="hidden" r:id="rId27"/>
    <sheet name="Kopplingsfil" sheetId="33" state="hidden" r:id="rId28"/>
    <sheet name="Spannmål_S" sheetId="22" state="hidden" r:id="rId29"/>
    <sheet name="Giva_S" sheetId="23" state="hidden" r:id="rId30"/>
    <sheet name="Spannmål_N" sheetId="24" state="hidden" r:id="rId31"/>
    <sheet name="Giva_N" sheetId="25" state="hidden" r:id="rId32"/>
    <sheet name="Oljeväxter" sheetId="26" state="hidden" r:id="rId33"/>
    <sheet name="Vall" sheetId="27" state="hidden" r:id="rId34"/>
    <sheet name="Förfrukt" sheetId="28" state="hidden" r:id="rId35"/>
    <sheet name="stallgödseleffekt" sheetId="29" state="hidden" r:id="rId36"/>
    <sheet name="Listor" sheetId="30" state="hidden" r:id="rId37"/>
    <sheet name="Blad1" sheetId="31" state="hidden" r:id="rId38"/>
    <sheet name="Förändringar" sheetId="35" r:id="rId39"/>
  </sheets>
  <externalReferences>
    <externalReference r:id="rId40"/>
  </externalReferences>
  <definedNames>
    <definedName name="_xlnm._FilterDatabase" localSheetId="28" hidden="1">Spannmål_S!#REF!</definedName>
    <definedName name="Blandvallsgivor" localSheetId="27">#REF!</definedName>
    <definedName name="Blandvallsgivor">#REF!</definedName>
    <definedName name="Foderkorn_S">Spannmål_S!$AW$34:$AZ$335</definedName>
    <definedName name="Fodervete_M" localSheetId="27">Spannmål_S!$A$34:$D$335</definedName>
    <definedName name="Fodervete_M">Spannmål_S!$A$34:$D$335</definedName>
    <definedName name="Fodervete_S" localSheetId="27">Spannmål_S!$A$34:$D$335</definedName>
    <definedName name="Fodervete_S">Spannmål_S!$A$34:$D$335</definedName>
    <definedName name="Förfrukt" localSheetId="27">Förfrukt!$A$19:$A$29</definedName>
    <definedName name="Förfrukt">Förfrukt!$A$19:$A$29</definedName>
    <definedName name="Förfruktseffekter" localSheetId="27">Förfrukt!$A$4:$E$16</definedName>
    <definedName name="Förfruktseffekter">Förfrukt!$A$4:$E$16</definedName>
    <definedName name="Grod_kolumn" localSheetId="27">OFFSET('Tekniskt underlag'!$A$4,0,0,COUNTA('Tekniskt underlag'!$A$4:$A$52)-1)</definedName>
    <definedName name="Grod_kolumn">OFFSET('Tekniskt underlag'!$A$4,0,0,COUNTA('Tekniskt underlag'!$A$4:$A$52)-1)</definedName>
    <definedName name="Grodor_dynamisk" localSheetId="27">OFFSET('Tekniskt underlag'!$A$4,1,0,COUNTA('Tekniskt underlag'!$A$4:$A$52)-1)</definedName>
    <definedName name="Grodor_dynamisk">OFFSET('Tekniskt underlag'!$A$4,1,0,COUNTA('Tekniskt underlag'!$A$4:$A$52)-1)</definedName>
    <definedName name="Grodtabell_dynamisk" localSheetId="27">OFFSET('Tekniskt underlag'!$A$4,0,0,COUNTA('Tekniskt underlag'!$A$4:$A$52),COUNTA('Tekniskt underlag'!$4:$4))</definedName>
    <definedName name="Grodtabell_dynamisk">OFFSET('Tekniskt underlag'!$A$4,0,0,COUNTA('Tekniskt underlag'!$A$4:$A$52),COUNTA('Tekniskt underlag'!$4:$4))</definedName>
    <definedName name="Grodtabell_rubrikt" localSheetId="27">OFFSET('Tekniskt underlag'!$A$4,0,0,1,COUNTA('Tekniskt underlag'!$4:$4))</definedName>
    <definedName name="Grodtabell_rubrikt">OFFSET('Tekniskt underlag'!$A$4,0,0,1,COUNTA('Tekniskt underlag'!$4:$4))</definedName>
    <definedName name="Grödval" localSheetId="27">'Tekniskt underlag'!#REF!</definedName>
    <definedName name="Grödval">'Tekniskt underlag'!#REF!</definedName>
    <definedName name="Havre_M" localSheetId="27">Spannmål_S!$CS$34:$CV$335</definedName>
    <definedName name="Havre_M">Spannmål_S!$CS$34:$CV$335</definedName>
    <definedName name="Havre_S" localSheetId="27">Spannmål_S!$CS$34:$CV$335</definedName>
    <definedName name="Havre_S">Spannmål_S!$CS$34:$CV$335</definedName>
    <definedName name="Höstkorn_M" localSheetId="27">Spannmål_S!$AK$34:$AN$335</definedName>
    <definedName name="Höstkorn_M">Spannmål_S!$AK$34:$AN$335</definedName>
    <definedName name="Höstkorn_S" localSheetId="27">Spannmål_S!$AK$34:$AN$335</definedName>
    <definedName name="Höstkorn_S">Spannmål_S!$AK$34:$AN$335</definedName>
    <definedName name="Höstraps" localSheetId="27">Oljeväxter!$A$34:$D$335</definedName>
    <definedName name="Höstraps">Oljeväxter!$A$34:$D$335</definedName>
    <definedName name="Intervention_M" localSheetId="27">Spannmål_S!#REF!</definedName>
    <definedName name="Intervention_M">Spannmål_S!#REF!</definedName>
    <definedName name="Intervention_S" localSheetId="27">Spannmål_S!#REF!</definedName>
    <definedName name="Intervention_S">Spannmål_S!#REF!</definedName>
    <definedName name="Klöverhalt" localSheetId="27">#REF!</definedName>
    <definedName name="Klöverhalt">Listor!$A$11:$A$12</definedName>
    <definedName name="Kvarnvete_M" localSheetId="27">Spannmål_S!$M$34:$P$335</definedName>
    <definedName name="Kvarnvete_M">Spannmål_S!$M$34:$P$335</definedName>
    <definedName name="Kvarnvete_S" localSheetId="27">Spannmål_S!$M$34:$P$335</definedName>
    <definedName name="Kvarnvete_S">Spannmål_S!$M$34:$P$335</definedName>
    <definedName name="Maltkorn_M" localSheetId="27">Spannmål_S!$BI$34:$BL$335</definedName>
    <definedName name="Maltkorn_M">Spannmål_S!$BI$34:$BL$335</definedName>
    <definedName name="Maltkorn_S" localSheetId="27">Spannmål_S!$BI$34:$BL$335</definedName>
    <definedName name="Maltkorn_S">Spannmål_S!$BI$34:$BL$335</definedName>
    <definedName name="Matpotatisgiva" localSheetId="27">#REF!</definedName>
    <definedName name="Matpotatisgiva">#REF!</definedName>
    <definedName name="Max_oljeväxter" localSheetId="27">Giva_S!$N$39:$P$90</definedName>
    <definedName name="Max_oljeväxter">Giva_S!$N$39:$P$90</definedName>
    <definedName name="Max_vall" localSheetId="27">Giva_S!$R$39:$T$110</definedName>
    <definedName name="Max_vall">Giva_S!$R$39:$T$110</definedName>
    <definedName name="Maxgiva" localSheetId="27">Giva_S!$A$39:$L$130</definedName>
    <definedName name="Maxgiva">Giva_S!$A$39:$L$130</definedName>
    <definedName name="Maxgiva_M" localSheetId="27">Giva_N!$A$39:$K$130</definedName>
    <definedName name="Maxgiva_M">Giva_N!$A$39:$K$130</definedName>
    <definedName name="Maxgiva_oljev">Giva_S!$A$39:$L$130</definedName>
    <definedName name="N_giva_hv">Spannmål_S!$A$34:$D$335</definedName>
    <definedName name="N_giva_korn">Spannmål_S!$AW$34:$AZ$335</definedName>
    <definedName name="Parameter" localSheetId="27">'Tekniskt underlag'!#REF!</definedName>
    <definedName name="Parameter">'Tekniskt underlag'!#REF!</definedName>
    <definedName name="Plats" localSheetId="27">#REF!</definedName>
    <definedName name="Plats">Listor!$A$2:$A$3</definedName>
    <definedName name="Potatissorter" localSheetId="27">#REF!</definedName>
    <definedName name="Potatissorter">#REF!</definedName>
    <definedName name="Produktionsområde">Produktionsområde!$B$3:$D$10</definedName>
    <definedName name="Radmyllning" localSheetId="27">#REF!</definedName>
    <definedName name="Radmyllning">Listor!$A$24:$A$25</definedName>
    <definedName name="Råg_M" localSheetId="27">Spannmål_S!$BU$34:$BX$335</definedName>
    <definedName name="Råg_M">Spannmål_S!$BU$34:$BX$335</definedName>
    <definedName name="Råg_S" localSheetId="27">Spannmål_S!$BU$34:$BX$335</definedName>
    <definedName name="Råg_S">Spannmål_S!$BU$34:$BX$335</definedName>
    <definedName name="Rågvete_M" localSheetId="27">Spannmål_S!$CG$34:$CJ$335</definedName>
    <definedName name="Rågvete_M">Spannmål_S!$CG$34:$CJ$335</definedName>
    <definedName name="Rågvete_S" localSheetId="27">Spannmål_S!$CG$34:$CJ$335</definedName>
    <definedName name="Rågvete_S">Spannmål_S!$CG$34:$CJ$335</definedName>
    <definedName name="tidpunkt">Huvudinmatning!$J$14</definedName>
    <definedName name="Vall_1" localSheetId="27">Vall!$M$42:$P$343</definedName>
    <definedName name="Vall_1">Vall!$M$42:$P$343</definedName>
    <definedName name="Vall_2" localSheetId="27">Vall!$A$42:$D$343</definedName>
    <definedName name="Vall_2">Vall!$A$42:$D$343</definedName>
    <definedName name="Vall_4" localSheetId="27">Vall!$Y$42:$AB$343</definedName>
    <definedName name="Vall_4">Vall!$Y$42:$AB$343</definedName>
    <definedName name="Vallmängd" localSheetId="27">#REF!</definedName>
    <definedName name="Vallmängd">Listor!$A$15:$A$21</definedName>
    <definedName name="Vallsk" localSheetId="27">#REF!</definedName>
    <definedName name="Vallsk">Listor!$A$6:$A$8</definedName>
    <definedName name="Vårkorn_M" localSheetId="27">Spannmål_S!$AW$34:$AZ$335</definedName>
    <definedName name="Vårkorn_M">Spannmål_S!$AW$34:$AZ$335</definedName>
    <definedName name="Vårkorn_S" localSheetId="27">Spannmål_S!$AW$34:$AZ$335</definedName>
    <definedName name="Vårkorn_S">Spannmål_S!$AW$34:$AZ$335</definedName>
    <definedName name="Vårraps" localSheetId="27">Oljeväxter!$M$34:$P$335</definedName>
    <definedName name="Vårraps">Oljeväxter!$M$34:$P$335</definedName>
    <definedName name="Vårvete_M" localSheetId="27">Spannmål_S!$Y$34:$AB$335</definedName>
    <definedName name="Vårvete_M">Spannmål_S!$Y$34:$AB$335</definedName>
    <definedName name="Vårvete_S" localSheetId="27">Spannmål_S!$Y$34:$AB$335</definedName>
    <definedName name="Vårvete_S">Spannmål_S!$Y$34:$AB$335</definedName>
    <definedName name="Z_E236D89E_F90A_4229_9F0D_BF41486D4D94_.wvu.PrintArea" localSheetId="20" hidden="1">'"Kvävesimulator"'!#REF!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33" i="5" l="1"/>
  <c r="I32" i="5"/>
  <c r="I31" i="5"/>
  <c r="H33" i="5"/>
  <c r="E33" i="5"/>
  <c r="E32" i="5"/>
  <c r="E31" i="5"/>
  <c r="I29" i="5"/>
  <c r="H29" i="5"/>
  <c r="H28" i="5"/>
  <c r="E29" i="5"/>
  <c r="E28" i="5"/>
  <c r="D18" i="47"/>
  <c r="AD22" i="47"/>
  <c r="AD19" i="47"/>
  <c r="AD20" i="47"/>
  <c r="AD21" i="47"/>
  <c r="AD18" i="47"/>
  <c r="Y19" i="47"/>
  <c r="Y20" i="47"/>
  <c r="Y21" i="47"/>
  <c r="Y18" i="47"/>
  <c r="T19" i="47"/>
  <c r="T20" i="47"/>
  <c r="T21" i="47"/>
  <c r="T18" i="47"/>
  <c r="O19" i="47"/>
  <c r="O20" i="47"/>
  <c r="O21" i="47"/>
  <c r="O18" i="47"/>
  <c r="J19" i="47"/>
  <c r="J20" i="47"/>
  <c r="J21" i="47"/>
  <c r="J18" i="47"/>
  <c r="E19" i="47"/>
  <c r="E20" i="47"/>
  <c r="E21" i="47"/>
  <c r="E18" i="47"/>
  <c r="D20" i="47"/>
  <c r="F20" i="47" s="1"/>
  <c r="F17" i="47"/>
  <c r="Y10" i="47"/>
  <c r="T10" i="47"/>
  <c r="O10" i="47"/>
  <c r="J10" i="47"/>
  <c r="E10" i="47"/>
  <c r="AE41" i="47"/>
  <c r="Z41" i="47"/>
  <c r="U41" i="47"/>
  <c r="P41" i="47"/>
  <c r="K41" i="47"/>
  <c r="F41" i="47"/>
  <c r="Z21" i="47"/>
  <c r="U21" i="47"/>
  <c r="P21" i="47"/>
  <c r="K21" i="47"/>
  <c r="F21" i="47"/>
  <c r="AC20" i="47"/>
  <c r="AE20" i="47" s="1"/>
  <c r="AC19" i="47"/>
  <c r="AC18" i="47"/>
  <c r="AD17" i="47"/>
  <c r="AE17" i="47" s="1"/>
  <c r="AE39" i="47" s="1"/>
  <c r="AE43" i="47" s="1"/>
  <c r="Z17" i="47"/>
  <c r="U17" i="47"/>
  <c r="P17" i="47"/>
  <c r="K17" i="47"/>
  <c r="AD10" i="47"/>
  <c r="AC10" i="47"/>
  <c r="AC32" i="47" s="1"/>
  <c r="AE32" i="47" s="1"/>
  <c r="AD7" i="47"/>
  <c r="AE91" i="20"/>
  <c r="Z91" i="20"/>
  <c r="Z83" i="20"/>
  <c r="Z82" i="20"/>
  <c r="U91" i="20"/>
  <c r="AJ91" i="20"/>
  <c r="AT87" i="14"/>
  <c r="AT77" i="14"/>
  <c r="AO87" i="14"/>
  <c r="AO77" i="14"/>
  <c r="AJ87" i="14"/>
  <c r="AJ77" i="14"/>
  <c r="K91" i="20"/>
  <c r="Z77" i="14"/>
  <c r="AE18" i="47" l="1"/>
  <c r="AE19" i="47"/>
  <c r="F18" i="47"/>
  <c r="AE10" i="47"/>
  <c r="AE12" i="47" s="1"/>
  <c r="AC33" i="47"/>
  <c r="AE33" i="47" s="1"/>
  <c r="P87" i="14"/>
  <c r="P77" i="14"/>
  <c r="K87" i="14"/>
  <c r="K77" i="14"/>
  <c r="U87" i="14"/>
  <c r="U77" i="14"/>
  <c r="AE46" i="47" l="1"/>
  <c r="AE45" i="47"/>
  <c r="A123" i="34"/>
  <c r="G28" i="5" l="1"/>
  <c r="G6" i="14"/>
  <c r="G7" i="14"/>
  <c r="G5" i="14"/>
  <c r="H47" i="34" l="1"/>
  <c r="I47" i="34" s="1"/>
  <c r="AH68" i="20" s="1"/>
  <c r="H46" i="34"/>
  <c r="I46" i="34" s="1"/>
  <c r="N68" i="20" s="1"/>
  <c r="C42" i="34"/>
  <c r="D42" i="34"/>
  <c r="E42" i="34"/>
  <c r="F42" i="34"/>
  <c r="B42" i="34"/>
  <c r="D104" i="5" l="1"/>
  <c r="D105" i="5" s="1"/>
  <c r="D109" i="5" s="1"/>
  <c r="AA9" i="38" l="1"/>
  <c r="BR72" i="38"/>
  <c r="BS72" i="38"/>
  <c r="BM73" i="38"/>
  <c r="BR73" i="38"/>
  <c r="BS73" i="38"/>
  <c r="BM74" i="38"/>
  <c r="BR74" i="38"/>
  <c r="BS74" i="38"/>
  <c r="AX75" i="38"/>
  <c r="BM75" i="38"/>
  <c r="BR75" i="38"/>
  <c r="BS75" i="38"/>
  <c r="AX76" i="38"/>
  <c r="BM76" i="38"/>
  <c r="BR76" i="38"/>
  <c r="BS76" i="38"/>
  <c r="AX77" i="38"/>
  <c r="BM77" i="38"/>
  <c r="BR77" i="38"/>
  <c r="AY77" i="38" s="1"/>
  <c r="BS77" i="38"/>
  <c r="AX78" i="38"/>
  <c r="BM78" i="38"/>
  <c r="BR78" i="38"/>
  <c r="BS78" i="38"/>
  <c r="AX79" i="38"/>
  <c r="BM79" i="38"/>
  <c r="BR79" i="38"/>
  <c r="BS79" i="38"/>
  <c r="AX80" i="38"/>
  <c r="BM80" i="38"/>
  <c r="BR80" i="38"/>
  <c r="BS80" i="38"/>
  <c r="AX81" i="38"/>
  <c r="BM81" i="38"/>
  <c r="BR81" i="38"/>
  <c r="AY81" i="38" s="1"/>
  <c r="BS81" i="38"/>
  <c r="AX82" i="38"/>
  <c r="BM82" i="38"/>
  <c r="BR82" i="38"/>
  <c r="BS82" i="38"/>
  <c r="AX83" i="38"/>
  <c r="BM83" i="38"/>
  <c r="BR83" i="38"/>
  <c r="BS83" i="38"/>
  <c r="BR148" i="38"/>
  <c r="BS148" i="38"/>
  <c r="B37" i="2"/>
  <c r="AY79" i="38" l="1"/>
  <c r="AY78" i="38"/>
  <c r="AY75" i="38"/>
  <c r="AY83" i="38"/>
  <c r="AY82" i="38"/>
  <c r="AY80" i="38"/>
  <c r="AY76" i="38"/>
  <c r="AA69" i="37" l="1"/>
  <c r="N70" i="37" l="1"/>
  <c r="U93" i="37" l="1"/>
  <c r="V93" i="37"/>
  <c r="W93" i="37"/>
  <c r="X93" i="37"/>
  <c r="Y93" i="37"/>
  <c r="Z93" i="37"/>
  <c r="AG93" i="37"/>
  <c r="AH93" i="37"/>
  <c r="U94" i="37"/>
  <c r="V94" i="37"/>
  <c r="W94" i="37"/>
  <c r="X94" i="37"/>
  <c r="Y94" i="37"/>
  <c r="Z94" i="37"/>
  <c r="AH94" i="37"/>
  <c r="R94" i="37"/>
  <c r="R93" i="37"/>
  <c r="U92" i="37"/>
  <c r="V92" i="37"/>
  <c r="W92" i="37"/>
  <c r="X92" i="37"/>
  <c r="Y92" i="37"/>
  <c r="Z92" i="37"/>
  <c r="AH92" i="37"/>
  <c r="R92" i="37"/>
  <c r="K101" i="37"/>
  <c r="K102" i="37"/>
  <c r="K103" i="37"/>
  <c r="K104" i="37"/>
  <c r="K100" i="37"/>
  <c r="G104" i="37" l="1"/>
  <c r="H104" i="37"/>
  <c r="I104" i="37"/>
  <c r="B104" i="37"/>
  <c r="J104" i="37"/>
  <c r="C104" i="37"/>
  <c r="C103" i="37"/>
  <c r="G103" i="37"/>
  <c r="H103" i="37"/>
  <c r="I103" i="37"/>
  <c r="J103" i="37"/>
  <c r="B103" i="37"/>
  <c r="C102" i="37"/>
  <c r="I102" i="37"/>
  <c r="G102" i="37"/>
  <c r="H102" i="37"/>
  <c r="J102" i="37"/>
  <c r="B102" i="37"/>
  <c r="C101" i="37"/>
  <c r="B101" i="37"/>
  <c r="G101" i="37"/>
  <c r="H101" i="37"/>
  <c r="J101" i="37"/>
  <c r="I101" i="37"/>
  <c r="C100" i="37"/>
  <c r="J100" i="37"/>
  <c r="I100" i="37"/>
  <c r="B100" i="37"/>
  <c r="G100" i="37"/>
  <c r="H100" i="37"/>
  <c r="K1" i="37"/>
  <c r="B54" i="12"/>
  <c r="B55" i="12"/>
  <c r="B53" i="12"/>
  <c r="D48" i="12"/>
  <c r="AA24" i="12" l="1"/>
  <c r="AA29" i="12"/>
  <c r="AA30" i="12"/>
  <c r="X22" i="12"/>
  <c r="Y22" i="12"/>
  <c r="Z22" i="12"/>
  <c r="AA22" i="12"/>
  <c r="X23" i="12"/>
  <c r="Y23" i="12"/>
  <c r="Z23" i="12"/>
  <c r="AA23" i="12"/>
  <c r="U24" i="12"/>
  <c r="V24" i="12"/>
  <c r="W24" i="12"/>
  <c r="X24" i="12"/>
  <c r="Y24" i="12"/>
  <c r="Z24" i="12"/>
  <c r="X36" i="12"/>
  <c r="Y36" i="12"/>
  <c r="Z36" i="12"/>
  <c r="AA36" i="12"/>
  <c r="X37" i="12"/>
  <c r="Y37" i="12"/>
  <c r="Z37" i="12"/>
  <c r="AA37" i="12"/>
  <c r="P38" i="12"/>
  <c r="U29" i="12"/>
  <c r="V29" i="12"/>
  <c r="W29" i="12"/>
  <c r="X29" i="12"/>
  <c r="Y29" i="12"/>
  <c r="Z29" i="12"/>
  <c r="U30" i="12"/>
  <c r="V30" i="12"/>
  <c r="W30" i="12"/>
  <c r="X30" i="12"/>
  <c r="Y30" i="12"/>
  <c r="Z30" i="12"/>
  <c r="U19" i="12"/>
  <c r="V19" i="12"/>
  <c r="P19" i="12"/>
  <c r="I38" i="12"/>
  <c r="I39" i="12"/>
  <c r="I40" i="12"/>
  <c r="I41" i="12"/>
  <c r="I42" i="12"/>
  <c r="I43" i="12"/>
  <c r="I44" i="12"/>
  <c r="I45" i="12"/>
  <c r="I46" i="12"/>
  <c r="I37" i="12"/>
  <c r="H38" i="12"/>
  <c r="H39" i="12"/>
  <c r="H40" i="12"/>
  <c r="H41" i="12"/>
  <c r="H42" i="12"/>
  <c r="H43" i="12"/>
  <c r="H44" i="12"/>
  <c r="H45" i="12"/>
  <c r="H46" i="12"/>
  <c r="H37" i="12"/>
  <c r="H23" i="12"/>
  <c r="I23" i="12"/>
  <c r="H24" i="12"/>
  <c r="I24" i="12"/>
  <c r="H25" i="12"/>
  <c r="I25" i="12"/>
  <c r="H26" i="12"/>
  <c r="I26" i="12"/>
  <c r="H27" i="12"/>
  <c r="I27" i="12"/>
  <c r="H28" i="12"/>
  <c r="I28" i="12"/>
  <c r="H29" i="12"/>
  <c r="I29" i="12"/>
  <c r="H30" i="12"/>
  <c r="I30" i="12"/>
  <c r="H31" i="12"/>
  <c r="I31" i="12"/>
  <c r="I22" i="12"/>
  <c r="H22" i="12"/>
  <c r="AD12" i="37"/>
  <c r="AE2" i="37"/>
  <c r="AK12" i="37"/>
  <c r="AR27" i="38" l="1"/>
  <c r="AR28" i="38"/>
  <c r="AR29" i="38"/>
  <c r="AR30" i="38"/>
  <c r="AR31" i="38"/>
  <c r="AR32" i="38"/>
  <c r="AR33" i="38"/>
  <c r="AR34" i="38"/>
  <c r="AR35" i="38"/>
  <c r="AR36" i="38"/>
  <c r="AR37" i="38"/>
  <c r="AR38" i="38"/>
  <c r="AR39" i="38"/>
  <c r="AR40" i="38"/>
  <c r="AR41" i="38"/>
  <c r="AR42" i="38"/>
  <c r="AR43" i="38"/>
  <c r="AR44" i="38"/>
  <c r="AR45" i="38"/>
  <c r="AR46" i="38"/>
  <c r="AR47" i="38"/>
  <c r="AR48" i="38"/>
  <c r="AR49" i="38"/>
  <c r="AR50" i="38"/>
  <c r="AR51" i="38"/>
  <c r="AR52" i="38"/>
  <c r="AR53" i="38"/>
  <c r="AR54" i="38"/>
  <c r="AR55" i="38"/>
  <c r="AR56" i="38"/>
  <c r="AR57" i="38"/>
  <c r="AR58" i="38"/>
  <c r="AR59" i="38"/>
  <c r="AR60" i="38"/>
  <c r="AR61" i="38"/>
  <c r="AR62" i="38"/>
  <c r="AR63" i="38"/>
  <c r="AR64" i="38"/>
  <c r="AR65" i="38"/>
  <c r="AR66" i="38"/>
  <c r="AR67" i="38"/>
  <c r="AR68" i="38"/>
  <c r="AR69" i="38"/>
  <c r="AR70" i="38"/>
  <c r="AR71" i="38"/>
  <c r="AR72" i="38"/>
  <c r="AR73" i="38"/>
  <c r="AR24" i="38"/>
  <c r="AR25" i="38"/>
  <c r="AR26" i="38"/>
  <c r="AR23" i="38"/>
  <c r="AJ26" i="38"/>
  <c r="AJ25" i="38"/>
  <c r="R78" i="37" l="1"/>
  <c r="U60" i="37" l="1"/>
  <c r="U37" i="37"/>
  <c r="B19" i="38"/>
  <c r="B18" i="38"/>
  <c r="BD75" i="38" l="1"/>
  <c r="BE75" i="38" s="1"/>
  <c r="BK81" i="38"/>
  <c r="BL81" i="38" s="1"/>
  <c r="BD82" i="38"/>
  <c r="BE82" i="38" s="1"/>
  <c r="BK83" i="38"/>
  <c r="BL83" i="38" s="1"/>
  <c r="BK76" i="38"/>
  <c r="BL76" i="38" s="1"/>
  <c r="BD79" i="38"/>
  <c r="BE79" i="38" s="1"/>
  <c r="BK79" i="38"/>
  <c r="BL79" i="38" s="1"/>
  <c r="BK77" i="38"/>
  <c r="BL77" i="38" s="1"/>
  <c r="BD78" i="38"/>
  <c r="BE78" i="38" s="1"/>
  <c r="BD80" i="38"/>
  <c r="BE80" i="38" s="1"/>
  <c r="BK80" i="38"/>
  <c r="BL80" i="38" s="1"/>
  <c r="BD81" i="38"/>
  <c r="BE81" i="38" s="1"/>
  <c r="BK82" i="38"/>
  <c r="BL82" i="38" s="1"/>
  <c r="BD83" i="38"/>
  <c r="BE83" i="38" s="1"/>
  <c r="BD76" i="38"/>
  <c r="BE76" i="38" s="1"/>
  <c r="BD77" i="38"/>
  <c r="BE77" i="38" s="1"/>
  <c r="BK78" i="38"/>
  <c r="BL78" i="38" s="1"/>
  <c r="BK75" i="38"/>
  <c r="BL75" i="38" s="1"/>
  <c r="AJ29" i="38"/>
  <c r="AZ76" i="38"/>
  <c r="AZ77" i="38"/>
  <c r="AZ79" i="38"/>
  <c r="BA79" i="38" s="1"/>
  <c r="BG80" i="38"/>
  <c r="BH80" i="38" s="1"/>
  <c r="BG81" i="38"/>
  <c r="BH81" i="38" s="1"/>
  <c r="BG82" i="38"/>
  <c r="BH82" i="38" s="1"/>
  <c r="BG75" i="38"/>
  <c r="BH75" i="38" s="1"/>
  <c r="AZ82" i="38"/>
  <c r="AZ75" i="38"/>
  <c r="BA75" i="38" s="1"/>
  <c r="AZ78" i="38"/>
  <c r="BG83" i="38"/>
  <c r="BH83" i="38" s="1"/>
  <c r="BG76" i="38"/>
  <c r="BH76" i="38" s="1"/>
  <c r="BG78" i="38"/>
  <c r="BH78" i="38" s="1"/>
  <c r="AZ81" i="38"/>
  <c r="BG79" i="38"/>
  <c r="BH79" i="38" s="1"/>
  <c r="AZ83" i="38"/>
  <c r="BA83" i="38" s="1"/>
  <c r="BG77" i="38"/>
  <c r="BH77" i="38" s="1"/>
  <c r="AZ80" i="38"/>
  <c r="AJ28" i="38"/>
  <c r="M25" i="6"/>
  <c r="BA82" i="38" l="1"/>
  <c r="BA76" i="38"/>
  <c r="BA80" i="38"/>
  <c r="BA81" i="38"/>
  <c r="BA78" i="38"/>
  <c r="BA77" i="38"/>
  <c r="S82" i="37"/>
  <c r="AL82" i="37" s="1"/>
  <c r="S80" i="37"/>
  <c r="AL80" i="37" s="1"/>
  <c r="AL93" i="37" s="1"/>
  <c r="AL81" i="37"/>
  <c r="AL83" i="37"/>
  <c r="AL94" i="37" s="1"/>
  <c r="AL84" i="37"/>
  <c r="AL85" i="37"/>
  <c r="AL86" i="37"/>
  <c r="AL87" i="37"/>
  <c r="AL88" i="37"/>
  <c r="AL89" i="37"/>
  <c r="AL90" i="37"/>
  <c r="T82" i="37"/>
  <c r="AE82" i="37" s="1"/>
  <c r="AG82" i="37"/>
  <c r="T80" i="37"/>
  <c r="AG90" i="37"/>
  <c r="AE80" i="37" l="1"/>
  <c r="T93" i="37"/>
  <c r="AA82" i="37"/>
  <c r="AI80" i="37"/>
  <c r="AJ82" i="37"/>
  <c r="J91" i="37" s="1"/>
  <c r="AC82" i="37"/>
  <c r="AI82" i="37"/>
  <c r="AB82" i="37"/>
  <c r="AA80" i="37"/>
  <c r="AA93" i="37" s="1"/>
  <c r="AC80" i="37"/>
  <c r="AC93" i="37" s="1"/>
  <c r="AB80" i="37"/>
  <c r="AB93" i="37" s="1"/>
  <c r="T79" i="37"/>
  <c r="AE79" i="37" s="1"/>
  <c r="AE89" i="37"/>
  <c r="AB89" i="37" s="1"/>
  <c r="AI93" i="37" l="1"/>
  <c r="AJ80" i="37"/>
  <c r="AJ93" i="37" s="1"/>
  <c r="AE93" i="37"/>
  <c r="AD82" i="37"/>
  <c r="AF82" i="37" s="1"/>
  <c r="AD80" i="37"/>
  <c r="AK82" i="37"/>
  <c r="I91" i="37"/>
  <c r="AJ79" i="37"/>
  <c r="AI79" i="37"/>
  <c r="AJ89" i="37"/>
  <c r="AI89" i="37"/>
  <c r="AC89" i="37"/>
  <c r="AD89" i="37" s="1"/>
  <c r="AL76" i="37"/>
  <c r="AL77" i="37"/>
  <c r="AL78" i="37"/>
  <c r="AL79" i="37"/>
  <c r="AL75" i="37"/>
  <c r="AL92" i="37" s="1"/>
  <c r="AF80" i="37" l="1"/>
  <c r="AF93" i="37" s="1"/>
  <c r="AD93" i="37"/>
  <c r="AK80" i="37"/>
  <c r="AK93" i="37" s="1"/>
  <c r="AK79" i="37"/>
  <c r="C9" i="37"/>
  <c r="X18" i="37" l="1"/>
  <c r="W18" i="37"/>
  <c r="V18" i="37" s="1"/>
  <c r="F9" i="12" l="1"/>
  <c r="F8" i="12"/>
  <c r="G32" i="4"/>
  <c r="G33" i="4"/>
  <c r="G34" i="4"/>
  <c r="G35" i="4"/>
  <c r="G36" i="4"/>
  <c r="G37" i="4"/>
  <c r="G38" i="4"/>
  <c r="G39" i="4"/>
  <c r="G40" i="4"/>
  <c r="G31" i="4"/>
  <c r="G12" i="4"/>
  <c r="G13" i="4"/>
  <c r="G14" i="4"/>
  <c r="G15" i="4"/>
  <c r="G16" i="4"/>
  <c r="G17" i="4"/>
  <c r="G18" i="4"/>
  <c r="G19" i="4"/>
  <c r="G20" i="4"/>
  <c r="G11" i="4"/>
  <c r="T90" i="37" l="1"/>
  <c r="AE90" i="37" s="1"/>
  <c r="C93" i="37"/>
  <c r="J93" i="37" s="1"/>
  <c r="D99" i="37"/>
  <c r="AC90" i="37" l="1"/>
  <c r="AB90" i="37"/>
  <c r="AI90" i="37"/>
  <c r="AJ90" i="37"/>
  <c r="J99" i="37" s="1"/>
  <c r="H93" i="37"/>
  <c r="T88" i="37"/>
  <c r="AE88" i="37" s="1"/>
  <c r="T87" i="37"/>
  <c r="T86" i="37"/>
  <c r="AE86" i="37" s="1"/>
  <c r="AA89" i="37"/>
  <c r="AB88" i="37" l="1"/>
  <c r="AI88" i="37"/>
  <c r="B86" i="37" s="1"/>
  <c r="G86" i="37" s="1"/>
  <c r="AJ88" i="37"/>
  <c r="C86" i="37" s="1"/>
  <c r="J86" i="37" s="1"/>
  <c r="AC88" i="37"/>
  <c r="I99" i="37"/>
  <c r="AK90" i="37"/>
  <c r="AB86" i="37"/>
  <c r="AC86" i="37"/>
  <c r="AD86" i="37" s="1"/>
  <c r="AI86" i="37"/>
  <c r="B84" i="37" s="1"/>
  <c r="G84" i="37" s="1"/>
  <c r="AJ86" i="37"/>
  <c r="C84" i="37" s="1"/>
  <c r="J84" i="37" s="1"/>
  <c r="AE87" i="37"/>
  <c r="AD90" i="37"/>
  <c r="I84" i="37"/>
  <c r="B93" i="37"/>
  <c r="AA90" i="37"/>
  <c r="AA86" i="37"/>
  <c r="AA88" i="37"/>
  <c r="I86" i="37" l="1"/>
  <c r="AK86" i="37"/>
  <c r="H84" i="37"/>
  <c r="H86" i="37"/>
  <c r="AB87" i="37"/>
  <c r="AI87" i="37"/>
  <c r="B85" i="37" s="1"/>
  <c r="AJ87" i="37"/>
  <c r="C85" i="37" s="1"/>
  <c r="AC87" i="37"/>
  <c r="AA87" i="37"/>
  <c r="AD88" i="37"/>
  <c r="AF88" i="37" s="1"/>
  <c r="I93" i="37"/>
  <c r="G93" i="37"/>
  <c r="AF90" i="37"/>
  <c r="AK88" i="37"/>
  <c r="AF86" i="37"/>
  <c r="AF89" i="37"/>
  <c r="AK89" i="37"/>
  <c r="AD87" i="37" l="1"/>
  <c r="AF87" i="37" s="1"/>
  <c r="G85" i="37"/>
  <c r="I85" i="37"/>
  <c r="AK87" i="37"/>
  <c r="J85" i="37"/>
  <c r="H85" i="37"/>
  <c r="T147" i="38"/>
  <c r="S147" i="38"/>
  <c r="AA110" i="38"/>
  <c r="AA109" i="38"/>
  <c r="H98" i="38"/>
  <c r="S92" i="38"/>
  <c r="S91" i="38"/>
  <c r="S90" i="38"/>
  <c r="T72" i="38"/>
  <c r="S72" i="38"/>
  <c r="T71" i="38"/>
  <c r="S71" i="38"/>
  <c r="T70" i="38"/>
  <c r="S70" i="38"/>
  <c r="T69" i="38"/>
  <c r="S69" i="38"/>
  <c r="T68" i="38"/>
  <c r="S68" i="38"/>
  <c r="T67" i="38"/>
  <c r="S67" i="38"/>
  <c r="T66" i="38"/>
  <c r="S66" i="38"/>
  <c r="T65" i="38"/>
  <c r="S65" i="38"/>
  <c r="T64" i="38"/>
  <c r="S64" i="38"/>
  <c r="T63" i="38"/>
  <c r="S63" i="38"/>
  <c r="T62" i="38"/>
  <c r="S62" i="38"/>
  <c r="T61" i="38"/>
  <c r="S61" i="38"/>
  <c r="T60" i="38"/>
  <c r="S60" i="38"/>
  <c r="T59" i="38"/>
  <c r="S59" i="38"/>
  <c r="T58" i="38"/>
  <c r="S58" i="38"/>
  <c r="T57" i="38"/>
  <c r="S57" i="38"/>
  <c r="T56" i="38"/>
  <c r="S56" i="38"/>
  <c r="Z55" i="38"/>
  <c r="T55" i="38"/>
  <c r="S55" i="38"/>
  <c r="T54" i="38"/>
  <c r="S54" i="38"/>
  <c r="T53" i="38"/>
  <c r="S53" i="38"/>
  <c r="T52" i="38"/>
  <c r="S52" i="38"/>
  <c r="T51" i="38"/>
  <c r="S51" i="38"/>
  <c r="Z50" i="38"/>
  <c r="T50" i="38"/>
  <c r="S50" i="38"/>
  <c r="T49" i="38"/>
  <c r="S49" i="38"/>
  <c r="T48" i="38"/>
  <c r="S48" i="38"/>
  <c r="AA47" i="38"/>
  <c r="Z47" i="38"/>
  <c r="T47" i="38"/>
  <c r="S47" i="38"/>
  <c r="T46" i="38"/>
  <c r="S46" i="38"/>
  <c r="T45" i="38"/>
  <c r="S45" i="38"/>
  <c r="T44" i="38"/>
  <c r="S44" i="38"/>
  <c r="AA43" i="38"/>
  <c r="Z43" i="38"/>
  <c r="T43" i="38"/>
  <c r="S43" i="38"/>
  <c r="T42" i="38"/>
  <c r="S42" i="38"/>
  <c r="T41" i="38"/>
  <c r="S41" i="38"/>
  <c r="T40" i="38"/>
  <c r="S40" i="38"/>
  <c r="AA39" i="38"/>
  <c r="Z39" i="38"/>
  <c r="T39" i="38"/>
  <c r="S39" i="38"/>
  <c r="T38" i="38"/>
  <c r="S38" i="38"/>
  <c r="T37" i="38"/>
  <c r="S37" i="38"/>
  <c r="T36" i="38"/>
  <c r="S36" i="38"/>
  <c r="T35" i="38"/>
  <c r="S35" i="38"/>
  <c r="T34" i="38"/>
  <c r="S34" i="38"/>
  <c r="T33" i="38"/>
  <c r="S33" i="38"/>
  <c r="T32" i="38"/>
  <c r="S32" i="38"/>
  <c r="AA31" i="38"/>
  <c r="Z31" i="38"/>
  <c r="T31" i="38"/>
  <c r="S31" i="38"/>
  <c r="T30" i="38"/>
  <c r="S30" i="38"/>
  <c r="T29" i="38"/>
  <c r="S29" i="38"/>
  <c r="T28" i="38"/>
  <c r="S28" i="38"/>
  <c r="T27" i="38"/>
  <c r="S27" i="38"/>
  <c r="T26" i="38"/>
  <c r="S26" i="38"/>
  <c r="T25" i="38"/>
  <c r="S25" i="38"/>
  <c r="T24" i="38"/>
  <c r="S24" i="38"/>
  <c r="AA23" i="38"/>
  <c r="Z23" i="38"/>
  <c r="T23" i="38"/>
  <c r="S23" i="38"/>
  <c r="H23" i="38"/>
  <c r="BB5" i="38"/>
  <c r="BB4" i="38"/>
  <c r="BB3" i="38"/>
  <c r="AG89" i="37" l="1"/>
  <c r="AG88" i="37"/>
  <c r="AG87" i="37"/>
  <c r="AG86" i="37"/>
  <c r="AG85" i="37"/>
  <c r="T85" i="37"/>
  <c r="AE85" i="37" s="1"/>
  <c r="AG84" i="37"/>
  <c r="T84" i="37"/>
  <c r="AE84" i="37" s="1"/>
  <c r="AG83" i="37"/>
  <c r="AG94" i="37" s="1"/>
  <c r="T83" i="37"/>
  <c r="AG81" i="37"/>
  <c r="T81" i="37"/>
  <c r="AE81" i="37" s="1"/>
  <c r="B91" i="37"/>
  <c r="AG79" i="37"/>
  <c r="AG78" i="37"/>
  <c r="T78" i="37"/>
  <c r="AE78" i="37" s="1"/>
  <c r="AG77" i="37"/>
  <c r="T77" i="37"/>
  <c r="AE77" i="37" s="1"/>
  <c r="AG76" i="37"/>
  <c r="T76" i="37"/>
  <c r="AE76" i="37" s="1"/>
  <c r="AC76" i="37" s="1"/>
  <c r="AG75" i="37"/>
  <c r="AG92" i="37" s="1"/>
  <c r="T75" i="37"/>
  <c r="AE75" i="37" l="1"/>
  <c r="AE92" i="37" s="1"/>
  <c r="T92" i="37"/>
  <c r="AE83" i="37"/>
  <c r="AE94" i="37" s="1"/>
  <c r="T94" i="37"/>
  <c r="AI81" i="37"/>
  <c r="AJ81" i="37"/>
  <c r="C91" i="37"/>
  <c r="AB84" i="37"/>
  <c r="AJ84" i="37"/>
  <c r="AC84" i="37"/>
  <c r="AI84" i="37"/>
  <c r="AK84" i="37" s="1"/>
  <c r="AI75" i="37"/>
  <c r="AJ75" i="37"/>
  <c r="AJ92" i="37" s="1"/>
  <c r="AB77" i="37"/>
  <c r="AJ77" i="37"/>
  <c r="AC77" i="37"/>
  <c r="AI77" i="37"/>
  <c r="AB83" i="37"/>
  <c r="AB94" i="37" s="1"/>
  <c r="AI83" i="37"/>
  <c r="AI94" i="37" s="1"/>
  <c r="AJ83" i="37"/>
  <c r="AC83" i="37"/>
  <c r="AC94" i="37" s="1"/>
  <c r="AB85" i="37"/>
  <c r="AC85" i="37"/>
  <c r="AJ85" i="37"/>
  <c r="C82" i="37" s="1"/>
  <c r="AI85" i="37"/>
  <c r="AB76" i="37"/>
  <c r="AI76" i="37"/>
  <c r="B78" i="37" s="1"/>
  <c r="I78" i="37" s="1"/>
  <c r="AJ76" i="37"/>
  <c r="AB78" i="37"/>
  <c r="AC78" i="37"/>
  <c r="AJ78" i="37"/>
  <c r="AI78" i="37"/>
  <c r="AB81" i="37"/>
  <c r="AC81" i="37"/>
  <c r="AB79" i="37"/>
  <c r="AC79" i="37"/>
  <c r="AA78" i="37"/>
  <c r="AA83" i="37"/>
  <c r="AA94" i="37" s="1"/>
  <c r="AA85" i="37"/>
  <c r="AA76" i="37"/>
  <c r="AA77" i="37"/>
  <c r="AA79" i="37"/>
  <c r="AA81" i="37"/>
  <c r="AA84" i="37"/>
  <c r="AB75" i="37"/>
  <c r="AB92" i="37" s="1"/>
  <c r="AC75" i="37"/>
  <c r="AC92" i="37" s="1"/>
  <c r="AA75" i="37"/>
  <c r="AA92" i="37" s="1"/>
  <c r="P45" i="44"/>
  <c r="B82" i="37"/>
  <c r="AK75" i="37" l="1"/>
  <c r="AK92" i="37" s="1"/>
  <c r="AI92" i="37"/>
  <c r="AK83" i="37"/>
  <c r="AK94" i="37" s="1"/>
  <c r="AJ94" i="37"/>
  <c r="B77" i="37"/>
  <c r="I77" i="37" s="1"/>
  <c r="AD78" i="37"/>
  <c r="AD85" i="37"/>
  <c r="AF85" i="37" s="1"/>
  <c r="AF78" i="37"/>
  <c r="AD84" i="37"/>
  <c r="AF84" i="37" s="1"/>
  <c r="AD76" i="37"/>
  <c r="AF76" i="37" s="1"/>
  <c r="AD83" i="37"/>
  <c r="AK81" i="37"/>
  <c r="AD81" i="37"/>
  <c r="AF81" i="37" s="1"/>
  <c r="AD79" i="37"/>
  <c r="AF79" i="37" s="1"/>
  <c r="G77" i="37"/>
  <c r="G75" i="37"/>
  <c r="G76" i="37"/>
  <c r="G78" i="37"/>
  <c r="H75" i="37"/>
  <c r="H77" i="37"/>
  <c r="H76" i="37"/>
  <c r="H78" i="37"/>
  <c r="AD77" i="37"/>
  <c r="AF77" i="37" s="1"/>
  <c r="C98" i="37"/>
  <c r="C99" i="37"/>
  <c r="H99" i="37" s="1"/>
  <c r="H91" i="37"/>
  <c r="H98" i="37" s="1"/>
  <c r="J82" i="37"/>
  <c r="H82" i="37"/>
  <c r="G82" i="37"/>
  <c r="I82" i="37"/>
  <c r="AK77" i="37"/>
  <c r="AK76" i="37"/>
  <c r="C77" i="37"/>
  <c r="AD75" i="37"/>
  <c r="AK85" i="37"/>
  <c r="AK78" i="37"/>
  <c r="Q49" i="37"/>
  <c r="R49" i="37"/>
  <c r="Q50" i="37"/>
  <c r="R50" i="37"/>
  <c r="Q51" i="37"/>
  <c r="R51" i="37"/>
  <c r="Q52" i="37"/>
  <c r="R52" i="37"/>
  <c r="Q53" i="37"/>
  <c r="R53" i="37"/>
  <c r="Q54" i="37"/>
  <c r="R54" i="37"/>
  <c r="T54" i="37" s="1"/>
  <c r="Q55" i="37"/>
  <c r="R55" i="37"/>
  <c r="T55" i="37" s="1"/>
  <c r="Q56" i="37"/>
  <c r="R56" i="37"/>
  <c r="T56" i="37" s="1"/>
  <c r="Q57" i="37"/>
  <c r="R57" i="37"/>
  <c r="T57" i="37" s="1"/>
  <c r="R48" i="37"/>
  <c r="Q48" i="37"/>
  <c r="R26" i="37"/>
  <c r="R25" i="37"/>
  <c r="AF83" i="37" l="1"/>
  <c r="AF94" i="37" s="1"/>
  <c r="AD94" i="37"/>
  <c r="AF75" i="37"/>
  <c r="AF92" i="37" s="1"/>
  <c r="AD92" i="37"/>
  <c r="J77" i="37"/>
  <c r="M77" i="37"/>
  <c r="S56" i="37"/>
  <c r="S54" i="37"/>
  <c r="S50" i="37"/>
  <c r="T50" i="37" s="1"/>
  <c r="S57" i="37"/>
  <c r="S55" i="37"/>
  <c r="S53" i="37"/>
  <c r="T53" i="37" s="1"/>
  <c r="S51" i="37"/>
  <c r="T51" i="37" s="1"/>
  <c r="S49" i="37"/>
  <c r="T49" i="37" s="1"/>
  <c r="S52" i="37"/>
  <c r="T52" i="37" s="1"/>
  <c r="S48" i="37"/>
  <c r="T48" i="37" s="1"/>
  <c r="S26" i="37"/>
  <c r="T26" i="37" s="1"/>
  <c r="R27" i="37"/>
  <c r="R28" i="37"/>
  <c r="R29" i="37"/>
  <c r="R30" i="37"/>
  <c r="R31" i="37"/>
  <c r="T31" i="37" s="1"/>
  <c r="R32" i="37"/>
  <c r="T32" i="37" s="1"/>
  <c r="R33" i="37"/>
  <c r="T33" i="37" s="1"/>
  <c r="R34" i="37"/>
  <c r="T34" i="37" s="1"/>
  <c r="Q26" i="37"/>
  <c r="Q27" i="37"/>
  <c r="Q28" i="37"/>
  <c r="Q29" i="37"/>
  <c r="Q30" i="37"/>
  <c r="Q31" i="37"/>
  <c r="Q32" i="37"/>
  <c r="Q33" i="37"/>
  <c r="Q34" i="37"/>
  <c r="Q25" i="37"/>
  <c r="S25" i="37" s="1"/>
  <c r="T25" i="37" s="1"/>
  <c r="S30" i="37" l="1"/>
  <c r="T30" i="37" s="1"/>
  <c r="S34" i="37"/>
  <c r="S33" i="37"/>
  <c r="S29" i="37"/>
  <c r="T29" i="37" s="1"/>
  <c r="S32" i="37"/>
  <c r="S28" i="37"/>
  <c r="T28" i="37" s="1"/>
  <c r="S31" i="37"/>
  <c r="S27" i="37"/>
  <c r="T27" i="37" s="1"/>
  <c r="L18" i="37" l="1"/>
  <c r="AE43" i="2" l="1"/>
  <c r="P48" i="42"/>
  <c r="C39" i="42"/>
  <c r="I35" i="40"/>
  <c r="I36" i="40"/>
  <c r="I37" i="40"/>
  <c r="I38" i="40"/>
  <c r="I39" i="40"/>
  <c r="I40" i="40"/>
  <c r="I41" i="40"/>
  <c r="I42" i="40"/>
  <c r="I43" i="40"/>
  <c r="I44" i="40"/>
  <c r="I19" i="40"/>
  <c r="I20" i="40"/>
  <c r="I21" i="40"/>
  <c r="I22" i="40"/>
  <c r="I23" i="40"/>
  <c r="I24" i="40"/>
  <c r="I25" i="40"/>
  <c r="I26" i="40"/>
  <c r="I27" i="40"/>
  <c r="I18" i="40"/>
  <c r="L10" i="40"/>
  <c r="N9" i="40" s="1"/>
  <c r="D39" i="42" l="1"/>
  <c r="E39" i="42"/>
  <c r="I45" i="40"/>
  <c r="I28" i="40"/>
  <c r="N7" i="40"/>
  <c r="M10" i="40"/>
  <c r="N8" i="40"/>
  <c r="N10" i="40"/>
  <c r="N6" i="40"/>
  <c r="I14" i="39"/>
  <c r="O92" i="39" l="1"/>
  <c r="K92" i="39"/>
  <c r="R61" i="39"/>
  <c r="Q61" i="39"/>
  <c r="R60" i="39"/>
  <c r="O47" i="39"/>
  <c r="N47" i="39"/>
  <c r="M47" i="39"/>
  <c r="AF43" i="2" s="1"/>
  <c r="E47" i="39"/>
  <c r="U42" i="39"/>
  <c r="N34" i="39"/>
  <c r="AC32" i="39"/>
  <c r="AE36" i="39" s="1"/>
  <c r="R30" i="39"/>
  <c r="Q60" i="39" s="1"/>
  <c r="X29" i="39"/>
  <c r="AE28" i="39"/>
  <c r="AC28" i="39"/>
  <c r="X28" i="39"/>
  <c r="W28" i="39"/>
  <c r="O28" i="39"/>
  <c r="N28" i="39"/>
  <c r="M28" i="39"/>
  <c r="E28" i="39"/>
  <c r="W27" i="39"/>
  <c r="AE25" i="39"/>
  <c r="AC25" i="39"/>
  <c r="AE12" i="39"/>
  <c r="AE16" i="39" s="1"/>
  <c r="AE17" i="39" s="1"/>
  <c r="AC12" i="39"/>
  <c r="AC16" i="39" s="1"/>
  <c r="AC17" i="39" s="1"/>
  <c r="AG17" i="39" s="1"/>
  <c r="AC13" i="39" l="1"/>
  <c r="W29" i="39"/>
  <c r="X30" i="39"/>
  <c r="X31" i="39" s="1"/>
  <c r="AG28" i="39"/>
  <c r="AG18" i="39"/>
  <c r="AE13" i="39"/>
  <c r="AE35" i="39"/>
  <c r="AA66" i="2" l="1"/>
  <c r="AB66" i="2"/>
  <c r="AB67" i="2"/>
  <c r="AA68" i="2"/>
  <c r="AB68" i="2"/>
  <c r="AA69" i="2"/>
  <c r="AB69" i="2"/>
  <c r="AA70" i="2"/>
  <c r="AB70" i="2"/>
  <c r="AA71" i="2"/>
  <c r="AB71" i="2"/>
  <c r="AA72" i="2"/>
  <c r="AB72" i="2"/>
  <c r="AA73" i="2"/>
  <c r="AB73" i="2"/>
  <c r="AA74" i="2"/>
  <c r="AB74" i="2"/>
  <c r="AA75" i="2"/>
  <c r="AB75" i="2"/>
  <c r="AA76" i="2"/>
  <c r="AB76" i="2"/>
  <c r="AA77" i="2"/>
  <c r="AB77" i="2"/>
  <c r="AA78" i="2"/>
  <c r="AB78" i="2"/>
  <c r="AA79" i="2"/>
  <c r="AB79" i="2"/>
  <c r="AA80" i="2"/>
  <c r="AB80" i="2"/>
  <c r="AA82" i="2"/>
  <c r="AB82" i="2"/>
  <c r="AA83" i="2"/>
  <c r="AB83" i="2"/>
  <c r="AA84" i="2"/>
  <c r="AB84" i="2"/>
  <c r="AA86" i="2"/>
  <c r="AB86" i="2"/>
  <c r="AA87" i="2"/>
  <c r="AB87" i="2"/>
  <c r="AA88" i="2"/>
  <c r="AB88" i="2"/>
  <c r="AA90" i="2"/>
  <c r="AB90" i="2"/>
  <c r="AA91" i="2"/>
  <c r="AB91" i="2"/>
  <c r="AB92" i="2"/>
  <c r="AA93" i="2"/>
  <c r="AB93" i="2"/>
  <c r="AA94" i="2"/>
  <c r="AB94" i="2"/>
  <c r="AA95" i="2"/>
  <c r="AB95" i="2"/>
  <c r="AA96" i="2"/>
  <c r="AB96" i="2"/>
  <c r="AB97" i="2"/>
  <c r="AA98" i="2"/>
  <c r="AB98" i="2"/>
  <c r="AA99" i="2"/>
  <c r="AB99" i="2"/>
  <c r="AA100" i="2"/>
  <c r="AB100" i="2"/>
  <c r="AA101" i="2"/>
  <c r="AB101" i="2"/>
  <c r="AA102" i="2"/>
  <c r="AB102" i="2"/>
  <c r="AA103" i="2"/>
  <c r="AB103" i="2"/>
  <c r="AA104" i="2"/>
  <c r="AB104" i="2"/>
  <c r="AA105" i="2"/>
  <c r="AB105" i="2"/>
  <c r="AA106" i="2"/>
  <c r="AB106" i="2"/>
  <c r="AA107" i="2"/>
  <c r="AB107" i="2"/>
  <c r="AA108" i="2"/>
  <c r="AB108" i="2"/>
  <c r="AA109" i="2"/>
  <c r="AB109" i="2"/>
  <c r="AA110" i="2"/>
  <c r="AB110" i="2"/>
  <c r="AA111" i="2"/>
  <c r="AB111" i="2"/>
  <c r="AA112" i="2"/>
  <c r="AB112" i="2"/>
  <c r="AA113" i="2"/>
  <c r="AB113" i="2"/>
  <c r="AA114" i="2"/>
  <c r="AB114" i="2"/>
  <c r="AA81" i="2"/>
  <c r="AB81" i="2"/>
  <c r="AA85" i="2"/>
  <c r="AB85" i="2"/>
  <c r="AA89" i="2"/>
  <c r="AB89" i="2"/>
  <c r="AA92" i="2"/>
  <c r="AA97" i="2"/>
  <c r="AB65" i="2"/>
  <c r="AA65" i="2"/>
  <c r="C37" i="2"/>
  <c r="C38" i="2"/>
  <c r="C39" i="2"/>
  <c r="C40" i="2"/>
  <c r="C41" i="2"/>
  <c r="M110" i="37"/>
  <c r="N110" i="37" s="1"/>
  <c r="B29" i="37"/>
  <c r="B30" i="37"/>
  <c r="B31" i="37"/>
  <c r="B32" i="37"/>
  <c r="B33" i="37"/>
  <c r="B34" i="37"/>
  <c r="G34" i="37" l="1"/>
  <c r="F34" i="37"/>
  <c r="F33" i="37"/>
  <c r="G33" i="37"/>
  <c r="G32" i="37"/>
  <c r="F32" i="37"/>
  <c r="F31" i="37"/>
  <c r="G31" i="37"/>
  <c r="G30" i="37"/>
  <c r="F30" i="37"/>
  <c r="F29" i="37"/>
  <c r="G29" i="37"/>
  <c r="M33" i="37"/>
  <c r="O33" i="37" s="1"/>
  <c r="M32" i="37"/>
  <c r="O32" i="37" s="1"/>
  <c r="M34" i="37"/>
  <c r="O34" i="37" s="1"/>
  <c r="M31" i="37"/>
  <c r="O31" i="37" s="1"/>
  <c r="H30" i="37"/>
  <c r="M30" i="37"/>
  <c r="O30" i="37" s="1"/>
  <c r="H29" i="37"/>
  <c r="M29" i="37"/>
  <c r="O29" i="37" s="1"/>
  <c r="H32" i="37"/>
  <c r="E32" i="37"/>
  <c r="H31" i="37"/>
  <c r="E31" i="37"/>
  <c r="E34" i="37"/>
  <c r="H34" i="37"/>
  <c r="I23" i="2" s="1"/>
  <c r="H33" i="37"/>
  <c r="I22" i="2" s="1"/>
  <c r="E33" i="37"/>
  <c r="E30" i="37"/>
  <c r="E29" i="37"/>
  <c r="I30" i="37" l="1"/>
  <c r="V30" i="37" s="1"/>
  <c r="I33" i="37"/>
  <c r="V33" i="37" s="1"/>
  <c r="I32" i="37"/>
  <c r="V32" i="37" s="1"/>
  <c r="I29" i="37"/>
  <c r="V29" i="37" s="1"/>
  <c r="I34" i="37"/>
  <c r="V34" i="37" s="1"/>
  <c r="I31" i="37"/>
  <c r="V31" i="37" s="1"/>
  <c r="AK7" i="37"/>
  <c r="AK6" i="37"/>
  <c r="AJ7" i="37"/>
  <c r="AJ6" i="37"/>
  <c r="W34" i="37" l="1"/>
  <c r="X34" i="37" s="1"/>
  <c r="W29" i="37"/>
  <c r="X29" i="37" s="1"/>
  <c r="W32" i="37"/>
  <c r="X32" i="37" s="1"/>
  <c r="W31" i="37"/>
  <c r="W33" i="37"/>
  <c r="W30" i="37"/>
  <c r="X30" i="37" s="1"/>
  <c r="AK8" i="37"/>
  <c r="AJ8" i="37"/>
  <c r="X33" i="37" l="1"/>
  <c r="X31" i="37"/>
  <c r="C81" i="37" l="1"/>
  <c r="B81" i="37"/>
  <c r="J81" i="37" l="1"/>
  <c r="H81" i="37"/>
  <c r="G81" i="37"/>
  <c r="I81" i="37"/>
  <c r="C80" i="37"/>
  <c r="B80" i="37"/>
  <c r="J80" i="37" l="1"/>
  <c r="H80" i="37"/>
  <c r="G80" i="37"/>
  <c r="I80" i="37"/>
  <c r="P46" i="42"/>
  <c r="A69" i="37" l="1"/>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C26" i="37"/>
  <c r="C27" i="37"/>
  <c r="C28" i="37"/>
  <c r="C29" i="37"/>
  <c r="C30" i="37"/>
  <c r="C31" i="37"/>
  <c r="C32" i="37"/>
  <c r="C33" i="37"/>
  <c r="C34" i="37"/>
  <c r="C25" i="37"/>
  <c r="B26" i="37"/>
  <c r="B27" i="37"/>
  <c r="B28" i="37"/>
  <c r="B25" i="37"/>
  <c r="F25" i="37" s="1"/>
  <c r="AJ12" i="37"/>
  <c r="I23" i="38" l="1"/>
  <c r="I98" i="38"/>
  <c r="J23" i="38"/>
  <c r="J98" i="38"/>
  <c r="K23" i="38"/>
  <c r="K98" i="38"/>
  <c r="AX99" i="38" s="1"/>
  <c r="G28" i="37"/>
  <c r="F28" i="37"/>
  <c r="G27" i="37"/>
  <c r="F27" i="37"/>
  <c r="G26" i="37"/>
  <c r="F26" i="37"/>
  <c r="M25" i="37"/>
  <c r="O25" i="37" s="1"/>
  <c r="G25" i="37"/>
  <c r="H25" i="37"/>
  <c r="I14" i="2" s="1"/>
  <c r="M28" i="37"/>
  <c r="O28" i="37" s="1"/>
  <c r="M27" i="37"/>
  <c r="O27" i="37" s="1"/>
  <c r="M26" i="37"/>
  <c r="O26" i="37" s="1"/>
  <c r="H28" i="37"/>
  <c r="E28" i="37"/>
  <c r="H26" i="37"/>
  <c r="E26" i="37"/>
  <c r="H27" i="37"/>
  <c r="I16" i="2" s="1"/>
  <c r="E27" i="37"/>
  <c r="E25" i="37"/>
  <c r="AM12" i="37"/>
  <c r="C88" i="37"/>
  <c r="C89" i="37"/>
  <c r="BI8" i="38" l="1"/>
  <c r="AX23" i="38"/>
  <c r="L23" i="38"/>
  <c r="L98" i="38"/>
  <c r="R23" i="38" s="1"/>
  <c r="H89" i="37"/>
  <c r="J89" i="37"/>
  <c r="H88" i="37"/>
  <c r="J88" i="37"/>
  <c r="I98" i="37"/>
  <c r="I26" i="37"/>
  <c r="I27" i="37"/>
  <c r="I28" i="37"/>
  <c r="I25" i="37"/>
  <c r="V25" i="37" s="1"/>
  <c r="W25" i="37" s="1"/>
  <c r="B73" i="37"/>
  <c r="I73" i="37" s="1"/>
  <c r="B74" i="37"/>
  <c r="I74" i="37" s="1"/>
  <c r="B72" i="37"/>
  <c r="I72" i="37" s="1"/>
  <c r="C74" i="37"/>
  <c r="C73" i="37"/>
  <c r="C72" i="37"/>
  <c r="C78" i="37"/>
  <c r="C70" i="37"/>
  <c r="C71" i="37"/>
  <c r="B75" i="37"/>
  <c r="B76" i="37"/>
  <c r="I76" i="37" s="1"/>
  <c r="C76" i="37"/>
  <c r="C75" i="37"/>
  <c r="M75" i="37" s="1"/>
  <c r="B71" i="37"/>
  <c r="I71" i="37" s="1"/>
  <c r="B70" i="37"/>
  <c r="I70" i="37" s="1"/>
  <c r="B89" i="37"/>
  <c r="B88" i="37"/>
  <c r="J70" i="37" l="1"/>
  <c r="L74" i="37"/>
  <c r="M70" i="37"/>
  <c r="J78" i="37"/>
  <c r="M78" i="37"/>
  <c r="J72" i="37"/>
  <c r="M72" i="37"/>
  <c r="J76" i="37"/>
  <c r="M76" i="37"/>
  <c r="J74" i="37"/>
  <c r="M74" i="37"/>
  <c r="J71" i="37"/>
  <c r="M71" i="37"/>
  <c r="J73" i="37"/>
  <c r="M73" i="37"/>
  <c r="Y23" i="38"/>
  <c r="X65" i="2" s="1"/>
  <c r="Z65" i="2" s="1"/>
  <c r="Q23" i="38"/>
  <c r="X23" i="38" s="1"/>
  <c r="W65" i="2" s="1"/>
  <c r="Y65" i="2" s="1"/>
  <c r="V26" i="37"/>
  <c r="W26" i="37" s="1"/>
  <c r="X26" i="37" s="1"/>
  <c r="V28" i="37"/>
  <c r="W28" i="37" s="1"/>
  <c r="X28" i="37" s="1"/>
  <c r="V27" i="37"/>
  <c r="W27" i="37" s="1"/>
  <c r="X27" i="37" s="1"/>
  <c r="X25" i="37"/>
  <c r="BB10" i="38"/>
  <c r="J98" i="37"/>
  <c r="C92" i="37"/>
  <c r="H73" i="37"/>
  <c r="H74" i="37"/>
  <c r="H70" i="37"/>
  <c r="H71" i="37"/>
  <c r="H72" i="37"/>
  <c r="G88" i="37"/>
  <c r="I88" i="37"/>
  <c r="I89" i="37"/>
  <c r="G89" i="37"/>
  <c r="B99" i="37"/>
  <c r="G99" i="37" s="1"/>
  <c r="B98" i="37"/>
  <c r="G91" i="37"/>
  <c r="G98" i="37" s="1"/>
  <c r="B92" i="37"/>
  <c r="G72" i="37"/>
  <c r="G74" i="37"/>
  <c r="G71" i="37"/>
  <c r="G73" i="37"/>
  <c r="G70" i="37"/>
  <c r="I75" i="37"/>
  <c r="J75" i="37"/>
  <c r="B25" i="6"/>
  <c r="AB23" i="38" l="1"/>
  <c r="G92" i="37"/>
  <c r="I92" i="37"/>
  <c r="H92" i="37"/>
  <c r="J92" i="37"/>
  <c r="K17" i="18"/>
  <c r="K18" i="18"/>
  <c r="K19" i="18"/>
  <c r="K20" i="18"/>
  <c r="K21" i="18"/>
  <c r="K22" i="18"/>
  <c r="K23" i="18"/>
  <c r="K24" i="18"/>
  <c r="K25" i="18"/>
  <c r="K26" i="18"/>
  <c r="K27" i="18"/>
  <c r="K16" i="18"/>
  <c r="D38" i="18" l="1"/>
  <c r="E38" i="18"/>
  <c r="F38" i="18"/>
  <c r="G38" i="18"/>
  <c r="H38" i="18"/>
  <c r="I38" i="18"/>
  <c r="J38" i="18"/>
  <c r="K38" i="18"/>
  <c r="L38" i="18"/>
  <c r="M38" i="18"/>
  <c r="N38" i="18"/>
  <c r="O38" i="18"/>
  <c r="P38" i="18"/>
  <c r="Q38" i="18"/>
  <c r="R38" i="18"/>
  <c r="S38" i="18"/>
  <c r="T38" i="18"/>
  <c r="U38" i="18"/>
  <c r="V38" i="18"/>
  <c r="W38" i="18"/>
  <c r="D39" i="18"/>
  <c r="E39" i="18"/>
  <c r="F39" i="18"/>
  <c r="G39" i="18"/>
  <c r="H39" i="18"/>
  <c r="I39" i="18"/>
  <c r="J39" i="18"/>
  <c r="K39" i="18"/>
  <c r="L39" i="18"/>
  <c r="M39" i="18"/>
  <c r="N39" i="18"/>
  <c r="O39" i="18"/>
  <c r="P39" i="18"/>
  <c r="Q39" i="18"/>
  <c r="R39" i="18"/>
  <c r="S39" i="18"/>
  <c r="T39" i="18"/>
  <c r="U39" i="18"/>
  <c r="V39" i="18"/>
  <c r="W39" i="18"/>
  <c r="D40" i="18"/>
  <c r="E40" i="18"/>
  <c r="F40" i="18"/>
  <c r="G40" i="18"/>
  <c r="H40" i="18"/>
  <c r="I40" i="18"/>
  <c r="J40" i="18"/>
  <c r="K40" i="18"/>
  <c r="L40" i="18"/>
  <c r="M40" i="18"/>
  <c r="N40" i="18"/>
  <c r="O40" i="18"/>
  <c r="P40" i="18"/>
  <c r="Q40" i="18"/>
  <c r="R40" i="18"/>
  <c r="S40" i="18"/>
  <c r="T40" i="18"/>
  <c r="U40" i="18"/>
  <c r="V40" i="18"/>
  <c r="W40" i="18"/>
  <c r="D41" i="18"/>
  <c r="E41" i="18"/>
  <c r="F41" i="18"/>
  <c r="G41" i="18"/>
  <c r="H41" i="18"/>
  <c r="I41" i="18"/>
  <c r="J41" i="18"/>
  <c r="K41" i="18"/>
  <c r="L41" i="18"/>
  <c r="M41" i="18"/>
  <c r="N41" i="18"/>
  <c r="O41" i="18"/>
  <c r="P41" i="18"/>
  <c r="Q41" i="18"/>
  <c r="R41" i="18"/>
  <c r="S41" i="18"/>
  <c r="T41" i="18"/>
  <c r="U41" i="18"/>
  <c r="V41" i="18"/>
  <c r="W41" i="18"/>
  <c r="D42" i="18"/>
  <c r="E42" i="18"/>
  <c r="F42" i="18"/>
  <c r="G42" i="18"/>
  <c r="H42" i="18"/>
  <c r="I42" i="18"/>
  <c r="J42" i="18"/>
  <c r="K42" i="18"/>
  <c r="L42" i="18"/>
  <c r="M42" i="18"/>
  <c r="N42" i="18"/>
  <c r="O42" i="18"/>
  <c r="P42" i="18"/>
  <c r="Q42" i="18"/>
  <c r="R42" i="18"/>
  <c r="S42" i="18"/>
  <c r="T42" i="18"/>
  <c r="U42" i="18"/>
  <c r="V42" i="18"/>
  <c r="W42" i="18"/>
  <c r="O37" i="18"/>
  <c r="P37" i="18"/>
  <c r="Q37" i="18"/>
  <c r="R37" i="18"/>
  <c r="S37" i="18"/>
  <c r="T37" i="18"/>
  <c r="U37" i="18"/>
  <c r="V37" i="18"/>
  <c r="W37" i="18"/>
  <c r="E37" i="18"/>
  <c r="F37" i="18"/>
  <c r="G37" i="18"/>
  <c r="H37" i="18"/>
  <c r="I37" i="18"/>
  <c r="J37" i="18"/>
  <c r="K37" i="18"/>
  <c r="L37" i="18"/>
  <c r="M37" i="18"/>
  <c r="N37" i="18"/>
  <c r="D37" i="18"/>
  <c r="N49" i="18"/>
  <c r="O49" i="18"/>
  <c r="P49" i="18"/>
  <c r="Q49" i="18"/>
  <c r="R49" i="18"/>
  <c r="S49" i="18"/>
  <c r="T49" i="18"/>
  <c r="U49" i="18"/>
  <c r="V49" i="18"/>
  <c r="W49" i="18"/>
  <c r="N50" i="18"/>
  <c r="O50" i="18"/>
  <c r="P50" i="18"/>
  <c r="Q50" i="18"/>
  <c r="R50" i="18"/>
  <c r="S50" i="18"/>
  <c r="T50" i="18"/>
  <c r="U50" i="18"/>
  <c r="V50" i="18"/>
  <c r="W50" i="18"/>
  <c r="N51" i="18"/>
  <c r="O51" i="18"/>
  <c r="P51" i="18"/>
  <c r="Q51" i="18"/>
  <c r="R51" i="18"/>
  <c r="S51" i="18"/>
  <c r="T51" i="18"/>
  <c r="U51" i="18"/>
  <c r="V51" i="18"/>
  <c r="W51" i="18"/>
  <c r="N52" i="18"/>
  <c r="O52" i="18"/>
  <c r="P52" i="18"/>
  <c r="Q52" i="18"/>
  <c r="R52" i="18"/>
  <c r="S52" i="18"/>
  <c r="T52" i="18"/>
  <c r="U52" i="18"/>
  <c r="V52" i="18"/>
  <c r="W52" i="18"/>
  <c r="N53" i="18"/>
  <c r="O53" i="18"/>
  <c r="P53" i="18"/>
  <c r="Q53" i="18"/>
  <c r="R53" i="18"/>
  <c r="S53" i="18"/>
  <c r="T53" i="18"/>
  <c r="U53" i="18"/>
  <c r="V53" i="18"/>
  <c r="W53" i="18"/>
  <c r="O48" i="18"/>
  <c r="P48" i="18"/>
  <c r="Q48" i="18"/>
  <c r="R48" i="18"/>
  <c r="S48" i="18"/>
  <c r="T48" i="18"/>
  <c r="U48" i="18"/>
  <c r="V48" i="18"/>
  <c r="W48" i="18"/>
  <c r="N48" i="18"/>
  <c r="D50" i="18"/>
  <c r="E50" i="18"/>
  <c r="F50" i="18"/>
  <c r="G50" i="18"/>
  <c r="H50" i="18"/>
  <c r="I50" i="18"/>
  <c r="J50" i="18"/>
  <c r="K50" i="18"/>
  <c r="L50" i="18"/>
  <c r="M50" i="18"/>
  <c r="D51" i="18"/>
  <c r="E51" i="18"/>
  <c r="F51" i="18"/>
  <c r="G51" i="18"/>
  <c r="H51" i="18"/>
  <c r="I51" i="18"/>
  <c r="J51" i="18"/>
  <c r="K51" i="18"/>
  <c r="L51" i="18"/>
  <c r="M51" i="18"/>
  <c r="D52" i="18"/>
  <c r="E52" i="18"/>
  <c r="F52" i="18"/>
  <c r="G52" i="18"/>
  <c r="H52" i="18"/>
  <c r="I52" i="18"/>
  <c r="J52" i="18"/>
  <c r="K52" i="18"/>
  <c r="L52" i="18"/>
  <c r="M52" i="18"/>
  <c r="D53" i="18"/>
  <c r="E53" i="18"/>
  <c r="F53" i="18"/>
  <c r="G53" i="18"/>
  <c r="H53" i="18"/>
  <c r="I53" i="18"/>
  <c r="J53" i="18"/>
  <c r="K53" i="18"/>
  <c r="L53" i="18"/>
  <c r="M53" i="18"/>
  <c r="D49" i="18"/>
  <c r="E49" i="18"/>
  <c r="F49" i="18"/>
  <c r="G49" i="18"/>
  <c r="H49" i="18"/>
  <c r="I49" i="18"/>
  <c r="J49" i="18"/>
  <c r="K49" i="18"/>
  <c r="L49" i="18"/>
  <c r="M49" i="18"/>
  <c r="E48" i="18"/>
  <c r="F48" i="18"/>
  <c r="G48" i="18"/>
  <c r="H48" i="18"/>
  <c r="I48" i="18"/>
  <c r="J48" i="18"/>
  <c r="K48" i="18"/>
  <c r="L48" i="18"/>
  <c r="M48" i="18"/>
  <c r="D48" i="18"/>
  <c r="AB17" i="5" l="1"/>
  <c r="AB18" i="5"/>
  <c r="AB16" i="5"/>
  <c r="Z17" i="5"/>
  <c r="Z18" i="5"/>
  <c r="Z16" i="5"/>
  <c r="X17" i="5"/>
  <c r="X18" i="5"/>
  <c r="X16" i="5"/>
  <c r="V17" i="5"/>
  <c r="V18" i="5"/>
  <c r="V16" i="5"/>
  <c r="T17" i="5"/>
  <c r="T18" i="5"/>
  <c r="T16" i="5"/>
  <c r="R17" i="5"/>
  <c r="R18" i="5"/>
  <c r="R16" i="5"/>
  <c r="M90" i="6" l="1"/>
  <c r="M82" i="6"/>
  <c r="M83" i="6"/>
  <c r="M84" i="6"/>
  <c r="M85" i="6"/>
  <c r="M87" i="6"/>
  <c r="M88" i="6"/>
  <c r="M89" i="6"/>
  <c r="M91" i="6"/>
  <c r="M93" i="6"/>
  <c r="M94" i="6"/>
  <c r="M95" i="6"/>
  <c r="M96" i="6"/>
  <c r="M86" i="6"/>
  <c r="N10" i="27" l="1"/>
  <c r="B10" i="27"/>
  <c r="N9" i="26"/>
  <c r="B9" i="26"/>
  <c r="CT9" i="24"/>
  <c r="CH9" i="24"/>
  <c r="BV9" i="24"/>
  <c r="BJ9" i="24"/>
  <c r="AX9" i="24"/>
  <c r="AL9" i="24"/>
  <c r="Z9" i="24"/>
  <c r="N9" i="24"/>
  <c r="B9" i="24"/>
  <c r="CT9" i="22"/>
  <c r="CH9" i="22"/>
  <c r="BV9" i="22"/>
  <c r="BJ9" i="22"/>
  <c r="AX9" i="22"/>
  <c r="AL9" i="22"/>
  <c r="Z9" i="22"/>
  <c r="N9" i="22"/>
  <c r="B9" i="22"/>
  <c r="E35" i="33"/>
  <c r="U48" i="21" s="1"/>
  <c r="N8" i="27" s="1"/>
  <c r="E33" i="33"/>
  <c r="U46" i="21" s="1"/>
  <c r="B8" i="27" s="1"/>
  <c r="C35" i="33"/>
  <c r="D35" i="33" s="1"/>
  <c r="H48" i="21" s="1"/>
  <c r="N343" i="27"/>
  <c r="B343" i="27"/>
  <c r="N342" i="27"/>
  <c r="O342" i="27" s="1"/>
  <c r="B342" i="27"/>
  <c r="N341" i="27"/>
  <c r="B341" i="27"/>
  <c r="C341" i="27" s="1"/>
  <c r="N340" i="27"/>
  <c r="B340" i="27"/>
  <c r="C340" i="27" s="1"/>
  <c r="N339" i="27"/>
  <c r="B339" i="27"/>
  <c r="N338" i="27"/>
  <c r="B338" i="27"/>
  <c r="N337" i="27"/>
  <c r="B337" i="27"/>
  <c r="N336" i="27"/>
  <c r="B336" i="27"/>
  <c r="C336" i="27" s="1"/>
  <c r="N335" i="27"/>
  <c r="B335" i="27"/>
  <c r="N334" i="27"/>
  <c r="B334" i="27"/>
  <c r="N333" i="27"/>
  <c r="B333" i="27"/>
  <c r="N332" i="27"/>
  <c r="B332" i="27"/>
  <c r="C332" i="27" s="1"/>
  <c r="N331" i="27"/>
  <c r="B331" i="27"/>
  <c r="N330" i="27"/>
  <c r="B330" i="27"/>
  <c r="N329" i="27"/>
  <c r="B329" i="27"/>
  <c r="N328" i="27"/>
  <c r="B328" i="27"/>
  <c r="C328" i="27" s="1"/>
  <c r="N327" i="27"/>
  <c r="O326" i="27" s="1"/>
  <c r="B327" i="27"/>
  <c r="N326" i="27"/>
  <c r="B326" i="27"/>
  <c r="N325" i="27"/>
  <c r="O324" i="27" s="1"/>
  <c r="B325" i="27"/>
  <c r="N324" i="27"/>
  <c r="B324" i="27"/>
  <c r="C324" i="27" s="1"/>
  <c r="N323" i="27"/>
  <c r="O322" i="27" s="1"/>
  <c r="B323" i="27"/>
  <c r="N322" i="27"/>
  <c r="B322" i="27"/>
  <c r="N321" i="27"/>
  <c r="O320" i="27" s="1"/>
  <c r="B321" i="27"/>
  <c r="N320" i="27"/>
  <c r="B320" i="27"/>
  <c r="C320" i="27" s="1"/>
  <c r="N319" i="27"/>
  <c r="B319" i="27"/>
  <c r="N318" i="27"/>
  <c r="B318" i="27"/>
  <c r="N317" i="27"/>
  <c r="B317" i="27"/>
  <c r="N316" i="27"/>
  <c r="B316" i="27"/>
  <c r="C316" i="27" s="1"/>
  <c r="N315" i="27"/>
  <c r="B315" i="27"/>
  <c r="N314" i="27"/>
  <c r="B314" i="27"/>
  <c r="N313" i="27"/>
  <c r="B313" i="27"/>
  <c r="N312" i="27"/>
  <c r="B312" i="27"/>
  <c r="N311" i="27"/>
  <c r="B311" i="27"/>
  <c r="N310" i="27"/>
  <c r="B310" i="27"/>
  <c r="N309" i="27"/>
  <c r="B309" i="27"/>
  <c r="N308" i="27"/>
  <c r="B308" i="27"/>
  <c r="N307" i="27"/>
  <c r="B307" i="27"/>
  <c r="N306" i="27"/>
  <c r="B306" i="27"/>
  <c r="N305" i="27"/>
  <c r="B305" i="27"/>
  <c r="N304" i="27"/>
  <c r="B304" i="27"/>
  <c r="C304" i="27" s="1"/>
  <c r="N303" i="27"/>
  <c r="B303" i="27"/>
  <c r="N302" i="27"/>
  <c r="B302" i="27"/>
  <c r="N301" i="27"/>
  <c r="B301" i="27"/>
  <c r="N300" i="27"/>
  <c r="B300" i="27"/>
  <c r="C300" i="27" s="1"/>
  <c r="N299" i="27"/>
  <c r="B299" i="27"/>
  <c r="N298" i="27"/>
  <c r="B298" i="27"/>
  <c r="N297" i="27"/>
  <c r="B297" i="27"/>
  <c r="N296" i="27"/>
  <c r="B296" i="27"/>
  <c r="C296" i="27" s="1"/>
  <c r="N295" i="27"/>
  <c r="B295" i="27"/>
  <c r="N294" i="27"/>
  <c r="B294" i="27"/>
  <c r="C294" i="27" s="1"/>
  <c r="N293" i="27"/>
  <c r="B293" i="27"/>
  <c r="N292" i="27"/>
  <c r="B292" i="27"/>
  <c r="C292" i="27" s="1"/>
  <c r="N291" i="27"/>
  <c r="B291" i="27"/>
  <c r="N290" i="27"/>
  <c r="B290" i="27"/>
  <c r="N289" i="27"/>
  <c r="B289" i="27"/>
  <c r="N288" i="27"/>
  <c r="B288" i="27"/>
  <c r="C288" i="27" s="1"/>
  <c r="N287" i="27"/>
  <c r="B287" i="27"/>
  <c r="N286" i="27"/>
  <c r="B286" i="27"/>
  <c r="N285" i="27"/>
  <c r="B285" i="27"/>
  <c r="N284" i="27"/>
  <c r="B284" i="27"/>
  <c r="N283" i="27"/>
  <c r="B283" i="27"/>
  <c r="N282" i="27"/>
  <c r="B282" i="27"/>
  <c r="N281" i="27"/>
  <c r="B281" i="27"/>
  <c r="N280" i="27"/>
  <c r="B280" i="27"/>
  <c r="C280" i="27" s="1"/>
  <c r="N279" i="27"/>
  <c r="B279" i="27"/>
  <c r="N278" i="27"/>
  <c r="O278" i="27" s="1"/>
  <c r="B278" i="27"/>
  <c r="N277" i="27"/>
  <c r="B277" i="27"/>
  <c r="N276" i="27"/>
  <c r="B276" i="27"/>
  <c r="C276" i="27" s="1"/>
  <c r="N275" i="27"/>
  <c r="B275" i="27"/>
  <c r="N274" i="27"/>
  <c r="B274" i="27"/>
  <c r="N273" i="27"/>
  <c r="B273" i="27"/>
  <c r="N272" i="27"/>
  <c r="O272" i="27" s="1"/>
  <c r="B272" i="27"/>
  <c r="N271" i="27"/>
  <c r="B271" i="27"/>
  <c r="N270" i="27"/>
  <c r="O270" i="27" s="1"/>
  <c r="B270" i="27"/>
  <c r="C270" i="27" s="1"/>
  <c r="N269" i="27"/>
  <c r="B269" i="27"/>
  <c r="N268" i="27"/>
  <c r="O268" i="27" s="1"/>
  <c r="B268" i="27"/>
  <c r="N267" i="27"/>
  <c r="B267" i="27"/>
  <c r="N266" i="27"/>
  <c r="O266" i="27" s="1"/>
  <c r="B266" i="27"/>
  <c r="N265" i="27"/>
  <c r="O265" i="27" s="1"/>
  <c r="B265" i="27"/>
  <c r="N264" i="27"/>
  <c r="O264" i="27" s="1"/>
  <c r="B264" i="27"/>
  <c r="C264" i="27" s="1"/>
  <c r="N263" i="27"/>
  <c r="B263" i="27"/>
  <c r="C263" i="27" s="1"/>
  <c r="N262" i="27"/>
  <c r="B262" i="27"/>
  <c r="O261" i="27"/>
  <c r="N261" i="27"/>
  <c r="B261" i="27"/>
  <c r="N260" i="27"/>
  <c r="O260" i="27" s="1"/>
  <c r="B260" i="27"/>
  <c r="C260" i="27" s="1"/>
  <c r="N259" i="27"/>
  <c r="B259" i="27"/>
  <c r="N258" i="27"/>
  <c r="O258" i="27" s="1"/>
  <c r="B258" i="27"/>
  <c r="N257" i="27"/>
  <c r="B257" i="27"/>
  <c r="N256" i="27"/>
  <c r="B256" i="27"/>
  <c r="N255" i="27"/>
  <c r="B255" i="27"/>
  <c r="N254" i="27"/>
  <c r="B254" i="27"/>
  <c r="N253" i="27"/>
  <c r="B253" i="27"/>
  <c r="C253" i="27" s="1"/>
  <c r="N252" i="27"/>
  <c r="O252" i="27" s="1"/>
  <c r="B252" i="27"/>
  <c r="N251" i="27"/>
  <c r="O251" i="27" s="1"/>
  <c r="B251" i="27"/>
  <c r="C251" i="27" s="1"/>
  <c r="N250" i="27"/>
  <c r="B250" i="27"/>
  <c r="N249" i="27"/>
  <c r="B249" i="27"/>
  <c r="N248" i="27"/>
  <c r="O248" i="27" s="1"/>
  <c r="B248" i="27"/>
  <c r="N247" i="27"/>
  <c r="B247" i="27"/>
  <c r="C247" i="27" s="1"/>
  <c r="N246" i="27"/>
  <c r="O246" i="27" s="1"/>
  <c r="B246" i="27"/>
  <c r="N245" i="27"/>
  <c r="O245" i="27" s="1"/>
  <c r="B245" i="27"/>
  <c r="N244" i="27"/>
  <c r="B244" i="27"/>
  <c r="N243" i="27"/>
  <c r="B243" i="27"/>
  <c r="N242" i="27"/>
  <c r="O242" i="27" s="1"/>
  <c r="B242" i="27"/>
  <c r="N241" i="27"/>
  <c r="B241" i="27"/>
  <c r="C241" i="27" s="1"/>
  <c r="N240" i="27"/>
  <c r="B240" i="27"/>
  <c r="N239" i="27"/>
  <c r="B239" i="27"/>
  <c r="N238" i="27"/>
  <c r="O238" i="27" s="1"/>
  <c r="B238" i="27"/>
  <c r="N237" i="27"/>
  <c r="B237" i="27"/>
  <c r="C237" i="27" s="1"/>
  <c r="N236" i="27"/>
  <c r="B236" i="27"/>
  <c r="N235" i="27"/>
  <c r="O235" i="27" s="1"/>
  <c r="B235" i="27"/>
  <c r="N234" i="27"/>
  <c r="B234" i="27"/>
  <c r="C233" i="27" s="1"/>
  <c r="N233" i="27"/>
  <c r="B233" i="27"/>
  <c r="N232" i="27"/>
  <c r="B232" i="27"/>
  <c r="N231" i="27"/>
  <c r="B231" i="27"/>
  <c r="N230" i="27"/>
  <c r="B230" i="27"/>
  <c r="N229" i="27"/>
  <c r="B229" i="27"/>
  <c r="N228" i="27"/>
  <c r="B228" i="27"/>
  <c r="N227" i="27"/>
  <c r="B227" i="27"/>
  <c r="N226" i="27"/>
  <c r="O226" i="27" s="1"/>
  <c r="B226" i="27"/>
  <c r="N225" i="27"/>
  <c r="O225" i="27" s="1"/>
  <c r="B225" i="27"/>
  <c r="N224" i="27"/>
  <c r="B224" i="27"/>
  <c r="C224" i="27" s="1"/>
  <c r="N223" i="27"/>
  <c r="B223" i="27"/>
  <c r="N222" i="27"/>
  <c r="O222" i="27" s="1"/>
  <c r="B222" i="27"/>
  <c r="N221" i="27"/>
  <c r="B221" i="27"/>
  <c r="N220" i="27"/>
  <c r="B220" i="27"/>
  <c r="C219" i="27" s="1"/>
  <c r="N219" i="27"/>
  <c r="B219" i="27"/>
  <c r="N218" i="27"/>
  <c r="O218" i="27" s="1"/>
  <c r="B218" i="27"/>
  <c r="N217" i="27"/>
  <c r="B217" i="27"/>
  <c r="N216" i="27"/>
  <c r="O216" i="27" s="1"/>
  <c r="B216" i="27"/>
  <c r="N215" i="27"/>
  <c r="B215" i="27"/>
  <c r="N214" i="27"/>
  <c r="O214" i="27" s="1"/>
  <c r="B214" i="27"/>
  <c r="C213" i="27" s="1"/>
  <c r="N213" i="27"/>
  <c r="B213" i="27"/>
  <c r="N212" i="27"/>
  <c r="O212" i="27" s="1"/>
  <c r="B212" i="27"/>
  <c r="N211" i="27"/>
  <c r="B211" i="27"/>
  <c r="N210" i="27"/>
  <c r="O210" i="27" s="1"/>
  <c r="B210" i="27"/>
  <c r="N209" i="27"/>
  <c r="B209" i="27"/>
  <c r="N208" i="27"/>
  <c r="O208" i="27" s="1"/>
  <c r="B208" i="27"/>
  <c r="N207" i="27"/>
  <c r="B207" i="27"/>
  <c r="N206" i="27"/>
  <c r="O206" i="27" s="1"/>
  <c r="B206" i="27"/>
  <c r="N205" i="27"/>
  <c r="B205" i="27"/>
  <c r="N204" i="27"/>
  <c r="B204" i="27"/>
  <c r="N203" i="27"/>
  <c r="B203" i="27"/>
  <c r="N202" i="27"/>
  <c r="O202" i="27" s="1"/>
  <c r="B202" i="27"/>
  <c r="N201" i="27"/>
  <c r="B201" i="27"/>
  <c r="N200" i="27"/>
  <c r="O200" i="27" s="1"/>
  <c r="B200" i="27"/>
  <c r="N199" i="27"/>
  <c r="B199" i="27"/>
  <c r="N198" i="27"/>
  <c r="O198" i="27" s="1"/>
  <c r="B198" i="27"/>
  <c r="N197" i="27"/>
  <c r="B197" i="27"/>
  <c r="O196" i="27"/>
  <c r="N196" i="27"/>
  <c r="B196" i="27"/>
  <c r="N195" i="27"/>
  <c r="B195" i="27"/>
  <c r="N194" i="27"/>
  <c r="B194" i="27"/>
  <c r="N193" i="27"/>
  <c r="B193" i="27"/>
  <c r="N192" i="27"/>
  <c r="B192" i="27"/>
  <c r="N191" i="27"/>
  <c r="B191" i="27"/>
  <c r="N190" i="27"/>
  <c r="O190" i="27" s="1"/>
  <c r="B190" i="27"/>
  <c r="N189" i="27"/>
  <c r="B189" i="27"/>
  <c r="N188" i="27"/>
  <c r="B188" i="27"/>
  <c r="N187" i="27"/>
  <c r="B187" i="27"/>
  <c r="N186" i="27"/>
  <c r="O186" i="27" s="1"/>
  <c r="B186" i="27"/>
  <c r="N185" i="27"/>
  <c r="B185" i="27"/>
  <c r="N184" i="27"/>
  <c r="O184" i="27" s="1"/>
  <c r="B184" i="27"/>
  <c r="N183" i="27"/>
  <c r="B183" i="27"/>
  <c r="N182" i="27"/>
  <c r="O182" i="27" s="1"/>
  <c r="B182" i="27"/>
  <c r="N181" i="27"/>
  <c r="B181" i="27"/>
  <c r="N180" i="27"/>
  <c r="O180" i="27" s="1"/>
  <c r="B180" i="27"/>
  <c r="N179" i="27"/>
  <c r="B179" i="27"/>
  <c r="N178" i="27"/>
  <c r="B178" i="27"/>
  <c r="N177" i="27"/>
  <c r="B177" i="27"/>
  <c r="N176" i="27"/>
  <c r="B176" i="27"/>
  <c r="N175" i="27"/>
  <c r="B175" i="27"/>
  <c r="N174" i="27"/>
  <c r="B174" i="27"/>
  <c r="N173" i="27"/>
  <c r="B173" i="27"/>
  <c r="N172" i="27"/>
  <c r="B172" i="27"/>
  <c r="N171" i="27"/>
  <c r="B171" i="27"/>
  <c r="N170" i="27"/>
  <c r="B170" i="27"/>
  <c r="N169" i="27"/>
  <c r="B169" i="27"/>
  <c r="N168" i="27"/>
  <c r="B168" i="27"/>
  <c r="N167" i="27"/>
  <c r="B167" i="27"/>
  <c r="N166" i="27"/>
  <c r="B166" i="27"/>
  <c r="N165" i="27"/>
  <c r="B165" i="27"/>
  <c r="N164" i="27"/>
  <c r="B164" i="27"/>
  <c r="N163" i="27"/>
  <c r="B163" i="27"/>
  <c r="N162" i="27"/>
  <c r="O162" i="27" s="1"/>
  <c r="B162" i="27"/>
  <c r="N161" i="27"/>
  <c r="B161" i="27"/>
  <c r="N160" i="27"/>
  <c r="O160" i="27" s="1"/>
  <c r="B160" i="27"/>
  <c r="N159" i="27"/>
  <c r="B159" i="27"/>
  <c r="N158" i="27"/>
  <c r="O158" i="27" s="1"/>
  <c r="B158" i="27"/>
  <c r="N157" i="27"/>
  <c r="B157" i="27"/>
  <c r="N156" i="27"/>
  <c r="B156" i="27"/>
  <c r="N155" i="27"/>
  <c r="B155" i="27"/>
  <c r="N154" i="27"/>
  <c r="O154" i="27" s="1"/>
  <c r="B154" i="27"/>
  <c r="N153" i="27"/>
  <c r="B153" i="27"/>
  <c r="C153" i="27" s="1"/>
  <c r="N152" i="27"/>
  <c r="O152" i="27" s="1"/>
  <c r="B152" i="27"/>
  <c r="N151" i="27"/>
  <c r="B151" i="27"/>
  <c r="N150" i="27"/>
  <c r="B150" i="27"/>
  <c r="N149" i="27"/>
  <c r="B149" i="27"/>
  <c r="N148" i="27"/>
  <c r="O148" i="27" s="1"/>
  <c r="B148" i="27"/>
  <c r="N147" i="27"/>
  <c r="B147" i="27"/>
  <c r="C147" i="27" s="1"/>
  <c r="N146" i="27"/>
  <c r="B146" i="27"/>
  <c r="N145" i="27"/>
  <c r="B145" i="27"/>
  <c r="N144" i="27"/>
  <c r="B144" i="27"/>
  <c r="N143" i="27"/>
  <c r="B143" i="27"/>
  <c r="N142" i="27"/>
  <c r="O142" i="27" s="1"/>
  <c r="B142" i="27"/>
  <c r="N141" i="27"/>
  <c r="B141" i="27"/>
  <c r="C141" i="27" s="1"/>
  <c r="N140" i="27"/>
  <c r="B140" i="27"/>
  <c r="N139" i="27"/>
  <c r="B139" i="27"/>
  <c r="N138" i="27"/>
  <c r="B138" i="27"/>
  <c r="N137" i="27"/>
  <c r="B137" i="27"/>
  <c r="C136" i="27" s="1"/>
  <c r="N136" i="27"/>
  <c r="B136" i="27"/>
  <c r="N135" i="27"/>
  <c r="B135" i="27"/>
  <c r="C135" i="27" s="1"/>
  <c r="N134" i="27"/>
  <c r="B134" i="27"/>
  <c r="N133" i="27"/>
  <c r="B133" i="27"/>
  <c r="C133" i="27" s="1"/>
  <c r="N132" i="27"/>
  <c r="B132" i="27"/>
  <c r="N131" i="27"/>
  <c r="B131" i="27"/>
  <c r="C131" i="27" s="1"/>
  <c r="N130" i="27"/>
  <c r="B130" i="27"/>
  <c r="N129" i="27"/>
  <c r="B129" i="27"/>
  <c r="C129" i="27" s="1"/>
  <c r="N128" i="27"/>
  <c r="B128" i="27"/>
  <c r="N127" i="27"/>
  <c r="B127" i="27"/>
  <c r="C127" i="27" s="1"/>
  <c r="N126" i="27"/>
  <c r="B126" i="27"/>
  <c r="N125" i="27"/>
  <c r="B125" i="27"/>
  <c r="C125" i="27" s="1"/>
  <c r="N124" i="27"/>
  <c r="B124" i="27"/>
  <c r="N123" i="27"/>
  <c r="B123" i="27"/>
  <c r="C123" i="27" s="1"/>
  <c r="N122" i="27"/>
  <c r="B122" i="27"/>
  <c r="N121" i="27"/>
  <c r="B121" i="27"/>
  <c r="C121" i="27" s="1"/>
  <c r="N120" i="27"/>
  <c r="B120" i="27"/>
  <c r="N119" i="27"/>
  <c r="B119" i="27"/>
  <c r="C119" i="27" s="1"/>
  <c r="N118" i="27"/>
  <c r="B118" i="27"/>
  <c r="N117" i="27"/>
  <c r="B117" i="27"/>
  <c r="C117" i="27" s="1"/>
  <c r="N116" i="27"/>
  <c r="B116" i="27"/>
  <c r="N115" i="27"/>
  <c r="B115" i="27"/>
  <c r="C115" i="27" s="1"/>
  <c r="N114" i="27"/>
  <c r="B114" i="27"/>
  <c r="N113" i="27"/>
  <c r="B113" i="27"/>
  <c r="C113" i="27" s="1"/>
  <c r="N112" i="27"/>
  <c r="B112" i="27"/>
  <c r="N111" i="27"/>
  <c r="B111" i="27"/>
  <c r="C111" i="27" s="1"/>
  <c r="N110" i="27"/>
  <c r="B110" i="27"/>
  <c r="N109" i="27"/>
  <c r="B109" i="27"/>
  <c r="C109" i="27" s="1"/>
  <c r="N108" i="27"/>
  <c r="B108" i="27"/>
  <c r="N107" i="27"/>
  <c r="B107" i="27"/>
  <c r="C107" i="27" s="1"/>
  <c r="N106" i="27"/>
  <c r="B106" i="27"/>
  <c r="N105" i="27"/>
  <c r="B105" i="27"/>
  <c r="C105" i="27" s="1"/>
  <c r="N104" i="27"/>
  <c r="B104" i="27"/>
  <c r="N103" i="27"/>
  <c r="B103" i="27"/>
  <c r="C103" i="27" s="1"/>
  <c r="N102" i="27"/>
  <c r="B102" i="27"/>
  <c r="N101" i="27"/>
  <c r="B101" i="27"/>
  <c r="C101" i="27" s="1"/>
  <c r="N100" i="27"/>
  <c r="B100" i="27"/>
  <c r="N99" i="27"/>
  <c r="B99" i="27"/>
  <c r="C99" i="27" s="1"/>
  <c r="N98" i="27"/>
  <c r="B98" i="27"/>
  <c r="N97" i="27"/>
  <c r="B97" i="27"/>
  <c r="N96" i="27"/>
  <c r="B96" i="27"/>
  <c r="N95" i="27"/>
  <c r="B95" i="27"/>
  <c r="N94" i="27"/>
  <c r="B94" i="27"/>
  <c r="N93" i="27"/>
  <c r="B93" i="27"/>
  <c r="N92" i="27"/>
  <c r="B92" i="27"/>
  <c r="N91" i="27"/>
  <c r="B91" i="27"/>
  <c r="N90" i="27"/>
  <c r="B90" i="27"/>
  <c r="N89" i="27"/>
  <c r="B89" i="27"/>
  <c r="N88" i="27"/>
  <c r="B88" i="27"/>
  <c r="N87" i="27"/>
  <c r="B87" i="27"/>
  <c r="C87" i="27" s="1"/>
  <c r="N86" i="27"/>
  <c r="B86" i="27"/>
  <c r="N85" i="27"/>
  <c r="B85" i="27"/>
  <c r="C85" i="27" s="1"/>
  <c r="N84" i="27"/>
  <c r="B84" i="27"/>
  <c r="N83" i="27"/>
  <c r="B83" i="27"/>
  <c r="N82" i="27"/>
  <c r="B82" i="27"/>
  <c r="N81" i="27"/>
  <c r="B81" i="27"/>
  <c r="C81" i="27" s="1"/>
  <c r="N80" i="27"/>
  <c r="B80" i="27"/>
  <c r="N79" i="27"/>
  <c r="B79" i="27"/>
  <c r="C79" i="27" s="1"/>
  <c r="N78" i="27"/>
  <c r="B78" i="27"/>
  <c r="N77" i="27"/>
  <c r="B77" i="27"/>
  <c r="C77" i="27" s="1"/>
  <c r="N76" i="27"/>
  <c r="B76" i="27"/>
  <c r="N75" i="27"/>
  <c r="B75" i="27"/>
  <c r="C75" i="27" s="1"/>
  <c r="N74" i="27"/>
  <c r="B74" i="27"/>
  <c r="N73" i="27"/>
  <c r="B73" i="27"/>
  <c r="N72" i="27"/>
  <c r="B72" i="27"/>
  <c r="N71" i="27"/>
  <c r="B71" i="27"/>
  <c r="N70" i="27"/>
  <c r="B70" i="27"/>
  <c r="N69" i="27"/>
  <c r="B69" i="27"/>
  <c r="C69" i="27" s="1"/>
  <c r="N68" i="27"/>
  <c r="B68" i="27"/>
  <c r="N67" i="27"/>
  <c r="B67" i="27"/>
  <c r="C67" i="27" s="1"/>
  <c r="N66" i="27"/>
  <c r="B66" i="27"/>
  <c r="N65" i="27"/>
  <c r="B65" i="27"/>
  <c r="C65" i="27" s="1"/>
  <c r="N64" i="27"/>
  <c r="B64" i="27"/>
  <c r="N63" i="27"/>
  <c r="B63" i="27"/>
  <c r="C63" i="27" s="1"/>
  <c r="N62" i="27"/>
  <c r="B62" i="27"/>
  <c r="N61" i="27"/>
  <c r="B61" i="27"/>
  <c r="C61" i="27" s="1"/>
  <c r="N60" i="27"/>
  <c r="B60" i="27"/>
  <c r="N59" i="27"/>
  <c r="O58" i="27" s="1"/>
  <c r="B59" i="27"/>
  <c r="C59" i="27" s="1"/>
  <c r="N58" i="27"/>
  <c r="B58" i="27"/>
  <c r="N57" i="27"/>
  <c r="O56" i="27" s="1"/>
  <c r="B57" i="27"/>
  <c r="C57" i="27" s="1"/>
  <c r="N56" i="27"/>
  <c r="B56" i="27"/>
  <c r="N55" i="27"/>
  <c r="O55" i="27" s="1"/>
  <c r="B55" i="27"/>
  <c r="N54" i="27"/>
  <c r="B54" i="27"/>
  <c r="N53" i="27"/>
  <c r="O52" i="27" s="1"/>
  <c r="B53" i="27"/>
  <c r="N52" i="27"/>
  <c r="B52" i="27"/>
  <c r="N51" i="27"/>
  <c r="O51" i="27" s="1"/>
  <c r="B51" i="27"/>
  <c r="N50" i="27"/>
  <c r="B50" i="27"/>
  <c r="N49" i="27"/>
  <c r="B49" i="27"/>
  <c r="N48" i="27"/>
  <c r="B48" i="27"/>
  <c r="N47" i="27"/>
  <c r="B47" i="27"/>
  <c r="N46" i="27"/>
  <c r="B46" i="27"/>
  <c r="N45" i="27"/>
  <c r="O45" i="27" s="1"/>
  <c r="B45" i="27"/>
  <c r="N44" i="27"/>
  <c r="B44" i="27"/>
  <c r="N43" i="27"/>
  <c r="B43" i="27"/>
  <c r="N18" i="27"/>
  <c r="B18" i="27"/>
  <c r="N335" i="26"/>
  <c r="B335" i="26"/>
  <c r="N334" i="26"/>
  <c r="B334" i="26"/>
  <c r="N333" i="26"/>
  <c r="O333" i="26" s="1"/>
  <c r="B333" i="26"/>
  <c r="N332" i="26"/>
  <c r="B332" i="26"/>
  <c r="N331" i="26"/>
  <c r="B331" i="26"/>
  <c r="N330" i="26"/>
  <c r="B330" i="26"/>
  <c r="C330" i="26" s="1"/>
  <c r="N329" i="26"/>
  <c r="O329" i="26" s="1"/>
  <c r="B329" i="26"/>
  <c r="N328" i="26"/>
  <c r="B328" i="26"/>
  <c r="N327" i="26"/>
  <c r="B327" i="26"/>
  <c r="N326" i="26"/>
  <c r="B326" i="26"/>
  <c r="N325" i="26"/>
  <c r="O325" i="26" s="1"/>
  <c r="B325" i="26"/>
  <c r="N324" i="26"/>
  <c r="B324" i="26"/>
  <c r="N323" i="26"/>
  <c r="O323" i="26" s="1"/>
  <c r="B323" i="26"/>
  <c r="N322" i="26"/>
  <c r="B322" i="26"/>
  <c r="N321" i="26"/>
  <c r="O321" i="26" s="1"/>
  <c r="B321" i="26"/>
  <c r="N320" i="26"/>
  <c r="B320" i="26"/>
  <c r="N319" i="26"/>
  <c r="B319" i="26"/>
  <c r="N318" i="26"/>
  <c r="B318" i="26"/>
  <c r="C318" i="26" s="1"/>
  <c r="O317" i="26"/>
  <c r="N317" i="26"/>
  <c r="B317" i="26"/>
  <c r="N316" i="26"/>
  <c r="O316" i="26" s="1"/>
  <c r="B316" i="26"/>
  <c r="N315" i="26"/>
  <c r="B315" i="26"/>
  <c r="N314" i="26"/>
  <c r="B314" i="26"/>
  <c r="C314" i="26" s="1"/>
  <c r="N313" i="26"/>
  <c r="B313" i="26"/>
  <c r="N312" i="26"/>
  <c r="O312" i="26" s="1"/>
  <c r="B312" i="26"/>
  <c r="N311" i="26"/>
  <c r="B311" i="26"/>
  <c r="N310" i="26"/>
  <c r="B310" i="26"/>
  <c r="N309" i="26"/>
  <c r="B309" i="26"/>
  <c r="N308" i="26"/>
  <c r="B308" i="26"/>
  <c r="N307" i="26"/>
  <c r="B307" i="26"/>
  <c r="N306" i="26"/>
  <c r="B306" i="26"/>
  <c r="N305" i="26"/>
  <c r="B305" i="26"/>
  <c r="N304" i="26"/>
  <c r="B304" i="26"/>
  <c r="N303" i="26"/>
  <c r="B303" i="26"/>
  <c r="N302" i="26"/>
  <c r="B302" i="26"/>
  <c r="C302" i="26" s="1"/>
  <c r="N301" i="26"/>
  <c r="O301" i="26" s="1"/>
  <c r="B301" i="26"/>
  <c r="N300" i="26"/>
  <c r="O300" i="26" s="1"/>
  <c r="B300" i="26"/>
  <c r="N299" i="26"/>
  <c r="B299" i="26"/>
  <c r="N298" i="26"/>
  <c r="B298" i="26"/>
  <c r="N297" i="26"/>
  <c r="B297" i="26"/>
  <c r="N296" i="26"/>
  <c r="O296" i="26" s="1"/>
  <c r="B296" i="26"/>
  <c r="N295" i="26"/>
  <c r="B295" i="26"/>
  <c r="C295" i="26" s="1"/>
  <c r="N294" i="26"/>
  <c r="B294" i="26"/>
  <c r="N293" i="26"/>
  <c r="B293" i="26"/>
  <c r="N292" i="26"/>
  <c r="O292" i="26" s="1"/>
  <c r="B292" i="26"/>
  <c r="N291" i="26"/>
  <c r="B291" i="26"/>
  <c r="C291" i="26" s="1"/>
  <c r="N290" i="26"/>
  <c r="B290" i="26"/>
  <c r="N289" i="26"/>
  <c r="B289" i="26"/>
  <c r="N288" i="26"/>
  <c r="O288" i="26" s="1"/>
  <c r="B288" i="26"/>
  <c r="N287" i="26"/>
  <c r="B287" i="26"/>
  <c r="N286" i="26"/>
  <c r="B286" i="26"/>
  <c r="N285" i="26"/>
  <c r="B285" i="26"/>
  <c r="N284" i="26"/>
  <c r="O284" i="26" s="1"/>
  <c r="B284" i="26"/>
  <c r="N283" i="26"/>
  <c r="B283" i="26"/>
  <c r="N282" i="26"/>
  <c r="B282" i="26"/>
  <c r="N281" i="26"/>
  <c r="B281" i="26"/>
  <c r="N280" i="26"/>
  <c r="O280" i="26" s="1"/>
  <c r="B280" i="26"/>
  <c r="N279" i="26"/>
  <c r="B279" i="26"/>
  <c r="N278" i="26"/>
  <c r="B278" i="26"/>
  <c r="N277" i="26"/>
  <c r="B277" i="26"/>
  <c r="N276" i="26"/>
  <c r="O276" i="26" s="1"/>
  <c r="B276" i="26"/>
  <c r="N275" i="26"/>
  <c r="B275" i="26"/>
  <c r="N274" i="26"/>
  <c r="B274" i="26"/>
  <c r="N273" i="26"/>
  <c r="B273" i="26"/>
  <c r="N272" i="26"/>
  <c r="O272" i="26" s="1"/>
  <c r="B272" i="26"/>
  <c r="N271" i="26"/>
  <c r="B271" i="26"/>
  <c r="N270" i="26"/>
  <c r="B270" i="26"/>
  <c r="N269" i="26"/>
  <c r="B269" i="26"/>
  <c r="N268" i="26"/>
  <c r="O268" i="26" s="1"/>
  <c r="B268" i="26"/>
  <c r="N267" i="26"/>
  <c r="B267" i="26"/>
  <c r="C267" i="26" s="1"/>
  <c r="N266" i="26"/>
  <c r="B266" i="26"/>
  <c r="N265" i="26"/>
  <c r="B265" i="26"/>
  <c r="C264" i="26" s="1"/>
  <c r="N264" i="26"/>
  <c r="B264" i="26"/>
  <c r="N263" i="26"/>
  <c r="B263" i="26"/>
  <c r="N262" i="26"/>
  <c r="B262" i="26"/>
  <c r="N261" i="26"/>
  <c r="B261" i="26"/>
  <c r="C261" i="26" s="1"/>
  <c r="N260" i="26"/>
  <c r="B260" i="26"/>
  <c r="N259" i="26"/>
  <c r="B259" i="26"/>
  <c r="N258" i="26"/>
  <c r="B258" i="26"/>
  <c r="N257" i="26"/>
  <c r="B257" i="26"/>
  <c r="N256" i="26"/>
  <c r="B256" i="26"/>
  <c r="N255" i="26"/>
  <c r="B255" i="26"/>
  <c r="N254" i="26"/>
  <c r="B254" i="26"/>
  <c r="N253" i="26"/>
  <c r="B253" i="26"/>
  <c r="N252" i="26"/>
  <c r="B252" i="26"/>
  <c r="N251" i="26"/>
  <c r="B251" i="26"/>
  <c r="N250" i="26"/>
  <c r="B250" i="26"/>
  <c r="N249" i="26"/>
  <c r="B249" i="26"/>
  <c r="N248" i="26"/>
  <c r="B248" i="26"/>
  <c r="N247" i="26"/>
  <c r="B247" i="26"/>
  <c r="N246" i="26"/>
  <c r="B246" i="26"/>
  <c r="N245" i="26"/>
  <c r="B245" i="26"/>
  <c r="N244" i="26"/>
  <c r="B244" i="26"/>
  <c r="C244" i="26" s="1"/>
  <c r="N243" i="26"/>
  <c r="B243" i="26"/>
  <c r="N242" i="26"/>
  <c r="B242" i="26"/>
  <c r="N241" i="26"/>
  <c r="B241" i="26"/>
  <c r="N240" i="26"/>
  <c r="B240" i="26"/>
  <c r="N239" i="26"/>
  <c r="B239" i="26"/>
  <c r="N238" i="26"/>
  <c r="B238" i="26"/>
  <c r="N237" i="26"/>
  <c r="B237" i="26"/>
  <c r="N236" i="26"/>
  <c r="B236" i="26"/>
  <c r="N235" i="26"/>
  <c r="B235" i="26"/>
  <c r="N234" i="26"/>
  <c r="B234" i="26"/>
  <c r="N233" i="26"/>
  <c r="B233" i="26"/>
  <c r="N232" i="26"/>
  <c r="B232" i="26"/>
  <c r="N231" i="26"/>
  <c r="B231" i="26"/>
  <c r="N230" i="26"/>
  <c r="B230" i="26"/>
  <c r="N229" i="26"/>
  <c r="B229" i="26"/>
  <c r="N228" i="26"/>
  <c r="B228" i="26"/>
  <c r="N227" i="26"/>
  <c r="B227" i="26"/>
  <c r="N226" i="26"/>
  <c r="B226" i="26"/>
  <c r="N225" i="26"/>
  <c r="B225" i="26"/>
  <c r="N224" i="26"/>
  <c r="B224" i="26"/>
  <c r="N223" i="26"/>
  <c r="B223" i="26"/>
  <c r="N222" i="26"/>
  <c r="B222" i="26"/>
  <c r="N221" i="26"/>
  <c r="B221" i="26"/>
  <c r="N220" i="26"/>
  <c r="B220" i="26"/>
  <c r="N219" i="26"/>
  <c r="B219" i="26"/>
  <c r="N218" i="26"/>
  <c r="B218" i="26"/>
  <c r="N217" i="26"/>
  <c r="B217" i="26"/>
  <c r="C217" i="26" s="1"/>
  <c r="N216" i="26"/>
  <c r="B216" i="26"/>
  <c r="N215" i="26"/>
  <c r="B215" i="26"/>
  <c r="N214" i="26"/>
  <c r="B214" i="26"/>
  <c r="N213" i="26"/>
  <c r="O213" i="26" s="1"/>
  <c r="B213" i="26"/>
  <c r="C212" i="26" s="1"/>
  <c r="N212" i="26"/>
  <c r="B212" i="26"/>
  <c r="N211" i="26"/>
  <c r="O211" i="26" s="1"/>
  <c r="B211" i="26"/>
  <c r="N210" i="26"/>
  <c r="B210" i="26"/>
  <c r="N209" i="26"/>
  <c r="B209" i="26"/>
  <c r="N208" i="26"/>
  <c r="B208" i="26"/>
  <c r="N207" i="26"/>
  <c r="B207" i="26"/>
  <c r="C207" i="26" s="1"/>
  <c r="N206" i="26"/>
  <c r="B206" i="26"/>
  <c r="N205" i="26"/>
  <c r="O205" i="26" s="1"/>
  <c r="B205" i="26"/>
  <c r="N204" i="26"/>
  <c r="B204" i="26"/>
  <c r="N203" i="26"/>
  <c r="B203" i="26"/>
  <c r="C203" i="26" s="1"/>
  <c r="N202" i="26"/>
  <c r="B202" i="26"/>
  <c r="N201" i="26"/>
  <c r="B201" i="26"/>
  <c r="N200" i="26"/>
  <c r="B200" i="26"/>
  <c r="N199" i="26"/>
  <c r="B199" i="26"/>
  <c r="N198" i="26"/>
  <c r="B198" i="26"/>
  <c r="N197" i="26"/>
  <c r="B197" i="26"/>
  <c r="C197" i="26" s="1"/>
  <c r="N196" i="26"/>
  <c r="B196" i="26"/>
  <c r="N195" i="26"/>
  <c r="B195" i="26"/>
  <c r="C195" i="26" s="1"/>
  <c r="N194" i="26"/>
  <c r="B194" i="26"/>
  <c r="N193" i="26"/>
  <c r="B193" i="26"/>
  <c r="N192" i="26"/>
  <c r="B192" i="26"/>
  <c r="N191" i="26"/>
  <c r="B191" i="26"/>
  <c r="N190" i="26"/>
  <c r="B190" i="26"/>
  <c r="N189" i="26"/>
  <c r="O189" i="26" s="1"/>
  <c r="B189" i="26"/>
  <c r="C189" i="26" s="1"/>
  <c r="N188" i="26"/>
  <c r="B188" i="26"/>
  <c r="N187" i="26"/>
  <c r="O187" i="26" s="1"/>
  <c r="B187" i="26"/>
  <c r="C187" i="26" s="1"/>
  <c r="N186" i="26"/>
  <c r="B186" i="26"/>
  <c r="N185" i="26"/>
  <c r="B185" i="26"/>
  <c r="N184" i="26"/>
  <c r="B184" i="26"/>
  <c r="N183" i="26"/>
  <c r="B183" i="26"/>
  <c r="N182" i="26"/>
  <c r="B182" i="26"/>
  <c r="N181" i="26"/>
  <c r="B181" i="26"/>
  <c r="N180" i="26"/>
  <c r="B180" i="26"/>
  <c r="N179" i="26"/>
  <c r="B179" i="26"/>
  <c r="N178" i="26"/>
  <c r="B178" i="26"/>
  <c r="N177" i="26"/>
  <c r="B177" i="26"/>
  <c r="N176" i="26"/>
  <c r="B176" i="26"/>
  <c r="N175" i="26"/>
  <c r="O175" i="26" s="1"/>
  <c r="B175" i="26"/>
  <c r="N174" i="26"/>
  <c r="B174" i="26"/>
  <c r="C174" i="26" s="1"/>
  <c r="O173" i="26"/>
  <c r="N173" i="26"/>
  <c r="B173" i="26"/>
  <c r="N172" i="26"/>
  <c r="B172" i="26"/>
  <c r="N171" i="26"/>
  <c r="B171" i="26"/>
  <c r="C171" i="26" s="1"/>
  <c r="N170" i="26"/>
  <c r="O170" i="26" s="1"/>
  <c r="B170" i="26"/>
  <c r="N169" i="26"/>
  <c r="B169" i="26"/>
  <c r="C169" i="26" s="1"/>
  <c r="N168" i="26"/>
  <c r="B168" i="26"/>
  <c r="N167" i="26"/>
  <c r="B167" i="26"/>
  <c r="N166" i="26"/>
  <c r="B166" i="26"/>
  <c r="N165" i="26"/>
  <c r="B165" i="26"/>
  <c r="N164" i="26"/>
  <c r="B164" i="26"/>
  <c r="C164" i="26" s="1"/>
  <c r="N163" i="26"/>
  <c r="B163" i="26"/>
  <c r="N162" i="26"/>
  <c r="B162" i="26"/>
  <c r="N161" i="26"/>
  <c r="O161" i="26" s="1"/>
  <c r="B161" i="26"/>
  <c r="C161" i="26" s="1"/>
  <c r="N160" i="26"/>
  <c r="B160" i="26"/>
  <c r="N159" i="26"/>
  <c r="O159" i="26" s="1"/>
  <c r="C159" i="26"/>
  <c r="B159" i="26"/>
  <c r="N158" i="26"/>
  <c r="B158" i="26"/>
  <c r="C158" i="26" s="1"/>
  <c r="N157" i="26"/>
  <c r="B157" i="26"/>
  <c r="N156" i="26"/>
  <c r="B156" i="26"/>
  <c r="N155" i="26"/>
  <c r="B155" i="26"/>
  <c r="N154" i="26"/>
  <c r="B154" i="26"/>
  <c r="N153" i="26"/>
  <c r="B153" i="26"/>
  <c r="N152" i="26"/>
  <c r="B152" i="26"/>
  <c r="C151" i="26" s="1"/>
  <c r="N151" i="26"/>
  <c r="O151" i="26" s="1"/>
  <c r="B151" i="26"/>
  <c r="N150" i="26"/>
  <c r="B150" i="26"/>
  <c r="C150" i="26" s="1"/>
  <c r="N149" i="26"/>
  <c r="O149" i="26" s="1"/>
  <c r="B149" i="26"/>
  <c r="N148" i="26"/>
  <c r="B148" i="26"/>
  <c r="C147" i="26" s="1"/>
  <c r="N147" i="26"/>
  <c r="B147" i="26"/>
  <c r="N146" i="26"/>
  <c r="B146" i="26"/>
  <c r="C146" i="26" s="1"/>
  <c r="N145" i="26"/>
  <c r="B145" i="26"/>
  <c r="N144" i="26"/>
  <c r="B144" i="26"/>
  <c r="N143" i="26"/>
  <c r="B143" i="26"/>
  <c r="N142" i="26"/>
  <c r="B142" i="26"/>
  <c r="N141" i="26"/>
  <c r="B141" i="26"/>
  <c r="N140" i="26"/>
  <c r="B140" i="26"/>
  <c r="N139" i="26"/>
  <c r="B139" i="26"/>
  <c r="N138" i="26"/>
  <c r="B138" i="26"/>
  <c r="N137" i="26"/>
  <c r="B137" i="26"/>
  <c r="N136" i="26"/>
  <c r="B136" i="26"/>
  <c r="N135" i="26"/>
  <c r="B135" i="26"/>
  <c r="N134" i="26"/>
  <c r="B134" i="26"/>
  <c r="C134" i="26" s="1"/>
  <c r="N133" i="26"/>
  <c r="B133" i="26"/>
  <c r="N132" i="26"/>
  <c r="B132" i="26"/>
  <c r="C132" i="26" s="1"/>
  <c r="N131" i="26"/>
  <c r="B131" i="26"/>
  <c r="N130" i="26"/>
  <c r="B130" i="26"/>
  <c r="C130" i="26" s="1"/>
  <c r="N129" i="26"/>
  <c r="B129" i="26"/>
  <c r="N128" i="26"/>
  <c r="O128" i="26" s="1"/>
  <c r="B128" i="26"/>
  <c r="C128" i="26" s="1"/>
  <c r="N127" i="26"/>
  <c r="B127" i="26"/>
  <c r="N126" i="26"/>
  <c r="B126" i="26"/>
  <c r="N125" i="26"/>
  <c r="B125" i="26"/>
  <c r="N124" i="26"/>
  <c r="B124" i="26"/>
  <c r="N123" i="26"/>
  <c r="B123" i="26"/>
  <c r="N122" i="26"/>
  <c r="B122" i="26"/>
  <c r="C122" i="26" s="1"/>
  <c r="N121" i="26"/>
  <c r="B121" i="26"/>
  <c r="N120" i="26"/>
  <c r="O120" i="26" s="1"/>
  <c r="B120" i="26"/>
  <c r="C120" i="26" s="1"/>
  <c r="N119" i="26"/>
  <c r="B119" i="26"/>
  <c r="N118" i="26"/>
  <c r="B118" i="26"/>
  <c r="N117" i="26"/>
  <c r="B117" i="26"/>
  <c r="N116" i="26"/>
  <c r="B116" i="26"/>
  <c r="N115" i="26"/>
  <c r="B115" i="26"/>
  <c r="N114" i="26"/>
  <c r="B114" i="26"/>
  <c r="C114" i="26" s="1"/>
  <c r="N113" i="26"/>
  <c r="B113" i="26"/>
  <c r="N112" i="26"/>
  <c r="O112" i="26" s="1"/>
  <c r="B112" i="26"/>
  <c r="C112" i="26" s="1"/>
  <c r="N111" i="26"/>
  <c r="B111" i="26"/>
  <c r="N110" i="26"/>
  <c r="B110" i="26"/>
  <c r="N109" i="26"/>
  <c r="B109" i="26"/>
  <c r="N108" i="26"/>
  <c r="O108" i="26" s="1"/>
  <c r="B108" i="26"/>
  <c r="N107" i="26"/>
  <c r="B107" i="26"/>
  <c r="N106" i="26"/>
  <c r="B106" i="26"/>
  <c r="C106" i="26" s="1"/>
  <c r="N105" i="26"/>
  <c r="B105" i="26"/>
  <c r="N104" i="26"/>
  <c r="O104" i="26" s="1"/>
  <c r="B104" i="26"/>
  <c r="C104" i="26" s="1"/>
  <c r="N103" i="26"/>
  <c r="B103" i="26"/>
  <c r="N102" i="26"/>
  <c r="B102" i="26"/>
  <c r="C102" i="26" s="1"/>
  <c r="N101" i="26"/>
  <c r="B101" i="26"/>
  <c r="N100" i="26"/>
  <c r="O100" i="26" s="1"/>
  <c r="B100" i="26"/>
  <c r="N99" i="26"/>
  <c r="B99" i="26"/>
  <c r="N98" i="26"/>
  <c r="B98" i="26"/>
  <c r="C98" i="26" s="1"/>
  <c r="N97" i="26"/>
  <c r="B97" i="26"/>
  <c r="N96" i="26"/>
  <c r="O96" i="26" s="1"/>
  <c r="B96" i="26"/>
  <c r="N95" i="26"/>
  <c r="B95" i="26"/>
  <c r="N94" i="26"/>
  <c r="B94" i="26"/>
  <c r="C94" i="26" s="1"/>
  <c r="N93" i="26"/>
  <c r="B93" i="26"/>
  <c r="N92" i="26"/>
  <c r="O92" i="26" s="1"/>
  <c r="B92" i="26"/>
  <c r="N91" i="26"/>
  <c r="B91" i="26"/>
  <c r="N90" i="26"/>
  <c r="B90" i="26"/>
  <c r="C90" i="26" s="1"/>
  <c r="N89" i="26"/>
  <c r="B89" i="26"/>
  <c r="N88" i="26"/>
  <c r="O88" i="26" s="1"/>
  <c r="B88" i="26"/>
  <c r="N87" i="26"/>
  <c r="B87" i="26"/>
  <c r="N86" i="26"/>
  <c r="B86" i="26"/>
  <c r="C86" i="26" s="1"/>
  <c r="N85" i="26"/>
  <c r="B85" i="26"/>
  <c r="N84" i="26"/>
  <c r="O84" i="26" s="1"/>
  <c r="B84" i="26"/>
  <c r="N83" i="26"/>
  <c r="B83" i="26"/>
  <c r="N82" i="26"/>
  <c r="B82" i="26"/>
  <c r="C82" i="26" s="1"/>
  <c r="N81" i="26"/>
  <c r="B81" i="26"/>
  <c r="N80" i="26"/>
  <c r="O80" i="26" s="1"/>
  <c r="B80" i="26"/>
  <c r="N79" i="26"/>
  <c r="B79" i="26"/>
  <c r="N78" i="26"/>
  <c r="B78" i="26"/>
  <c r="C78" i="26" s="1"/>
  <c r="N77" i="26"/>
  <c r="B77" i="26"/>
  <c r="N76" i="26"/>
  <c r="O76" i="26" s="1"/>
  <c r="B76" i="26"/>
  <c r="N75" i="26"/>
  <c r="B75" i="26"/>
  <c r="N74" i="26"/>
  <c r="B74" i="26"/>
  <c r="C74" i="26" s="1"/>
  <c r="N73" i="26"/>
  <c r="B73" i="26"/>
  <c r="N72" i="26"/>
  <c r="O72" i="26" s="1"/>
  <c r="B72" i="26"/>
  <c r="N71" i="26"/>
  <c r="B71" i="26"/>
  <c r="N70" i="26"/>
  <c r="B70" i="26"/>
  <c r="C70" i="26" s="1"/>
  <c r="N69" i="26"/>
  <c r="B69" i="26"/>
  <c r="N68" i="26"/>
  <c r="O68" i="26" s="1"/>
  <c r="B68" i="26"/>
  <c r="N67" i="26"/>
  <c r="B67" i="26"/>
  <c r="N66" i="26"/>
  <c r="B66" i="26"/>
  <c r="C66" i="26" s="1"/>
  <c r="N65" i="26"/>
  <c r="B65" i="26"/>
  <c r="N64" i="26"/>
  <c r="O64" i="26" s="1"/>
  <c r="B64" i="26"/>
  <c r="N63" i="26"/>
  <c r="B63" i="26"/>
  <c r="N62" i="26"/>
  <c r="B62" i="26"/>
  <c r="N61" i="26"/>
  <c r="B61" i="26"/>
  <c r="N60" i="26"/>
  <c r="O60" i="26" s="1"/>
  <c r="B60" i="26"/>
  <c r="N59" i="26"/>
  <c r="B59" i="26"/>
  <c r="N58" i="26"/>
  <c r="O58" i="26" s="1"/>
  <c r="B58" i="26"/>
  <c r="N57" i="26"/>
  <c r="B57" i="26"/>
  <c r="C57" i="26" s="1"/>
  <c r="N56" i="26"/>
  <c r="B56" i="26"/>
  <c r="N55" i="26"/>
  <c r="B55" i="26"/>
  <c r="C55" i="26" s="1"/>
  <c r="N54" i="26"/>
  <c r="B54" i="26"/>
  <c r="N53" i="26"/>
  <c r="B53" i="26"/>
  <c r="N52" i="26"/>
  <c r="B52" i="26"/>
  <c r="N51" i="26"/>
  <c r="B51" i="26"/>
  <c r="N50" i="26"/>
  <c r="B50" i="26"/>
  <c r="N49" i="26"/>
  <c r="B49" i="26"/>
  <c r="V48" i="26"/>
  <c r="S48" i="26"/>
  <c r="N48" i="26"/>
  <c r="O48" i="26" s="1"/>
  <c r="J48" i="26"/>
  <c r="G48" i="26"/>
  <c r="B48" i="26"/>
  <c r="V47" i="26"/>
  <c r="S47" i="26"/>
  <c r="N47" i="26"/>
  <c r="J47" i="26"/>
  <c r="G47" i="26"/>
  <c r="B47" i="26"/>
  <c r="V46" i="26"/>
  <c r="S46" i="26"/>
  <c r="N46" i="26"/>
  <c r="J46" i="26"/>
  <c r="G46" i="26"/>
  <c r="B46" i="26"/>
  <c r="V45" i="26"/>
  <c r="S45" i="26"/>
  <c r="N45" i="26"/>
  <c r="J45" i="26"/>
  <c r="G45" i="26"/>
  <c r="B45" i="26"/>
  <c r="V44" i="26"/>
  <c r="S44" i="26"/>
  <c r="N44" i="26"/>
  <c r="J44" i="26"/>
  <c r="G44" i="26"/>
  <c r="B44" i="26"/>
  <c r="V43" i="26"/>
  <c r="S43" i="26"/>
  <c r="N43" i="26"/>
  <c r="J43" i="26"/>
  <c r="G43" i="26"/>
  <c r="K43" i="26" s="1"/>
  <c r="B43" i="26"/>
  <c r="C43" i="26" s="1"/>
  <c r="V42" i="26"/>
  <c r="S42" i="26"/>
  <c r="N42" i="26"/>
  <c r="J42" i="26"/>
  <c r="G42" i="26"/>
  <c r="B42" i="26"/>
  <c r="N41" i="26"/>
  <c r="O41" i="26" s="1"/>
  <c r="B41" i="26"/>
  <c r="C41" i="26" s="1"/>
  <c r="N40" i="26"/>
  <c r="B40" i="26"/>
  <c r="N39" i="26"/>
  <c r="B39" i="26"/>
  <c r="N38" i="26"/>
  <c r="B38" i="26"/>
  <c r="N37" i="26"/>
  <c r="B37" i="26"/>
  <c r="N36" i="26"/>
  <c r="B36" i="26"/>
  <c r="N35" i="26"/>
  <c r="B35" i="26"/>
  <c r="CT335" i="24"/>
  <c r="CH335" i="24"/>
  <c r="BV335" i="24"/>
  <c r="BJ335" i="24"/>
  <c r="AX335" i="24"/>
  <c r="AL335" i="24"/>
  <c r="Z335" i="24"/>
  <c r="N335" i="24"/>
  <c r="B335" i="24"/>
  <c r="CT334" i="24"/>
  <c r="CU334" i="24" s="1"/>
  <c r="CH334" i="24"/>
  <c r="BV334" i="24"/>
  <c r="BJ334" i="24"/>
  <c r="AX334" i="24"/>
  <c r="AL334" i="24"/>
  <c r="Z334" i="24"/>
  <c r="AA334" i="24" s="1"/>
  <c r="N334" i="24"/>
  <c r="O334" i="24" s="1"/>
  <c r="B334" i="24"/>
  <c r="C334" i="24" s="1"/>
  <c r="CT333" i="24"/>
  <c r="CH333" i="24"/>
  <c r="CI333" i="24" s="1"/>
  <c r="BV333" i="24"/>
  <c r="BJ333" i="24"/>
  <c r="AX333" i="24"/>
  <c r="AL333" i="24"/>
  <c r="AM333" i="24" s="1"/>
  <c r="Z333" i="24"/>
  <c r="AA333" i="24" s="1"/>
  <c r="N333" i="24"/>
  <c r="O333" i="24" s="1"/>
  <c r="B333" i="24"/>
  <c r="CT332" i="24"/>
  <c r="CU332" i="24" s="1"/>
  <c r="CH332" i="24"/>
  <c r="BV332" i="24"/>
  <c r="BJ332" i="24"/>
  <c r="BK332" i="24" s="1"/>
  <c r="AX332" i="24"/>
  <c r="AY332" i="24" s="1"/>
  <c r="AL332" i="24"/>
  <c r="Z332" i="24"/>
  <c r="N332" i="24"/>
  <c r="O332" i="24" s="1"/>
  <c r="B332" i="24"/>
  <c r="CT331" i="24"/>
  <c r="CH331" i="24"/>
  <c r="BV331" i="24"/>
  <c r="BW331" i="24" s="1"/>
  <c r="BJ331" i="24"/>
  <c r="AX331" i="24"/>
  <c r="AY331" i="24" s="1"/>
  <c r="AL331" i="24"/>
  <c r="AM331" i="24" s="1"/>
  <c r="Z331" i="24"/>
  <c r="AA331" i="24" s="1"/>
  <c r="N331" i="24"/>
  <c r="B331" i="24"/>
  <c r="CT330" i="24"/>
  <c r="CH330" i="24"/>
  <c r="CI330" i="24" s="1"/>
  <c r="BV330" i="24"/>
  <c r="BJ330" i="24"/>
  <c r="BK330" i="24" s="1"/>
  <c r="AX330" i="24"/>
  <c r="AY330" i="24" s="1"/>
  <c r="AL330" i="24"/>
  <c r="AM330" i="24" s="1"/>
  <c r="Z330" i="24"/>
  <c r="AA330" i="24" s="1"/>
  <c r="N330" i="24"/>
  <c r="B330" i="24"/>
  <c r="CT329" i="24"/>
  <c r="CH329" i="24"/>
  <c r="BV329" i="24"/>
  <c r="BW329" i="24" s="1"/>
  <c r="BJ329" i="24"/>
  <c r="BK329" i="24" s="1"/>
  <c r="AX329" i="24"/>
  <c r="AL329" i="24"/>
  <c r="Z329" i="24"/>
  <c r="N329" i="24"/>
  <c r="B329" i="24"/>
  <c r="CT328" i="24"/>
  <c r="CU328" i="24" s="1"/>
  <c r="CH328" i="24"/>
  <c r="BV328" i="24"/>
  <c r="BJ328" i="24"/>
  <c r="BK328" i="24" s="1"/>
  <c r="AX328" i="24"/>
  <c r="AY328" i="24" s="1"/>
  <c r="AL328" i="24"/>
  <c r="Z328" i="24"/>
  <c r="N328" i="24"/>
  <c r="O328" i="24" s="1"/>
  <c r="B328" i="24"/>
  <c r="C328" i="24" s="1"/>
  <c r="CT327" i="24"/>
  <c r="CH327" i="24"/>
  <c r="CI327" i="24" s="1"/>
  <c r="BV327" i="24"/>
  <c r="BW327" i="24" s="1"/>
  <c r="BJ327" i="24"/>
  <c r="BK327" i="24" s="1"/>
  <c r="AX327" i="24"/>
  <c r="AL327" i="24"/>
  <c r="Z327" i="24"/>
  <c r="AA327" i="24" s="1"/>
  <c r="N327" i="24"/>
  <c r="O327" i="24" s="1"/>
  <c r="B327" i="24"/>
  <c r="CT326" i="24"/>
  <c r="CU326" i="24" s="1"/>
  <c r="CH326" i="24"/>
  <c r="CI326" i="24" s="1"/>
  <c r="BW326" i="24"/>
  <c r="BV326" i="24"/>
  <c r="BJ326" i="24"/>
  <c r="AX326" i="24"/>
  <c r="AL326" i="24"/>
  <c r="AM326" i="24" s="1"/>
  <c r="Z326" i="24"/>
  <c r="N326" i="24"/>
  <c r="B326" i="24"/>
  <c r="C326" i="24" s="1"/>
  <c r="CT325" i="24"/>
  <c r="CU325" i="24" s="1"/>
  <c r="CH325" i="24"/>
  <c r="BV325" i="24"/>
  <c r="BJ325" i="24"/>
  <c r="AX325" i="24"/>
  <c r="AL325" i="24"/>
  <c r="AM325" i="24" s="1"/>
  <c r="Z325" i="24"/>
  <c r="AA325" i="24" s="1"/>
  <c r="N325" i="24"/>
  <c r="O325" i="24" s="1"/>
  <c r="B325" i="24"/>
  <c r="CT324" i="24"/>
  <c r="CU324" i="24" s="1"/>
  <c r="CH324" i="24"/>
  <c r="BV324" i="24"/>
  <c r="BJ324" i="24"/>
  <c r="AX324" i="24"/>
  <c r="AY324" i="24" s="1"/>
  <c r="AL324" i="24"/>
  <c r="AM324" i="24" s="1"/>
  <c r="Z324" i="24"/>
  <c r="N324" i="24"/>
  <c r="O324" i="24" s="1"/>
  <c r="B324" i="24"/>
  <c r="C324" i="24" s="1"/>
  <c r="CT323" i="24"/>
  <c r="CH323" i="24"/>
  <c r="BV323" i="24"/>
  <c r="BW323" i="24" s="1"/>
  <c r="BJ323" i="24"/>
  <c r="BK323" i="24" s="1"/>
  <c r="AX323" i="24"/>
  <c r="AY323" i="24" s="1"/>
  <c r="AL323" i="24"/>
  <c r="Z323" i="24"/>
  <c r="AA323" i="24" s="1"/>
  <c r="N323" i="24"/>
  <c r="O323" i="24" s="1"/>
  <c r="B323" i="24"/>
  <c r="CT322" i="24"/>
  <c r="CH322" i="24"/>
  <c r="CI322" i="24" s="1"/>
  <c r="BV322" i="24"/>
  <c r="BW322" i="24" s="1"/>
  <c r="BJ322" i="24"/>
  <c r="AX322" i="24"/>
  <c r="AY322" i="24" s="1"/>
  <c r="AL322" i="24"/>
  <c r="AM322" i="24" s="1"/>
  <c r="Z322" i="24"/>
  <c r="AA322" i="24" s="1"/>
  <c r="N322" i="24"/>
  <c r="B322" i="24"/>
  <c r="CT321" i="24"/>
  <c r="CU321" i="24" s="1"/>
  <c r="CH321" i="24"/>
  <c r="CI321" i="24" s="1"/>
  <c r="BV321" i="24"/>
  <c r="BJ321" i="24"/>
  <c r="BK321" i="24" s="1"/>
  <c r="AX321" i="24"/>
  <c r="AL321" i="24"/>
  <c r="Z321" i="24"/>
  <c r="N321" i="24"/>
  <c r="B321" i="24"/>
  <c r="CT320" i="24"/>
  <c r="CH320" i="24"/>
  <c r="CI320" i="24" s="1"/>
  <c r="BV320" i="24"/>
  <c r="BW320" i="24" s="1"/>
  <c r="BJ320" i="24"/>
  <c r="AX320" i="24"/>
  <c r="AY320" i="24" s="1"/>
  <c r="AL320" i="24"/>
  <c r="Z320" i="24"/>
  <c r="N320" i="24"/>
  <c r="B320" i="24"/>
  <c r="C320" i="24" s="1"/>
  <c r="CT319" i="24"/>
  <c r="CU319" i="24" s="1"/>
  <c r="CH319" i="24"/>
  <c r="CI319" i="24" s="1"/>
  <c r="BV319" i="24"/>
  <c r="BJ319" i="24"/>
  <c r="BK319" i="24" s="1"/>
  <c r="AX319" i="24"/>
  <c r="AL319" i="24"/>
  <c r="Z319" i="24"/>
  <c r="N319" i="24"/>
  <c r="O319" i="24" s="1"/>
  <c r="B319" i="24"/>
  <c r="C319" i="24" s="1"/>
  <c r="CT318" i="24"/>
  <c r="CU318" i="24" s="1"/>
  <c r="CH318" i="24"/>
  <c r="BV318" i="24"/>
  <c r="BW318" i="24" s="1"/>
  <c r="BJ318" i="24"/>
  <c r="AX318" i="24"/>
  <c r="AL318" i="24"/>
  <c r="AM318" i="24" s="1"/>
  <c r="Z318" i="24"/>
  <c r="AA318" i="24" s="1"/>
  <c r="N318" i="24"/>
  <c r="B318" i="24"/>
  <c r="CT317" i="24"/>
  <c r="CU317" i="24" s="1"/>
  <c r="CH317" i="24"/>
  <c r="BV317" i="24"/>
  <c r="BJ317" i="24"/>
  <c r="AX317" i="24"/>
  <c r="AY317" i="24" s="1"/>
  <c r="AL317" i="24"/>
  <c r="Z317" i="24"/>
  <c r="AA317" i="24" s="1"/>
  <c r="N317" i="24"/>
  <c r="O317" i="24" s="1"/>
  <c r="B317" i="24"/>
  <c r="C317" i="24" s="1"/>
  <c r="CT316" i="24"/>
  <c r="CH316" i="24"/>
  <c r="CI316" i="24" s="1"/>
  <c r="BV316" i="24"/>
  <c r="BJ316" i="24"/>
  <c r="BK316" i="24" s="1"/>
  <c r="AX316" i="24"/>
  <c r="AL316" i="24"/>
  <c r="AM316" i="24" s="1"/>
  <c r="Z316" i="24"/>
  <c r="O316" i="24"/>
  <c r="N316" i="24"/>
  <c r="B316" i="24"/>
  <c r="CT315" i="24"/>
  <c r="CH315" i="24"/>
  <c r="CI315" i="24" s="1"/>
  <c r="BV315" i="24"/>
  <c r="BJ315" i="24"/>
  <c r="AX315" i="24"/>
  <c r="AY315" i="24" s="1"/>
  <c r="AL315" i="24"/>
  <c r="AM315" i="24" s="1"/>
  <c r="Z315" i="24"/>
  <c r="N315" i="24"/>
  <c r="O315" i="24" s="1"/>
  <c r="B315" i="24"/>
  <c r="C315" i="24" s="1"/>
  <c r="CT314" i="24"/>
  <c r="CH314" i="24"/>
  <c r="CI314" i="24" s="1"/>
  <c r="BV314" i="24"/>
  <c r="BW314" i="24" s="1"/>
  <c r="BJ314" i="24"/>
  <c r="AX314" i="24"/>
  <c r="AL314" i="24"/>
  <c r="Z314" i="24"/>
  <c r="AA314" i="24" s="1"/>
  <c r="N314" i="24"/>
  <c r="B314" i="24"/>
  <c r="CT313" i="24"/>
  <c r="CH313" i="24"/>
  <c r="BV313" i="24"/>
  <c r="BJ313" i="24"/>
  <c r="AX313" i="24"/>
  <c r="AY313" i="24" s="1"/>
  <c r="AL313" i="24"/>
  <c r="AM313" i="24" s="1"/>
  <c r="Z313" i="24"/>
  <c r="N313" i="24"/>
  <c r="B313" i="24"/>
  <c r="C313" i="24" s="1"/>
  <c r="CT312" i="24"/>
  <c r="CH312" i="24"/>
  <c r="BV312" i="24"/>
  <c r="BJ312" i="24"/>
  <c r="BK312" i="24" s="1"/>
  <c r="AX312" i="24"/>
  <c r="AL312" i="24"/>
  <c r="Z312" i="24"/>
  <c r="N312" i="24"/>
  <c r="O312" i="24" s="1"/>
  <c r="B312" i="24"/>
  <c r="CT311" i="24"/>
  <c r="CH311" i="24"/>
  <c r="BV311" i="24"/>
  <c r="BJ311" i="24"/>
  <c r="AX311" i="24"/>
  <c r="AL311" i="24"/>
  <c r="Z311" i="24"/>
  <c r="N311" i="24"/>
  <c r="B311" i="24"/>
  <c r="C311" i="24" s="1"/>
  <c r="CT310" i="24"/>
  <c r="CH310" i="24"/>
  <c r="BV310" i="24"/>
  <c r="BJ310" i="24"/>
  <c r="BK310" i="24" s="1"/>
  <c r="AX310" i="24"/>
  <c r="AL310" i="24"/>
  <c r="AM310" i="24" s="1"/>
  <c r="Z310" i="24"/>
  <c r="N310" i="24"/>
  <c r="B310" i="24"/>
  <c r="CT309" i="24"/>
  <c r="CH309" i="24"/>
  <c r="BV309" i="24"/>
  <c r="BJ309" i="24"/>
  <c r="AX309" i="24"/>
  <c r="AY309" i="24" s="1"/>
  <c r="AL309" i="24"/>
  <c r="Z309" i="24"/>
  <c r="AA309" i="24" s="1"/>
  <c r="N309" i="24"/>
  <c r="B309" i="24"/>
  <c r="CT308" i="24"/>
  <c r="CH308" i="24"/>
  <c r="CI308" i="24" s="1"/>
  <c r="BV308" i="24"/>
  <c r="BJ308" i="24"/>
  <c r="AX308" i="24"/>
  <c r="AL308" i="24"/>
  <c r="Z308" i="24"/>
  <c r="N308" i="24"/>
  <c r="O307" i="24" s="1"/>
  <c r="B308" i="24"/>
  <c r="CT307" i="24"/>
  <c r="CH307" i="24"/>
  <c r="BV307" i="24"/>
  <c r="BW307" i="24" s="1"/>
  <c r="BJ307" i="24"/>
  <c r="AY307" i="24"/>
  <c r="AX307" i="24"/>
  <c r="AL307" i="24"/>
  <c r="Z307" i="24"/>
  <c r="N307" i="24"/>
  <c r="B307" i="24"/>
  <c r="CT306" i="24"/>
  <c r="CH306" i="24"/>
  <c r="CI306" i="24" s="1"/>
  <c r="BV306" i="24"/>
  <c r="BJ306" i="24"/>
  <c r="AX306" i="24"/>
  <c r="AY306" i="24" s="1"/>
  <c r="AL306" i="24"/>
  <c r="Z306" i="24"/>
  <c r="N306" i="24"/>
  <c r="O306" i="24" s="1"/>
  <c r="B306" i="24"/>
  <c r="CT305" i="24"/>
  <c r="CH305" i="24"/>
  <c r="BV305" i="24"/>
  <c r="BW305" i="24" s="1"/>
  <c r="BJ305" i="24"/>
  <c r="BK305" i="24" s="1"/>
  <c r="AX305" i="24"/>
  <c r="AL305" i="24"/>
  <c r="Z305" i="24"/>
  <c r="AA305" i="24" s="1"/>
  <c r="N305" i="24"/>
  <c r="O305" i="24" s="1"/>
  <c r="B305" i="24"/>
  <c r="CT304" i="24"/>
  <c r="CH304" i="24"/>
  <c r="BV304" i="24"/>
  <c r="BJ304" i="24"/>
  <c r="BK304" i="24" s="1"/>
  <c r="AX304" i="24"/>
  <c r="AL304" i="24"/>
  <c r="AM304" i="24" s="1"/>
  <c r="Z304" i="24"/>
  <c r="N304" i="24"/>
  <c r="O304" i="24" s="1"/>
  <c r="B304" i="24"/>
  <c r="CT303" i="24"/>
  <c r="CU303" i="24" s="1"/>
  <c r="CH303" i="24"/>
  <c r="BV303" i="24"/>
  <c r="BW303" i="24" s="1"/>
  <c r="BJ303" i="24"/>
  <c r="AX303" i="24"/>
  <c r="AL303" i="24"/>
  <c r="AM303" i="24" s="1"/>
  <c r="Z303" i="24"/>
  <c r="N303" i="24"/>
  <c r="B303" i="24"/>
  <c r="CT302" i="24"/>
  <c r="CU302" i="24" s="1"/>
  <c r="CH302" i="24"/>
  <c r="BV302" i="24"/>
  <c r="BJ302" i="24"/>
  <c r="BK302" i="24" s="1"/>
  <c r="AX302" i="24"/>
  <c r="AY302" i="24" s="1"/>
  <c r="AL302" i="24"/>
  <c r="Z302" i="24"/>
  <c r="N302" i="24"/>
  <c r="O302" i="24" s="1"/>
  <c r="B302" i="24"/>
  <c r="C302" i="24" s="1"/>
  <c r="CT301" i="24"/>
  <c r="CH301" i="24"/>
  <c r="BV301" i="24"/>
  <c r="BJ301" i="24"/>
  <c r="AX301" i="24"/>
  <c r="AL301" i="24"/>
  <c r="Z301" i="24"/>
  <c r="N301" i="24"/>
  <c r="O301" i="24" s="1"/>
  <c r="B301" i="24"/>
  <c r="C301" i="24" s="1"/>
  <c r="CT300" i="24"/>
  <c r="CH300" i="24"/>
  <c r="BV300" i="24"/>
  <c r="BW300" i="24" s="1"/>
  <c r="BJ300" i="24"/>
  <c r="BK300" i="24" s="1"/>
  <c r="AX300" i="24"/>
  <c r="AL300" i="24"/>
  <c r="AM300" i="24" s="1"/>
  <c r="Z300" i="24"/>
  <c r="AA300" i="24" s="1"/>
  <c r="N300" i="24"/>
  <c r="O300" i="24" s="1"/>
  <c r="B300" i="24"/>
  <c r="CT299" i="24"/>
  <c r="CH299" i="24"/>
  <c r="CI299" i="24" s="1"/>
  <c r="BV299" i="24"/>
  <c r="BJ299" i="24"/>
  <c r="AX299" i="24"/>
  <c r="AY299" i="24" s="1"/>
  <c r="AL299" i="24"/>
  <c r="Z299" i="24"/>
  <c r="N299" i="24"/>
  <c r="B299" i="24"/>
  <c r="C299" i="24" s="1"/>
  <c r="CT298" i="24"/>
  <c r="CH298" i="24"/>
  <c r="CI298" i="24" s="1"/>
  <c r="BV298" i="24"/>
  <c r="BJ298" i="24"/>
  <c r="BK298" i="24" s="1"/>
  <c r="AX298" i="24"/>
  <c r="AL298" i="24"/>
  <c r="AM298" i="24" s="1"/>
  <c r="Z298" i="24"/>
  <c r="N298" i="24"/>
  <c r="B298" i="24"/>
  <c r="CT297" i="24"/>
  <c r="CH297" i="24"/>
  <c r="BV297" i="24"/>
  <c r="BJ297" i="24"/>
  <c r="AX297" i="24"/>
  <c r="AY297" i="24" s="1"/>
  <c r="AL297" i="24"/>
  <c r="Z297" i="24"/>
  <c r="N297" i="24"/>
  <c r="O297" i="24" s="1"/>
  <c r="B297" i="24"/>
  <c r="C297" i="24" s="1"/>
  <c r="CT296" i="24"/>
  <c r="CH296" i="24"/>
  <c r="BV296" i="24"/>
  <c r="BW296" i="24" s="1"/>
  <c r="BJ296" i="24"/>
  <c r="AX296" i="24"/>
  <c r="AL296" i="24"/>
  <c r="Z296" i="24"/>
  <c r="AA296" i="24" s="1"/>
  <c r="N296" i="24"/>
  <c r="O296" i="24" s="1"/>
  <c r="B296" i="24"/>
  <c r="CT295" i="24"/>
  <c r="CH295" i="24"/>
  <c r="BV295" i="24"/>
  <c r="BW295" i="24" s="1"/>
  <c r="BJ295" i="24"/>
  <c r="AX295" i="24"/>
  <c r="AL295" i="24"/>
  <c r="Z295" i="24"/>
  <c r="AA295" i="24" s="1"/>
  <c r="N295" i="24"/>
  <c r="B295" i="24"/>
  <c r="CT294" i="24"/>
  <c r="CU294" i="24" s="1"/>
  <c r="CH294" i="24"/>
  <c r="CI294" i="24" s="1"/>
  <c r="BV294" i="24"/>
  <c r="BJ294" i="24"/>
  <c r="AX294" i="24"/>
  <c r="AY294" i="24" s="1"/>
  <c r="AL294" i="24"/>
  <c r="Z294" i="24"/>
  <c r="N294" i="24"/>
  <c r="B294" i="24"/>
  <c r="C294" i="24" s="1"/>
  <c r="CT293" i="24"/>
  <c r="CH293" i="24"/>
  <c r="BV293" i="24"/>
  <c r="BJ293" i="24"/>
  <c r="BK293" i="24" s="1"/>
  <c r="AX293" i="24"/>
  <c r="AL293" i="24"/>
  <c r="Z293" i="24"/>
  <c r="N293" i="24"/>
  <c r="O293" i="24" s="1"/>
  <c r="B293" i="24"/>
  <c r="CT292" i="24"/>
  <c r="CH292" i="24"/>
  <c r="BV292" i="24"/>
  <c r="BW292" i="24" s="1"/>
  <c r="BJ292" i="24"/>
  <c r="BK292" i="24" s="1"/>
  <c r="AX292" i="24"/>
  <c r="AL292" i="24"/>
  <c r="Z292" i="24"/>
  <c r="N292" i="24"/>
  <c r="O292" i="24" s="1"/>
  <c r="B292" i="24"/>
  <c r="CT291" i="24"/>
  <c r="CH291" i="24"/>
  <c r="BV291" i="24"/>
  <c r="BW291" i="24" s="1"/>
  <c r="BJ291" i="24"/>
  <c r="AX291" i="24"/>
  <c r="AL291" i="24"/>
  <c r="AM291" i="24" s="1"/>
  <c r="Z291" i="24"/>
  <c r="AA291" i="24" s="1"/>
  <c r="N291" i="24"/>
  <c r="B291" i="24"/>
  <c r="C291" i="24" s="1"/>
  <c r="CT290" i="24"/>
  <c r="CU290" i="24" s="1"/>
  <c r="CH290" i="24"/>
  <c r="BV290" i="24"/>
  <c r="BJ290" i="24"/>
  <c r="AX290" i="24"/>
  <c r="AY290" i="24" s="1"/>
  <c r="AL290" i="24"/>
  <c r="AM290" i="24" s="1"/>
  <c r="Z290" i="24"/>
  <c r="N290" i="24"/>
  <c r="O290" i="24" s="1"/>
  <c r="B290" i="24"/>
  <c r="C290" i="24" s="1"/>
  <c r="CT289" i="24"/>
  <c r="CU289" i="24" s="1"/>
  <c r="CH289" i="24"/>
  <c r="BV289" i="24"/>
  <c r="BW289" i="24" s="1"/>
  <c r="BJ289" i="24"/>
  <c r="BK289" i="24" s="1"/>
  <c r="AX289" i="24"/>
  <c r="AY289" i="24" s="1"/>
  <c r="AL289" i="24"/>
  <c r="Z289" i="24"/>
  <c r="N289" i="24"/>
  <c r="O289" i="24" s="1"/>
  <c r="B289" i="24"/>
  <c r="CT288" i="24"/>
  <c r="CH288" i="24"/>
  <c r="CI288" i="24" s="1"/>
  <c r="BV288" i="24"/>
  <c r="BW288" i="24" s="1"/>
  <c r="BJ288" i="24"/>
  <c r="AX288" i="24"/>
  <c r="AL288" i="24"/>
  <c r="AM288" i="24" s="1"/>
  <c r="Z288" i="24"/>
  <c r="AA288" i="24" s="1"/>
  <c r="N288" i="24"/>
  <c r="B288" i="24"/>
  <c r="CT287" i="24"/>
  <c r="CU287" i="24" s="1"/>
  <c r="CH287" i="24"/>
  <c r="CI287" i="24" s="1"/>
  <c r="BV287" i="24"/>
  <c r="BJ287" i="24"/>
  <c r="AX287" i="24"/>
  <c r="AY287" i="24" s="1"/>
  <c r="AL287" i="24"/>
  <c r="Z287" i="24"/>
  <c r="N287" i="24"/>
  <c r="B287" i="24"/>
  <c r="CT286" i="24"/>
  <c r="CU286" i="24" s="1"/>
  <c r="CH286" i="24"/>
  <c r="CI286" i="24" s="1"/>
  <c r="BV286" i="24"/>
  <c r="BJ286" i="24"/>
  <c r="AX286" i="24"/>
  <c r="AL286" i="24"/>
  <c r="AM286" i="24" s="1"/>
  <c r="Z286" i="24"/>
  <c r="N286" i="24"/>
  <c r="B286" i="24"/>
  <c r="CT285" i="24"/>
  <c r="CU285" i="24" s="1"/>
  <c r="CH285" i="24"/>
  <c r="BV285" i="24"/>
  <c r="BJ285" i="24"/>
  <c r="BK285" i="24" s="1"/>
  <c r="AX285" i="24"/>
  <c r="AL285" i="24"/>
  <c r="Z285" i="24"/>
  <c r="N285" i="24"/>
  <c r="O285" i="24" s="1"/>
  <c r="B285" i="24"/>
  <c r="CT284" i="24"/>
  <c r="CH284" i="24"/>
  <c r="BV284" i="24"/>
  <c r="BW284" i="24" s="1"/>
  <c r="BJ284" i="24"/>
  <c r="BK284" i="24" s="1"/>
  <c r="AX284" i="24"/>
  <c r="AL284" i="24"/>
  <c r="Z284" i="24"/>
  <c r="AA284" i="24" s="1"/>
  <c r="N284" i="24"/>
  <c r="O284" i="24" s="1"/>
  <c r="B284" i="24"/>
  <c r="CT283" i="24"/>
  <c r="CH283" i="24"/>
  <c r="BV283" i="24"/>
  <c r="BW283" i="24" s="1"/>
  <c r="BJ283" i="24"/>
  <c r="AX283" i="24"/>
  <c r="AL283" i="24"/>
  <c r="Z283" i="24"/>
  <c r="AA283" i="24" s="1"/>
  <c r="N283" i="24"/>
  <c r="B283" i="24"/>
  <c r="CT282" i="24"/>
  <c r="CU282" i="24" s="1"/>
  <c r="CH282" i="24"/>
  <c r="CI282" i="24" s="1"/>
  <c r="BV282" i="24"/>
  <c r="BJ282" i="24"/>
  <c r="AX282" i="24"/>
  <c r="AY282" i="24" s="1"/>
  <c r="AL282" i="24"/>
  <c r="Z282" i="24"/>
  <c r="N282" i="24"/>
  <c r="B282" i="24"/>
  <c r="C282" i="24" s="1"/>
  <c r="CU281" i="24"/>
  <c r="CT281" i="24"/>
  <c r="CH281" i="24"/>
  <c r="BV281" i="24"/>
  <c r="BW281" i="24" s="1"/>
  <c r="BJ281" i="24"/>
  <c r="BK281" i="24" s="1"/>
  <c r="AX281" i="24"/>
  <c r="AL281" i="24"/>
  <c r="Z281" i="24"/>
  <c r="AA281" i="24" s="1"/>
  <c r="N281" i="24"/>
  <c r="O281" i="24" s="1"/>
  <c r="B281" i="24"/>
  <c r="C281" i="24" s="1"/>
  <c r="CT280" i="24"/>
  <c r="CH280" i="24"/>
  <c r="BW280" i="24"/>
  <c r="BV280" i="24"/>
  <c r="BJ280" i="24"/>
  <c r="AX280" i="24"/>
  <c r="AL280" i="24"/>
  <c r="Z280" i="24"/>
  <c r="AA280" i="24" s="1"/>
  <c r="N280" i="24"/>
  <c r="B280" i="24"/>
  <c r="CT279" i="24"/>
  <c r="CH279" i="24"/>
  <c r="CI279" i="24" s="1"/>
  <c r="BV279" i="24"/>
  <c r="BJ279" i="24"/>
  <c r="AX279" i="24"/>
  <c r="AL279" i="24"/>
  <c r="AM279" i="24" s="1"/>
  <c r="Z279" i="24"/>
  <c r="N279" i="24"/>
  <c r="B279" i="24"/>
  <c r="CT278" i="24"/>
  <c r="CU278" i="24" s="1"/>
  <c r="CH278" i="24"/>
  <c r="BV278" i="24"/>
  <c r="BJ278" i="24"/>
  <c r="AX278" i="24"/>
  <c r="AY278" i="24" s="1"/>
  <c r="AL278" i="24"/>
  <c r="Z278" i="24"/>
  <c r="N278" i="24"/>
  <c r="B278" i="24"/>
  <c r="C278" i="24" s="1"/>
  <c r="CT277" i="24"/>
  <c r="CH277" i="24"/>
  <c r="BV277" i="24"/>
  <c r="BJ277" i="24"/>
  <c r="BK277" i="24" s="1"/>
  <c r="AX277" i="24"/>
  <c r="AL277" i="24"/>
  <c r="Z277" i="24"/>
  <c r="O277" i="24"/>
  <c r="N277" i="24"/>
  <c r="B277" i="24"/>
  <c r="C277" i="24" s="1"/>
  <c r="CT276" i="24"/>
  <c r="CH276" i="24"/>
  <c r="BV276" i="24"/>
  <c r="BJ276" i="24"/>
  <c r="AX276" i="24"/>
  <c r="AL276" i="24"/>
  <c r="Z276" i="24"/>
  <c r="N276" i="24"/>
  <c r="O276" i="24" s="1"/>
  <c r="B276" i="24"/>
  <c r="CT275" i="24"/>
  <c r="CH275" i="24"/>
  <c r="BV275" i="24"/>
  <c r="BW275" i="24" s="1"/>
  <c r="BJ275" i="24"/>
  <c r="AX275" i="24"/>
  <c r="AL275" i="24"/>
  <c r="Z275" i="24"/>
  <c r="AA275" i="24" s="1"/>
  <c r="N275" i="24"/>
  <c r="B275" i="24"/>
  <c r="CT274" i="24"/>
  <c r="CH274" i="24"/>
  <c r="CI274" i="24" s="1"/>
  <c r="BV274" i="24"/>
  <c r="BJ274" i="24"/>
  <c r="AX274" i="24"/>
  <c r="AL274" i="24"/>
  <c r="AM274" i="24" s="1"/>
  <c r="Z274" i="24"/>
  <c r="N274" i="24"/>
  <c r="B274" i="24"/>
  <c r="CT273" i="24"/>
  <c r="CU273" i="24" s="1"/>
  <c r="CH273" i="24"/>
  <c r="BV273" i="24"/>
  <c r="BJ273" i="24"/>
  <c r="AX273" i="24"/>
  <c r="AY273" i="24" s="1"/>
  <c r="AL273" i="24"/>
  <c r="Z273" i="24"/>
  <c r="AA273" i="24" s="1"/>
  <c r="N273" i="24"/>
  <c r="B273" i="24"/>
  <c r="C273" i="24" s="1"/>
  <c r="CT272" i="24"/>
  <c r="CH272" i="24"/>
  <c r="BV272" i="24"/>
  <c r="BJ272" i="24"/>
  <c r="BK272" i="24" s="1"/>
  <c r="AX272" i="24"/>
  <c r="AL272" i="24"/>
  <c r="AM272" i="24" s="1"/>
  <c r="Z272" i="24"/>
  <c r="N272" i="24"/>
  <c r="O272" i="24" s="1"/>
  <c r="B272" i="24"/>
  <c r="CT271" i="24"/>
  <c r="CH271" i="24"/>
  <c r="BV271" i="24"/>
  <c r="BW271" i="24" s="1"/>
  <c r="BJ271" i="24"/>
  <c r="AX271" i="24"/>
  <c r="AY271" i="24" s="1"/>
  <c r="AL271" i="24"/>
  <c r="Z271" i="24"/>
  <c r="N271" i="24"/>
  <c r="B271" i="24"/>
  <c r="CT270" i="24"/>
  <c r="CH270" i="24"/>
  <c r="CI270" i="24" s="1"/>
  <c r="BV270" i="24"/>
  <c r="BJ270" i="24"/>
  <c r="BK270" i="24" s="1"/>
  <c r="AX270" i="24"/>
  <c r="AL270" i="24"/>
  <c r="Z270" i="24"/>
  <c r="N270" i="24"/>
  <c r="B270" i="24"/>
  <c r="CT269" i="24"/>
  <c r="CH269" i="24"/>
  <c r="BV269" i="24"/>
  <c r="BW269" i="24" s="1"/>
  <c r="BJ269" i="24"/>
  <c r="AX269" i="24"/>
  <c r="AL269" i="24"/>
  <c r="Z269" i="24"/>
  <c r="N269" i="24"/>
  <c r="B269" i="24"/>
  <c r="CT268" i="24"/>
  <c r="CH268" i="24"/>
  <c r="CI268" i="24" s="1"/>
  <c r="BV268" i="24"/>
  <c r="BJ268" i="24"/>
  <c r="AX268" i="24"/>
  <c r="AL268" i="24"/>
  <c r="Z268" i="24"/>
  <c r="N268" i="24"/>
  <c r="B268" i="24"/>
  <c r="CT267" i="24"/>
  <c r="CU267" i="24" s="1"/>
  <c r="CH267" i="24"/>
  <c r="BV267" i="24"/>
  <c r="BJ267" i="24"/>
  <c r="AX267" i="24"/>
  <c r="AY267" i="24" s="1"/>
  <c r="AL267" i="24"/>
  <c r="Z267" i="24"/>
  <c r="AA267" i="24" s="1"/>
  <c r="N267" i="24"/>
  <c r="B267" i="24"/>
  <c r="C267" i="24" s="1"/>
  <c r="CT266" i="24"/>
  <c r="CH266" i="24"/>
  <c r="BV266" i="24"/>
  <c r="BJ266" i="24"/>
  <c r="AX266" i="24"/>
  <c r="AL266" i="24"/>
  <c r="Z266" i="24"/>
  <c r="N266" i="24"/>
  <c r="O266" i="24" s="1"/>
  <c r="B266" i="24"/>
  <c r="CT265" i="24"/>
  <c r="CH265" i="24"/>
  <c r="BV265" i="24"/>
  <c r="BJ265" i="24"/>
  <c r="AX265" i="24"/>
  <c r="AL265" i="24"/>
  <c r="AM265" i="24" s="1"/>
  <c r="Z265" i="24"/>
  <c r="AA265" i="24" s="1"/>
  <c r="N265" i="24"/>
  <c r="B265" i="24"/>
  <c r="CT264" i="24"/>
  <c r="CU264" i="24" s="1"/>
  <c r="CH264" i="24"/>
  <c r="BV264" i="24"/>
  <c r="BJ264" i="24"/>
  <c r="AX264" i="24"/>
  <c r="AY264" i="24" s="1"/>
  <c r="AL264" i="24"/>
  <c r="Z264" i="24"/>
  <c r="N264" i="24"/>
  <c r="B264" i="24"/>
  <c r="C264" i="24" s="1"/>
  <c r="CT263" i="24"/>
  <c r="CH263" i="24"/>
  <c r="BV263" i="24"/>
  <c r="BK263" i="24"/>
  <c r="BJ263" i="24"/>
  <c r="AX263" i="24"/>
  <c r="AY263" i="24" s="1"/>
  <c r="AL263" i="24"/>
  <c r="Z263" i="24"/>
  <c r="N263" i="24"/>
  <c r="B263" i="24"/>
  <c r="CT262" i="24"/>
  <c r="CH262" i="24"/>
  <c r="BV262" i="24"/>
  <c r="BW262" i="24" s="1"/>
  <c r="BJ262" i="24"/>
  <c r="BK262" i="24" s="1"/>
  <c r="AX262" i="24"/>
  <c r="AL262" i="24"/>
  <c r="Z262" i="24"/>
  <c r="N262" i="24"/>
  <c r="B262" i="24"/>
  <c r="CT261" i="24"/>
  <c r="CH261" i="24"/>
  <c r="BV261" i="24"/>
  <c r="BW261" i="24" s="1"/>
  <c r="BJ261" i="24"/>
  <c r="AX261" i="24"/>
  <c r="AL261" i="24"/>
  <c r="Z261" i="24"/>
  <c r="N261" i="24"/>
  <c r="B261" i="24"/>
  <c r="CT260" i="24"/>
  <c r="CH260" i="24"/>
  <c r="BV260" i="24"/>
  <c r="BJ260" i="24"/>
  <c r="AX260" i="24"/>
  <c r="AL260" i="24"/>
  <c r="Z260" i="24"/>
  <c r="N260" i="24"/>
  <c r="B260" i="24"/>
  <c r="C260" i="24" s="1"/>
  <c r="CT259" i="24"/>
  <c r="CU259" i="24" s="1"/>
  <c r="CH259" i="24"/>
  <c r="BV259" i="24"/>
  <c r="BJ259" i="24"/>
  <c r="AX259" i="24"/>
  <c r="AL259" i="24"/>
  <c r="Z259" i="24"/>
  <c r="N259" i="24"/>
  <c r="B259" i="24"/>
  <c r="C259" i="24" s="1"/>
  <c r="CT258" i="24"/>
  <c r="CH258" i="24"/>
  <c r="BV258" i="24"/>
  <c r="BW258" i="24" s="1"/>
  <c r="BJ258" i="24"/>
  <c r="AX258" i="24"/>
  <c r="AL258" i="24"/>
  <c r="Z258" i="24"/>
  <c r="AA258" i="24" s="1"/>
  <c r="N258" i="24"/>
  <c r="O258" i="24" s="1"/>
  <c r="B258" i="24"/>
  <c r="CT257" i="24"/>
  <c r="CH257" i="24"/>
  <c r="CI257" i="24" s="1"/>
  <c r="BV257" i="24"/>
  <c r="BJ257" i="24"/>
  <c r="AX257" i="24"/>
  <c r="AL257" i="24"/>
  <c r="AM257" i="24" s="1"/>
  <c r="Z257" i="24"/>
  <c r="N257" i="24"/>
  <c r="B257" i="24"/>
  <c r="CT256" i="24"/>
  <c r="CU256" i="24" s="1"/>
  <c r="CH256" i="24"/>
  <c r="BV256" i="24"/>
  <c r="BJ256" i="24"/>
  <c r="AX256" i="24"/>
  <c r="AY256" i="24" s="1"/>
  <c r="AL256" i="24"/>
  <c r="Z256" i="24"/>
  <c r="N256" i="24"/>
  <c r="B256" i="24"/>
  <c r="CT255" i="24"/>
  <c r="CH255" i="24"/>
  <c r="BV255" i="24"/>
  <c r="BJ255" i="24"/>
  <c r="BK255" i="24" s="1"/>
  <c r="AX255" i="24"/>
  <c r="AL255" i="24"/>
  <c r="Z255" i="24"/>
  <c r="N255" i="24"/>
  <c r="O255" i="24" s="1"/>
  <c r="B255" i="24"/>
  <c r="CT254" i="24"/>
  <c r="CH254" i="24"/>
  <c r="BW254" i="24"/>
  <c r="BV254" i="24"/>
  <c r="BJ254" i="24"/>
  <c r="AX254" i="24"/>
  <c r="AL254" i="24"/>
  <c r="Z254" i="24"/>
  <c r="N254" i="24"/>
  <c r="B254" i="24"/>
  <c r="CT253" i="24"/>
  <c r="CH253" i="24"/>
  <c r="BV253" i="24"/>
  <c r="BJ253" i="24"/>
  <c r="AX253" i="24"/>
  <c r="AL253" i="24"/>
  <c r="Z253" i="24"/>
  <c r="N253" i="24"/>
  <c r="B253" i="24"/>
  <c r="CT252" i="24"/>
  <c r="CU252" i="24" s="1"/>
  <c r="CH252" i="24"/>
  <c r="CI252" i="24" s="1"/>
  <c r="BV252" i="24"/>
  <c r="BJ252" i="24"/>
  <c r="AX252" i="24"/>
  <c r="AL252" i="24"/>
  <c r="Z252" i="24"/>
  <c r="N252" i="24"/>
  <c r="B252" i="24"/>
  <c r="CT251" i="24"/>
  <c r="CU251" i="24" s="1"/>
  <c r="CH251" i="24"/>
  <c r="BV251" i="24"/>
  <c r="BJ251" i="24"/>
  <c r="BK251" i="24" s="1"/>
  <c r="AX251" i="24"/>
  <c r="AL251" i="24"/>
  <c r="Z251" i="24"/>
  <c r="N251" i="24"/>
  <c r="O251" i="24" s="1"/>
  <c r="B251" i="24"/>
  <c r="C251" i="24" s="1"/>
  <c r="CT250" i="24"/>
  <c r="CH250" i="24"/>
  <c r="BV250" i="24"/>
  <c r="BW250" i="24" s="1"/>
  <c r="BJ250" i="24"/>
  <c r="AX250" i="24"/>
  <c r="AL250" i="24"/>
  <c r="Z250" i="24"/>
  <c r="AA250" i="24" s="1"/>
  <c r="N250" i="24"/>
  <c r="B250" i="24"/>
  <c r="CT249" i="24"/>
  <c r="CH249" i="24"/>
  <c r="CI249" i="24" s="1"/>
  <c r="BV249" i="24"/>
  <c r="BJ249" i="24"/>
  <c r="AX249" i="24"/>
  <c r="AL249" i="24"/>
  <c r="AM249" i="24" s="1"/>
  <c r="Z249" i="24"/>
  <c r="N249" i="24"/>
  <c r="B249" i="24"/>
  <c r="CT248" i="24"/>
  <c r="CH248" i="24"/>
  <c r="BV248" i="24"/>
  <c r="BJ248" i="24"/>
  <c r="AX248" i="24"/>
  <c r="AY248" i="24" s="1"/>
  <c r="AL248" i="24"/>
  <c r="Z248" i="24"/>
  <c r="N248" i="24"/>
  <c r="B248" i="24"/>
  <c r="C248" i="24" s="1"/>
  <c r="CT247" i="24"/>
  <c r="CH247" i="24"/>
  <c r="BV247" i="24"/>
  <c r="BK247" i="24"/>
  <c r="BJ247" i="24"/>
  <c r="AX247" i="24"/>
  <c r="AL247" i="24"/>
  <c r="Z247" i="24"/>
  <c r="N247" i="24"/>
  <c r="B247" i="24"/>
  <c r="CT246" i="24"/>
  <c r="CH246" i="24"/>
  <c r="BV246" i="24"/>
  <c r="BJ246" i="24"/>
  <c r="AX246" i="24"/>
  <c r="AL246" i="24"/>
  <c r="Z246" i="24"/>
  <c r="N246" i="24"/>
  <c r="B246" i="24"/>
  <c r="CT245" i="24"/>
  <c r="CH245" i="24"/>
  <c r="CI245" i="24" s="1"/>
  <c r="BV245" i="24"/>
  <c r="BW245" i="24" s="1"/>
  <c r="BJ245" i="24"/>
  <c r="AX245" i="24"/>
  <c r="AL245" i="24"/>
  <c r="Z245" i="24"/>
  <c r="AA245" i="24" s="1"/>
  <c r="N245" i="24"/>
  <c r="B245" i="24"/>
  <c r="CT244" i="24"/>
  <c r="CU244" i="24" s="1"/>
  <c r="CH244" i="24"/>
  <c r="CI244" i="24" s="1"/>
  <c r="BV244" i="24"/>
  <c r="BJ244" i="24"/>
  <c r="AX244" i="24"/>
  <c r="AL244" i="24"/>
  <c r="Z244" i="24"/>
  <c r="N244" i="24"/>
  <c r="B244" i="24"/>
  <c r="C244" i="24" s="1"/>
  <c r="CT243" i="24"/>
  <c r="CH243" i="24"/>
  <c r="BV243" i="24"/>
  <c r="BJ243" i="24"/>
  <c r="AX243" i="24"/>
  <c r="AL243" i="24"/>
  <c r="Z243" i="24"/>
  <c r="N243" i="24"/>
  <c r="O243" i="24" s="1"/>
  <c r="B243" i="24"/>
  <c r="CT242" i="24"/>
  <c r="CH242" i="24"/>
  <c r="BV242" i="24"/>
  <c r="BJ242" i="24"/>
  <c r="AX242" i="24"/>
  <c r="AL242" i="24"/>
  <c r="Z242" i="24"/>
  <c r="AA242" i="24" s="1"/>
  <c r="N242" i="24"/>
  <c r="B242" i="24"/>
  <c r="CT241" i="24"/>
  <c r="CH241" i="24"/>
  <c r="BV241" i="24"/>
  <c r="BJ241" i="24"/>
  <c r="AX241" i="24"/>
  <c r="AL241" i="24"/>
  <c r="Z241" i="24"/>
  <c r="N241" i="24"/>
  <c r="B241" i="24"/>
  <c r="CT240" i="24"/>
  <c r="CH240" i="24"/>
  <c r="BV240" i="24"/>
  <c r="BJ240" i="24"/>
  <c r="AX240" i="24"/>
  <c r="AY240" i="24" s="1"/>
  <c r="AL240" i="24"/>
  <c r="Z240" i="24"/>
  <c r="N240" i="24"/>
  <c r="B240" i="24"/>
  <c r="CT239" i="24"/>
  <c r="CH239" i="24"/>
  <c r="BV239" i="24"/>
  <c r="BJ239" i="24"/>
  <c r="BK239" i="24" s="1"/>
  <c r="AX239" i="24"/>
  <c r="AL239" i="24"/>
  <c r="Z239" i="24"/>
  <c r="N239" i="24"/>
  <c r="B239" i="24"/>
  <c r="CT238" i="24"/>
  <c r="CH238" i="24"/>
  <c r="BV238" i="24"/>
  <c r="BW238" i="24" s="1"/>
  <c r="BJ238" i="24"/>
  <c r="AX238" i="24"/>
  <c r="AL238" i="24"/>
  <c r="Z238" i="24"/>
  <c r="N238" i="24"/>
  <c r="B238" i="24"/>
  <c r="CT237" i="24"/>
  <c r="CH237" i="24"/>
  <c r="BV237" i="24"/>
  <c r="BJ237" i="24"/>
  <c r="AX237" i="24"/>
  <c r="AL237" i="24"/>
  <c r="Z237" i="24"/>
  <c r="N237" i="24"/>
  <c r="B237" i="24"/>
  <c r="CT236" i="24"/>
  <c r="CU236" i="24" s="1"/>
  <c r="CH236" i="24"/>
  <c r="BV236" i="24"/>
  <c r="BJ236" i="24"/>
  <c r="AX236" i="24"/>
  <c r="AL236" i="24"/>
  <c r="Z236" i="24"/>
  <c r="N236" i="24"/>
  <c r="C236" i="24"/>
  <c r="B236" i="24"/>
  <c r="CT235" i="24"/>
  <c r="CH235" i="24"/>
  <c r="BV235" i="24"/>
  <c r="BJ235" i="24"/>
  <c r="AX235" i="24"/>
  <c r="AL235" i="24"/>
  <c r="Z235" i="24"/>
  <c r="AA234" i="24" s="1"/>
  <c r="N235" i="24"/>
  <c r="B235" i="24"/>
  <c r="CT234" i="24"/>
  <c r="CH234" i="24"/>
  <c r="BV234" i="24"/>
  <c r="BJ234" i="24"/>
  <c r="AX234" i="24"/>
  <c r="AL234" i="24"/>
  <c r="Z234" i="24"/>
  <c r="N234" i="24"/>
  <c r="B234" i="24"/>
  <c r="CT233" i="24"/>
  <c r="CH233" i="24"/>
  <c r="BV233" i="24"/>
  <c r="BJ233" i="24"/>
  <c r="AX233" i="24"/>
  <c r="AL233" i="24"/>
  <c r="Z233" i="24"/>
  <c r="N233" i="24"/>
  <c r="B233" i="24"/>
  <c r="CT232" i="24"/>
  <c r="CH232" i="24"/>
  <c r="BV232" i="24"/>
  <c r="BJ232" i="24"/>
  <c r="AX232" i="24"/>
  <c r="AL232" i="24"/>
  <c r="Z232" i="24"/>
  <c r="N232" i="24"/>
  <c r="B232" i="24"/>
  <c r="CT231" i="24"/>
  <c r="CH231" i="24"/>
  <c r="BV231" i="24"/>
  <c r="BJ231" i="24"/>
  <c r="AX231" i="24"/>
  <c r="AL231" i="24"/>
  <c r="Z231" i="24"/>
  <c r="N231" i="24"/>
  <c r="B231" i="24"/>
  <c r="CT230" i="24"/>
  <c r="CH230" i="24"/>
  <c r="BV230" i="24"/>
  <c r="BJ230" i="24"/>
  <c r="AX230" i="24"/>
  <c r="AL230" i="24"/>
  <c r="Z230" i="24"/>
  <c r="N230" i="24"/>
  <c r="B230" i="24"/>
  <c r="CT229" i="24"/>
  <c r="CH229" i="24"/>
  <c r="BV229" i="24"/>
  <c r="BJ229" i="24"/>
  <c r="AX229" i="24"/>
  <c r="AL229" i="24"/>
  <c r="Z229" i="24"/>
  <c r="N229" i="24"/>
  <c r="B229" i="24"/>
  <c r="CT228" i="24"/>
  <c r="CH228" i="24"/>
  <c r="BV228" i="24"/>
  <c r="BJ228" i="24"/>
  <c r="AX228" i="24"/>
  <c r="AL228" i="24"/>
  <c r="Z228" i="24"/>
  <c r="N228" i="24"/>
  <c r="B228" i="24"/>
  <c r="CT227" i="24"/>
  <c r="CH227" i="24"/>
  <c r="BV227" i="24"/>
  <c r="BJ227" i="24"/>
  <c r="AX227" i="24"/>
  <c r="AL227" i="24"/>
  <c r="Z227" i="24"/>
  <c r="N227" i="24"/>
  <c r="B227" i="24"/>
  <c r="CT226" i="24"/>
  <c r="CH226" i="24"/>
  <c r="BV226" i="24"/>
  <c r="BJ226" i="24"/>
  <c r="AX226" i="24"/>
  <c r="AL226" i="24"/>
  <c r="Z226" i="24"/>
  <c r="N226" i="24"/>
  <c r="B226" i="24"/>
  <c r="CT225" i="24"/>
  <c r="CH225" i="24"/>
  <c r="BV225" i="24"/>
  <c r="BJ225" i="24"/>
  <c r="AX225" i="24"/>
  <c r="AL225" i="24"/>
  <c r="Z225" i="24"/>
  <c r="N225" i="24"/>
  <c r="B225" i="24"/>
  <c r="CT224" i="24"/>
  <c r="CH224" i="24"/>
  <c r="BV224" i="24"/>
  <c r="BJ224" i="24"/>
  <c r="AX224" i="24"/>
  <c r="AL224" i="24"/>
  <c r="Z224" i="24"/>
  <c r="N224" i="24"/>
  <c r="B224" i="24"/>
  <c r="CT223" i="24"/>
  <c r="CH223" i="24"/>
  <c r="BV223" i="24"/>
  <c r="BJ223" i="24"/>
  <c r="AX223" i="24"/>
  <c r="AL223" i="24"/>
  <c r="Z223" i="24"/>
  <c r="N223" i="24"/>
  <c r="B223" i="24"/>
  <c r="CT222" i="24"/>
  <c r="CH222" i="24"/>
  <c r="BV222" i="24"/>
  <c r="BJ222" i="24"/>
  <c r="AX222" i="24"/>
  <c r="AL222" i="24"/>
  <c r="Z222" i="24"/>
  <c r="N222" i="24"/>
  <c r="B222" i="24"/>
  <c r="CT221" i="24"/>
  <c r="CH221" i="24"/>
  <c r="CI221" i="24" s="1"/>
  <c r="BV221" i="24"/>
  <c r="BJ221" i="24"/>
  <c r="AX221" i="24"/>
  <c r="AL221" i="24"/>
  <c r="Z221" i="24"/>
  <c r="N221" i="24"/>
  <c r="B221" i="24"/>
  <c r="CT220" i="24"/>
  <c r="CH220" i="24"/>
  <c r="BV220" i="24"/>
  <c r="BJ220" i="24"/>
  <c r="AX220" i="24"/>
  <c r="AL220" i="24"/>
  <c r="Z220" i="24"/>
  <c r="N220" i="24"/>
  <c r="B220" i="24"/>
  <c r="CT219" i="24"/>
  <c r="CH219" i="24"/>
  <c r="BV219" i="24"/>
  <c r="BJ219" i="24"/>
  <c r="AX219" i="24"/>
  <c r="AL219" i="24"/>
  <c r="Z219" i="24"/>
  <c r="N219" i="24"/>
  <c r="B219" i="24"/>
  <c r="CT218" i="24"/>
  <c r="CH218" i="24"/>
  <c r="BV218" i="24"/>
  <c r="BJ218" i="24"/>
  <c r="AX218" i="24"/>
  <c r="AL218" i="24"/>
  <c r="Z218" i="24"/>
  <c r="AA218" i="24" s="1"/>
  <c r="N218" i="24"/>
  <c r="B218" i="24"/>
  <c r="CT217" i="24"/>
  <c r="CH217" i="24"/>
  <c r="BV217" i="24"/>
  <c r="BJ217" i="24"/>
  <c r="AX217" i="24"/>
  <c r="AL217" i="24"/>
  <c r="AM217" i="24" s="1"/>
  <c r="Z217" i="24"/>
  <c r="N217" i="24"/>
  <c r="B217" i="24"/>
  <c r="CT216" i="24"/>
  <c r="CH216" i="24"/>
  <c r="BV216" i="24"/>
  <c r="BJ216" i="24"/>
  <c r="AX216" i="24"/>
  <c r="AL216" i="24"/>
  <c r="Z216" i="24"/>
  <c r="N216" i="24"/>
  <c r="B216" i="24"/>
  <c r="CT215" i="24"/>
  <c r="CH215" i="24"/>
  <c r="BV215" i="24"/>
  <c r="BJ215" i="24"/>
  <c r="BK215" i="24" s="1"/>
  <c r="AX215" i="24"/>
  <c r="AL215" i="24"/>
  <c r="Z215" i="24"/>
  <c r="N215" i="24"/>
  <c r="B215" i="24"/>
  <c r="CT214" i="24"/>
  <c r="CH214" i="24"/>
  <c r="BV214" i="24"/>
  <c r="BW214" i="24" s="1"/>
  <c r="BJ214" i="24"/>
  <c r="AX214" i="24"/>
  <c r="AL214" i="24"/>
  <c r="Z214" i="24"/>
  <c r="N214" i="24"/>
  <c r="B214" i="24"/>
  <c r="CT213" i="24"/>
  <c r="CH213" i="24"/>
  <c r="CI213" i="24" s="1"/>
  <c r="BV213" i="24"/>
  <c r="BJ213" i="24"/>
  <c r="AX213" i="24"/>
  <c r="AL213" i="24"/>
  <c r="Z213" i="24"/>
  <c r="N213" i="24"/>
  <c r="B213" i="24"/>
  <c r="CT212" i="24"/>
  <c r="CH212" i="24"/>
  <c r="BV212" i="24"/>
  <c r="BJ212" i="24"/>
  <c r="AX212" i="24"/>
  <c r="AL212" i="24"/>
  <c r="Z212" i="24"/>
  <c r="N212" i="24"/>
  <c r="B212" i="24"/>
  <c r="C212" i="24" s="1"/>
  <c r="CT211" i="24"/>
  <c r="CH211" i="24"/>
  <c r="BV211" i="24"/>
  <c r="BJ211" i="24"/>
  <c r="AX211" i="24"/>
  <c r="AL211" i="24"/>
  <c r="Z211" i="24"/>
  <c r="N211" i="24"/>
  <c r="O211" i="24" s="1"/>
  <c r="B211" i="24"/>
  <c r="CT210" i="24"/>
  <c r="CH210" i="24"/>
  <c r="BV210" i="24"/>
  <c r="BJ210" i="24"/>
  <c r="AX210" i="24"/>
  <c r="AL210" i="24"/>
  <c r="Z210" i="24"/>
  <c r="AA210" i="24" s="1"/>
  <c r="N210" i="24"/>
  <c r="B210" i="24"/>
  <c r="CT209" i="24"/>
  <c r="CH209" i="24"/>
  <c r="BV209" i="24"/>
  <c r="BJ209" i="24"/>
  <c r="BK209" i="24" s="1"/>
  <c r="AX209" i="24"/>
  <c r="AL209" i="24"/>
  <c r="Z209" i="24"/>
  <c r="AA209" i="24" s="1"/>
  <c r="N209" i="24"/>
  <c r="B209" i="24"/>
  <c r="CT208" i="24"/>
  <c r="CH208" i="24"/>
  <c r="BW208" i="24"/>
  <c r="BV208" i="24"/>
  <c r="BJ208" i="24"/>
  <c r="AX208" i="24"/>
  <c r="AL208" i="24"/>
  <c r="AM208" i="24" s="1"/>
  <c r="Z208" i="24"/>
  <c r="N208" i="24"/>
  <c r="B208" i="24"/>
  <c r="CT207" i="24"/>
  <c r="CH207" i="24"/>
  <c r="BV207" i="24"/>
  <c r="BW207" i="24" s="1"/>
  <c r="BJ207" i="24"/>
  <c r="AX207" i="24"/>
  <c r="AL207" i="24"/>
  <c r="Z207" i="24"/>
  <c r="N207" i="24"/>
  <c r="B207" i="24"/>
  <c r="CT206" i="24"/>
  <c r="CH206" i="24"/>
  <c r="BV206" i="24"/>
  <c r="BJ206" i="24"/>
  <c r="AX206" i="24"/>
  <c r="AL206" i="24"/>
  <c r="Z206" i="24"/>
  <c r="N206" i="24"/>
  <c r="B206" i="24"/>
  <c r="CT205" i="24"/>
  <c r="CU205" i="24" s="1"/>
  <c r="CH205" i="24"/>
  <c r="BV205" i="24"/>
  <c r="BW205" i="24" s="1"/>
  <c r="BJ205" i="24"/>
  <c r="AX205" i="24"/>
  <c r="AL205" i="24"/>
  <c r="Z205" i="24"/>
  <c r="N205" i="24"/>
  <c r="O205" i="24" s="1"/>
  <c r="B205" i="24"/>
  <c r="C205" i="24" s="1"/>
  <c r="CT204" i="24"/>
  <c r="CH204" i="24"/>
  <c r="BV204" i="24"/>
  <c r="BJ204" i="24"/>
  <c r="AX204" i="24"/>
  <c r="AL204" i="24"/>
  <c r="Z204" i="24"/>
  <c r="N204" i="24"/>
  <c r="O204" i="24" s="1"/>
  <c r="B204" i="24"/>
  <c r="CT203" i="24"/>
  <c r="CH203" i="24"/>
  <c r="BV203" i="24"/>
  <c r="BJ203" i="24"/>
  <c r="AX203" i="24"/>
  <c r="AL203" i="24"/>
  <c r="AM203" i="24" s="1"/>
  <c r="Z203" i="24"/>
  <c r="N203" i="24"/>
  <c r="B203" i="24"/>
  <c r="CT202" i="24"/>
  <c r="CH202" i="24"/>
  <c r="BV202" i="24"/>
  <c r="BJ202" i="24"/>
  <c r="AX202" i="24"/>
  <c r="AY202" i="24" s="1"/>
  <c r="AL202" i="24"/>
  <c r="AM202" i="24" s="1"/>
  <c r="Z202" i="24"/>
  <c r="N202" i="24"/>
  <c r="B202" i="24"/>
  <c r="CT201" i="24"/>
  <c r="CH201" i="24"/>
  <c r="BV201" i="24"/>
  <c r="BJ201" i="24"/>
  <c r="BK201" i="24" s="1"/>
  <c r="AX201" i="24"/>
  <c r="AY201" i="24" s="1"/>
  <c r="AL201" i="24"/>
  <c r="Z201" i="24"/>
  <c r="N201" i="24"/>
  <c r="B201" i="24"/>
  <c r="CT200" i="24"/>
  <c r="CH200" i="24"/>
  <c r="BV200" i="24"/>
  <c r="BJ200" i="24"/>
  <c r="BK200" i="24" s="1"/>
  <c r="AX200" i="24"/>
  <c r="AL200" i="24"/>
  <c r="Z200" i="24"/>
  <c r="N200" i="24"/>
  <c r="B200" i="24"/>
  <c r="CT199" i="24"/>
  <c r="CH199" i="24"/>
  <c r="CI199" i="24" s="1"/>
  <c r="BV199" i="24"/>
  <c r="BJ199" i="24"/>
  <c r="AX199" i="24"/>
  <c r="AL199" i="24"/>
  <c r="Z199" i="24"/>
  <c r="N199" i="24"/>
  <c r="B199" i="24"/>
  <c r="CT198" i="24"/>
  <c r="CU198" i="24" s="1"/>
  <c r="CH198" i="24"/>
  <c r="CI198" i="24" s="1"/>
  <c r="BV198" i="24"/>
  <c r="BJ198" i="24"/>
  <c r="BK198" i="24" s="1"/>
  <c r="AX198" i="24"/>
  <c r="AL198" i="24"/>
  <c r="Z198" i="24"/>
  <c r="N198" i="24"/>
  <c r="C198" i="24"/>
  <c r="B198" i="24"/>
  <c r="CT197" i="24"/>
  <c r="CH197" i="24"/>
  <c r="BV197" i="24"/>
  <c r="BW197" i="24" s="1"/>
  <c r="BJ197" i="24"/>
  <c r="AX197" i="24"/>
  <c r="AL197" i="24"/>
  <c r="Z197" i="24"/>
  <c r="N197" i="24"/>
  <c r="B197" i="24"/>
  <c r="CT196" i="24"/>
  <c r="CH196" i="24"/>
  <c r="BV196" i="24"/>
  <c r="BJ196" i="24"/>
  <c r="AX196" i="24"/>
  <c r="AL196" i="24"/>
  <c r="Z196" i="24"/>
  <c r="N196" i="24"/>
  <c r="B196" i="24"/>
  <c r="CT195" i="24"/>
  <c r="CH195" i="24"/>
  <c r="BV195" i="24"/>
  <c r="BJ195" i="24"/>
  <c r="AX195" i="24"/>
  <c r="AL195" i="24"/>
  <c r="AM195" i="24" s="1"/>
  <c r="Z195" i="24"/>
  <c r="N195" i="24"/>
  <c r="B195" i="24"/>
  <c r="C195" i="24" s="1"/>
  <c r="CT194" i="24"/>
  <c r="CH194" i="24"/>
  <c r="BV194" i="24"/>
  <c r="BJ194" i="24"/>
  <c r="AY194" i="24"/>
  <c r="AX194" i="24"/>
  <c r="AL194" i="24"/>
  <c r="Z194" i="24"/>
  <c r="N194" i="24"/>
  <c r="O194" i="24" s="1"/>
  <c r="B194" i="24"/>
  <c r="CT193" i="24"/>
  <c r="CH193" i="24"/>
  <c r="BV193" i="24"/>
  <c r="BJ193" i="24"/>
  <c r="AX193" i="24"/>
  <c r="AY193" i="24" s="1"/>
  <c r="AL193" i="24"/>
  <c r="Z193" i="24"/>
  <c r="N193" i="24"/>
  <c r="B193" i="24"/>
  <c r="CT192" i="24"/>
  <c r="CH192" i="24"/>
  <c r="BV192" i="24"/>
  <c r="BJ192" i="24"/>
  <c r="AX192" i="24"/>
  <c r="AL192" i="24"/>
  <c r="Z192" i="24"/>
  <c r="N192" i="24"/>
  <c r="B192" i="24"/>
  <c r="CT191" i="24"/>
  <c r="CH191" i="24"/>
  <c r="BV191" i="24"/>
  <c r="BW191" i="24" s="1"/>
  <c r="BJ191" i="24"/>
  <c r="AX191" i="24"/>
  <c r="AY191" i="24" s="1"/>
  <c r="AL191" i="24"/>
  <c r="Z191" i="24"/>
  <c r="N191" i="24"/>
  <c r="B191" i="24"/>
  <c r="CT190" i="24"/>
  <c r="CU190" i="24" s="1"/>
  <c r="CH190" i="24"/>
  <c r="CI190" i="24" s="1"/>
  <c r="BV190" i="24"/>
  <c r="BJ190" i="24"/>
  <c r="AX190" i="24"/>
  <c r="AL190" i="24"/>
  <c r="Z190" i="24"/>
  <c r="N190" i="24"/>
  <c r="B190" i="24"/>
  <c r="CT189" i="24"/>
  <c r="CU189" i="24" s="1"/>
  <c r="CH189" i="24"/>
  <c r="BV189" i="24"/>
  <c r="BJ189" i="24"/>
  <c r="AX189" i="24"/>
  <c r="AL189" i="24"/>
  <c r="Z189" i="24"/>
  <c r="N189" i="24"/>
  <c r="B189" i="24"/>
  <c r="CT188" i="24"/>
  <c r="CH188" i="24"/>
  <c r="BV188" i="24"/>
  <c r="BJ188" i="24"/>
  <c r="AX188" i="24"/>
  <c r="AL188" i="24"/>
  <c r="Z188" i="24"/>
  <c r="AA188" i="24" s="1"/>
  <c r="N188" i="24"/>
  <c r="O188" i="24" s="1"/>
  <c r="B188" i="24"/>
  <c r="CT187" i="24"/>
  <c r="CH187" i="24"/>
  <c r="BV187" i="24"/>
  <c r="BJ187" i="24"/>
  <c r="AX187" i="24"/>
  <c r="AL187" i="24"/>
  <c r="AM187" i="24" s="1"/>
  <c r="Z187" i="24"/>
  <c r="AA187" i="24" s="1"/>
  <c r="N187" i="24"/>
  <c r="B187" i="24"/>
  <c r="CT186" i="24"/>
  <c r="CH186" i="24"/>
  <c r="BV186" i="24"/>
  <c r="BJ186" i="24"/>
  <c r="AX186" i="24"/>
  <c r="AL186" i="24"/>
  <c r="Z186" i="24"/>
  <c r="N186" i="24"/>
  <c r="B186" i="24"/>
  <c r="CT185" i="24"/>
  <c r="CH185" i="24"/>
  <c r="BV185" i="24"/>
  <c r="BJ185" i="24"/>
  <c r="AX185" i="24"/>
  <c r="AL185" i="24"/>
  <c r="Z185" i="24"/>
  <c r="N185" i="24"/>
  <c r="B185" i="24"/>
  <c r="CT184" i="24"/>
  <c r="CH184" i="24"/>
  <c r="BV184" i="24"/>
  <c r="BW184" i="24" s="1"/>
  <c r="BJ184" i="24"/>
  <c r="BK184" i="24" s="1"/>
  <c r="AX184" i="24"/>
  <c r="AL184" i="24"/>
  <c r="AM184" i="24" s="1"/>
  <c r="Z184" i="24"/>
  <c r="N184" i="24"/>
  <c r="B184" i="24"/>
  <c r="CT183" i="24"/>
  <c r="CI183" i="24"/>
  <c r="CH183" i="24"/>
  <c r="BV183" i="24"/>
  <c r="BJ183" i="24"/>
  <c r="AX183" i="24"/>
  <c r="AY183" i="24" s="1"/>
  <c r="AL183" i="24"/>
  <c r="Z183" i="24"/>
  <c r="N183" i="24"/>
  <c r="B183" i="24"/>
  <c r="CT182" i="24"/>
  <c r="CH182" i="24"/>
  <c r="BV182" i="24"/>
  <c r="BJ182" i="24"/>
  <c r="AX182" i="24"/>
  <c r="AL182" i="24"/>
  <c r="Z182" i="24"/>
  <c r="N182" i="24"/>
  <c r="B182" i="24"/>
  <c r="CT181" i="24"/>
  <c r="CH181" i="24"/>
  <c r="BV181" i="24"/>
  <c r="BJ181" i="24"/>
  <c r="AX181" i="24"/>
  <c r="AL181" i="24"/>
  <c r="Z181" i="24"/>
  <c r="N181" i="24"/>
  <c r="O181" i="24" s="1"/>
  <c r="B181" i="24"/>
  <c r="CT180" i="24"/>
  <c r="CH180" i="24"/>
  <c r="CI180" i="24" s="1"/>
  <c r="BV180" i="24"/>
  <c r="BJ180" i="24"/>
  <c r="AX180" i="24"/>
  <c r="AL180" i="24"/>
  <c r="AA180" i="24"/>
  <c r="Z180" i="24"/>
  <c r="N180" i="24"/>
  <c r="B180" i="24"/>
  <c r="CT179" i="24"/>
  <c r="CU179" i="24" s="1"/>
  <c r="CH179" i="24"/>
  <c r="BV179" i="24"/>
  <c r="BJ179" i="24"/>
  <c r="AX179" i="24"/>
  <c r="AL179" i="24"/>
  <c r="Z179" i="24"/>
  <c r="AA179" i="24" s="1"/>
  <c r="N179" i="24"/>
  <c r="B179" i="24"/>
  <c r="CT178" i="24"/>
  <c r="CH178" i="24"/>
  <c r="BV178" i="24"/>
  <c r="BJ178" i="24"/>
  <c r="AX178" i="24"/>
  <c r="AL178" i="24"/>
  <c r="Z178" i="24"/>
  <c r="N178" i="24"/>
  <c r="B178" i="24"/>
  <c r="CT177" i="24"/>
  <c r="CH177" i="24"/>
  <c r="BV177" i="24"/>
  <c r="BJ177" i="24"/>
  <c r="AX177" i="24"/>
  <c r="AY177" i="24" s="1"/>
  <c r="AL177" i="24"/>
  <c r="AM176" i="24" s="1"/>
  <c r="Z177" i="24"/>
  <c r="AA176" i="24" s="1"/>
  <c r="N177" i="24"/>
  <c r="B177" i="24"/>
  <c r="C177" i="24" s="1"/>
  <c r="CT176" i="24"/>
  <c r="CH176" i="24"/>
  <c r="BV176" i="24"/>
  <c r="BJ176" i="24"/>
  <c r="AX176" i="24"/>
  <c r="AL176" i="24"/>
  <c r="Z176" i="24"/>
  <c r="N176" i="24"/>
  <c r="B176" i="24"/>
  <c r="CT175" i="24"/>
  <c r="CH175" i="24"/>
  <c r="BV175" i="24"/>
  <c r="BJ175" i="24"/>
  <c r="AX175" i="24"/>
  <c r="AL175" i="24"/>
  <c r="Z175" i="24"/>
  <c r="AA175" i="24" s="1"/>
  <c r="N175" i="24"/>
  <c r="B175" i="24"/>
  <c r="CT174" i="24"/>
  <c r="CU174" i="24" s="1"/>
  <c r="CI174" i="24"/>
  <c r="CH174" i="24"/>
  <c r="BV174" i="24"/>
  <c r="BJ174" i="24"/>
  <c r="AX174" i="24"/>
  <c r="AY174" i="24" s="1"/>
  <c r="AL174" i="24"/>
  <c r="Z174" i="24"/>
  <c r="N174" i="24"/>
  <c r="C174" i="24"/>
  <c r="B174" i="24"/>
  <c r="CT173" i="24"/>
  <c r="CU173" i="24" s="1"/>
  <c r="CH173" i="24"/>
  <c r="BV173" i="24"/>
  <c r="BJ173" i="24"/>
  <c r="BK173" i="24" s="1"/>
  <c r="AX173" i="24"/>
  <c r="AL173" i="24"/>
  <c r="Z173" i="24"/>
  <c r="N173" i="24"/>
  <c r="O173" i="24" s="1"/>
  <c r="B173" i="24"/>
  <c r="CT172" i="24"/>
  <c r="CH172" i="24"/>
  <c r="CI172" i="24" s="1"/>
  <c r="BW172" i="24"/>
  <c r="BV172" i="24"/>
  <c r="BJ172" i="24"/>
  <c r="AX172" i="24"/>
  <c r="AL172" i="24"/>
  <c r="Z172" i="24"/>
  <c r="N172" i="24"/>
  <c r="B172" i="24"/>
  <c r="CT171" i="24"/>
  <c r="CU171" i="24" s="1"/>
  <c r="CH171" i="24"/>
  <c r="BV171" i="24"/>
  <c r="BW171" i="24" s="1"/>
  <c r="BJ171" i="24"/>
  <c r="AX171" i="24"/>
  <c r="AL171" i="24"/>
  <c r="Z171" i="24"/>
  <c r="AA171" i="24" s="1"/>
  <c r="N171" i="24"/>
  <c r="B171" i="24"/>
  <c r="CT170" i="24"/>
  <c r="CH170" i="24"/>
  <c r="BV170" i="24"/>
  <c r="BJ170" i="24"/>
  <c r="AX170" i="24"/>
  <c r="AY170" i="24" s="1"/>
  <c r="AL170" i="24"/>
  <c r="Z170" i="24"/>
  <c r="N170" i="24"/>
  <c r="O170" i="24" s="1"/>
  <c r="B170" i="24"/>
  <c r="CT169" i="24"/>
  <c r="CU169" i="24" s="1"/>
  <c r="CH169" i="24"/>
  <c r="BV169" i="24"/>
  <c r="BJ169" i="24"/>
  <c r="AX169" i="24"/>
  <c r="AL169" i="24"/>
  <c r="Z169" i="24"/>
  <c r="O169" i="24"/>
  <c r="N169" i="24"/>
  <c r="O168" i="24" s="1"/>
  <c r="B169" i="24"/>
  <c r="CT168" i="24"/>
  <c r="CH168" i="24"/>
  <c r="CI167" i="24" s="1"/>
  <c r="BV168" i="24"/>
  <c r="BJ168" i="24"/>
  <c r="AX168" i="24"/>
  <c r="AL168" i="24"/>
  <c r="AM168" i="24" s="1"/>
  <c r="Z168" i="24"/>
  <c r="N168" i="24"/>
  <c r="B168" i="24"/>
  <c r="CT167" i="24"/>
  <c r="CH167" i="24"/>
  <c r="BV167" i="24"/>
  <c r="BJ167" i="24"/>
  <c r="AX167" i="24"/>
  <c r="AY167" i="24" s="1"/>
  <c r="AL167" i="24"/>
  <c r="Z167" i="24"/>
  <c r="N167" i="24"/>
  <c r="B167" i="24"/>
  <c r="CT166" i="24"/>
  <c r="CH166" i="24"/>
  <c r="BV166" i="24"/>
  <c r="BJ166" i="24"/>
  <c r="BK166" i="24" s="1"/>
  <c r="AX166" i="24"/>
  <c r="AL166" i="24"/>
  <c r="Z166" i="24"/>
  <c r="N166" i="24"/>
  <c r="B166" i="24"/>
  <c r="CT165" i="24"/>
  <c r="CH165" i="24"/>
  <c r="BW165" i="24"/>
  <c r="BV165" i="24"/>
  <c r="BJ165" i="24"/>
  <c r="AX165" i="24"/>
  <c r="AL165" i="24"/>
  <c r="Z165" i="24"/>
  <c r="N165" i="24"/>
  <c r="B165" i="24"/>
  <c r="CT164" i="24"/>
  <c r="CH164" i="24"/>
  <c r="BV164" i="24"/>
  <c r="BW164" i="24" s="1"/>
  <c r="BK164" i="24"/>
  <c r="BJ164" i="24"/>
  <c r="AX164" i="24"/>
  <c r="AL164" i="24"/>
  <c r="Z164" i="24"/>
  <c r="AA164" i="24" s="1"/>
  <c r="N164" i="24"/>
  <c r="O164" i="24" s="1"/>
  <c r="B164" i="24"/>
  <c r="CT163" i="24"/>
  <c r="CU163" i="24" s="1"/>
  <c r="CH163" i="24"/>
  <c r="CI163" i="24" s="1"/>
  <c r="BV163" i="24"/>
  <c r="BJ163" i="24"/>
  <c r="AX163" i="24"/>
  <c r="AL163" i="24"/>
  <c r="AM163" i="24" s="1"/>
  <c r="Z163" i="24"/>
  <c r="N163" i="24"/>
  <c r="B163" i="24"/>
  <c r="CT162" i="24"/>
  <c r="CU162" i="24" s="1"/>
  <c r="CH162" i="24"/>
  <c r="BV162" i="24"/>
  <c r="BJ162" i="24"/>
  <c r="AX162" i="24"/>
  <c r="AY162" i="24" s="1"/>
  <c r="AL162" i="24"/>
  <c r="Z162" i="24"/>
  <c r="N162" i="24"/>
  <c r="O162" i="24" s="1"/>
  <c r="B162" i="24"/>
  <c r="CT161" i="24"/>
  <c r="CH161" i="24"/>
  <c r="BV161" i="24"/>
  <c r="BJ161" i="24"/>
  <c r="BK160" i="24" s="1"/>
  <c r="AX161" i="24"/>
  <c r="AL161" i="24"/>
  <c r="Z161" i="24"/>
  <c r="AA161" i="24" s="1"/>
  <c r="N161" i="24"/>
  <c r="B161" i="24"/>
  <c r="CT160" i="24"/>
  <c r="CH160" i="24"/>
  <c r="CI159" i="24" s="1"/>
  <c r="BV160" i="24"/>
  <c r="BJ160" i="24"/>
  <c r="AX160" i="24"/>
  <c r="AY159" i="24" s="1"/>
  <c r="AL160" i="24"/>
  <c r="AM160" i="24" s="1"/>
  <c r="Z160" i="24"/>
  <c r="N160" i="24"/>
  <c r="B160" i="24"/>
  <c r="CT159" i="24"/>
  <c r="CH159" i="24"/>
  <c r="BV159" i="24"/>
  <c r="BJ159" i="24"/>
  <c r="BK158" i="24" s="1"/>
  <c r="AX159" i="24"/>
  <c r="AL159" i="24"/>
  <c r="Z159" i="24"/>
  <c r="AA159" i="24" s="1"/>
  <c r="N159" i="24"/>
  <c r="B159" i="24"/>
  <c r="CT158" i="24"/>
  <c r="CH158" i="24"/>
  <c r="CI158" i="24" s="1"/>
  <c r="BV158" i="24"/>
  <c r="BJ158" i="24"/>
  <c r="AX158" i="24"/>
  <c r="AY157" i="24" s="1"/>
  <c r="AL158" i="24"/>
  <c r="Z158" i="24"/>
  <c r="N158" i="24"/>
  <c r="B158" i="24"/>
  <c r="C158" i="24" s="1"/>
  <c r="CT157" i="24"/>
  <c r="CH157" i="24"/>
  <c r="BV157" i="24"/>
  <c r="BW157" i="24" s="1"/>
  <c r="BJ157" i="24"/>
  <c r="BK157" i="24" s="1"/>
  <c r="AX157" i="24"/>
  <c r="AL157" i="24"/>
  <c r="Z157" i="24"/>
  <c r="N157" i="24"/>
  <c r="B157" i="24"/>
  <c r="CT156" i="24"/>
  <c r="CH156" i="24"/>
  <c r="CI156" i="24" s="1"/>
  <c r="BV156" i="24"/>
  <c r="BW156" i="24" s="1"/>
  <c r="BJ156" i="24"/>
  <c r="AX156" i="24"/>
  <c r="AL156" i="24"/>
  <c r="Z156" i="24"/>
  <c r="AA156" i="24" s="1"/>
  <c r="N156" i="24"/>
  <c r="B156" i="24"/>
  <c r="CT155" i="24"/>
  <c r="CU155" i="24" s="1"/>
  <c r="CH155" i="24"/>
  <c r="CI155" i="24" s="1"/>
  <c r="BV155" i="24"/>
  <c r="BJ155" i="24"/>
  <c r="AX155" i="24"/>
  <c r="AL155" i="24"/>
  <c r="AM155" i="24" s="1"/>
  <c r="Z155" i="24"/>
  <c r="N155" i="24"/>
  <c r="B155" i="24"/>
  <c r="C155" i="24" s="1"/>
  <c r="CT154" i="24"/>
  <c r="CH154" i="24"/>
  <c r="BV154" i="24"/>
  <c r="BJ154" i="24"/>
  <c r="AX154" i="24"/>
  <c r="AL154" i="24"/>
  <c r="Z154" i="24"/>
  <c r="N154" i="24"/>
  <c r="B154" i="24"/>
  <c r="CT153" i="24"/>
  <c r="CU153" i="24" s="1"/>
  <c r="CH153" i="24"/>
  <c r="BV153" i="24"/>
  <c r="BJ153" i="24"/>
  <c r="AX153" i="24"/>
  <c r="AL153" i="24"/>
  <c r="Z153" i="24"/>
  <c r="N153" i="24"/>
  <c r="B153" i="24"/>
  <c r="CT152" i="24"/>
  <c r="CH152" i="24"/>
  <c r="BV152" i="24"/>
  <c r="BJ152" i="24"/>
  <c r="AX152" i="24"/>
  <c r="AL152" i="24"/>
  <c r="Z152" i="24"/>
  <c r="N152" i="24"/>
  <c r="O152" i="24" s="1"/>
  <c r="B152" i="24"/>
  <c r="CT151" i="24"/>
  <c r="CH151" i="24"/>
  <c r="BV151" i="24"/>
  <c r="BJ151" i="24"/>
  <c r="AX151" i="24"/>
  <c r="AY151" i="24" s="1"/>
  <c r="AL151" i="24"/>
  <c r="Z151" i="24"/>
  <c r="N151" i="24"/>
  <c r="B151" i="24"/>
  <c r="CT150" i="24"/>
  <c r="CH150" i="24"/>
  <c r="BV150" i="24"/>
  <c r="BJ150" i="24"/>
  <c r="AX150" i="24"/>
  <c r="AL150" i="24"/>
  <c r="AM150" i="24" s="1"/>
  <c r="Z150" i="24"/>
  <c r="N150" i="24"/>
  <c r="B150" i="24"/>
  <c r="CT149" i="24"/>
  <c r="CU149" i="24" s="1"/>
  <c r="CH149" i="24"/>
  <c r="BV149" i="24"/>
  <c r="BW149" i="24" s="1"/>
  <c r="BJ149" i="24"/>
  <c r="AX149" i="24"/>
  <c r="AL149" i="24"/>
  <c r="Z149" i="24"/>
  <c r="N149" i="24"/>
  <c r="B149" i="24"/>
  <c r="CT148" i="24"/>
  <c r="CH148" i="24"/>
  <c r="CI148" i="24" s="1"/>
  <c r="BV148" i="24"/>
  <c r="BJ148" i="24"/>
  <c r="BK148" i="24" s="1"/>
  <c r="AX148" i="24"/>
  <c r="AL148" i="24"/>
  <c r="Z148" i="24"/>
  <c r="N148" i="24"/>
  <c r="O148" i="24" s="1"/>
  <c r="B148" i="24"/>
  <c r="CT147" i="24"/>
  <c r="CH147" i="24"/>
  <c r="BV147" i="24"/>
  <c r="BJ147" i="24"/>
  <c r="AX147" i="24"/>
  <c r="AL147" i="24"/>
  <c r="Z147" i="24"/>
  <c r="N147" i="24"/>
  <c r="B147" i="24"/>
  <c r="CT146" i="24"/>
  <c r="CH146" i="24"/>
  <c r="CI146" i="24" s="1"/>
  <c r="BV146" i="24"/>
  <c r="BJ146" i="24"/>
  <c r="AX146" i="24"/>
  <c r="AL146" i="24"/>
  <c r="AM146" i="24" s="1"/>
  <c r="Z146" i="24"/>
  <c r="N146" i="24"/>
  <c r="B146" i="24"/>
  <c r="CT145" i="24"/>
  <c r="CH145" i="24"/>
  <c r="BV145" i="24"/>
  <c r="BJ145" i="24"/>
  <c r="BK145" i="24" s="1"/>
  <c r="AX145" i="24"/>
  <c r="AL145" i="24"/>
  <c r="Z145" i="24"/>
  <c r="N145" i="24"/>
  <c r="B145" i="24"/>
  <c r="C145" i="24" s="1"/>
  <c r="CT144" i="24"/>
  <c r="CH144" i="24"/>
  <c r="BV144" i="24"/>
  <c r="BJ144" i="24"/>
  <c r="AX144" i="24"/>
  <c r="AL144" i="24"/>
  <c r="AM144" i="24" s="1"/>
  <c r="Z144" i="24"/>
  <c r="N144" i="24"/>
  <c r="B144" i="24"/>
  <c r="CT143" i="24"/>
  <c r="CH143" i="24"/>
  <c r="BV143" i="24"/>
  <c r="BJ143" i="24"/>
  <c r="AX143" i="24"/>
  <c r="AY143" i="24" s="1"/>
  <c r="AL143" i="24"/>
  <c r="AM143" i="24" s="1"/>
  <c r="Z143" i="24"/>
  <c r="AA143" i="24" s="1"/>
  <c r="N143" i="24"/>
  <c r="B143" i="24"/>
  <c r="CT142" i="24"/>
  <c r="CU142" i="24" s="1"/>
  <c r="CH142" i="24"/>
  <c r="CI142" i="24" s="1"/>
  <c r="BV142" i="24"/>
  <c r="BJ142" i="24"/>
  <c r="BK142" i="24" s="1"/>
  <c r="AX142" i="24"/>
  <c r="AY142" i="24" s="1"/>
  <c r="AL142" i="24"/>
  <c r="Z142" i="24"/>
  <c r="N142" i="24"/>
  <c r="B142" i="24"/>
  <c r="C142" i="24" s="1"/>
  <c r="CT141" i="24"/>
  <c r="CU141" i="24" s="1"/>
  <c r="CH141" i="24"/>
  <c r="BV141" i="24"/>
  <c r="BJ141" i="24"/>
  <c r="BK141" i="24" s="1"/>
  <c r="AX141" i="24"/>
  <c r="AL141" i="24"/>
  <c r="Z141" i="24"/>
  <c r="N141" i="24"/>
  <c r="O141" i="24" s="1"/>
  <c r="B141" i="24"/>
  <c r="CT140" i="24"/>
  <c r="CH140" i="24"/>
  <c r="CI140" i="24" s="1"/>
  <c r="BV140" i="24"/>
  <c r="BW140" i="24" s="1"/>
  <c r="BJ140" i="24"/>
  <c r="AX140" i="24"/>
  <c r="AL140" i="24"/>
  <c r="Z140" i="24"/>
  <c r="AA140" i="24" s="1"/>
  <c r="N140" i="24"/>
  <c r="B140" i="24"/>
  <c r="CT139" i="24"/>
  <c r="CH139" i="24"/>
  <c r="BV139" i="24"/>
  <c r="BJ139" i="24"/>
  <c r="AX139" i="24"/>
  <c r="AL139" i="24"/>
  <c r="AM139" i="24" s="1"/>
  <c r="Z139" i="24"/>
  <c r="N139" i="24"/>
  <c r="B139" i="24"/>
  <c r="C139" i="24" s="1"/>
  <c r="CT138" i="24"/>
  <c r="CU138" i="24" s="1"/>
  <c r="CH138" i="24"/>
  <c r="BV138" i="24"/>
  <c r="BJ138" i="24"/>
  <c r="AX138" i="24"/>
  <c r="AY138" i="24" s="1"/>
  <c r="AL138" i="24"/>
  <c r="Z138" i="24"/>
  <c r="N138" i="24"/>
  <c r="B138" i="24"/>
  <c r="CT137" i="24"/>
  <c r="CH137" i="24"/>
  <c r="BV137" i="24"/>
  <c r="BJ137" i="24"/>
  <c r="BK137" i="24" s="1"/>
  <c r="AX137" i="24"/>
  <c r="AL137" i="24"/>
  <c r="Z137" i="24"/>
  <c r="AA137" i="24" s="1"/>
  <c r="N137" i="24"/>
  <c r="O137" i="24" s="1"/>
  <c r="B137" i="24"/>
  <c r="CT136" i="24"/>
  <c r="CH136" i="24"/>
  <c r="BV136" i="24"/>
  <c r="BW136" i="24" s="1"/>
  <c r="BJ136" i="24"/>
  <c r="AX136" i="24"/>
  <c r="AL136" i="24"/>
  <c r="Z136" i="24"/>
  <c r="AA136" i="24" s="1"/>
  <c r="N136" i="24"/>
  <c r="B136" i="24"/>
  <c r="CT135" i="24"/>
  <c r="CH135" i="24"/>
  <c r="CI135" i="24" s="1"/>
  <c r="BV135" i="24"/>
  <c r="BJ135" i="24"/>
  <c r="AX135" i="24"/>
  <c r="AY135" i="24" s="1"/>
  <c r="AL135" i="24"/>
  <c r="AM135" i="24" s="1"/>
  <c r="Z135" i="24"/>
  <c r="N135" i="24"/>
  <c r="B135" i="24"/>
  <c r="CT134" i="24"/>
  <c r="CU134" i="24" s="1"/>
  <c r="CH134" i="24"/>
  <c r="BV134" i="24"/>
  <c r="BJ134" i="24"/>
  <c r="BK133" i="24" s="1"/>
  <c r="AX134" i="24"/>
  <c r="AL134" i="24"/>
  <c r="Z134" i="24"/>
  <c r="N134" i="24"/>
  <c r="B134" i="24"/>
  <c r="CT133" i="24"/>
  <c r="CH133" i="24"/>
  <c r="BV133" i="24"/>
  <c r="BW133" i="24" s="1"/>
  <c r="BJ133" i="24"/>
  <c r="AX133" i="24"/>
  <c r="AL133" i="24"/>
  <c r="Z133" i="24"/>
  <c r="N133" i="24"/>
  <c r="B133" i="24"/>
  <c r="CT132" i="24"/>
  <c r="CH132" i="24"/>
  <c r="CI132" i="24" s="1"/>
  <c r="BV132" i="24"/>
  <c r="BJ132" i="24"/>
  <c r="BK132" i="24" s="1"/>
  <c r="AX132" i="24"/>
  <c r="AL132" i="24"/>
  <c r="Z132" i="24"/>
  <c r="N132" i="24"/>
  <c r="O132" i="24" s="1"/>
  <c r="B132" i="24"/>
  <c r="CT131" i="24"/>
  <c r="CH131" i="24"/>
  <c r="BV131" i="24"/>
  <c r="BJ131" i="24"/>
  <c r="AX131" i="24"/>
  <c r="AL131" i="24"/>
  <c r="AM131" i="24" s="1"/>
  <c r="Z131" i="24"/>
  <c r="N131" i="24"/>
  <c r="O130" i="24" s="1"/>
  <c r="B131" i="24"/>
  <c r="CT130" i="24"/>
  <c r="CH130" i="24"/>
  <c r="CI130" i="24" s="1"/>
  <c r="BV130" i="24"/>
  <c r="BJ130" i="24"/>
  <c r="AX130" i="24"/>
  <c r="AL130" i="24"/>
  <c r="AM130" i="24" s="1"/>
  <c r="Z130" i="24"/>
  <c r="N130" i="24"/>
  <c r="B130" i="24"/>
  <c r="C130" i="24" s="1"/>
  <c r="CT129" i="24"/>
  <c r="CH129" i="24"/>
  <c r="BV129" i="24"/>
  <c r="BJ129" i="24"/>
  <c r="AX129" i="24"/>
  <c r="AL129" i="24"/>
  <c r="Z129" i="24"/>
  <c r="N129" i="24"/>
  <c r="B129" i="24"/>
  <c r="C129" i="24" s="1"/>
  <c r="CT128" i="24"/>
  <c r="CH128" i="24"/>
  <c r="BV128" i="24"/>
  <c r="BW128" i="24" s="1"/>
  <c r="BK128" i="24"/>
  <c r="BJ128" i="24"/>
  <c r="AX128" i="24"/>
  <c r="AL128" i="24"/>
  <c r="AM128" i="24" s="1"/>
  <c r="Z128" i="24"/>
  <c r="AA128" i="24" s="1"/>
  <c r="N128" i="24"/>
  <c r="B128" i="24"/>
  <c r="CT127" i="24"/>
  <c r="CI127" i="24"/>
  <c r="CH127" i="24"/>
  <c r="BV127" i="24"/>
  <c r="BW127" i="24" s="1"/>
  <c r="BJ127" i="24"/>
  <c r="AX127" i="24"/>
  <c r="AY127" i="24" s="1"/>
  <c r="AL127" i="24"/>
  <c r="AM127" i="24" s="1"/>
  <c r="Z127" i="24"/>
  <c r="N127" i="24"/>
  <c r="B127" i="24"/>
  <c r="CT126" i="24"/>
  <c r="CU126" i="24" s="1"/>
  <c r="CH126" i="24"/>
  <c r="BV126" i="24"/>
  <c r="BJ126" i="24"/>
  <c r="BK126" i="24" s="1"/>
  <c r="AX126" i="24"/>
  <c r="AL126" i="24"/>
  <c r="Z126" i="24"/>
  <c r="N126" i="24"/>
  <c r="B126" i="24"/>
  <c r="CT125" i="24"/>
  <c r="CH125" i="24"/>
  <c r="BV125" i="24"/>
  <c r="BJ125" i="24"/>
  <c r="AX125" i="24"/>
  <c r="AY125" i="24" s="1"/>
  <c r="AL125" i="24"/>
  <c r="Z125" i="24"/>
  <c r="N125" i="24"/>
  <c r="B125" i="24"/>
  <c r="C125" i="24" s="1"/>
  <c r="CT124" i="24"/>
  <c r="CH124" i="24"/>
  <c r="CI124" i="24" s="1"/>
  <c r="BV124" i="24"/>
  <c r="BJ124" i="24"/>
  <c r="AX124" i="24"/>
  <c r="AL124" i="24"/>
  <c r="Z124" i="24"/>
  <c r="N124" i="24"/>
  <c r="B124" i="24"/>
  <c r="CT123" i="24"/>
  <c r="CH123" i="24"/>
  <c r="BV123" i="24"/>
  <c r="BJ123" i="24"/>
  <c r="AX123" i="24"/>
  <c r="AL123" i="24"/>
  <c r="Z123" i="24"/>
  <c r="N123" i="24"/>
  <c r="B123" i="24"/>
  <c r="C123" i="24" s="1"/>
  <c r="CT122" i="24"/>
  <c r="CH122" i="24"/>
  <c r="BV122" i="24"/>
  <c r="BJ122" i="24"/>
  <c r="AX122" i="24"/>
  <c r="AL122" i="24"/>
  <c r="Z122" i="24"/>
  <c r="N122" i="24"/>
  <c r="B122" i="24"/>
  <c r="CT121" i="24"/>
  <c r="CU121" i="24" s="1"/>
  <c r="CH121" i="24"/>
  <c r="BV121" i="24"/>
  <c r="BJ121" i="24"/>
  <c r="AX121" i="24"/>
  <c r="AY121" i="24" s="1"/>
  <c r="AL121" i="24"/>
  <c r="Z121" i="24"/>
  <c r="AA121" i="24" s="1"/>
  <c r="N121" i="24"/>
  <c r="B121" i="24"/>
  <c r="CT120" i="24"/>
  <c r="CH120" i="24"/>
  <c r="BV120" i="24"/>
  <c r="BJ120" i="24"/>
  <c r="AX120" i="24"/>
  <c r="AL120" i="24"/>
  <c r="AM120" i="24" s="1"/>
  <c r="Z120" i="24"/>
  <c r="N120" i="24"/>
  <c r="O120" i="24" s="1"/>
  <c r="B120" i="24"/>
  <c r="CT119" i="24"/>
  <c r="CH119" i="24"/>
  <c r="BV119" i="24"/>
  <c r="BW119" i="24" s="1"/>
  <c r="BJ119" i="24"/>
  <c r="AY119" i="24"/>
  <c r="AX119" i="24"/>
  <c r="AL119" i="24"/>
  <c r="Z119" i="24"/>
  <c r="N119" i="24"/>
  <c r="B119" i="24"/>
  <c r="CT118" i="24"/>
  <c r="CH118" i="24"/>
  <c r="BV118" i="24"/>
  <c r="BJ118" i="24"/>
  <c r="AX118" i="24"/>
  <c r="AY118" i="24" s="1"/>
  <c r="AM118" i="24"/>
  <c r="AL118" i="24"/>
  <c r="Z118" i="24"/>
  <c r="N118" i="24"/>
  <c r="B118" i="24"/>
  <c r="CT117" i="24"/>
  <c r="CH117" i="24"/>
  <c r="BV117" i="24"/>
  <c r="BW117" i="24" s="1"/>
  <c r="BJ117" i="24"/>
  <c r="AX117" i="24"/>
  <c r="AL117" i="24"/>
  <c r="Z117" i="24"/>
  <c r="N117" i="24"/>
  <c r="O117" i="24" s="1"/>
  <c r="B117" i="24"/>
  <c r="CT116" i="24"/>
  <c r="CH116" i="24"/>
  <c r="BV116" i="24"/>
  <c r="BJ116" i="24"/>
  <c r="AX116" i="24"/>
  <c r="AL116" i="24"/>
  <c r="Z116" i="24"/>
  <c r="N116" i="24"/>
  <c r="B116" i="24"/>
  <c r="CT115" i="24"/>
  <c r="CU115" i="24" s="1"/>
  <c r="CH115" i="24"/>
  <c r="BV115" i="24"/>
  <c r="BJ115" i="24"/>
  <c r="AX115" i="24"/>
  <c r="AY115" i="24" s="1"/>
  <c r="AL115" i="24"/>
  <c r="AM115" i="24" s="1"/>
  <c r="Z115" i="24"/>
  <c r="N115" i="24"/>
  <c r="B115" i="24"/>
  <c r="CT114" i="24"/>
  <c r="CH114" i="24"/>
  <c r="CI114" i="24" s="1"/>
  <c r="BV114" i="24"/>
  <c r="BJ114" i="24"/>
  <c r="AX114" i="24"/>
  <c r="AY114" i="24" s="1"/>
  <c r="AL114" i="24"/>
  <c r="Z114" i="24"/>
  <c r="N114" i="24"/>
  <c r="B114" i="24"/>
  <c r="C114" i="24" s="1"/>
  <c r="CT113" i="24"/>
  <c r="CH113" i="24"/>
  <c r="BV113" i="24"/>
  <c r="BJ113" i="24"/>
  <c r="AX113" i="24"/>
  <c r="AL113" i="24"/>
  <c r="Z113" i="24"/>
  <c r="N113" i="24"/>
  <c r="O113" i="24" s="1"/>
  <c r="B113" i="24"/>
  <c r="CT112" i="24"/>
  <c r="CH112" i="24"/>
  <c r="BV112" i="24"/>
  <c r="BJ112" i="24"/>
  <c r="AX112" i="24"/>
  <c r="AL112" i="24"/>
  <c r="Z112" i="24"/>
  <c r="N112" i="24"/>
  <c r="B112" i="24"/>
  <c r="CT111" i="24"/>
  <c r="CH111" i="24"/>
  <c r="BV111" i="24"/>
  <c r="BJ111" i="24"/>
  <c r="AX111" i="24"/>
  <c r="AL111" i="24"/>
  <c r="Z111" i="24"/>
  <c r="N111" i="24"/>
  <c r="B111" i="24"/>
  <c r="CT110" i="24"/>
  <c r="CH110" i="24"/>
  <c r="BV110" i="24"/>
  <c r="BJ110" i="24"/>
  <c r="AX110" i="24"/>
  <c r="AL110" i="24"/>
  <c r="Z110" i="24"/>
  <c r="N110" i="24"/>
  <c r="B110" i="24"/>
  <c r="CT109" i="24"/>
  <c r="CH109" i="24"/>
  <c r="BV109" i="24"/>
  <c r="BJ109" i="24"/>
  <c r="AX109" i="24"/>
  <c r="AL109" i="24"/>
  <c r="Z109" i="24"/>
  <c r="N109" i="24"/>
  <c r="B109" i="24"/>
  <c r="CT108" i="24"/>
  <c r="CH108" i="24"/>
  <c r="BV108" i="24"/>
  <c r="BJ108" i="24"/>
  <c r="AX108" i="24"/>
  <c r="AL108" i="24"/>
  <c r="Z108" i="24"/>
  <c r="N108" i="24"/>
  <c r="B108" i="24"/>
  <c r="CT107" i="24"/>
  <c r="CH107" i="24"/>
  <c r="BV107" i="24"/>
  <c r="BJ107" i="24"/>
  <c r="AX107" i="24"/>
  <c r="AL107" i="24"/>
  <c r="AM107" i="24" s="1"/>
  <c r="Z107" i="24"/>
  <c r="N107" i="24"/>
  <c r="B107" i="24"/>
  <c r="CU106" i="24"/>
  <c r="CT106" i="24"/>
  <c r="CH106" i="24"/>
  <c r="BV106" i="24"/>
  <c r="BK106" i="24"/>
  <c r="BJ106" i="24"/>
  <c r="AX106" i="24"/>
  <c r="AY106" i="24" s="1"/>
  <c r="AL106" i="24"/>
  <c r="Z106" i="24"/>
  <c r="N106" i="24"/>
  <c r="B106" i="24"/>
  <c r="C106" i="24" s="1"/>
  <c r="CT105" i="24"/>
  <c r="CH105" i="24"/>
  <c r="BV105" i="24"/>
  <c r="BW105" i="24" s="1"/>
  <c r="BJ105" i="24"/>
  <c r="AX105" i="24"/>
  <c r="AL105" i="24"/>
  <c r="Z105" i="24"/>
  <c r="N105" i="24"/>
  <c r="B105" i="24"/>
  <c r="C105" i="24" s="1"/>
  <c r="CT104" i="24"/>
  <c r="CH104" i="24"/>
  <c r="BV104" i="24"/>
  <c r="BJ104" i="24"/>
  <c r="AX104" i="24"/>
  <c r="AL104" i="24"/>
  <c r="Z104" i="24"/>
  <c r="N104" i="24"/>
  <c r="O104" i="24" s="1"/>
  <c r="B104" i="24"/>
  <c r="CT103" i="24"/>
  <c r="CH103" i="24"/>
  <c r="CI103" i="24" s="1"/>
  <c r="BV103" i="24"/>
  <c r="BJ103" i="24"/>
  <c r="AX103" i="24"/>
  <c r="AL103" i="24"/>
  <c r="AM103" i="24" s="1"/>
  <c r="Z103" i="24"/>
  <c r="N103" i="24"/>
  <c r="B103" i="24"/>
  <c r="C103" i="24" s="1"/>
  <c r="CT102" i="24"/>
  <c r="CU102" i="24" s="1"/>
  <c r="CH102" i="24"/>
  <c r="BV102" i="24"/>
  <c r="BJ102" i="24"/>
  <c r="AX102" i="24"/>
  <c r="AY102" i="24" s="1"/>
  <c r="AL102" i="24"/>
  <c r="Z102" i="24"/>
  <c r="N102" i="24"/>
  <c r="O102" i="24" s="1"/>
  <c r="B102" i="24"/>
  <c r="CT101" i="24"/>
  <c r="CH101" i="24"/>
  <c r="BV101" i="24"/>
  <c r="BJ101" i="24"/>
  <c r="BK101" i="24" s="1"/>
  <c r="AX101" i="24"/>
  <c r="AY101" i="24" s="1"/>
  <c r="AL101" i="24"/>
  <c r="Z101" i="24"/>
  <c r="AA101" i="24" s="1"/>
  <c r="N101" i="24"/>
  <c r="O101" i="24" s="1"/>
  <c r="B101" i="24"/>
  <c r="CT100" i="24"/>
  <c r="CH100" i="24"/>
  <c r="BV100" i="24"/>
  <c r="BW100" i="24" s="1"/>
  <c r="BJ100" i="24"/>
  <c r="BK100" i="24" s="1"/>
  <c r="AX100" i="24"/>
  <c r="AL100" i="24"/>
  <c r="Z100" i="24"/>
  <c r="AA100" i="24" s="1"/>
  <c r="N100" i="24"/>
  <c r="B100" i="24"/>
  <c r="CT99" i="24"/>
  <c r="CI99" i="24"/>
  <c r="CH99" i="24"/>
  <c r="BV99" i="24"/>
  <c r="BJ99" i="24"/>
  <c r="AY99" i="24"/>
  <c r="AX99" i="24"/>
  <c r="AL99" i="24"/>
  <c r="AM99" i="24" s="1"/>
  <c r="Z99" i="24"/>
  <c r="N99" i="24"/>
  <c r="B99" i="24"/>
  <c r="CT98" i="24"/>
  <c r="CU98" i="24" s="1"/>
  <c r="CH98" i="24"/>
  <c r="BV98" i="24"/>
  <c r="BJ98" i="24"/>
  <c r="BK98" i="24" s="1"/>
  <c r="AX98" i="24"/>
  <c r="AL98" i="24"/>
  <c r="Z98" i="24"/>
  <c r="N98" i="24"/>
  <c r="B98" i="24"/>
  <c r="CT97" i="24"/>
  <c r="CU97" i="24" s="1"/>
  <c r="CH97" i="24"/>
  <c r="BV97" i="24"/>
  <c r="BJ97" i="24"/>
  <c r="AX97" i="24"/>
  <c r="AL97" i="24"/>
  <c r="Z97" i="24"/>
  <c r="N97" i="24"/>
  <c r="B97" i="24"/>
  <c r="C97" i="24" s="1"/>
  <c r="CT96" i="24"/>
  <c r="CH96" i="24"/>
  <c r="BV96" i="24"/>
  <c r="BW96" i="24" s="1"/>
  <c r="BJ96" i="24"/>
  <c r="AX96" i="24"/>
  <c r="AL96" i="24"/>
  <c r="Z96" i="24"/>
  <c r="AA96" i="24" s="1"/>
  <c r="N96" i="24"/>
  <c r="B96" i="24"/>
  <c r="CT95" i="24"/>
  <c r="CU95" i="24" s="1"/>
  <c r="CH95" i="24"/>
  <c r="CI95" i="24" s="1"/>
  <c r="BV95" i="24"/>
  <c r="BJ95" i="24"/>
  <c r="AX95" i="24"/>
  <c r="AL95" i="24"/>
  <c r="AM95" i="24" s="1"/>
  <c r="Z95" i="24"/>
  <c r="N95" i="24"/>
  <c r="B95" i="24"/>
  <c r="C95" i="24" s="1"/>
  <c r="CT94" i="24"/>
  <c r="CH94" i="24"/>
  <c r="BV94" i="24"/>
  <c r="BJ94" i="24"/>
  <c r="AX94" i="24"/>
  <c r="AY94" i="24" s="1"/>
  <c r="AL94" i="24"/>
  <c r="AM94" i="24" s="1"/>
  <c r="Z94" i="24"/>
  <c r="N94" i="24"/>
  <c r="O94" i="24" s="1"/>
  <c r="B94" i="24"/>
  <c r="C94" i="24" s="1"/>
  <c r="CT93" i="24"/>
  <c r="CH93" i="24"/>
  <c r="BV93" i="24"/>
  <c r="BJ93" i="24"/>
  <c r="BK93" i="24" s="1"/>
  <c r="AX93" i="24"/>
  <c r="AY93" i="24" s="1"/>
  <c r="AL93" i="24"/>
  <c r="Z93" i="24"/>
  <c r="N93" i="24"/>
  <c r="O93" i="24" s="1"/>
  <c r="B93" i="24"/>
  <c r="CT92" i="24"/>
  <c r="CH92" i="24"/>
  <c r="BW92" i="24"/>
  <c r="BV92" i="24"/>
  <c r="BJ92" i="24"/>
  <c r="AX92" i="24"/>
  <c r="AM92" i="24"/>
  <c r="AL92" i="24"/>
  <c r="Z92" i="24"/>
  <c r="N92" i="24"/>
  <c r="B92" i="24"/>
  <c r="CT91" i="24"/>
  <c r="CH91" i="24"/>
  <c r="CI91" i="24" s="1"/>
  <c r="BV91" i="24"/>
  <c r="BJ91" i="24"/>
  <c r="AX91" i="24"/>
  <c r="AY91" i="24" s="1"/>
  <c r="AL91" i="24"/>
  <c r="Z91" i="24"/>
  <c r="N91" i="24"/>
  <c r="B91" i="24"/>
  <c r="CT90" i="24"/>
  <c r="CH90" i="24"/>
  <c r="BV90" i="24"/>
  <c r="BJ90" i="24"/>
  <c r="AX90" i="24"/>
  <c r="AL90" i="24"/>
  <c r="Z90" i="24"/>
  <c r="N90" i="24"/>
  <c r="B90" i="24"/>
  <c r="CT89" i="24"/>
  <c r="CU89" i="24" s="1"/>
  <c r="CH89" i="24"/>
  <c r="BV89" i="24"/>
  <c r="BJ89" i="24"/>
  <c r="BK89" i="24" s="1"/>
  <c r="AX89" i="24"/>
  <c r="AL89" i="24"/>
  <c r="Z89" i="24"/>
  <c r="N89" i="24"/>
  <c r="O89" i="24" s="1"/>
  <c r="B89" i="24"/>
  <c r="CT88" i="24"/>
  <c r="CH88" i="24"/>
  <c r="CI88" i="24" s="1"/>
  <c r="BV88" i="24"/>
  <c r="BJ88" i="24"/>
  <c r="AX88" i="24"/>
  <c r="AL88" i="24"/>
  <c r="Z88" i="24"/>
  <c r="N88" i="24"/>
  <c r="B88" i="24"/>
  <c r="CT87" i="24"/>
  <c r="CU87" i="24" s="1"/>
  <c r="CH87" i="24"/>
  <c r="BV87" i="24"/>
  <c r="BJ87" i="24"/>
  <c r="AX87" i="24"/>
  <c r="AL87" i="24"/>
  <c r="AM87" i="24" s="1"/>
  <c r="Z87" i="24"/>
  <c r="N87" i="24"/>
  <c r="B87" i="24"/>
  <c r="C87" i="24" s="1"/>
  <c r="CT86" i="24"/>
  <c r="CH86" i="24"/>
  <c r="BV86" i="24"/>
  <c r="BJ86" i="24"/>
  <c r="AX86" i="24"/>
  <c r="AY86" i="24" s="1"/>
  <c r="AL86" i="24"/>
  <c r="AM86" i="24" s="1"/>
  <c r="Z86" i="24"/>
  <c r="N86" i="24"/>
  <c r="B86" i="24"/>
  <c r="C86" i="24" s="1"/>
  <c r="CT85" i="24"/>
  <c r="CH85" i="24"/>
  <c r="BV85" i="24"/>
  <c r="BK85" i="24"/>
  <c r="BJ85" i="24"/>
  <c r="AX85" i="24"/>
  <c r="AL85" i="24"/>
  <c r="AA85" i="24"/>
  <c r="Z85" i="24"/>
  <c r="N85" i="24"/>
  <c r="B85" i="24"/>
  <c r="CT84" i="24"/>
  <c r="CH84" i="24"/>
  <c r="BV84" i="24"/>
  <c r="BJ84" i="24"/>
  <c r="AX84" i="24"/>
  <c r="AL84" i="24"/>
  <c r="AM84" i="24" s="1"/>
  <c r="Z84" i="24"/>
  <c r="N84" i="24"/>
  <c r="B84" i="24"/>
  <c r="CT83" i="24"/>
  <c r="CH83" i="24"/>
  <c r="BV83" i="24"/>
  <c r="BJ83" i="24"/>
  <c r="AX83" i="24"/>
  <c r="AL83" i="24"/>
  <c r="Z83" i="24"/>
  <c r="N83" i="24"/>
  <c r="B83" i="24"/>
  <c r="CT82" i="24"/>
  <c r="CH82" i="24"/>
  <c r="CI82" i="24" s="1"/>
  <c r="BV82" i="24"/>
  <c r="BJ82" i="24"/>
  <c r="AX82" i="24"/>
  <c r="AY82" i="24" s="1"/>
  <c r="AL82" i="24"/>
  <c r="Z82" i="24"/>
  <c r="N82" i="24"/>
  <c r="B82" i="24"/>
  <c r="C82" i="24" s="1"/>
  <c r="CT81" i="24"/>
  <c r="CH81" i="24"/>
  <c r="BV81" i="24"/>
  <c r="BW81" i="24" s="1"/>
  <c r="BJ81" i="24"/>
  <c r="AX81" i="24"/>
  <c r="AL81" i="24"/>
  <c r="Z81" i="24"/>
  <c r="N81" i="24"/>
  <c r="B81" i="24"/>
  <c r="CT80" i="24"/>
  <c r="CH80" i="24"/>
  <c r="CI80" i="24" s="1"/>
  <c r="BV80" i="24"/>
  <c r="BJ80" i="24"/>
  <c r="AX80" i="24"/>
  <c r="AL80" i="24"/>
  <c r="Z80" i="24"/>
  <c r="AA80" i="24" s="1"/>
  <c r="N80" i="24"/>
  <c r="B80" i="24"/>
  <c r="CT79" i="24"/>
  <c r="CU79" i="24" s="1"/>
  <c r="CH79" i="24"/>
  <c r="BV79" i="24"/>
  <c r="BJ79" i="24"/>
  <c r="AX79" i="24"/>
  <c r="AL79" i="24"/>
  <c r="AM79" i="24" s="1"/>
  <c r="Z79" i="24"/>
  <c r="AA79" i="24" s="1"/>
  <c r="N79" i="24"/>
  <c r="B79" i="24"/>
  <c r="CT78" i="24"/>
  <c r="CU78" i="24" s="1"/>
  <c r="CH78" i="24"/>
  <c r="BV78" i="24"/>
  <c r="BJ78" i="24"/>
  <c r="AY78" i="24"/>
  <c r="AX78" i="24"/>
  <c r="AL78" i="24"/>
  <c r="Z78" i="24"/>
  <c r="O78" i="24"/>
  <c r="N78" i="24"/>
  <c r="B78" i="24"/>
  <c r="CT77" i="24"/>
  <c r="CH77" i="24"/>
  <c r="BV77" i="24"/>
  <c r="BJ77" i="24"/>
  <c r="AX77" i="24"/>
  <c r="AL77" i="24"/>
  <c r="Z77" i="24"/>
  <c r="AA77" i="24" s="1"/>
  <c r="N77" i="24"/>
  <c r="B77" i="24"/>
  <c r="CT76" i="24"/>
  <c r="CH76" i="24"/>
  <c r="BV76" i="24"/>
  <c r="BJ76" i="24"/>
  <c r="AX76" i="24"/>
  <c r="AL76" i="24"/>
  <c r="Z76" i="24"/>
  <c r="N76" i="24"/>
  <c r="B76" i="24"/>
  <c r="CT75" i="24"/>
  <c r="CH75" i="24"/>
  <c r="BV75" i="24"/>
  <c r="BW75" i="24" s="1"/>
  <c r="BJ75" i="24"/>
  <c r="AX75" i="24"/>
  <c r="AL75" i="24"/>
  <c r="AM75" i="24" s="1"/>
  <c r="Z75" i="24"/>
  <c r="N75" i="24"/>
  <c r="B75" i="24"/>
  <c r="CT74" i="24"/>
  <c r="CU74" i="24" s="1"/>
  <c r="CH74" i="24"/>
  <c r="BV74" i="24"/>
  <c r="BJ74" i="24"/>
  <c r="BK74" i="24" s="1"/>
  <c r="AX74" i="24"/>
  <c r="AL74" i="24"/>
  <c r="Z74" i="24"/>
  <c r="N74" i="24"/>
  <c r="B74" i="24"/>
  <c r="CT73" i="24"/>
  <c r="CH73" i="24"/>
  <c r="BV73" i="24"/>
  <c r="BW73" i="24" s="1"/>
  <c r="BJ73" i="24"/>
  <c r="AX73" i="24"/>
  <c r="AL73" i="24"/>
  <c r="Z73" i="24"/>
  <c r="N73" i="24"/>
  <c r="O73" i="24" s="1"/>
  <c r="B73" i="24"/>
  <c r="CT72" i="24"/>
  <c r="CH72" i="24"/>
  <c r="CI72" i="24" s="1"/>
  <c r="BV72" i="24"/>
  <c r="BJ72" i="24"/>
  <c r="AX72" i="24"/>
  <c r="AL72" i="24"/>
  <c r="Z72" i="24"/>
  <c r="AA72" i="24" s="1"/>
  <c r="N72" i="24"/>
  <c r="O72" i="24" s="1"/>
  <c r="B72" i="24"/>
  <c r="CT71" i="24"/>
  <c r="CH71" i="24"/>
  <c r="CI71" i="24" s="1"/>
  <c r="BV71" i="24"/>
  <c r="BJ71" i="24"/>
  <c r="AX71" i="24"/>
  <c r="AM71" i="24"/>
  <c r="AL71" i="24"/>
  <c r="Z71" i="24"/>
  <c r="N71" i="24"/>
  <c r="C71" i="24"/>
  <c r="B71" i="24"/>
  <c r="CT70" i="24"/>
  <c r="CH70" i="24"/>
  <c r="BV70" i="24"/>
  <c r="BJ70" i="24"/>
  <c r="AX70" i="24"/>
  <c r="AL70" i="24"/>
  <c r="Z70" i="24"/>
  <c r="N70" i="24"/>
  <c r="O70" i="24" s="1"/>
  <c r="B70" i="24"/>
  <c r="CT69" i="24"/>
  <c r="CH69" i="24"/>
  <c r="BV69" i="24"/>
  <c r="BJ69" i="24"/>
  <c r="AX69" i="24"/>
  <c r="AL69" i="24"/>
  <c r="Z69" i="24"/>
  <c r="N69" i="24"/>
  <c r="B69" i="24"/>
  <c r="CT68" i="24"/>
  <c r="CH68" i="24"/>
  <c r="BV68" i="24"/>
  <c r="BJ68" i="24"/>
  <c r="BK68" i="24" s="1"/>
  <c r="AX68" i="24"/>
  <c r="AL68" i="24"/>
  <c r="Z68" i="24"/>
  <c r="AA68" i="24" s="1"/>
  <c r="N68" i="24"/>
  <c r="B68" i="24"/>
  <c r="CT67" i="24"/>
  <c r="CH67" i="24"/>
  <c r="CI67" i="24" s="1"/>
  <c r="BV67" i="24"/>
  <c r="BJ67" i="24"/>
  <c r="AX67" i="24"/>
  <c r="AY67" i="24" s="1"/>
  <c r="AL67" i="24"/>
  <c r="Z67" i="24"/>
  <c r="N67" i="24"/>
  <c r="B67" i="24"/>
  <c r="CT66" i="24"/>
  <c r="CH66" i="24"/>
  <c r="BV66" i="24"/>
  <c r="BJ66" i="24"/>
  <c r="BK66" i="24" s="1"/>
  <c r="AX66" i="24"/>
  <c r="AL66" i="24"/>
  <c r="Z66" i="24"/>
  <c r="N66" i="24"/>
  <c r="B66" i="24"/>
  <c r="C66" i="24" s="1"/>
  <c r="CT65" i="24"/>
  <c r="CH65" i="24"/>
  <c r="BV65" i="24"/>
  <c r="BJ65" i="24"/>
  <c r="AX65" i="24"/>
  <c r="AL65" i="24"/>
  <c r="Z65" i="24"/>
  <c r="N65" i="24"/>
  <c r="O65" i="24" s="1"/>
  <c r="B65" i="24"/>
  <c r="C65" i="24" s="1"/>
  <c r="CT64" i="24"/>
  <c r="CH64" i="24"/>
  <c r="BV64" i="24"/>
  <c r="BJ64" i="24"/>
  <c r="AX64" i="24"/>
  <c r="AL64" i="24"/>
  <c r="Z64" i="24"/>
  <c r="N64" i="24"/>
  <c r="B64" i="24"/>
  <c r="CT63" i="24"/>
  <c r="CH63" i="24"/>
  <c r="BV63" i="24"/>
  <c r="BJ63" i="24"/>
  <c r="AX63" i="24"/>
  <c r="AL63" i="24"/>
  <c r="Z63" i="24"/>
  <c r="N63" i="24"/>
  <c r="B63" i="24"/>
  <c r="C63" i="24" s="1"/>
  <c r="CT62" i="24"/>
  <c r="CH62" i="24"/>
  <c r="BV62" i="24"/>
  <c r="BJ62" i="24"/>
  <c r="BK62" i="24" s="1"/>
  <c r="AX62" i="24"/>
  <c r="AL62" i="24"/>
  <c r="Z62" i="24"/>
  <c r="N62" i="24"/>
  <c r="O62" i="24" s="1"/>
  <c r="B62" i="24"/>
  <c r="CT61" i="24"/>
  <c r="CH61" i="24"/>
  <c r="BV61" i="24"/>
  <c r="BJ61" i="24"/>
  <c r="AX61" i="24"/>
  <c r="AL61" i="24"/>
  <c r="Z61" i="24"/>
  <c r="N61" i="24"/>
  <c r="B61" i="24"/>
  <c r="CT60" i="24"/>
  <c r="CH60" i="24"/>
  <c r="BV60" i="24"/>
  <c r="BJ60" i="24"/>
  <c r="AX60" i="24"/>
  <c r="AL60" i="24"/>
  <c r="Z60" i="24"/>
  <c r="N60" i="24"/>
  <c r="B60" i="24"/>
  <c r="CT59" i="24"/>
  <c r="CH59" i="24"/>
  <c r="BV59" i="24"/>
  <c r="BJ59" i="24"/>
  <c r="BK59" i="24" s="1"/>
  <c r="AX59" i="24"/>
  <c r="AL59" i="24"/>
  <c r="Z59" i="24"/>
  <c r="N59" i="24"/>
  <c r="O59" i="24" s="1"/>
  <c r="B59" i="24"/>
  <c r="CT58" i="24"/>
  <c r="CH58" i="24"/>
  <c r="BV58" i="24"/>
  <c r="BW58" i="24" s="1"/>
  <c r="BJ58" i="24"/>
  <c r="BK58" i="24" s="1"/>
  <c r="AX58" i="24"/>
  <c r="AL58" i="24"/>
  <c r="Z58" i="24"/>
  <c r="N58" i="24"/>
  <c r="B58" i="24"/>
  <c r="CT57" i="24"/>
  <c r="CH57" i="24"/>
  <c r="CI57" i="24" s="1"/>
  <c r="BV57" i="24"/>
  <c r="BJ57" i="24"/>
  <c r="AX57" i="24"/>
  <c r="AL57" i="24"/>
  <c r="AM57" i="24" s="1"/>
  <c r="Z57" i="24"/>
  <c r="N57" i="24"/>
  <c r="B57" i="24"/>
  <c r="CT56" i="24"/>
  <c r="CU56" i="24" s="1"/>
  <c r="CH56" i="24"/>
  <c r="BV56" i="24"/>
  <c r="BJ56" i="24"/>
  <c r="AX56" i="24"/>
  <c r="AY56" i="24" s="1"/>
  <c r="AL56" i="24"/>
  <c r="Z56" i="24"/>
  <c r="N56" i="24"/>
  <c r="B56" i="24"/>
  <c r="C56" i="24" s="1"/>
  <c r="CT55" i="24"/>
  <c r="CH55" i="24"/>
  <c r="BV55" i="24"/>
  <c r="BJ55" i="24"/>
  <c r="BK55" i="24" s="1"/>
  <c r="AX55" i="24"/>
  <c r="AL55" i="24"/>
  <c r="Z55" i="24"/>
  <c r="N55" i="24"/>
  <c r="O55" i="24" s="1"/>
  <c r="B55" i="24"/>
  <c r="CT54" i="24"/>
  <c r="CH54" i="24"/>
  <c r="BV54" i="24"/>
  <c r="BJ54" i="24"/>
  <c r="AX54" i="24"/>
  <c r="AL54" i="24"/>
  <c r="Z54" i="24"/>
  <c r="AA54" i="24" s="1"/>
  <c r="N54" i="24"/>
  <c r="B54" i="24"/>
  <c r="CT53" i="24"/>
  <c r="CH53" i="24"/>
  <c r="CI53" i="24" s="1"/>
  <c r="BV53" i="24"/>
  <c r="BJ53" i="24"/>
  <c r="AX53" i="24"/>
  <c r="AL53" i="24"/>
  <c r="AM53" i="24" s="1"/>
  <c r="Z53" i="24"/>
  <c r="N53" i="24"/>
  <c r="B53" i="24"/>
  <c r="CT52" i="24"/>
  <c r="CU52" i="24" s="1"/>
  <c r="CH52" i="24"/>
  <c r="BV52" i="24"/>
  <c r="BJ52" i="24"/>
  <c r="AY52" i="24"/>
  <c r="AX52" i="24"/>
  <c r="AL52" i="24"/>
  <c r="Z52" i="24"/>
  <c r="N52" i="24"/>
  <c r="B52" i="24"/>
  <c r="CT51" i="24"/>
  <c r="CH51" i="24"/>
  <c r="BV51" i="24"/>
  <c r="BJ51" i="24"/>
  <c r="AX51" i="24"/>
  <c r="AY51" i="24" s="1"/>
  <c r="AL51" i="24"/>
  <c r="Z51" i="24"/>
  <c r="N51" i="24"/>
  <c r="B51" i="24"/>
  <c r="CT50" i="24"/>
  <c r="CH50" i="24"/>
  <c r="BV50" i="24"/>
  <c r="BJ50" i="24"/>
  <c r="AX50" i="24"/>
  <c r="AL50" i="24"/>
  <c r="Z50" i="24"/>
  <c r="N50" i="24"/>
  <c r="B50" i="24"/>
  <c r="CT49" i="24"/>
  <c r="CH49" i="24"/>
  <c r="BV49" i="24"/>
  <c r="BJ49" i="24"/>
  <c r="AX49" i="24"/>
  <c r="AL49" i="24"/>
  <c r="Z49" i="24"/>
  <c r="N49" i="24"/>
  <c r="B49" i="24"/>
  <c r="DB48" i="24"/>
  <c r="CY48" i="24"/>
  <c r="CT48" i="24"/>
  <c r="CP48" i="24"/>
  <c r="CM48" i="24"/>
  <c r="CH48" i="24"/>
  <c r="CD48" i="24"/>
  <c r="CA48" i="24"/>
  <c r="BV48" i="24"/>
  <c r="BR48" i="24"/>
  <c r="BO48" i="24"/>
  <c r="BJ48" i="24"/>
  <c r="BF48" i="24"/>
  <c r="BC48" i="24"/>
  <c r="AX48" i="24"/>
  <c r="AT48" i="24"/>
  <c r="AQ48" i="24"/>
  <c r="AL48" i="24"/>
  <c r="AH48" i="24"/>
  <c r="AE48" i="24"/>
  <c r="Z48" i="24"/>
  <c r="V48" i="24"/>
  <c r="S48" i="24"/>
  <c r="N48" i="24"/>
  <c r="J48" i="24"/>
  <c r="G48" i="24"/>
  <c r="B48" i="24"/>
  <c r="DB47" i="24"/>
  <c r="CY47" i="24"/>
  <c r="CT47" i="24"/>
  <c r="CP47" i="24"/>
  <c r="CM47" i="24"/>
  <c r="CH47" i="24"/>
  <c r="CI47" i="24" s="1"/>
  <c r="CD47" i="24"/>
  <c r="CA47" i="24"/>
  <c r="CE47" i="24" s="1"/>
  <c r="BV47" i="24"/>
  <c r="BW47" i="24" s="1"/>
  <c r="BR47" i="24"/>
  <c r="BO47" i="24"/>
  <c r="BJ47" i="24"/>
  <c r="BF47" i="24"/>
  <c r="BC47" i="24"/>
  <c r="AX47" i="24"/>
  <c r="AT47" i="24"/>
  <c r="AQ47" i="24"/>
  <c r="AL47" i="24"/>
  <c r="AH47" i="24"/>
  <c r="AE47" i="24"/>
  <c r="Z47" i="24"/>
  <c r="AA47" i="24" s="1"/>
  <c r="V47" i="24"/>
  <c r="S47" i="24"/>
  <c r="N47" i="24"/>
  <c r="J47" i="24"/>
  <c r="G47" i="24"/>
  <c r="B47" i="24"/>
  <c r="DB46" i="24"/>
  <c r="CY46" i="24"/>
  <c r="CT46" i="24"/>
  <c r="CU46" i="24" s="1"/>
  <c r="CP46" i="24"/>
  <c r="CM46" i="24"/>
  <c r="CI46" i="24"/>
  <c r="CH46" i="24"/>
  <c r="CD46" i="24"/>
  <c r="CA46" i="24"/>
  <c r="BV46" i="24"/>
  <c r="BW46" i="24" s="1"/>
  <c r="BR46" i="24"/>
  <c r="BO46" i="24"/>
  <c r="BJ46" i="24"/>
  <c r="BK46" i="24" s="1"/>
  <c r="BF46" i="24"/>
  <c r="BC46" i="24"/>
  <c r="AX46" i="24"/>
  <c r="AY46" i="24" s="1"/>
  <c r="AT46" i="24"/>
  <c r="AQ46" i="24"/>
  <c r="AL46" i="24"/>
  <c r="AM46" i="24" s="1"/>
  <c r="AH46" i="24"/>
  <c r="AE46" i="24"/>
  <c r="AI46" i="24" s="1"/>
  <c r="Z46" i="24"/>
  <c r="V46" i="24"/>
  <c r="S46" i="24"/>
  <c r="N46" i="24"/>
  <c r="O46" i="24" s="1"/>
  <c r="J46" i="24"/>
  <c r="G46" i="24"/>
  <c r="B46" i="24"/>
  <c r="DB45" i="24"/>
  <c r="CY45" i="24"/>
  <c r="CT45" i="24"/>
  <c r="CU45" i="24" s="1"/>
  <c r="CP45" i="24"/>
  <c r="CM45" i="24"/>
  <c r="CH45" i="24"/>
  <c r="CI45" i="24" s="1"/>
  <c r="CD45" i="24"/>
  <c r="CA45" i="24"/>
  <c r="BV45" i="24"/>
  <c r="BW45" i="24" s="1"/>
  <c r="BR45" i="24"/>
  <c r="BO45" i="24"/>
  <c r="BJ45" i="24"/>
  <c r="BK45" i="24" s="1"/>
  <c r="BF45" i="24"/>
  <c r="BC45" i="24"/>
  <c r="AX45" i="24"/>
  <c r="AT45" i="24"/>
  <c r="AQ45" i="24"/>
  <c r="AL45" i="24"/>
  <c r="AM45" i="24" s="1"/>
  <c r="AH45" i="24"/>
  <c r="AE45" i="24"/>
  <c r="AI45" i="24" s="1"/>
  <c r="Z45" i="24"/>
  <c r="AA45" i="24" s="1"/>
  <c r="V45" i="24"/>
  <c r="S45" i="24"/>
  <c r="N45" i="24"/>
  <c r="O45" i="24" s="1"/>
  <c r="J45" i="24"/>
  <c r="G45" i="24"/>
  <c r="B45" i="24"/>
  <c r="C45" i="24" s="1"/>
  <c r="DB44" i="24"/>
  <c r="CY44" i="24"/>
  <c r="CT44" i="24"/>
  <c r="CU44" i="24" s="1"/>
  <c r="CP44" i="24"/>
  <c r="CM44" i="24"/>
  <c r="CQ44" i="24" s="1"/>
  <c r="CH44" i="24"/>
  <c r="CI44" i="24" s="1"/>
  <c r="CD44" i="24"/>
  <c r="CA44" i="24"/>
  <c r="BV44" i="24"/>
  <c r="BR44" i="24"/>
  <c r="BO44" i="24"/>
  <c r="BJ44" i="24"/>
  <c r="BF44" i="24"/>
  <c r="BC44" i="24"/>
  <c r="AX44" i="24"/>
  <c r="AT44" i="24"/>
  <c r="AQ44" i="24"/>
  <c r="AM44" i="24"/>
  <c r="AL44" i="24"/>
  <c r="AH44" i="24"/>
  <c r="AE44" i="24"/>
  <c r="Z44" i="24"/>
  <c r="AA44" i="24" s="1"/>
  <c r="V44" i="24"/>
  <c r="S44" i="24"/>
  <c r="N44" i="24"/>
  <c r="J44" i="24"/>
  <c r="G44" i="24"/>
  <c r="B44" i="24"/>
  <c r="C44" i="24" s="1"/>
  <c r="DB43" i="24"/>
  <c r="CY43" i="24"/>
  <c r="CT43" i="24"/>
  <c r="CP43" i="24"/>
  <c r="CM43" i="24"/>
  <c r="CH43" i="24"/>
  <c r="CI43" i="24" s="1"/>
  <c r="CD43" i="24"/>
  <c r="CA43" i="24"/>
  <c r="BV43" i="24"/>
  <c r="BR43" i="24"/>
  <c r="BS43" i="24" s="1"/>
  <c r="BO43" i="24"/>
  <c r="BJ43" i="24"/>
  <c r="BK43" i="24" s="1"/>
  <c r="BF43" i="24"/>
  <c r="BC43" i="24"/>
  <c r="BG43" i="24" s="1"/>
  <c r="AX43" i="24"/>
  <c r="AY43" i="24" s="1"/>
  <c r="AT43" i="24"/>
  <c r="AQ43" i="24"/>
  <c r="AL43" i="24"/>
  <c r="AM43" i="24" s="1"/>
  <c r="AH43" i="24"/>
  <c r="AE43" i="24"/>
  <c r="AI43" i="24" s="1"/>
  <c r="Z43" i="24"/>
  <c r="V43" i="24"/>
  <c r="S43" i="24"/>
  <c r="N43" i="24"/>
  <c r="J43" i="24"/>
  <c r="G43" i="24"/>
  <c r="B43" i="24"/>
  <c r="C43" i="24" s="1"/>
  <c r="DB42" i="24"/>
  <c r="CY42" i="24"/>
  <c r="CT42" i="24"/>
  <c r="CP42" i="24"/>
  <c r="CM42" i="24"/>
  <c r="CH42" i="24"/>
  <c r="CD42" i="24"/>
  <c r="CE42" i="24" s="1"/>
  <c r="CA42" i="24"/>
  <c r="BV42" i="24"/>
  <c r="BR42" i="24"/>
  <c r="BO42" i="24"/>
  <c r="BJ42" i="24"/>
  <c r="BF42" i="24"/>
  <c r="BC42" i="24"/>
  <c r="AX42" i="24"/>
  <c r="AT42" i="24"/>
  <c r="AQ42" i="24"/>
  <c r="AU42" i="24" s="1"/>
  <c r="AL42" i="24"/>
  <c r="AH42" i="24"/>
  <c r="AE42" i="24"/>
  <c r="Z42" i="24"/>
  <c r="V42" i="24"/>
  <c r="S42" i="24"/>
  <c r="W42" i="24" s="1"/>
  <c r="N42" i="24"/>
  <c r="O42" i="24" s="1"/>
  <c r="J42" i="24"/>
  <c r="G42" i="24"/>
  <c r="B42" i="24"/>
  <c r="CT41" i="24"/>
  <c r="CH41" i="24"/>
  <c r="BV41" i="24"/>
  <c r="BW41" i="24" s="1"/>
  <c r="BJ41" i="24"/>
  <c r="AX41" i="24"/>
  <c r="AL41" i="24"/>
  <c r="AM41" i="24" s="1"/>
  <c r="Z41" i="24"/>
  <c r="AA41" i="24" s="1"/>
  <c r="N41" i="24"/>
  <c r="B41" i="24"/>
  <c r="CT40" i="24"/>
  <c r="CH40" i="24"/>
  <c r="CI40" i="24" s="1"/>
  <c r="BV40" i="24"/>
  <c r="BJ40" i="24"/>
  <c r="AX40" i="24"/>
  <c r="AY40" i="24" s="1"/>
  <c r="AL40" i="24"/>
  <c r="Z40" i="24"/>
  <c r="N40" i="24"/>
  <c r="B40" i="24"/>
  <c r="CT39" i="24"/>
  <c r="CU39" i="24" s="1"/>
  <c r="CH39" i="24"/>
  <c r="BV39" i="24"/>
  <c r="BJ39" i="24"/>
  <c r="BK39" i="24" s="1"/>
  <c r="AX39" i="24"/>
  <c r="AL39" i="24"/>
  <c r="Z39" i="24"/>
  <c r="N39" i="24"/>
  <c r="B39" i="24"/>
  <c r="C39" i="24" s="1"/>
  <c r="CT38" i="24"/>
  <c r="CH38" i="24"/>
  <c r="BV38" i="24"/>
  <c r="BJ38" i="24"/>
  <c r="AX38" i="24"/>
  <c r="AL38" i="24"/>
  <c r="Z38" i="24"/>
  <c r="N38" i="24"/>
  <c r="B38" i="24"/>
  <c r="C38" i="24" s="1"/>
  <c r="CT37" i="24"/>
  <c r="CH37" i="24"/>
  <c r="BV37" i="24"/>
  <c r="BJ37" i="24"/>
  <c r="BK37" i="24" s="1"/>
  <c r="AX37" i="24"/>
  <c r="AL37" i="24"/>
  <c r="Z37" i="24"/>
  <c r="N37" i="24"/>
  <c r="O37" i="24" s="1"/>
  <c r="B37" i="24"/>
  <c r="CT36" i="24"/>
  <c r="CH36" i="24"/>
  <c r="BW36" i="24"/>
  <c r="BV36" i="24"/>
  <c r="BJ36" i="24"/>
  <c r="AX36" i="24"/>
  <c r="AL36" i="24"/>
  <c r="Z36" i="24"/>
  <c r="N36" i="24"/>
  <c r="B36" i="24"/>
  <c r="C36" i="24" s="1"/>
  <c r="C35" i="24" s="1"/>
  <c r="CT35" i="24"/>
  <c r="CH35" i="24"/>
  <c r="BV35" i="24"/>
  <c r="BJ35" i="24"/>
  <c r="AX35" i="24"/>
  <c r="AY35" i="24" s="1"/>
  <c r="AL35" i="24"/>
  <c r="Z35" i="24"/>
  <c r="N35" i="24"/>
  <c r="B35" i="24"/>
  <c r="CT335" i="22"/>
  <c r="CH335" i="22"/>
  <c r="BV335" i="22"/>
  <c r="BJ335" i="22"/>
  <c r="AX335" i="22"/>
  <c r="AL335" i="22"/>
  <c r="Z335" i="22"/>
  <c r="N335" i="22"/>
  <c r="B335" i="22"/>
  <c r="CT334" i="22"/>
  <c r="CH334" i="22"/>
  <c r="BV334" i="22"/>
  <c r="BJ334" i="22"/>
  <c r="AX334" i="22"/>
  <c r="AL334" i="22"/>
  <c r="Z334" i="22"/>
  <c r="AA334" i="22" s="1"/>
  <c r="N334" i="22"/>
  <c r="B334" i="22"/>
  <c r="C334" i="22" s="1"/>
  <c r="CT333" i="22"/>
  <c r="CH333" i="22"/>
  <c r="BV333" i="22"/>
  <c r="BJ333" i="22"/>
  <c r="BK333" i="22" s="1"/>
  <c r="AX333" i="22"/>
  <c r="AL333" i="22"/>
  <c r="Z333" i="22"/>
  <c r="N333" i="22"/>
  <c r="O333" i="22" s="1"/>
  <c r="B333" i="22"/>
  <c r="CT332" i="22"/>
  <c r="CH332" i="22"/>
  <c r="BV332" i="22"/>
  <c r="BW332" i="22" s="1"/>
  <c r="BJ332" i="22"/>
  <c r="AX332" i="22"/>
  <c r="AL332" i="22"/>
  <c r="Z332" i="22"/>
  <c r="AA332" i="22" s="1"/>
  <c r="N332" i="22"/>
  <c r="B332" i="22"/>
  <c r="CT331" i="22"/>
  <c r="CU331" i="22" s="1"/>
  <c r="CH331" i="22"/>
  <c r="CI331" i="22" s="1"/>
  <c r="BV331" i="22"/>
  <c r="BJ331" i="22"/>
  <c r="AX331" i="22"/>
  <c r="AY331" i="22" s="1"/>
  <c r="AL331" i="22"/>
  <c r="AM331" i="22" s="1"/>
  <c r="Z331" i="22"/>
  <c r="N331" i="22"/>
  <c r="B331" i="22"/>
  <c r="CT330" i="22"/>
  <c r="CH330" i="22"/>
  <c r="BV330" i="22"/>
  <c r="BJ330" i="22"/>
  <c r="BK330" i="22" s="1"/>
  <c r="AX330" i="22"/>
  <c r="AY330" i="22" s="1"/>
  <c r="AL330" i="22"/>
  <c r="Z330" i="22"/>
  <c r="N330" i="22"/>
  <c r="O330" i="22" s="1"/>
  <c r="B330" i="22"/>
  <c r="C330" i="22" s="1"/>
  <c r="CT329" i="22"/>
  <c r="CH329" i="22"/>
  <c r="BV329" i="22"/>
  <c r="BW329" i="22" s="1"/>
  <c r="BJ329" i="22"/>
  <c r="BK329" i="22" s="1"/>
  <c r="AX329" i="22"/>
  <c r="AL329" i="22"/>
  <c r="Z329" i="22"/>
  <c r="N329" i="22"/>
  <c r="O329" i="22" s="1"/>
  <c r="B329" i="22"/>
  <c r="CT328" i="22"/>
  <c r="CH328" i="22"/>
  <c r="BW328" i="22"/>
  <c r="BV328" i="22"/>
  <c r="BJ328" i="22"/>
  <c r="AX328" i="22"/>
  <c r="AL328" i="22"/>
  <c r="AM328" i="22" s="1"/>
  <c r="Z328" i="22"/>
  <c r="N328" i="22"/>
  <c r="B328" i="22"/>
  <c r="CT327" i="22"/>
  <c r="CU327" i="22" s="1"/>
  <c r="CH327" i="22"/>
  <c r="BV327" i="22"/>
  <c r="BJ327" i="22"/>
  <c r="AX327" i="22"/>
  <c r="AL327" i="22"/>
  <c r="Z327" i="22"/>
  <c r="N327" i="22"/>
  <c r="B327" i="22"/>
  <c r="C327" i="22" s="1"/>
  <c r="CT326" i="22"/>
  <c r="CH326" i="22"/>
  <c r="BV326" i="22"/>
  <c r="BJ326" i="22"/>
  <c r="BK326" i="22" s="1"/>
  <c r="AX326" i="22"/>
  <c r="AL326" i="22"/>
  <c r="Z326" i="22"/>
  <c r="N326" i="22"/>
  <c r="O326" i="22" s="1"/>
  <c r="B326" i="22"/>
  <c r="CT325" i="22"/>
  <c r="CH325" i="22"/>
  <c r="BV325" i="22"/>
  <c r="BJ325" i="22"/>
  <c r="AX325" i="22"/>
  <c r="AL325" i="22"/>
  <c r="Z325" i="22"/>
  <c r="N325" i="22"/>
  <c r="B325" i="22"/>
  <c r="CT324" i="22"/>
  <c r="CH324" i="22"/>
  <c r="BV324" i="22"/>
  <c r="BJ324" i="22"/>
  <c r="AX324" i="22"/>
  <c r="AL324" i="22"/>
  <c r="Z324" i="22"/>
  <c r="N324" i="22"/>
  <c r="B324" i="22"/>
  <c r="CT323" i="22"/>
  <c r="CH323" i="22"/>
  <c r="BV323" i="22"/>
  <c r="BJ323" i="22"/>
  <c r="AX323" i="22"/>
  <c r="AL323" i="22"/>
  <c r="AM323" i="22" s="1"/>
  <c r="Z323" i="22"/>
  <c r="N323" i="22"/>
  <c r="B323" i="22"/>
  <c r="CT322" i="22"/>
  <c r="CU322" i="22" s="1"/>
  <c r="CH322" i="22"/>
  <c r="BV322" i="22"/>
  <c r="BJ322" i="22"/>
  <c r="AX322" i="22"/>
  <c r="AY322" i="22" s="1"/>
  <c r="AL322" i="22"/>
  <c r="Z322" i="22"/>
  <c r="N322" i="22"/>
  <c r="B322" i="22"/>
  <c r="C322" i="22" s="1"/>
  <c r="CT321" i="22"/>
  <c r="CH321" i="22"/>
  <c r="BV321" i="22"/>
  <c r="BJ321" i="22"/>
  <c r="BK321" i="22" s="1"/>
  <c r="AX321" i="22"/>
  <c r="AL321" i="22"/>
  <c r="Z321" i="22"/>
  <c r="N321" i="22"/>
  <c r="O321" i="22" s="1"/>
  <c r="B321" i="22"/>
  <c r="CT320" i="22"/>
  <c r="CH320" i="22"/>
  <c r="BV320" i="22"/>
  <c r="BW320" i="22" s="1"/>
  <c r="BJ320" i="22"/>
  <c r="AX320" i="22"/>
  <c r="AL320" i="22"/>
  <c r="Z320" i="22"/>
  <c r="N320" i="22"/>
  <c r="B320" i="22"/>
  <c r="CT319" i="22"/>
  <c r="CU319" i="22" s="1"/>
  <c r="CH319" i="22"/>
  <c r="CI319" i="22" s="1"/>
  <c r="BV319" i="22"/>
  <c r="BJ319" i="22"/>
  <c r="AX319" i="22"/>
  <c r="AY319" i="22" s="1"/>
  <c r="AL319" i="22"/>
  <c r="AM319" i="22" s="1"/>
  <c r="Z319" i="22"/>
  <c r="N319" i="22"/>
  <c r="B319" i="22"/>
  <c r="C319" i="22" s="1"/>
  <c r="CT318" i="22"/>
  <c r="CU318" i="22" s="1"/>
  <c r="CH318" i="22"/>
  <c r="BV318" i="22"/>
  <c r="BJ318" i="22"/>
  <c r="AX318" i="22"/>
  <c r="AY318" i="22" s="1"/>
  <c r="AL318" i="22"/>
  <c r="Z318" i="22"/>
  <c r="N318" i="22"/>
  <c r="B318" i="22"/>
  <c r="C318" i="22" s="1"/>
  <c r="CT317" i="22"/>
  <c r="CH317" i="22"/>
  <c r="BV317" i="22"/>
  <c r="BW317" i="22" s="1"/>
  <c r="BJ317" i="22"/>
  <c r="BK317" i="22" s="1"/>
  <c r="AX317" i="22"/>
  <c r="AL317" i="22"/>
  <c r="Z317" i="22"/>
  <c r="AA317" i="22" s="1"/>
  <c r="N317" i="22"/>
  <c r="O317" i="22" s="1"/>
  <c r="B317" i="22"/>
  <c r="C317" i="22" s="1"/>
  <c r="CT316" i="22"/>
  <c r="CH316" i="22"/>
  <c r="CI316" i="22" s="1"/>
  <c r="BV316" i="22"/>
  <c r="BJ316" i="22"/>
  <c r="AX316" i="22"/>
  <c r="AY316" i="22" s="1"/>
  <c r="AL316" i="22"/>
  <c r="Z316" i="22"/>
  <c r="N316" i="22"/>
  <c r="B316" i="22"/>
  <c r="C316" i="22" s="1"/>
  <c r="CT315" i="22"/>
  <c r="CH315" i="22"/>
  <c r="BV315" i="22"/>
  <c r="BJ315" i="22"/>
  <c r="BK315" i="22" s="1"/>
  <c r="AX315" i="22"/>
  <c r="AY315" i="22" s="1"/>
  <c r="AL315" i="22"/>
  <c r="Z315" i="22"/>
  <c r="N315" i="22"/>
  <c r="O315" i="22" s="1"/>
  <c r="B315" i="22"/>
  <c r="CT314" i="22"/>
  <c r="CH314" i="22"/>
  <c r="BV314" i="22"/>
  <c r="BW314" i="22" s="1"/>
  <c r="BJ314" i="22"/>
  <c r="AX314" i="22"/>
  <c r="AL314" i="22"/>
  <c r="Z314" i="22"/>
  <c r="N314" i="22"/>
  <c r="B314" i="22"/>
  <c r="CT313" i="22"/>
  <c r="CH313" i="22"/>
  <c r="BV313" i="22"/>
  <c r="BJ313" i="22"/>
  <c r="AX313" i="22"/>
  <c r="AL313" i="22"/>
  <c r="Z313" i="22"/>
  <c r="N313" i="22"/>
  <c r="B313" i="22"/>
  <c r="CT312" i="22"/>
  <c r="CH312" i="22"/>
  <c r="BV312" i="22"/>
  <c r="BJ312" i="22"/>
  <c r="AX312" i="22"/>
  <c r="AL312" i="22"/>
  <c r="Z312" i="22"/>
  <c r="N312" i="22"/>
  <c r="B312" i="22"/>
  <c r="CT311" i="22"/>
  <c r="CH311" i="22"/>
  <c r="BV311" i="22"/>
  <c r="BJ311" i="22"/>
  <c r="AX311" i="22"/>
  <c r="AL311" i="22"/>
  <c r="Z311" i="22"/>
  <c r="N311" i="22"/>
  <c r="B311" i="22"/>
  <c r="CT310" i="22"/>
  <c r="CH310" i="22"/>
  <c r="BV310" i="22"/>
  <c r="BJ310" i="22"/>
  <c r="AX310" i="22"/>
  <c r="AL310" i="22"/>
  <c r="Z310" i="22"/>
  <c r="N310" i="22"/>
  <c r="B310" i="22"/>
  <c r="CT309" i="22"/>
  <c r="CH309" i="22"/>
  <c r="BV309" i="22"/>
  <c r="BJ309" i="22"/>
  <c r="AX309" i="22"/>
  <c r="AL309" i="22"/>
  <c r="Z309" i="22"/>
  <c r="N309" i="22"/>
  <c r="B309" i="22"/>
  <c r="CT308" i="22"/>
  <c r="CH308" i="22"/>
  <c r="BV308" i="22"/>
  <c r="BJ308" i="22"/>
  <c r="AX308" i="22"/>
  <c r="AL308" i="22"/>
  <c r="Z308" i="22"/>
  <c r="N308" i="22"/>
  <c r="B308" i="22"/>
  <c r="CT307" i="22"/>
  <c r="CH307" i="22"/>
  <c r="BV307" i="22"/>
  <c r="BJ307" i="22"/>
  <c r="AX307" i="22"/>
  <c r="AL307" i="22"/>
  <c r="Z307" i="22"/>
  <c r="N307" i="22"/>
  <c r="B307" i="22"/>
  <c r="CT306" i="22"/>
  <c r="CH306" i="22"/>
  <c r="CI306" i="22" s="1"/>
  <c r="BV306" i="22"/>
  <c r="BJ306" i="22"/>
  <c r="BK306" i="22" s="1"/>
  <c r="AX306" i="22"/>
  <c r="AL306" i="22"/>
  <c r="AM306" i="22" s="1"/>
  <c r="Z306" i="22"/>
  <c r="AA306" i="22" s="1"/>
  <c r="N306" i="22"/>
  <c r="B306" i="22"/>
  <c r="CT305" i="22"/>
  <c r="CU305" i="22" s="1"/>
  <c r="CI305" i="22"/>
  <c r="CH305" i="22"/>
  <c r="BV305" i="22"/>
  <c r="BJ305" i="22"/>
  <c r="AX305" i="22"/>
  <c r="AL305" i="22"/>
  <c r="Z305" i="22"/>
  <c r="N305" i="22"/>
  <c r="B305" i="22"/>
  <c r="CT304" i="22"/>
  <c r="CH304" i="22"/>
  <c r="CI304" i="22" s="1"/>
  <c r="BV304" i="22"/>
  <c r="BJ304" i="22"/>
  <c r="AX304" i="22"/>
  <c r="AL304" i="22"/>
  <c r="AM304" i="22" s="1"/>
  <c r="Z304" i="22"/>
  <c r="N304" i="22"/>
  <c r="B304" i="22"/>
  <c r="CT303" i="22"/>
  <c r="CH303" i="22"/>
  <c r="BV303" i="22"/>
  <c r="BJ303" i="22"/>
  <c r="AX303" i="22"/>
  <c r="AY303" i="22" s="1"/>
  <c r="AL303" i="22"/>
  <c r="Z303" i="22"/>
  <c r="N303" i="22"/>
  <c r="B303" i="22"/>
  <c r="CT302" i="22"/>
  <c r="CH302" i="22"/>
  <c r="BV302" i="22"/>
  <c r="BJ302" i="22"/>
  <c r="AX302" i="22"/>
  <c r="AL302" i="22"/>
  <c r="Z302" i="22"/>
  <c r="N302" i="22"/>
  <c r="B302" i="22"/>
  <c r="CT301" i="22"/>
  <c r="CH301" i="22"/>
  <c r="BV301" i="22"/>
  <c r="BJ301" i="22"/>
  <c r="AX301" i="22"/>
  <c r="AL301" i="22"/>
  <c r="Z301" i="22"/>
  <c r="N301" i="22"/>
  <c r="B301" i="22"/>
  <c r="CT300" i="22"/>
  <c r="CH300" i="22"/>
  <c r="BV300" i="22"/>
  <c r="BJ300" i="22"/>
  <c r="AX300" i="22"/>
  <c r="AL300" i="22"/>
  <c r="Z300" i="22"/>
  <c r="N300" i="22"/>
  <c r="B300" i="22"/>
  <c r="C300" i="22" s="1"/>
  <c r="CT299" i="22"/>
  <c r="CU299" i="22" s="1"/>
  <c r="CH299" i="22"/>
  <c r="BV299" i="22"/>
  <c r="BJ299" i="22"/>
  <c r="AX299" i="22"/>
  <c r="AY299" i="22" s="1"/>
  <c r="AL299" i="22"/>
  <c r="Z299" i="22"/>
  <c r="N299" i="22"/>
  <c r="B299" i="22"/>
  <c r="C299" i="22" s="1"/>
  <c r="CT298" i="22"/>
  <c r="CH298" i="22"/>
  <c r="BV298" i="22"/>
  <c r="BW298" i="22" s="1"/>
  <c r="BJ298" i="22"/>
  <c r="BK298" i="22" s="1"/>
  <c r="AX298" i="22"/>
  <c r="AL298" i="22"/>
  <c r="Z298" i="22"/>
  <c r="AA298" i="22" s="1"/>
  <c r="N298" i="22"/>
  <c r="B298" i="22"/>
  <c r="CT297" i="22"/>
  <c r="CU297" i="22" s="1"/>
  <c r="CH297" i="22"/>
  <c r="CI297" i="22" s="1"/>
  <c r="BV297" i="22"/>
  <c r="BW297" i="22" s="1"/>
  <c r="BJ297" i="22"/>
  <c r="AX297" i="22"/>
  <c r="AL297" i="22"/>
  <c r="Z297" i="22"/>
  <c r="AA297" i="22" s="1"/>
  <c r="N297" i="22"/>
  <c r="B297" i="22"/>
  <c r="C297" i="22" s="1"/>
  <c r="CT296" i="22"/>
  <c r="CH296" i="22"/>
  <c r="BV296" i="22"/>
  <c r="BJ296" i="22"/>
  <c r="AX296" i="22"/>
  <c r="AL296" i="22"/>
  <c r="AM296" i="22" s="1"/>
  <c r="Z296" i="22"/>
  <c r="N296" i="22"/>
  <c r="O296" i="22" s="1"/>
  <c r="B296" i="22"/>
  <c r="CU295" i="22"/>
  <c r="CT295" i="22"/>
  <c r="CH295" i="22"/>
  <c r="BV295" i="22"/>
  <c r="BK295" i="22"/>
  <c r="BJ295" i="22"/>
  <c r="AX295" i="22"/>
  <c r="AL295" i="22"/>
  <c r="AA295" i="22"/>
  <c r="Z295" i="22"/>
  <c r="N295" i="22"/>
  <c r="O295" i="22" s="1"/>
  <c r="B295" i="22"/>
  <c r="CT294" i="22"/>
  <c r="CH294" i="22"/>
  <c r="BV294" i="22"/>
  <c r="BJ294" i="22"/>
  <c r="BK294" i="22" s="1"/>
  <c r="AX294" i="22"/>
  <c r="AL294" i="22"/>
  <c r="Z294" i="22"/>
  <c r="AA294" i="22" s="1"/>
  <c r="N294" i="22"/>
  <c r="B294" i="22"/>
  <c r="CT293" i="22"/>
  <c r="CH293" i="22"/>
  <c r="CI293" i="22" s="1"/>
  <c r="BV293" i="22"/>
  <c r="BJ293" i="22"/>
  <c r="AX293" i="22"/>
  <c r="AL293" i="22"/>
  <c r="AM293" i="22" s="1"/>
  <c r="Z293" i="22"/>
  <c r="N293" i="22"/>
  <c r="B293" i="22"/>
  <c r="CT292" i="22"/>
  <c r="CU292" i="22" s="1"/>
  <c r="CH292" i="22"/>
  <c r="BV292" i="22"/>
  <c r="BJ292" i="22"/>
  <c r="AX292" i="22"/>
  <c r="AY292" i="22" s="1"/>
  <c r="AL292" i="22"/>
  <c r="Z292" i="22"/>
  <c r="N292" i="22"/>
  <c r="B292" i="22"/>
  <c r="C292" i="22" s="1"/>
  <c r="CT291" i="22"/>
  <c r="CH291" i="22"/>
  <c r="CI290" i="22" s="1"/>
  <c r="BV291" i="22"/>
  <c r="BJ291" i="22"/>
  <c r="AX291" i="22"/>
  <c r="AL291" i="22"/>
  <c r="Z291" i="22"/>
  <c r="N291" i="22"/>
  <c r="O291" i="22" s="1"/>
  <c r="B291" i="22"/>
  <c r="CT290" i="22"/>
  <c r="CH290" i="22"/>
  <c r="BV290" i="22"/>
  <c r="BJ290" i="22"/>
  <c r="AX290" i="22"/>
  <c r="AL290" i="22"/>
  <c r="Z290" i="22"/>
  <c r="AA290" i="22" s="1"/>
  <c r="N290" i="22"/>
  <c r="B290" i="22"/>
  <c r="CT289" i="22"/>
  <c r="CU289" i="22" s="1"/>
  <c r="CH289" i="22"/>
  <c r="CI289" i="22" s="1"/>
  <c r="BV289" i="22"/>
  <c r="BJ289" i="22"/>
  <c r="AX289" i="22"/>
  <c r="AL289" i="22"/>
  <c r="AM289" i="22" s="1"/>
  <c r="Z289" i="22"/>
  <c r="N289" i="22"/>
  <c r="B289" i="22"/>
  <c r="C289" i="22" s="1"/>
  <c r="CT288" i="22"/>
  <c r="CH288" i="22"/>
  <c r="BV288" i="22"/>
  <c r="BJ288" i="22"/>
  <c r="AX288" i="22"/>
  <c r="AY288" i="22" s="1"/>
  <c r="AL288" i="22"/>
  <c r="Z288" i="22"/>
  <c r="N288" i="22"/>
  <c r="B288" i="22"/>
  <c r="CT287" i="22"/>
  <c r="CH287" i="22"/>
  <c r="CI287" i="22" s="1"/>
  <c r="BV287" i="22"/>
  <c r="BJ287" i="22"/>
  <c r="AX287" i="22"/>
  <c r="AL287" i="22"/>
  <c r="Z287" i="22"/>
  <c r="N287" i="22"/>
  <c r="B287" i="22"/>
  <c r="C287" i="22" s="1"/>
  <c r="CT286" i="22"/>
  <c r="CH286" i="22"/>
  <c r="BV286" i="22"/>
  <c r="BJ286" i="22"/>
  <c r="AX286" i="22"/>
  <c r="AY286" i="22" s="1"/>
  <c r="AL286" i="22"/>
  <c r="Z286" i="22"/>
  <c r="N286" i="22"/>
  <c r="B286" i="22"/>
  <c r="CT285" i="22"/>
  <c r="CH285" i="22"/>
  <c r="BV285" i="22"/>
  <c r="BW285" i="22" s="1"/>
  <c r="BJ285" i="22"/>
  <c r="AX285" i="22"/>
  <c r="AL285" i="22"/>
  <c r="Z285" i="22"/>
  <c r="N285" i="22"/>
  <c r="O285" i="22" s="1"/>
  <c r="B285" i="22"/>
  <c r="CT284" i="22"/>
  <c r="CH284" i="22"/>
  <c r="CI284" i="22" s="1"/>
  <c r="BV284" i="22"/>
  <c r="BW284" i="22" s="1"/>
  <c r="BJ284" i="22"/>
  <c r="AX284" i="22"/>
  <c r="AY284" i="22" s="1"/>
  <c r="AL284" i="22"/>
  <c r="AM284" i="22" s="1"/>
  <c r="Z284" i="22"/>
  <c r="AA284" i="22" s="1"/>
  <c r="N284" i="22"/>
  <c r="B284" i="22"/>
  <c r="CT283" i="22"/>
  <c r="CU283" i="22" s="1"/>
  <c r="CH283" i="22"/>
  <c r="BV283" i="22"/>
  <c r="BJ283" i="22"/>
  <c r="BK283" i="22" s="1"/>
  <c r="AX283" i="22"/>
  <c r="AL283" i="22"/>
  <c r="Z283" i="22"/>
  <c r="N283" i="22"/>
  <c r="B283" i="22"/>
  <c r="CT282" i="22"/>
  <c r="CH282" i="22"/>
  <c r="BV282" i="22"/>
  <c r="BJ282" i="22"/>
  <c r="AX282" i="22"/>
  <c r="AL282" i="22"/>
  <c r="Z282" i="22"/>
  <c r="N282" i="22"/>
  <c r="O282" i="22" s="1"/>
  <c r="B282" i="22"/>
  <c r="CT281" i="22"/>
  <c r="CH281" i="22"/>
  <c r="CI281" i="22" s="1"/>
  <c r="BV281" i="22"/>
  <c r="BJ281" i="22"/>
  <c r="AX281" i="22"/>
  <c r="AL281" i="22"/>
  <c r="Z281" i="22"/>
  <c r="N281" i="22"/>
  <c r="O281" i="22" s="1"/>
  <c r="B281" i="22"/>
  <c r="CT280" i="22"/>
  <c r="CH280" i="22"/>
  <c r="CI280" i="22" s="1"/>
  <c r="BV280" i="22"/>
  <c r="BJ280" i="22"/>
  <c r="AX280" i="22"/>
  <c r="AL280" i="22"/>
  <c r="AM280" i="22" s="1"/>
  <c r="Z280" i="22"/>
  <c r="N280" i="22"/>
  <c r="B280" i="22"/>
  <c r="CT279" i="22"/>
  <c r="CU279" i="22" s="1"/>
  <c r="CH279" i="22"/>
  <c r="BV279" i="22"/>
  <c r="BJ279" i="22"/>
  <c r="AX279" i="22"/>
  <c r="AY279" i="22" s="1"/>
  <c r="AL279" i="22"/>
  <c r="Z279" i="22"/>
  <c r="N279" i="22"/>
  <c r="O279" i="22" s="1"/>
  <c r="B279" i="22"/>
  <c r="C279" i="22" s="1"/>
  <c r="CT278" i="22"/>
  <c r="CH278" i="22"/>
  <c r="BV278" i="22"/>
  <c r="BJ278" i="22"/>
  <c r="AX278" i="22"/>
  <c r="AL278" i="22"/>
  <c r="Z278" i="22"/>
  <c r="N278" i="22"/>
  <c r="B278" i="22"/>
  <c r="C278" i="22" s="1"/>
  <c r="CT277" i="22"/>
  <c r="CH277" i="22"/>
  <c r="BV277" i="22"/>
  <c r="BW277" i="22" s="1"/>
  <c r="BJ277" i="22"/>
  <c r="AX277" i="22"/>
  <c r="AL277" i="22"/>
  <c r="AM277" i="22" s="1"/>
  <c r="Z277" i="22"/>
  <c r="N277" i="22"/>
  <c r="O277" i="22" s="1"/>
  <c r="B277" i="22"/>
  <c r="CT276" i="22"/>
  <c r="CH276" i="22"/>
  <c r="CI276" i="22" s="1"/>
  <c r="BV276" i="22"/>
  <c r="BW276" i="22" s="1"/>
  <c r="BJ276" i="22"/>
  <c r="AX276" i="22"/>
  <c r="AY276" i="22" s="1"/>
  <c r="AL276" i="22"/>
  <c r="Z276" i="22"/>
  <c r="AA276" i="22" s="1"/>
  <c r="N276" i="22"/>
  <c r="B276" i="22"/>
  <c r="CT275" i="22"/>
  <c r="CU275" i="22" s="1"/>
  <c r="CH275" i="22"/>
  <c r="BV275" i="22"/>
  <c r="BJ275" i="22"/>
  <c r="BK275" i="22" s="1"/>
  <c r="AX275" i="22"/>
  <c r="AL275" i="22"/>
  <c r="Z275" i="22"/>
  <c r="N275" i="22"/>
  <c r="B275" i="22"/>
  <c r="CT274" i="22"/>
  <c r="CH274" i="22"/>
  <c r="BV274" i="22"/>
  <c r="BJ274" i="22"/>
  <c r="AX274" i="22"/>
  <c r="AY274" i="22" s="1"/>
  <c r="AL274" i="22"/>
  <c r="Z274" i="22"/>
  <c r="N274" i="22"/>
  <c r="B274" i="22"/>
  <c r="CT273" i="22"/>
  <c r="CH273" i="22"/>
  <c r="CI273" i="22" s="1"/>
  <c r="BV273" i="22"/>
  <c r="BJ273" i="22"/>
  <c r="AX273" i="22"/>
  <c r="AL273" i="22"/>
  <c r="Z273" i="22"/>
  <c r="N273" i="22"/>
  <c r="B273" i="22"/>
  <c r="CT272" i="22"/>
  <c r="CU272" i="22" s="1"/>
  <c r="CH272" i="22"/>
  <c r="BV272" i="22"/>
  <c r="BW272" i="22" s="1"/>
  <c r="BJ272" i="22"/>
  <c r="AX272" i="22"/>
  <c r="AL272" i="22"/>
  <c r="Z272" i="22"/>
  <c r="AA272" i="22" s="1"/>
  <c r="N272" i="22"/>
  <c r="B272" i="22"/>
  <c r="C272" i="22" s="1"/>
  <c r="CT271" i="22"/>
  <c r="CH271" i="22"/>
  <c r="BV271" i="22"/>
  <c r="BJ271" i="22"/>
  <c r="AX271" i="22"/>
  <c r="AL271" i="22"/>
  <c r="AM271" i="22" s="1"/>
  <c r="Z271" i="22"/>
  <c r="N271" i="22"/>
  <c r="O271" i="22" s="1"/>
  <c r="B271" i="22"/>
  <c r="CT270" i="22"/>
  <c r="CU270" i="22" s="1"/>
  <c r="CH270" i="22"/>
  <c r="BV270" i="22"/>
  <c r="BJ270" i="22"/>
  <c r="AX270" i="22"/>
  <c r="AL270" i="22"/>
  <c r="Z270" i="22"/>
  <c r="N270" i="22"/>
  <c r="B270" i="22"/>
  <c r="C270" i="22" s="1"/>
  <c r="CT269" i="22"/>
  <c r="CH269" i="22"/>
  <c r="BV269" i="22"/>
  <c r="BJ269" i="22"/>
  <c r="BK269" i="22" s="1"/>
  <c r="AX269" i="22"/>
  <c r="AL269" i="22"/>
  <c r="AM269" i="22" s="1"/>
  <c r="Z269" i="22"/>
  <c r="N269" i="22"/>
  <c r="O269" i="22" s="1"/>
  <c r="B269" i="22"/>
  <c r="C269" i="22" s="1"/>
  <c r="CT268" i="22"/>
  <c r="CH268" i="22"/>
  <c r="BV268" i="22"/>
  <c r="BW268" i="22" s="1"/>
  <c r="BJ268" i="22"/>
  <c r="AX268" i="22"/>
  <c r="AL268" i="22"/>
  <c r="Z268" i="22"/>
  <c r="O268" i="22"/>
  <c r="N268" i="22"/>
  <c r="B268" i="22"/>
  <c r="CT267" i="22"/>
  <c r="CH267" i="22"/>
  <c r="CI267" i="22" s="1"/>
  <c r="BV267" i="22"/>
  <c r="BJ267" i="22"/>
  <c r="AX267" i="22"/>
  <c r="AL267" i="22"/>
  <c r="Z267" i="22"/>
  <c r="N267" i="22"/>
  <c r="O267" i="22" s="1"/>
  <c r="B267" i="22"/>
  <c r="CT266" i="22"/>
  <c r="CH266" i="22"/>
  <c r="CI266" i="22" s="1"/>
  <c r="BV266" i="22"/>
  <c r="BW266" i="22" s="1"/>
  <c r="BJ266" i="22"/>
  <c r="AX266" i="22"/>
  <c r="AL266" i="22"/>
  <c r="Z266" i="22"/>
  <c r="AA266" i="22" s="1"/>
  <c r="N266" i="22"/>
  <c r="B266" i="22"/>
  <c r="CT265" i="22"/>
  <c r="CU265" i="22" s="1"/>
  <c r="CH265" i="22"/>
  <c r="CI265" i="22" s="1"/>
  <c r="BV265" i="22"/>
  <c r="BJ265" i="22"/>
  <c r="AX265" i="22"/>
  <c r="AL265" i="22"/>
  <c r="AM265" i="22" s="1"/>
  <c r="Z265" i="22"/>
  <c r="N265" i="22"/>
  <c r="B265" i="22"/>
  <c r="CT264" i="22"/>
  <c r="CU264" i="22" s="1"/>
  <c r="CH264" i="22"/>
  <c r="BV264" i="22"/>
  <c r="BJ264" i="22"/>
  <c r="AX264" i="22"/>
  <c r="AY264" i="22" s="1"/>
  <c r="AL264" i="22"/>
  <c r="Z264" i="22"/>
  <c r="N264" i="22"/>
  <c r="B264" i="22"/>
  <c r="C264" i="22" s="1"/>
  <c r="CT263" i="22"/>
  <c r="CH263" i="22"/>
  <c r="BV263" i="22"/>
  <c r="BJ263" i="22"/>
  <c r="BK263" i="22" s="1"/>
  <c r="AX263" i="22"/>
  <c r="AL263" i="22"/>
  <c r="Z263" i="22"/>
  <c r="N263" i="22"/>
  <c r="O263" i="22" s="1"/>
  <c r="B263" i="22"/>
  <c r="CT262" i="22"/>
  <c r="CH262" i="22"/>
  <c r="BV262" i="22"/>
  <c r="BW262" i="22" s="1"/>
  <c r="BJ262" i="22"/>
  <c r="AX262" i="22"/>
  <c r="AL262" i="22"/>
  <c r="Z262" i="22"/>
  <c r="AA262" i="22" s="1"/>
  <c r="N262" i="22"/>
  <c r="B262" i="22"/>
  <c r="CT261" i="22"/>
  <c r="CH261" i="22"/>
  <c r="CI261" i="22" s="1"/>
  <c r="BV261" i="22"/>
  <c r="BJ261" i="22"/>
  <c r="AX261" i="22"/>
  <c r="AL261" i="22"/>
  <c r="AM261" i="22" s="1"/>
  <c r="Z261" i="22"/>
  <c r="N261" i="22"/>
  <c r="B261" i="22"/>
  <c r="CT260" i="22"/>
  <c r="CU260" i="22" s="1"/>
  <c r="CH260" i="22"/>
  <c r="BV260" i="22"/>
  <c r="BJ260" i="22"/>
  <c r="AX260" i="22"/>
  <c r="AY260" i="22" s="1"/>
  <c r="AL260" i="22"/>
  <c r="Z260" i="22"/>
  <c r="N260" i="22"/>
  <c r="B260" i="22"/>
  <c r="C260" i="22" s="1"/>
  <c r="CT259" i="22"/>
  <c r="CH259" i="22"/>
  <c r="BV259" i="22"/>
  <c r="BJ259" i="22"/>
  <c r="BK259" i="22" s="1"/>
  <c r="AX259" i="22"/>
  <c r="AL259" i="22"/>
  <c r="Z259" i="22"/>
  <c r="N259" i="22"/>
  <c r="B259" i="22"/>
  <c r="CT258" i="22"/>
  <c r="CH258" i="22"/>
  <c r="CI258" i="22" s="1"/>
  <c r="BV258" i="22"/>
  <c r="BJ258" i="22"/>
  <c r="AX258" i="22"/>
  <c r="AL258" i="22"/>
  <c r="AM258" i="22" s="1"/>
  <c r="Z258" i="22"/>
  <c r="N258" i="22"/>
  <c r="B258" i="22"/>
  <c r="CT257" i="22"/>
  <c r="CU257" i="22" s="1"/>
  <c r="CH257" i="22"/>
  <c r="BV257" i="22"/>
  <c r="BJ257" i="22"/>
  <c r="AX257" i="22"/>
  <c r="AL257" i="22"/>
  <c r="Z257" i="22"/>
  <c r="N257" i="22"/>
  <c r="B257" i="22"/>
  <c r="C257" i="22" s="1"/>
  <c r="CT256" i="22"/>
  <c r="CH256" i="22"/>
  <c r="BV256" i="22"/>
  <c r="BJ256" i="22"/>
  <c r="AX256" i="22"/>
  <c r="AL256" i="22"/>
  <c r="Z256" i="22"/>
  <c r="N256" i="22"/>
  <c r="B256" i="22"/>
  <c r="CT255" i="22"/>
  <c r="CH255" i="22"/>
  <c r="BV255" i="22"/>
  <c r="BW255" i="22" s="1"/>
  <c r="BJ255" i="22"/>
  <c r="AX255" i="22"/>
  <c r="AL255" i="22"/>
  <c r="Z255" i="22"/>
  <c r="AA255" i="22" s="1"/>
  <c r="N255" i="22"/>
  <c r="B255" i="22"/>
  <c r="CT254" i="22"/>
  <c r="CH254" i="22"/>
  <c r="CI254" i="22" s="1"/>
  <c r="BV254" i="22"/>
  <c r="BJ254" i="22"/>
  <c r="AX254" i="22"/>
  <c r="AM254" i="22"/>
  <c r="AL254" i="22"/>
  <c r="Z254" i="22"/>
  <c r="N254" i="22"/>
  <c r="B254" i="22"/>
  <c r="CT253" i="22"/>
  <c r="CH253" i="22"/>
  <c r="BV253" i="22"/>
  <c r="BJ253" i="22"/>
  <c r="BK252" i="22" s="1"/>
  <c r="AX253" i="22"/>
  <c r="AL253" i="22"/>
  <c r="AM253" i="22" s="1"/>
  <c r="Z253" i="22"/>
  <c r="N253" i="22"/>
  <c r="B253" i="22"/>
  <c r="CT252" i="22"/>
  <c r="CH252" i="22"/>
  <c r="BV252" i="22"/>
  <c r="BJ252" i="22"/>
  <c r="AX252" i="22"/>
  <c r="AY252" i="22" s="1"/>
  <c r="AL252" i="22"/>
  <c r="Z252" i="22"/>
  <c r="N252" i="22"/>
  <c r="B252" i="22"/>
  <c r="CT251" i="22"/>
  <c r="CH251" i="22"/>
  <c r="BV251" i="22"/>
  <c r="BJ251" i="22"/>
  <c r="AX251" i="22"/>
  <c r="AL251" i="22"/>
  <c r="Z251" i="22"/>
  <c r="N251" i="22"/>
  <c r="B251" i="22"/>
  <c r="CT250" i="22"/>
  <c r="CH250" i="22"/>
  <c r="BV250" i="22"/>
  <c r="BJ250" i="22"/>
  <c r="BK250" i="22" s="1"/>
  <c r="AX250" i="22"/>
  <c r="AL250" i="22"/>
  <c r="Z250" i="22"/>
  <c r="N250" i="22"/>
  <c r="B250" i="22"/>
  <c r="CT249" i="22"/>
  <c r="CH249" i="22"/>
  <c r="BV249" i="22"/>
  <c r="BJ249" i="22"/>
  <c r="AX249" i="22"/>
  <c r="AL249" i="22"/>
  <c r="AM249" i="22" s="1"/>
  <c r="Z249" i="22"/>
  <c r="N249" i="22"/>
  <c r="B249" i="22"/>
  <c r="CT248" i="22"/>
  <c r="CU248" i="22" s="1"/>
  <c r="CH248" i="22"/>
  <c r="BV248" i="22"/>
  <c r="BJ248" i="22"/>
  <c r="AX248" i="22"/>
  <c r="AY248" i="22" s="1"/>
  <c r="AL248" i="22"/>
  <c r="Z248" i="22"/>
  <c r="N248" i="22"/>
  <c r="B248" i="22"/>
  <c r="C248" i="22" s="1"/>
  <c r="CT247" i="22"/>
  <c r="CH247" i="22"/>
  <c r="CI247" i="22" s="1"/>
  <c r="BV247" i="22"/>
  <c r="BW247" i="22" s="1"/>
  <c r="BJ247" i="22"/>
  <c r="AX247" i="22"/>
  <c r="AL247" i="22"/>
  <c r="Z247" i="22"/>
  <c r="AA247" i="22" s="1"/>
  <c r="N247" i="22"/>
  <c r="O247" i="22" s="1"/>
  <c r="B247" i="22"/>
  <c r="CT246" i="22"/>
  <c r="CU246" i="22" s="1"/>
  <c r="CH246" i="22"/>
  <c r="BV246" i="22"/>
  <c r="BJ246" i="22"/>
  <c r="AX246" i="22"/>
  <c r="AL246" i="22"/>
  <c r="AM246" i="22" s="1"/>
  <c r="Z246" i="22"/>
  <c r="N246" i="22"/>
  <c r="B246" i="22"/>
  <c r="C246" i="22" s="1"/>
  <c r="CT245" i="22"/>
  <c r="CH245" i="22"/>
  <c r="BV245" i="22"/>
  <c r="BJ245" i="22"/>
  <c r="AX245" i="22"/>
  <c r="AL245" i="22"/>
  <c r="Z245" i="22"/>
  <c r="O245" i="22"/>
  <c r="N245" i="22"/>
  <c r="B245" i="22"/>
  <c r="CT244" i="22"/>
  <c r="CU244" i="22" s="1"/>
  <c r="CH244" i="22"/>
  <c r="BV244" i="22"/>
  <c r="BJ244" i="22"/>
  <c r="AY244" i="22"/>
  <c r="AX244" i="22"/>
  <c r="AL244" i="22"/>
  <c r="Z244" i="22"/>
  <c r="AA244" i="22" s="1"/>
  <c r="N244" i="22"/>
  <c r="O244" i="22" s="1"/>
  <c r="B244" i="22"/>
  <c r="C244" i="22" s="1"/>
  <c r="CT243" i="22"/>
  <c r="CH243" i="22"/>
  <c r="BV243" i="22"/>
  <c r="BJ243" i="22"/>
  <c r="BK243" i="22" s="1"/>
  <c r="AX243" i="22"/>
  <c r="AL243" i="22"/>
  <c r="AM243" i="22" s="1"/>
  <c r="Z243" i="22"/>
  <c r="AA243" i="22" s="1"/>
  <c r="N243" i="22"/>
  <c r="B243" i="22"/>
  <c r="CT242" i="22"/>
  <c r="CH242" i="22"/>
  <c r="CI242" i="22" s="1"/>
  <c r="BV242" i="22"/>
  <c r="BJ242" i="22"/>
  <c r="AX242" i="22"/>
  <c r="AY242" i="22" s="1"/>
  <c r="AL242" i="22"/>
  <c r="Z242" i="22"/>
  <c r="N242" i="22"/>
  <c r="B242" i="22"/>
  <c r="CT241" i="22"/>
  <c r="CH241" i="22"/>
  <c r="BV241" i="22"/>
  <c r="BJ241" i="22"/>
  <c r="BK241" i="22" s="1"/>
  <c r="AX241" i="22"/>
  <c r="AL241" i="22"/>
  <c r="Z241" i="22"/>
  <c r="N241" i="22"/>
  <c r="B241" i="22"/>
  <c r="CT240" i="22"/>
  <c r="CH240" i="22"/>
  <c r="BV240" i="22"/>
  <c r="BW240" i="22" s="1"/>
  <c r="BJ240" i="22"/>
  <c r="BK240" i="22" s="1"/>
  <c r="AX240" i="22"/>
  <c r="AL240" i="22"/>
  <c r="Z240" i="22"/>
  <c r="N240" i="22"/>
  <c r="O240" i="22" s="1"/>
  <c r="B240" i="22"/>
  <c r="CT239" i="22"/>
  <c r="CH239" i="22"/>
  <c r="CI239" i="22" s="1"/>
  <c r="BV239" i="22"/>
  <c r="BJ239" i="22"/>
  <c r="AX239" i="22"/>
  <c r="AL239" i="22"/>
  <c r="Z239" i="22"/>
  <c r="AA239" i="22" s="1"/>
  <c r="N239" i="22"/>
  <c r="B239" i="22"/>
  <c r="CT238" i="22"/>
  <c r="CU238" i="22" s="1"/>
  <c r="CH238" i="22"/>
  <c r="BV238" i="22"/>
  <c r="BJ238" i="22"/>
  <c r="AX238" i="22"/>
  <c r="AL238" i="22"/>
  <c r="Z238" i="22"/>
  <c r="N238" i="22"/>
  <c r="B238" i="22"/>
  <c r="C238" i="22" s="1"/>
  <c r="CT237" i="22"/>
  <c r="CU237" i="22" s="1"/>
  <c r="CH237" i="22"/>
  <c r="BV237" i="22"/>
  <c r="BJ237" i="22"/>
  <c r="AX237" i="22"/>
  <c r="AL237" i="22"/>
  <c r="AM237" i="22" s="1"/>
  <c r="Z237" i="22"/>
  <c r="N237" i="22"/>
  <c r="O237" i="22" s="1"/>
  <c r="B237" i="22"/>
  <c r="CT236" i="22"/>
  <c r="CU236" i="22" s="1"/>
  <c r="CH236" i="22"/>
  <c r="BV236" i="22"/>
  <c r="BJ236" i="22"/>
  <c r="AX236" i="22"/>
  <c r="AY236" i="22" s="1"/>
  <c r="AL236" i="22"/>
  <c r="Z236" i="22"/>
  <c r="AA236" i="22" s="1"/>
  <c r="N236" i="22"/>
  <c r="O236" i="22" s="1"/>
  <c r="B236" i="22"/>
  <c r="CT235" i="22"/>
  <c r="CH235" i="22"/>
  <c r="BV235" i="22"/>
  <c r="BW235" i="22" s="1"/>
  <c r="BJ235" i="22"/>
  <c r="BK235" i="22" s="1"/>
  <c r="AX235" i="22"/>
  <c r="AL235" i="22"/>
  <c r="AM235" i="22" s="1"/>
  <c r="Z235" i="22"/>
  <c r="N235" i="22"/>
  <c r="B235" i="22"/>
  <c r="CT234" i="22"/>
  <c r="CU234" i="22" s="1"/>
  <c r="CI234" i="22"/>
  <c r="CH234" i="22"/>
  <c r="BV234" i="22"/>
  <c r="BJ234" i="22"/>
  <c r="AY234" i="22"/>
  <c r="AX234" i="22"/>
  <c r="AL234" i="22"/>
  <c r="AM234" i="22" s="1"/>
  <c r="Z234" i="22"/>
  <c r="N234" i="22"/>
  <c r="B234" i="22"/>
  <c r="C234" i="22" s="1"/>
  <c r="CU233" i="22"/>
  <c r="CT233" i="22"/>
  <c r="CH233" i="22"/>
  <c r="BV233" i="22"/>
  <c r="BK233" i="22"/>
  <c r="BJ233" i="22"/>
  <c r="AX233" i="22"/>
  <c r="AY233" i="22" s="1"/>
  <c r="AL233" i="22"/>
  <c r="Z233" i="22"/>
  <c r="AA233" i="22" s="1"/>
  <c r="N233" i="22"/>
  <c r="O233" i="22" s="1"/>
  <c r="B233" i="22"/>
  <c r="CT232" i="22"/>
  <c r="CH232" i="22"/>
  <c r="BV232" i="22"/>
  <c r="BJ232" i="22"/>
  <c r="BK232" i="22" s="1"/>
  <c r="AX232" i="22"/>
  <c r="AL232" i="22"/>
  <c r="AM232" i="22" s="1"/>
  <c r="Z232" i="22"/>
  <c r="N232" i="22"/>
  <c r="B232" i="22"/>
  <c r="CT231" i="22"/>
  <c r="CU231" i="22" s="1"/>
  <c r="CH231" i="22"/>
  <c r="BV231" i="22"/>
  <c r="BW231" i="22" s="1"/>
  <c r="BJ231" i="22"/>
  <c r="AX231" i="22"/>
  <c r="AY231" i="22" s="1"/>
  <c r="AL231" i="22"/>
  <c r="Z231" i="22"/>
  <c r="AA231" i="22" s="1"/>
  <c r="N231" i="22"/>
  <c r="B231" i="22"/>
  <c r="C231" i="22" s="1"/>
  <c r="CT230" i="22"/>
  <c r="CH230" i="22"/>
  <c r="BV230" i="22"/>
  <c r="BJ230" i="22"/>
  <c r="AX230" i="22"/>
  <c r="AL230" i="22"/>
  <c r="Z230" i="22"/>
  <c r="N230" i="22"/>
  <c r="B230" i="22"/>
  <c r="CT229" i="22"/>
  <c r="CH229" i="22"/>
  <c r="BV229" i="22"/>
  <c r="BW228" i="22" s="1"/>
  <c r="BJ229" i="22"/>
  <c r="AX229" i="22"/>
  <c r="AL229" i="22"/>
  <c r="Z229" i="22"/>
  <c r="N229" i="22"/>
  <c r="C229" i="22"/>
  <c r="B229" i="22"/>
  <c r="CT228" i="22"/>
  <c r="CH228" i="22"/>
  <c r="BV228" i="22"/>
  <c r="BJ228" i="22"/>
  <c r="BK228" i="22" s="1"/>
  <c r="AX228" i="22"/>
  <c r="AL228" i="22"/>
  <c r="Z228" i="22"/>
  <c r="AA228" i="22" s="1"/>
  <c r="N228" i="22"/>
  <c r="B228" i="22"/>
  <c r="CT227" i="22"/>
  <c r="CH227" i="22"/>
  <c r="BV227" i="22"/>
  <c r="BW227" i="22" s="1"/>
  <c r="BJ227" i="22"/>
  <c r="AX227" i="22"/>
  <c r="AL227" i="22"/>
  <c r="AM227" i="22" s="1"/>
  <c r="Z227" i="22"/>
  <c r="AA227" i="22" s="1"/>
  <c r="N227" i="22"/>
  <c r="B227" i="22"/>
  <c r="CT226" i="22"/>
  <c r="CU226" i="22" s="1"/>
  <c r="CH226" i="22"/>
  <c r="CI226" i="22" s="1"/>
  <c r="BV226" i="22"/>
  <c r="BJ226" i="22"/>
  <c r="AX226" i="22"/>
  <c r="AY226" i="22" s="1"/>
  <c r="AL226" i="22"/>
  <c r="Z226" i="22"/>
  <c r="N226" i="22"/>
  <c r="B226" i="22"/>
  <c r="C226" i="22" s="1"/>
  <c r="CT225" i="22"/>
  <c r="CH225" i="22"/>
  <c r="BV225" i="22"/>
  <c r="BJ225" i="22"/>
  <c r="BK225" i="22" s="1"/>
  <c r="AX225" i="22"/>
  <c r="AL225" i="22"/>
  <c r="Z225" i="22"/>
  <c r="N225" i="22"/>
  <c r="O225" i="22" s="1"/>
  <c r="B225" i="22"/>
  <c r="CT224" i="22"/>
  <c r="CH224" i="22"/>
  <c r="BV224" i="22"/>
  <c r="BW224" i="22" s="1"/>
  <c r="BJ224" i="22"/>
  <c r="AX224" i="22"/>
  <c r="AL224" i="22"/>
  <c r="Z224" i="22"/>
  <c r="AA224" i="22" s="1"/>
  <c r="N224" i="22"/>
  <c r="B224" i="22"/>
  <c r="CT223" i="22"/>
  <c r="CH223" i="22"/>
  <c r="CI223" i="22" s="1"/>
  <c r="BV223" i="22"/>
  <c r="BJ223" i="22"/>
  <c r="AX223" i="22"/>
  <c r="AY223" i="22" s="1"/>
  <c r="AL223" i="22"/>
  <c r="Z223" i="22"/>
  <c r="N223" i="22"/>
  <c r="B223" i="22"/>
  <c r="C223" i="22" s="1"/>
  <c r="CT222" i="22"/>
  <c r="CH222" i="22"/>
  <c r="BV222" i="22"/>
  <c r="BJ222" i="22"/>
  <c r="BK222" i="22" s="1"/>
  <c r="AX222" i="22"/>
  <c r="AY222" i="22" s="1"/>
  <c r="AL222" i="22"/>
  <c r="Z222" i="22"/>
  <c r="N222" i="22"/>
  <c r="O222" i="22" s="1"/>
  <c r="B222" i="22"/>
  <c r="C222" i="22" s="1"/>
  <c r="CT221" i="22"/>
  <c r="CH221" i="22"/>
  <c r="BV221" i="22"/>
  <c r="BJ221" i="22"/>
  <c r="BK221" i="22" s="1"/>
  <c r="AX221" i="22"/>
  <c r="AL221" i="22"/>
  <c r="Z221" i="22"/>
  <c r="AA221" i="22" s="1"/>
  <c r="N221" i="22"/>
  <c r="O221" i="22" s="1"/>
  <c r="B221" i="22"/>
  <c r="CT220" i="22"/>
  <c r="CH220" i="22"/>
  <c r="BV220" i="22"/>
  <c r="BW219" i="22" s="1"/>
  <c r="BJ220" i="22"/>
  <c r="AX220" i="22"/>
  <c r="AL220" i="22"/>
  <c r="AM219" i="22" s="1"/>
  <c r="AA220" i="22"/>
  <c r="Z220" i="22"/>
  <c r="N220" i="22"/>
  <c r="O220" i="22" s="1"/>
  <c r="B220" i="22"/>
  <c r="CT219" i="22"/>
  <c r="CH219" i="22"/>
  <c r="CI219" i="22" s="1"/>
  <c r="BV219" i="22"/>
  <c r="BJ219" i="22"/>
  <c r="AX219" i="22"/>
  <c r="AL219" i="22"/>
  <c r="Z219" i="22"/>
  <c r="AA219" i="22" s="1"/>
  <c r="N219" i="22"/>
  <c r="B219" i="22"/>
  <c r="C219" i="22" s="1"/>
  <c r="CT218" i="22"/>
  <c r="CU218" i="22" s="1"/>
  <c r="CH218" i="22"/>
  <c r="BV218" i="22"/>
  <c r="BJ218" i="22"/>
  <c r="BK218" i="22" s="1"/>
  <c r="AX218" i="22"/>
  <c r="AL218" i="22"/>
  <c r="AM218" i="22" s="1"/>
  <c r="Z218" i="22"/>
  <c r="N218" i="22"/>
  <c r="B218" i="22"/>
  <c r="CT217" i="22"/>
  <c r="CH217" i="22"/>
  <c r="BV217" i="22"/>
  <c r="BJ217" i="22"/>
  <c r="AX217" i="22"/>
  <c r="AY217" i="22" s="1"/>
  <c r="AL217" i="22"/>
  <c r="Z217" i="22"/>
  <c r="N217" i="22"/>
  <c r="B217" i="22"/>
  <c r="C217" i="22" s="1"/>
  <c r="CT216" i="22"/>
  <c r="CH216" i="22"/>
  <c r="BV216" i="22"/>
  <c r="BJ216" i="22"/>
  <c r="AX216" i="22"/>
  <c r="AL216" i="22"/>
  <c r="Z216" i="22"/>
  <c r="N216" i="22"/>
  <c r="B216" i="22"/>
  <c r="CT215" i="22"/>
  <c r="CH215" i="22"/>
  <c r="BV215" i="22"/>
  <c r="BJ215" i="22"/>
  <c r="AX215" i="22"/>
  <c r="AL215" i="22"/>
  <c r="AM215" i="22" s="1"/>
  <c r="AA215" i="22"/>
  <c r="Z215" i="22"/>
  <c r="N215" i="22"/>
  <c r="B215" i="22"/>
  <c r="CU214" i="22"/>
  <c r="CT214" i="22"/>
  <c r="CH214" i="22"/>
  <c r="CI214" i="22" s="1"/>
  <c r="BV214" i="22"/>
  <c r="BJ214" i="22"/>
  <c r="AX214" i="22"/>
  <c r="AY214" i="22" s="1"/>
  <c r="AL214" i="22"/>
  <c r="AM214" i="22" s="1"/>
  <c r="Z214" i="22"/>
  <c r="N214" i="22"/>
  <c r="O214" i="22" s="1"/>
  <c r="B214" i="22"/>
  <c r="C214" i="22" s="1"/>
  <c r="CT213" i="22"/>
  <c r="CU213" i="22" s="1"/>
  <c r="CH213" i="22"/>
  <c r="BV213" i="22"/>
  <c r="BJ213" i="22"/>
  <c r="AX213" i="22"/>
  <c r="AY213" i="22" s="1"/>
  <c r="AL213" i="22"/>
  <c r="Z213" i="22"/>
  <c r="N213" i="22"/>
  <c r="O213" i="22" s="1"/>
  <c r="B213" i="22"/>
  <c r="C213" i="22" s="1"/>
  <c r="CT212" i="22"/>
  <c r="CH212" i="22"/>
  <c r="BV212" i="22"/>
  <c r="BW212" i="22" s="1"/>
  <c r="BJ212" i="22"/>
  <c r="BK212" i="22" s="1"/>
  <c r="AX212" i="22"/>
  <c r="AL212" i="22"/>
  <c r="Z212" i="22"/>
  <c r="AA212" i="22" s="1"/>
  <c r="N212" i="22"/>
  <c r="B212" i="22"/>
  <c r="CT211" i="22"/>
  <c r="CH211" i="22"/>
  <c r="CI211" i="22" s="1"/>
  <c r="BV211" i="22"/>
  <c r="BJ211" i="22"/>
  <c r="AX211" i="22"/>
  <c r="AL211" i="22"/>
  <c r="AM211" i="22" s="1"/>
  <c r="Z211" i="22"/>
  <c r="N211" i="22"/>
  <c r="B211" i="22"/>
  <c r="CT210" i="22"/>
  <c r="CU210" i="22" s="1"/>
  <c r="CH210" i="22"/>
  <c r="BV210" i="22"/>
  <c r="BJ210" i="22"/>
  <c r="AX210" i="22"/>
  <c r="AY210" i="22" s="1"/>
  <c r="AL210" i="22"/>
  <c r="AM210" i="22" s="1"/>
  <c r="Z210" i="22"/>
  <c r="N210" i="22"/>
  <c r="B210" i="22"/>
  <c r="C210" i="22" s="1"/>
  <c r="CT209" i="22"/>
  <c r="CU209" i="22" s="1"/>
  <c r="CH209" i="22"/>
  <c r="BV209" i="22"/>
  <c r="BJ209" i="22"/>
  <c r="BK209" i="22" s="1"/>
  <c r="AX209" i="22"/>
  <c r="AL209" i="22"/>
  <c r="Z209" i="22"/>
  <c r="AA209" i="22" s="1"/>
  <c r="N209" i="22"/>
  <c r="B209" i="22"/>
  <c r="CT208" i="22"/>
  <c r="CH208" i="22"/>
  <c r="CI208" i="22" s="1"/>
  <c r="BV208" i="22"/>
  <c r="BJ208" i="22"/>
  <c r="AX208" i="22"/>
  <c r="AL208" i="22"/>
  <c r="AM208" i="22" s="1"/>
  <c r="Z208" i="22"/>
  <c r="AA208" i="22" s="1"/>
  <c r="N208" i="22"/>
  <c r="B208" i="22"/>
  <c r="CT207" i="22"/>
  <c r="CU207" i="22" s="1"/>
  <c r="CH207" i="22"/>
  <c r="CI207" i="22" s="1"/>
  <c r="BV207" i="22"/>
  <c r="BJ207" i="22"/>
  <c r="AX207" i="22"/>
  <c r="AL207" i="22"/>
  <c r="AM207" i="22" s="1"/>
  <c r="Z207" i="22"/>
  <c r="N207" i="22"/>
  <c r="B207" i="22"/>
  <c r="C207" i="22" s="1"/>
  <c r="CT206" i="22"/>
  <c r="CU206" i="22" s="1"/>
  <c r="CH206" i="22"/>
  <c r="BV206" i="22"/>
  <c r="BJ206" i="22"/>
  <c r="AY206" i="22"/>
  <c r="AX206" i="22"/>
  <c r="AL206" i="22"/>
  <c r="AM206" i="22" s="1"/>
  <c r="Z206" i="22"/>
  <c r="N206" i="22"/>
  <c r="B206" i="22"/>
  <c r="C206" i="22" s="1"/>
  <c r="CU205" i="22"/>
  <c r="CT205" i="22"/>
  <c r="CH205" i="22"/>
  <c r="BV205" i="22"/>
  <c r="BK205" i="22"/>
  <c r="BJ205" i="22"/>
  <c r="AX205" i="22"/>
  <c r="AY205" i="22" s="1"/>
  <c r="AL205" i="22"/>
  <c r="Z205" i="22"/>
  <c r="N205" i="22"/>
  <c r="O205" i="22" s="1"/>
  <c r="B205" i="22"/>
  <c r="CT204" i="22"/>
  <c r="CH204" i="22"/>
  <c r="BV204" i="22"/>
  <c r="BW204" i="22" s="1"/>
  <c r="BJ204" i="22"/>
  <c r="BK204" i="22" s="1"/>
  <c r="AX204" i="22"/>
  <c r="AY204" i="22" s="1"/>
  <c r="AL204" i="22"/>
  <c r="Z204" i="22"/>
  <c r="N204" i="22"/>
  <c r="B204" i="22"/>
  <c r="CT203" i="22"/>
  <c r="CH203" i="22"/>
  <c r="BV203" i="22"/>
  <c r="BW203" i="22" s="1"/>
  <c r="BJ203" i="22"/>
  <c r="AX203" i="22"/>
  <c r="AL203" i="22"/>
  <c r="AM203" i="22" s="1"/>
  <c r="Z203" i="22"/>
  <c r="AA203" i="22" s="1"/>
  <c r="N203" i="22"/>
  <c r="B203" i="22"/>
  <c r="CT202" i="22"/>
  <c r="CH202" i="22"/>
  <c r="CI202" i="22" s="1"/>
  <c r="BV202" i="22"/>
  <c r="BJ202" i="22"/>
  <c r="AX202" i="22"/>
  <c r="AL202" i="22"/>
  <c r="Z202" i="22"/>
  <c r="N202" i="22"/>
  <c r="B202" i="22"/>
  <c r="CU201" i="22"/>
  <c r="CT201" i="22"/>
  <c r="CH201" i="22"/>
  <c r="BV201" i="22"/>
  <c r="BJ201" i="22"/>
  <c r="AX201" i="22"/>
  <c r="AL201" i="22"/>
  <c r="Z201" i="22"/>
  <c r="N201" i="22"/>
  <c r="B201" i="22"/>
  <c r="C201" i="22" s="1"/>
  <c r="CT200" i="22"/>
  <c r="CH200" i="22"/>
  <c r="BV200" i="22"/>
  <c r="BW200" i="22" s="1"/>
  <c r="BJ200" i="22"/>
  <c r="AX200" i="22"/>
  <c r="AL200" i="22"/>
  <c r="Z200" i="22"/>
  <c r="N200" i="22"/>
  <c r="B200" i="22"/>
  <c r="CT199" i="22"/>
  <c r="CH199" i="22"/>
  <c r="CI199" i="22" s="1"/>
  <c r="BV199" i="22"/>
  <c r="BJ199" i="22"/>
  <c r="AX199" i="22"/>
  <c r="AL199" i="22"/>
  <c r="AM198" i="22" s="1"/>
  <c r="Z199" i="22"/>
  <c r="N199" i="22"/>
  <c r="B199" i="22"/>
  <c r="CT198" i="22"/>
  <c r="CH198" i="22"/>
  <c r="BV198" i="22"/>
  <c r="BJ198" i="22"/>
  <c r="AX198" i="22"/>
  <c r="AL198" i="22"/>
  <c r="Z198" i="22"/>
  <c r="AA198" i="22" s="1"/>
  <c r="N198" i="22"/>
  <c r="B198" i="22"/>
  <c r="CT197" i="22"/>
  <c r="CH197" i="22"/>
  <c r="BV197" i="22"/>
  <c r="BJ197" i="22"/>
  <c r="AX197" i="22"/>
  <c r="AL197" i="22"/>
  <c r="AM197" i="22" s="1"/>
  <c r="Z197" i="22"/>
  <c r="N197" i="22"/>
  <c r="B197" i="22"/>
  <c r="CT196" i="22"/>
  <c r="CH196" i="22"/>
  <c r="BV196" i="22"/>
  <c r="BJ196" i="22"/>
  <c r="BK196" i="22" s="1"/>
  <c r="AX196" i="22"/>
  <c r="AL196" i="22"/>
  <c r="Z196" i="22"/>
  <c r="N196" i="22"/>
  <c r="O196" i="22" s="1"/>
  <c r="B196" i="22"/>
  <c r="CT195" i="22"/>
  <c r="CH195" i="22"/>
  <c r="BV195" i="22"/>
  <c r="BW195" i="22" s="1"/>
  <c r="BJ195" i="22"/>
  <c r="AX195" i="22"/>
  <c r="AL195" i="22"/>
  <c r="Z195" i="22"/>
  <c r="N195" i="22"/>
  <c r="B195" i="22"/>
  <c r="CT194" i="22"/>
  <c r="CH194" i="22"/>
  <c r="CI194" i="22" s="1"/>
  <c r="BV194" i="22"/>
  <c r="BJ194" i="22"/>
  <c r="AX194" i="22"/>
  <c r="AL194" i="22"/>
  <c r="Z194" i="22"/>
  <c r="N194" i="22"/>
  <c r="B194" i="22"/>
  <c r="CT193" i="22"/>
  <c r="CU193" i="22" s="1"/>
  <c r="CH193" i="22"/>
  <c r="BV193" i="22"/>
  <c r="BJ193" i="22"/>
  <c r="BK193" i="22" s="1"/>
  <c r="AX193" i="22"/>
  <c r="AL193" i="22"/>
  <c r="Z193" i="22"/>
  <c r="N193" i="22"/>
  <c r="B193" i="22"/>
  <c r="C193" i="22" s="1"/>
  <c r="CT192" i="22"/>
  <c r="CH192" i="22"/>
  <c r="BV192" i="22"/>
  <c r="BW192" i="22" s="1"/>
  <c r="BJ192" i="22"/>
  <c r="BK192" i="22" s="1"/>
  <c r="AX192" i="22"/>
  <c r="AL192" i="22"/>
  <c r="Z192" i="22"/>
  <c r="N192" i="22"/>
  <c r="O192" i="22" s="1"/>
  <c r="B192" i="22"/>
  <c r="CT191" i="22"/>
  <c r="CH191" i="22"/>
  <c r="BV191" i="22"/>
  <c r="BW191" i="22" s="1"/>
  <c r="BJ191" i="22"/>
  <c r="AX191" i="22"/>
  <c r="AY191" i="22" s="1"/>
  <c r="AM191" i="22"/>
  <c r="AL191" i="22"/>
  <c r="Z191" i="22"/>
  <c r="N191" i="22"/>
  <c r="B191" i="22"/>
  <c r="CT190" i="22"/>
  <c r="CH190" i="22"/>
  <c r="CI190" i="22" s="1"/>
  <c r="BV190" i="22"/>
  <c r="BJ190" i="22"/>
  <c r="AX190" i="22"/>
  <c r="AY190" i="22" s="1"/>
  <c r="AM190" i="22"/>
  <c r="AL190" i="22"/>
  <c r="Z190" i="22"/>
  <c r="N190" i="22"/>
  <c r="C190" i="22"/>
  <c r="B190" i="22"/>
  <c r="CT189" i="22"/>
  <c r="CU189" i="22" s="1"/>
  <c r="CH189" i="22"/>
  <c r="BV189" i="22"/>
  <c r="BJ189" i="22"/>
  <c r="BK189" i="22" s="1"/>
  <c r="AY189" i="22"/>
  <c r="AX189" i="22"/>
  <c r="AL189" i="22"/>
  <c r="Z189" i="22"/>
  <c r="O189" i="22"/>
  <c r="N189" i="22"/>
  <c r="B189" i="22"/>
  <c r="C189" i="22" s="1"/>
  <c r="CT188" i="22"/>
  <c r="CH188" i="22"/>
  <c r="BV188" i="22"/>
  <c r="BW188" i="22" s="1"/>
  <c r="BK188" i="22"/>
  <c r="BJ188" i="22"/>
  <c r="AX188" i="22"/>
  <c r="AL188" i="22"/>
  <c r="AA188" i="22"/>
  <c r="Z188" i="22"/>
  <c r="N188" i="22"/>
  <c r="O188" i="22" s="1"/>
  <c r="B188" i="22"/>
  <c r="CT187" i="22"/>
  <c r="CH187" i="22"/>
  <c r="CI187" i="22" s="1"/>
  <c r="BW187" i="22"/>
  <c r="BV187" i="22"/>
  <c r="BJ187" i="22"/>
  <c r="AX187" i="22"/>
  <c r="AM187" i="22"/>
  <c r="AL187" i="22"/>
  <c r="Z187" i="22"/>
  <c r="AA187" i="22" s="1"/>
  <c r="N187" i="22"/>
  <c r="B187" i="22"/>
  <c r="CT186" i="22"/>
  <c r="CU186" i="22" s="1"/>
  <c r="CI186" i="22"/>
  <c r="CH186" i="22"/>
  <c r="BV186" i="22"/>
  <c r="BJ186" i="22"/>
  <c r="AY186" i="22"/>
  <c r="AX186" i="22"/>
  <c r="AL186" i="22"/>
  <c r="AM186" i="22" s="1"/>
  <c r="Z186" i="22"/>
  <c r="N186" i="22"/>
  <c r="B186" i="22"/>
  <c r="C186" i="22" s="1"/>
  <c r="CU185" i="22"/>
  <c r="CT185" i="22"/>
  <c r="CH185" i="22"/>
  <c r="BV185" i="22"/>
  <c r="BK185" i="22"/>
  <c r="BJ185" i="22"/>
  <c r="AX185" i="22"/>
  <c r="AY185" i="22" s="1"/>
  <c r="AL185" i="22"/>
  <c r="Z185" i="22"/>
  <c r="N185" i="22"/>
  <c r="O185" i="22" s="1"/>
  <c r="B185" i="22"/>
  <c r="C185" i="22" s="1"/>
  <c r="CT184" i="22"/>
  <c r="CH184" i="22"/>
  <c r="BV184" i="22"/>
  <c r="BW184" i="22" s="1"/>
  <c r="BJ184" i="22"/>
  <c r="BK184" i="22" s="1"/>
  <c r="AX184" i="22"/>
  <c r="AL184" i="22"/>
  <c r="Z184" i="22"/>
  <c r="AA184" i="22" s="1"/>
  <c r="N184" i="22"/>
  <c r="O184" i="22" s="1"/>
  <c r="B184" i="22"/>
  <c r="CT183" i="22"/>
  <c r="CH183" i="22"/>
  <c r="CI183" i="22" s="1"/>
  <c r="BV183" i="22"/>
  <c r="BW183" i="22" s="1"/>
  <c r="BJ183" i="22"/>
  <c r="AX183" i="22"/>
  <c r="AL183" i="22"/>
  <c r="AM183" i="22" s="1"/>
  <c r="Z183" i="22"/>
  <c r="N183" i="22"/>
  <c r="B183" i="22"/>
  <c r="CT182" i="22"/>
  <c r="CU182" i="22" s="1"/>
  <c r="CH182" i="22"/>
  <c r="CI182" i="22" s="1"/>
  <c r="BV182" i="22"/>
  <c r="BJ182" i="22"/>
  <c r="AX182" i="22"/>
  <c r="AY182" i="22" s="1"/>
  <c r="AL182" i="22"/>
  <c r="AM182" i="22" s="1"/>
  <c r="Z182" i="22"/>
  <c r="N182" i="22"/>
  <c r="B182" i="22"/>
  <c r="CT181" i="22"/>
  <c r="CU181" i="22" s="1"/>
  <c r="CH181" i="22"/>
  <c r="BV181" i="22"/>
  <c r="BJ181" i="22"/>
  <c r="BK181" i="22" s="1"/>
  <c r="AX181" i="22"/>
  <c r="AL181" i="22"/>
  <c r="Z181" i="22"/>
  <c r="N181" i="22"/>
  <c r="O181" i="22" s="1"/>
  <c r="B181" i="22"/>
  <c r="CT180" i="22"/>
  <c r="CH180" i="22"/>
  <c r="BV180" i="22"/>
  <c r="BJ180" i="22"/>
  <c r="BK180" i="22" s="1"/>
  <c r="AX180" i="22"/>
  <c r="AL180" i="22"/>
  <c r="Z180" i="22"/>
  <c r="N180" i="22"/>
  <c r="B180" i="22"/>
  <c r="CT179" i="22"/>
  <c r="CU179" i="22" s="1"/>
  <c r="CH179" i="22"/>
  <c r="BV179" i="22"/>
  <c r="BJ179" i="22"/>
  <c r="AX179" i="22"/>
  <c r="AL179" i="22"/>
  <c r="Z179" i="22"/>
  <c r="AA179" i="22" s="1"/>
  <c r="N179" i="22"/>
  <c r="B179" i="22"/>
  <c r="C179" i="22" s="1"/>
  <c r="CT178" i="22"/>
  <c r="CH178" i="22"/>
  <c r="BV178" i="22"/>
  <c r="BJ178" i="22"/>
  <c r="AX178" i="22"/>
  <c r="AL178" i="22"/>
  <c r="Z178" i="22"/>
  <c r="N178" i="22"/>
  <c r="O178" i="22" s="1"/>
  <c r="B178" i="22"/>
  <c r="CT177" i="22"/>
  <c r="CH177" i="22"/>
  <c r="BV177" i="22"/>
  <c r="BJ177" i="22"/>
  <c r="AX177" i="22"/>
  <c r="AY177" i="22" s="1"/>
  <c r="AL177" i="22"/>
  <c r="Z177" i="22"/>
  <c r="AA177" i="22" s="1"/>
  <c r="N177" i="22"/>
  <c r="B177" i="22"/>
  <c r="CT176" i="22"/>
  <c r="CH176" i="22"/>
  <c r="BV176" i="22"/>
  <c r="BJ176" i="22"/>
  <c r="AX176" i="22"/>
  <c r="AL176" i="22"/>
  <c r="AM176" i="22" s="1"/>
  <c r="Z176" i="22"/>
  <c r="N176" i="22"/>
  <c r="B176" i="22"/>
  <c r="CT175" i="22"/>
  <c r="CH175" i="22"/>
  <c r="BV175" i="22"/>
  <c r="BW175" i="22" s="1"/>
  <c r="BJ175" i="22"/>
  <c r="AX175" i="22"/>
  <c r="AY175" i="22" s="1"/>
  <c r="AL175" i="22"/>
  <c r="Z175" i="22"/>
  <c r="N175" i="22"/>
  <c r="B175" i="22"/>
  <c r="CT174" i="22"/>
  <c r="CH174" i="22"/>
  <c r="BV174" i="22"/>
  <c r="BJ174" i="22"/>
  <c r="BK174" i="22" s="1"/>
  <c r="AX174" i="22"/>
  <c r="AL174" i="22"/>
  <c r="Z174" i="22"/>
  <c r="N174" i="22"/>
  <c r="B174" i="22"/>
  <c r="CT173" i="22"/>
  <c r="CU173" i="22" s="1"/>
  <c r="CH173" i="22"/>
  <c r="BV173" i="22"/>
  <c r="BW173" i="22" s="1"/>
  <c r="BJ173" i="22"/>
  <c r="AX173" i="22"/>
  <c r="AL173" i="22"/>
  <c r="Z173" i="22"/>
  <c r="N173" i="22"/>
  <c r="B173" i="22"/>
  <c r="CT172" i="22"/>
  <c r="CH172" i="22"/>
  <c r="CI172" i="22" s="1"/>
  <c r="BV172" i="22"/>
  <c r="BJ172" i="22"/>
  <c r="AX172" i="22"/>
  <c r="AL172" i="22"/>
  <c r="Z172" i="22"/>
  <c r="N172" i="22"/>
  <c r="O172" i="22" s="1"/>
  <c r="B172" i="22"/>
  <c r="CT171" i="22"/>
  <c r="CU171" i="22" s="1"/>
  <c r="CH171" i="22"/>
  <c r="BV171" i="22"/>
  <c r="BJ171" i="22"/>
  <c r="AX171" i="22"/>
  <c r="AL171" i="22"/>
  <c r="Z171" i="22"/>
  <c r="N171" i="22"/>
  <c r="B171" i="22"/>
  <c r="C171" i="22" s="1"/>
  <c r="CT170" i="22"/>
  <c r="CH170" i="22"/>
  <c r="BV170" i="22"/>
  <c r="BJ170" i="22"/>
  <c r="AX170" i="22"/>
  <c r="AL170" i="22"/>
  <c r="Z170" i="22"/>
  <c r="N170" i="22"/>
  <c r="O170" i="22" s="1"/>
  <c r="B170" i="22"/>
  <c r="CT169" i="22"/>
  <c r="CH169" i="22"/>
  <c r="BV169" i="22"/>
  <c r="BJ169" i="22"/>
  <c r="AX169" i="22"/>
  <c r="AL169" i="22"/>
  <c r="Z169" i="22"/>
  <c r="AA169" i="22" s="1"/>
  <c r="N169" i="22"/>
  <c r="B169" i="22"/>
  <c r="CT168" i="22"/>
  <c r="CH168" i="22"/>
  <c r="BV168" i="22"/>
  <c r="BJ168" i="22"/>
  <c r="AX168" i="22"/>
  <c r="AL168" i="22"/>
  <c r="AM168" i="22" s="1"/>
  <c r="Z168" i="22"/>
  <c r="N168" i="22"/>
  <c r="B168" i="22"/>
  <c r="CT167" i="22"/>
  <c r="CH167" i="22"/>
  <c r="BV167" i="22"/>
  <c r="BJ167" i="22"/>
  <c r="AX167" i="22"/>
  <c r="AY167" i="22" s="1"/>
  <c r="AL167" i="22"/>
  <c r="Z167" i="22"/>
  <c r="N167" i="22"/>
  <c r="B167" i="22"/>
  <c r="CT166" i="22"/>
  <c r="CH166" i="22"/>
  <c r="BV166" i="22"/>
  <c r="BJ166" i="22"/>
  <c r="BK166" i="22" s="1"/>
  <c r="AX166" i="22"/>
  <c r="AL166" i="22"/>
  <c r="Z166" i="22"/>
  <c r="N166" i="22"/>
  <c r="B166" i="22"/>
  <c r="CT165" i="22"/>
  <c r="CH165" i="22"/>
  <c r="BV165" i="22"/>
  <c r="BW165" i="22" s="1"/>
  <c r="BJ165" i="22"/>
  <c r="AX165" i="22"/>
  <c r="AL165" i="22"/>
  <c r="Z165" i="22"/>
  <c r="N165" i="22"/>
  <c r="B165" i="22"/>
  <c r="CT164" i="22"/>
  <c r="CH164" i="22"/>
  <c r="CI164" i="22" s="1"/>
  <c r="BV164" i="22"/>
  <c r="BJ164" i="22"/>
  <c r="AX164" i="22"/>
  <c r="AL164" i="22"/>
  <c r="Z164" i="22"/>
  <c r="N164" i="22"/>
  <c r="B164" i="22"/>
  <c r="CT163" i="22"/>
  <c r="CU163" i="22" s="1"/>
  <c r="CH163" i="22"/>
  <c r="BV163" i="22"/>
  <c r="BJ163" i="22"/>
  <c r="AX163" i="22"/>
  <c r="AL163" i="22"/>
  <c r="Z163" i="22"/>
  <c r="N163" i="22"/>
  <c r="B163" i="22"/>
  <c r="C163" i="22" s="1"/>
  <c r="CT162" i="22"/>
  <c r="CH162" i="22"/>
  <c r="BV162" i="22"/>
  <c r="BJ162" i="22"/>
  <c r="AX162" i="22"/>
  <c r="AL162" i="22"/>
  <c r="Z162" i="22"/>
  <c r="N162" i="22"/>
  <c r="O162" i="22" s="1"/>
  <c r="B162" i="22"/>
  <c r="CT161" i="22"/>
  <c r="CH161" i="22"/>
  <c r="BV161" i="22"/>
  <c r="BJ161" i="22"/>
  <c r="AX161" i="22"/>
  <c r="AL161" i="22"/>
  <c r="Z161" i="22"/>
  <c r="AA161" i="22" s="1"/>
  <c r="N161" i="22"/>
  <c r="B161" i="22"/>
  <c r="CT160" i="22"/>
  <c r="CH160" i="22"/>
  <c r="BV160" i="22"/>
  <c r="BJ160" i="22"/>
  <c r="AX160" i="22"/>
  <c r="AL160" i="22"/>
  <c r="AM160" i="22" s="1"/>
  <c r="Z160" i="22"/>
  <c r="N160" i="22"/>
  <c r="B160" i="22"/>
  <c r="CT159" i="22"/>
  <c r="CH159" i="22"/>
  <c r="BV159" i="22"/>
  <c r="BJ159" i="22"/>
  <c r="AX159" i="22"/>
  <c r="AY159" i="22" s="1"/>
  <c r="AL159" i="22"/>
  <c r="Z159" i="22"/>
  <c r="N159" i="22"/>
  <c r="B159" i="22"/>
  <c r="CT158" i="22"/>
  <c r="CH158" i="22"/>
  <c r="BV158" i="22"/>
  <c r="BJ158" i="22"/>
  <c r="BK158" i="22" s="1"/>
  <c r="AX158" i="22"/>
  <c r="AL158" i="22"/>
  <c r="Z158" i="22"/>
  <c r="N158" i="22"/>
  <c r="B158" i="22"/>
  <c r="CT157" i="22"/>
  <c r="CH157" i="22"/>
  <c r="BV157" i="22"/>
  <c r="BW157" i="22" s="1"/>
  <c r="BJ157" i="22"/>
  <c r="AX157" i="22"/>
  <c r="AL157" i="22"/>
  <c r="Z157" i="22"/>
  <c r="N157" i="22"/>
  <c r="O157" i="22" s="1"/>
  <c r="B157" i="22"/>
  <c r="C157" i="22" s="1"/>
  <c r="CT156" i="22"/>
  <c r="CH156" i="22"/>
  <c r="BV156" i="22"/>
  <c r="BJ156" i="22"/>
  <c r="BK156" i="22" s="1"/>
  <c r="AX156" i="22"/>
  <c r="AL156" i="22"/>
  <c r="Z156" i="22"/>
  <c r="AA156" i="22" s="1"/>
  <c r="N156" i="22"/>
  <c r="B156" i="22"/>
  <c r="CT155" i="22"/>
  <c r="CH155" i="22"/>
  <c r="CI155" i="22" s="1"/>
  <c r="BV155" i="22"/>
  <c r="BW155" i="22" s="1"/>
  <c r="BJ155" i="22"/>
  <c r="AX155" i="22"/>
  <c r="AY154" i="22" s="1"/>
  <c r="AL155" i="22"/>
  <c r="AM155" i="22" s="1"/>
  <c r="Z155" i="22"/>
  <c r="N155" i="22"/>
  <c r="B155" i="22"/>
  <c r="CT154" i="22"/>
  <c r="CH154" i="22"/>
  <c r="CI154" i="22" s="1"/>
  <c r="BV154" i="22"/>
  <c r="BJ154" i="22"/>
  <c r="AX154" i="22"/>
  <c r="AL154" i="22"/>
  <c r="AM154" i="22" s="1"/>
  <c r="Z154" i="22"/>
  <c r="N154" i="22"/>
  <c r="B154" i="22"/>
  <c r="C154" i="22" s="1"/>
  <c r="CT153" i="22"/>
  <c r="CH153" i="22"/>
  <c r="BV153" i="22"/>
  <c r="BJ153" i="22"/>
  <c r="BK153" i="22" s="1"/>
  <c r="AX153" i="22"/>
  <c r="AY153" i="22" s="1"/>
  <c r="AL153" i="22"/>
  <c r="Z153" i="22"/>
  <c r="N153" i="22"/>
  <c r="O153" i="22" s="1"/>
  <c r="B153" i="22"/>
  <c r="C153" i="22" s="1"/>
  <c r="CT152" i="22"/>
  <c r="CH152" i="22"/>
  <c r="BV152" i="22"/>
  <c r="BW152" i="22" s="1"/>
  <c r="BJ152" i="22"/>
  <c r="BK152" i="22" s="1"/>
  <c r="AX152" i="22"/>
  <c r="AL152" i="22"/>
  <c r="Z152" i="22"/>
  <c r="AA152" i="22" s="1"/>
  <c r="N152" i="22"/>
  <c r="O152" i="22" s="1"/>
  <c r="B152" i="22"/>
  <c r="CT151" i="22"/>
  <c r="CH151" i="22"/>
  <c r="CI151" i="22" s="1"/>
  <c r="BV151" i="22"/>
  <c r="BW151" i="22" s="1"/>
  <c r="BJ151" i="22"/>
  <c r="AX151" i="22"/>
  <c r="AL151" i="22"/>
  <c r="AM151" i="22" s="1"/>
  <c r="Z151" i="22"/>
  <c r="AA151" i="22" s="1"/>
  <c r="N151" i="22"/>
  <c r="B151" i="22"/>
  <c r="CT150" i="22"/>
  <c r="CU150" i="22" s="1"/>
  <c r="CH150" i="22"/>
  <c r="CI150" i="22" s="1"/>
  <c r="BV150" i="22"/>
  <c r="BJ150" i="22"/>
  <c r="AX150" i="22"/>
  <c r="AY150" i="22" s="1"/>
  <c r="AL150" i="22"/>
  <c r="AM150" i="22" s="1"/>
  <c r="Z150" i="22"/>
  <c r="N150" i="22"/>
  <c r="B150" i="22"/>
  <c r="C150" i="22" s="1"/>
  <c r="CT149" i="22"/>
  <c r="CU149" i="22" s="1"/>
  <c r="CH149" i="22"/>
  <c r="BV149" i="22"/>
  <c r="BJ149" i="22"/>
  <c r="AY149" i="22"/>
  <c r="AX149" i="22"/>
  <c r="AL149" i="22"/>
  <c r="Z149" i="22"/>
  <c r="O149" i="22"/>
  <c r="N149" i="22"/>
  <c r="B149" i="22"/>
  <c r="CT148" i="22"/>
  <c r="CH148" i="22"/>
  <c r="BV148" i="22"/>
  <c r="BJ148" i="22"/>
  <c r="BK148" i="22" s="1"/>
  <c r="AX148" i="22"/>
  <c r="AL148" i="22"/>
  <c r="Z148" i="22"/>
  <c r="AA148" i="22" s="1"/>
  <c r="N148" i="22"/>
  <c r="O148" i="22" s="1"/>
  <c r="B148" i="22"/>
  <c r="CT147" i="22"/>
  <c r="CH147" i="22"/>
  <c r="BV147" i="22"/>
  <c r="BW147" i="22" s="1"/>
  <c r="BJ147" i="22"/>
  <c r="AX147" i="22"/>
  <c r="AL147" i="22"/>
  <c r="Z147" i="22"/>
  <c r="AA147" i="22" s="1"/>
  <c r="N147" i="22"/>
  <c r="B147" i="22"/>
  <c r="CT146" i="22"/>
  <c r="CH146" i="22"/>
  <c r="CI146" i="22" s="1"/>
  <c r="BV146" i="22"/>
  <c r="BJ146" i="22"/>
  <c r="AX146" i="22"/>
  <c r="AL146" i="22"/>
  <c r="AM146" i="22" s="1"/>
  <c r="Z146" i="22"/>
  <c r="N146" i="22"/>
  <c r="B146" i="22"/>
  <c r="CT145" i="22"/>
  <c r="CU145" i="22" s="1"/>
  <c r="CH145" i="22"/>
  <c r="BV145" i="22"/>
  <c r="BJ145" i="22"/>
  <c r="AX145" i="22"/>
  <c r="AY145" i="22" s="1"/>
  <c r="AL145" i="22"/>
  <c r="Z145" i="22"/>
  <c r="N145" i="22"/>
  <c r="B145" i="22"/>
  <c r="C145" i="22" s="1"/>
  <c r="CT144" i="22"/>
  <c r="CH144" i="22"/>
  <c r="BV144" i="22"/>
  <c r="BJ144" i="22"/>
  <c r="BK144" i="22" s="1"/>
  <c r="AX144" i="22"/>
  <c r="AL144" i="22"/>
  <c r="Z144" i="22"/>
  <c r="N144" i="22"/>
  <c r="O144" i="22" s="1"/>
  <c r="B144" i="22"/>
  <c r="CT143" i="22"/>
  <c r="CH143" i="22"/>
  <c r="BV143" i="22"/>
  <c r="BW143" i="22" s="1"/>
  <c r="BJ143" i="22"/>
  <c r="AX143" i="22"/>
  <c r="AL143" i="22"/>
  <c r="Z143" i="22"/>
  <c r="AA143" i="22" s="1"/>
  <c r="N143" i="22"/>
  <c r="B143" i="22"/>
  <c r="CT142" i="22"/>
  <c r="CH142" i="22"/>
  <c r="CI142" i="22" s="1"/>
  <c r="BV142" i="22"/>
  <c r="BJ142" i="22"/>
  <c r="AX142" i="22"/>
  <c r="AL142" i="22"/>
  <c r="AM142" i="22" s="1"/>
  <c r="Z142" i="22"/>
  <c r="N142" i="22"/>
  <c r="B142" i="22"/>
  <c r="CT141" i="22"/>
  <c r="CU141" i="22" s="1"/>
  <c r="CH141" i="22"/>
  <c r="BV141" i="22"/>
  <c r="BJ141" i="22"/>
  <c r="AX141" i="22"/>
  <c r="AY141" i="22" s="1"/>
  <c r="AL141" i="22"/>
  <c r="Z141" i="22"/>
  <c r="N141" i="22"/>
  <c r="B141" i="22"/>
  <c r="C141" i="22" s="1"/>
  <c r="CT140" i="22"/>
  <c r="CH140" i="22"/>
  <c r="BV140" i="22"/>
  <c r="BJ140" i="22"/>
  <c r="BK140" i="22" s="1"/>
  <c r="AX140" i="22"/>
  <c r="AL140" i="22"/>
  <c r="Z140" i="22"/>
  <c r="N140" i="22"/>
  <c r="O140" i="22" s="1"/>
  <c r="B140" i="22"/>
  <c r="CT139" i="22"/>
  <c r="CH139" i="22"/>
  <c r="BV139" i="22"/>
  <c r="BW139" i="22" s="1"/>
  <c r="BJ139" i="22"/>
  <c r="AX139" i="22"/>
  <c r="AL139" i="22"/>
  <c r="Z139" i="22"/>
  <c r="AA139" i="22" s="1"/>
  <c r="N139" i="22"/>
  <c r="B139" i="22"/>
  <c r="CT138" i="22"/>
  <c r="CH138" i="22"/>
  <c r="CI138" i="22" s="1"/>
  <c r="BV138" i="22"/>
  <c r="BJ138" i="22"/>
  <c r="AX138" i="22"/>
  <c r="AL138" i="22"/>
  <c r="AM138" i="22" s="1"/>
  <c r="Z138" i="22"/>
  <c r="N138" i="22"/>
  <c r="B138" i="22"/>
  <c r="CT137" i="22"/>
  <c r="CU137" i="22" s="1"/>
  <c r="CH137" i="22"/>
  <c r="BV137" i="22"/>
  <c r="BJ137" i="22"/>
  <c r="AX137" i="22"/>
  <c r="AY137" i="22" s="1"/>
  <c r="AL137" i="22"/>
  <c r="Z137" i="22"/>
  <c r="N137" i="22"/>
  <c r="B137" i="22"/>
  <c r="C137" i="22" s="1"/>
  <c r="CT136" i="22"/>
  <c r="CH136" i="22"/>
  <c r="BV136" i="22"/>
  <c r="BJ136" i="22"/>
  <c r="BK136" i="22" s="1"/>
  <c r="AX136" i="22"/>
  <c r="AL136" i="22"/>
  <c r="Z136" i="22"/>
  <c r="N136" i="22"/>
  <c r="O136" i="22" s="1"/>
  <c r="B136" i="22"/>
  <c r="CT135" i="22"/>
  <c r="CH135" i="22"/>
  <c r="BV135" i="22"/>
  <c r="BW135" i="22" s="1"/>
  <c r="BJ135" i="22"/>
  <c r="AX135" i="22"/>
  <c r="AL135" i="22"/>
  <c r="Z135" i="22"/>
  <c r="AA135" i="22" s="1"/>
  <c r="N135" i="22"/>
  <c r="B135" i="22"/>
  <c r="CT134" i="22"/>
  <c r="CU134" i="22" s="1"/>
  <c r="CH134" i="22"/>
  <c r="CI134" i="22" s="1"/>
  <c r="BV134" i="22"/>
  <c r="BJ134" i="22"/>
  <c r="AX134" i="22"/>
  <c r="AY134" i="22" s="1"/>
  <c r="AL134" i="22"/>
  <c r="Z134" i="22"/>
  <c r="N134" i="22"/>
  <c r="B134" i="22"/>
  <c r="C134" i="22" s="1"/>
  <c r="CT133" i="22"/>
  <c r="CH133" i="22"/>
  <c r="BV133" i="22"/>
  <c r="BJ133" i="22"/>
  <c r="BK133" i="22" s="1"/>
  <c r="AX133" i="22"/>
  <c r="AL133" i="22"/>
  <c r="Z133" i="22"/>
  <c r="O133" i="22"/>
  <c r="N133" i="22"/>
  <c r="B133" i="22"/>
  <c r="CT132" i="22"/>
  <c r="CH132" i="22"/>
  <c r="BV132" i="22"/>
  <c r="BJ132" i="22"/>
  <c r="AX132" i="22"/>
  <c r="AL132" i="22"/>
  <c r="Z132" i="22"/>
  <c r="N132" i="22"/>
  <c r="O132" i="22" s="1"/>
  <c r="B132" i="22"/>
  <c r="CT131" i="22"/>
  <c r="CH131" i="22"/>
  <c r="CI131" i="22" s="1"/>
  <c r="BV131" i="22"/>
  <c r="BJ131" i="22"/>
  <c r="AX131" i="22"/>
  <c r="AL131" i="22"/>
  <c r="Z131" i="22"/>
  <c r="N131" i="22"/>
  <c r="B131" i="22"/>
  <c r="CT130" i="22"/>
  <c r="CH130" i="22"/>
  <c r="CI130" i="22" s="1"/>
  <c r="BV130" i="22"/>
  <c r="BJ130" i="22"/>
  <c r="AX130" i="22"/>
  <c r="AL130" i="22"/>
  <c r="Z130" i="22"/>
  <c r="N130" i="22"/>
  <c r="B130" i="22"/>
  <c r="CT129" i="22"/>
  <c r="CH129" i="22"/>
  <c r="BV129" i="22"/>
  <c r="BJ129" i="22"/>
  <c r="AX129" i="22"/>
  <c r="AY129" i="22" s="1"/>
  <c r="AL129" i="22"/>
  <c r="Z129" i="22"/>
  <c r="N129" i="22"/>
  <c r="O129" i="22" s="1"/>
  <c r="B129" i="22"/>
  <c r="CT128" i="22"/>
  <c r="CH128" i="22"/>
  <c r="BV128" i="22"/>
  <c r="BW128" i="22" s="1"/>
  <c r="BJ128" i="22"/>
  <c r="AX128" i="22"/>
  <c r="AL128" i="22"/>
  <c r="AA128" i="22"/>
  <c r="Z128" i="22"/>
  <c r="N128" i="22"/>
  <c r="B128" i="22"/>
  <c r="CT127" i="22"/>
  <c r="CH127" i="22"/>
  <c r="BV127" i="22"/>
  <c r="BJ127" i="22"/>
  <c r="AX127" i="22"/>
  <c r="AL127" i="22"/>
  <c r="Z127" i="22"/>
  <c r="N127" i="22"/>
  <c r="B127" i="22"/>
  <c r="CT126" i="22"/>
  <c r="CU126" i="22" s="1"/>
  <c r="CH126" i="22"/>
  <c r="CI126" i="22" s="1"/>
  <c r="BV126" i="22"/>
  <c r="BJ126" i="22"/>
  <c r="AX126" i="22"/>
  <c r="AL126" i="22"/>
  <c r="Z126" i="22"/>
  <c r="N126" i="22"/>
  <c r="B126" i="22"/>
  <c r="CT125" i="22"/>
  <c r="CU125" i="22" s="1"/>
  <c r="CH125" i="22"/>
  <c r="BV125" i="22"/>
  <c r="BJ125" i="22"/>
  <c r="BK125" i="22" s="1"/>
  <c r="AX125" i="22"/>
  <c r="AY125" i="22" s="1"/>
  <c r="AL125" i="22"/>
  <c r="Z125" i="22"/>
  <c r="N125" i="22"/>
  <c r="O125" i="22" s="1"/>
  <c r="B125" i="22"/>
  <c r="CT124" i="22"/>
  <c r="CH124" i="22"/>
  <c r="BV124" i="22"/>
  <c r="BJ124" i="22"/>
  <c r="BK124" i="22" s="1"/>
  <c r="AX124" i="22"/>
  <c r="AL124" i="22"/>
  <c r="Z124" i="22"/>
  <c r="N124" i="22"/>
  <c r="O124" i="22" s="1"/>
  <c r="B124" i="22"/>
  <c r="CT123" i="22"/>
  <c r="CH123" i="22"/>
  <c r="BV123" i="22"/>
  <c r="BW123" i="22" s="1"/>
  <c r="BJ123" i="22"/>
  <c r="AX123" i="22"/>
  <c r="AL123" i="22"/>
  <c r="AM122" i="22" s="1"/>
  <c r="Z123" i="22"/>
  <c r="AA123" i="22" s="1"/>
  <c r="N123" i="22"/>
  <c r="B123" i="22"/>
  <c r="CT122" i="22"/>
  <c r="CU122" i="22" s="1"/>
  <c r="CH122" i="22"/>
  <c r="BV122" i="22"/>
  <c r="BJ122" i="22"/>
  <c r="AX122" i="22"/>
  <c r="AY122" i="22" s="1"/>
  <c r="AL122" i="22"/>
  <c r="Z122" i="22"/>
  <c r="N122" i="22"/>
  <c r="C122" i="22"/>
  <c r="B122" i="22"/>
  <c r="CT121" i="22"/>
  <c r="CH121" i="22"/>
  <c r="BV121" i="22"/>
  <c r="BJ121" i="22"/>
  <c r="AX121" i="22"/>
  <c r="AL121" i="22"/>
  <c r="Z121" i="22"/>
  <c r="N121" i="22"/>
  <c r="B121" i="22"/>
  <c r="C121" i="22" s="1"/>
  <c r="CT120" i="22"/>
  <c r="CH120" i="22"/>
  <c r="BV120" i="22"/>
  <c r="BJ120" i="22"/>
  <c r="BK120" i="22" s="1"/>
  <c r="AX120" i="22"/>
  <c r="AL120" i="22"/>
  <c r="Z120" i="22"/>
  <c r="N120" i="22"/>
  <c r="O120" i="22" s="1"/>
  <c r="B120" i="22"/>
  <c r="CT119" i="22"/>
  <c r="CH119" i="22"/>
  <c r="CI119" i="22" s="1"/>
  <c r="BV119" i="22"/>
  <c r="BJ119" i="22"/>
  <c r="AX119" i="22"/>
  <c r="AL119" i="22"/>
  <c r="Z119" i="22"/>
  <c r="N119" i="22"/>
  <c r="B119" i="22"/>
  <c r="CT118" i="22"/>
  <c r="CU118" i="22" s="1"/>
  <c r="CH118" i="22"/>
  <c r="CI118" i="22" s="1"/>
  <c r="BV118" i="22"/>
  <c r="BJ118" i="22"/>
  <c r="AX118" i="22"/>
  <c r="AY118" i="22" s="1"/>
  <c r="AL118" i="22"/>
  <c r="AM118" i="22" s="1"/>
  <c r="Z118" i="22"/>
  <c r="N118" i="22"/>
  <c r="B118" i="22"/>
  <c r="C118" i="22" s="1"/>
  <c r="CT117" i="22"/>
  <c r="CU117" i="22" s="1"/>
  <c r="CH117" i="22"/>
  <c r="BV117" i="22"/>
  <c r="BJ117" i="22"/>
  <c r="BK117" i="22" s="1"/>
  <c r="AX117" i="22"/>
  <c r="AL117" i="22"/>
  <c r="Z117" i="22"/>
  <c r="N117" i="22"/>
  <c r="O117" i="22" s="1"/>
  <c r="B117" i="22"/>
  <c r="CT116" i="22"/>
  <c r="CH116" i="22"/>
  <c r="BV116" i="22"/>
  <c r="BW116" i="22" s="1"/>
  <c r="BJ116" i="22"/>
  <c r="AX116" i="22"/>
  <c r="AL116" i="22"/>
  <c r="AM115" i="22" s="1"/>
  <c r="AA116" i="22"/>
  <c r="Z116" i="22"/>
  <c r="N116" i="22"/>
  <c r="B116" i="22"/>
  <c r="CT115" i="22"/>
  <c r="CH115" i="22"/>
  <c r="BV115" i="22"/>
  <c r="BJ115" i="22"/>
  <c r="AX115" i="22"/>
  <c r="AL115" i="22"/>
  <c r="Z115" i="22"/>
  <c r="AA115" i="22" s="1"/>
  <c r="N115" i="22"/>
  <c r="B115" i="22"/>
  <c r="CT114" i="22"/>
  <c r="CH114" i="22"/>
  <c r="CI114" i="22" s="1"/>
  <c r="BV114" i="22"/>
  <c r="BJ114" i="22"/>
  <c r="AX114" i="22"/>
  <c r="AL114" i="22"/>
  <c r="AM114" i="22" s="1"/>
  <c r="Z114" i="22"/>
  <c r="N114" i="22"/>
  <c r="B114" i="22"/>
  <c r="C114" i="22" s="1"/>
  <c r="CT113" i="22"/>
  <c r="CH113" i="22"/>
  <c r="BV113" i="22"/>
  <c r="BJ113" i="22"/>
  <c r="BK113" i="22" s="1"/>
  <c r="AX113" i="22"/>
  <c r="AL113" i="22"/>
  <c r="Z113" i="22"/>
  <c r="N113" i="22"/>
  <c r="O113" i="22" s="1"/>
  <c r="B113" i="22"/>
  <c r="CT112" i="22"/>
  <c r="CH112" i="22"/>
  <c r="BV112" i="22"/>
  <c r="BW112" i="22" s="1"/>
  <c r="BJ112" i="22"/>
  <c r="AX112" i="22"/>
  <c r="AL112" i="22"/>
  <c r="Z112" i="22"/>
  <c r="N112" i="22"/>
  <c r="B112" i="22"/>
  <c r="CT111" i="22"/>
  <c r="CH111" i="22"/>
  <c r="CI111" i="22" s="1"/>
  <c r="BV111" i="22"/>
  <c r="BW111" i="22" s="1"/>
  <c r="BJ111" i="22"/>
  <c r="AX111" i="22"/>
  <c r="AY110" i="22" s="1"/>
  <c r="AL111" i="22"/>
  <c r="AM111" i="22" s="1"/>
  <c r="Z111" i="22"/>
  <c r="N111" i="22"/>
  <c r="B111" i="22"/>
  <c r="CT110" i="22"/>
  <c r="CH110" i="22"/>
  <c r="BV110" i="22"/>
  <c r="BJ110" i="22"/>
  <c r="AX110" i="22"/>
  <c r="AL110" i="22"/>
  <c r="AM110" i="22" s="1"/>
  <c r="Z110" i="22"/>
  <c r="N110" i="22"/>
  <c r="B110" i="22"/>
  <c r="CT109" i="22"/>
  <c r="CU109" i="22" s="1"/>
  <c r="CH109" i="22"/>
  <c r="BV109" i="22"/>
  <c r="BJ109" i="22"/>
  <c r="AX109" i="22"/>
  <c r="AY109" i="22" s="1"/>
  <c r="AL109" i="22"/>
  <c r="Z109" i="22"/>
  <c r="N109" i="22"/>
  <c r="B109" i="22"/>
  <c r="C109" i="22" s="1"/>
  <c r="CT108" i="22"/>
  <c r="CH108" i="22"/>
  <c r="BV108" i="22"/>
  <c r="BW108" i="22" s="1"/>
  <c r="BJ108" i="22"/>
  <c r="AX108" i="22"/>
  <c r="AL108" i="22"/>
  <c r="Z108" i="22"/>
  <c r="AA108" i="22" s="1"/>
  <c r="N108" i="22"/>
  <c r="B108" i="22"/>
  <c r="CT107" i="22"/>
  <c r="CH107" i="22"/>
  <c r="CI107" i="22" s="1"/>
  <c r="BV107" i="22"/>
  <c r="BJ107" i="22"/>
  <c r="AX107" i="22"/>
  <c r="AL107" i="22"/>
  <c r="AM107" i="22" s="1"/>
  <c r="Z107" i="22"/>
  <c r="N107" i="22"/>
  <c r="B107" i="22"/>
  <c r="CT106" i="22"/>
  <c r="CU106" i="22" s="1"/>
  <c r="CH106" i="22"/>
  <c r="BV106" i="22"/>
  <c r="BJ106" i="22"/>
  <c r="AX106" i="22"/>
  <c r="AY106" i="22" s="1"/>
  <c r="AL106" i="22"/>
  <c r="Z106" i="22"/>
  <c r="N106" i="22"/>
  <c r="B106" i="22"/>
  <c r="C106" i="22" s="1"/>
  <c r="CT105" i="22"/>
  <c r="CH105" i="22"/>
  <c r="BV105" i="22"/>
  <c r="BK105" i="22"/>
  <c r="BJ105" i="22"/>
  <c r="AX105" i="22"/>
  <c r="AL105" i="22"/>
  <c r="Z105" i="22"/>
  <c r="N105" i="22"/>
  <c r="B105" i="22"/>
  <c r="CT104" i="22"/>
  <c r="CH104" i="22"/>
  <c r="BV104" i="22"/>
  <c r="BW104" i="22" s="1"/>
  <c r="BJ104" i="22"/>
  <c r="BK104" i="22" s="1"/>
  <c r="AX104" i="22"/>
  <c r="AL104" i="22"/>
  <c r="Z104" i="22"/>
  <c r="N104" i="22"/>
  <c r="O104" i="22" s="1"/>
  <c r="B104" i="22"/>
  <c r="CT103" i="22"/>
  <c r="CH103" i="22"/>
  <c r="BV103" i="22"/>
  <c r="BW103" i="22" s="1"/>
  <c r="BJ103" i="22"/>
  <c r="AX103" i="22"/>
  <c r="AL103" i="22"/>
  <c r="AM103" i="22" s="1"/>
  <c r="Z103" i="22"/>
  <c r="N103" i="22"/>
  <c r="B103" i="22"/>
  <c r="CT102" i="22"/>
  <c r="CU102" i="22" s="1"/>
  <c r="CH102" i="22"/>
  <c r="BV102" i="22"/>
  <c r="BJ102" i="22"/>
  <c r="AX102" i="22"/>
  <c r="AY102" i="22" s="1"/>
  <c r="AL102" i="22"/>
  <c r="Z102" i="22"/>
  <c r="N102" i="22"/>
  <c r="B102" i="22"/>
  <c r="C102" i="22" s="1"/>
  <c r="CT101" i="22"/>
  <c r="CH101" i="22"/>
  <c r="BV101" i="22"/>
  <c r="BJ101" i="22"/>
  <c r="AX101" i="22"/>
  <c r="AL101" i="22"/>
  <c r="Z101" i="22"/>
  <c r="N101" i="22"/>
  <c r="B101" i="22"/>
  <c r="C101" i="22" s="1"/>
  <c r="CT100" i="22"/>
  <c r="CH100" i="22"/>
  <c r="BV100" i="22"/>
  <c r="BW100" i="22" s="1"/>
  <c r="BJ100" i="22"/>
  <c r="BK100" i="22" s="1"/>
  <c r="AX100" i="22"/>
  <c r="AL100" i="22"/>
  <c r="Z100" i="22"/>
  <c r="AA100" i="22" s="1"/>
  <c r="N100" i="22"/>
  <c r="O100" i="22" s="1"/>
  <c r="B100" i="22"/>
  <c r="CT99" i="22"/>
  <c r="CH99" i="22"/>
  <c r="CI99" i="22" s="1"/>
  <c r="BV99" i="22"/>
  <c r="BJ99" i="22"/>
  <c r="AX99" i="22"/>
  <c r="AL99" i="22"/>
  <c r="AM99" i="22" s="1"/>
  <c r="Z99" i="22"/>
  <c r="N99" i="22"/>
  <c r="B99" i="22"/>
  <c r="CT98" i="22"/>
  <c r="CU98" i="22" s="1"/>
  <c r="CH98" i="22"/>
  <c r="BV98" i="22"/>
  <c r="BJ98" i="22"/>
  <c r="AY98" i="22"/>
  <c r="AX98" i="22"/>
  <c r="AL98" i="22"/>
  <c r="Z98" i="22"/>
  <c r="N98" i="22"/>
  <c r="B98" i="22"/>
  <c r="CT97" i="22"/>
  <c r="CH97" i="22"/>
  <c r="BV97" i="22"/>
  <c r="BJ97" i="22"/>
  <c r="AX97" i="22"/>
  <c r="AY97" i="22" s="1"/>
  <c r="AL97" i="22"/>
  <c r="Z97" i="22"/>
  <c r="N97" i="22"/>
  <c r="B97" i="22"/>
  <c r="C97" i="22" s="1"/>
  <c r="CT96" i="22"/>
  <c r="CH96" i="22"/>
  <c r="BV96" i="22"/>
  <c r="BJ96" i="22"/>
  <c r="BK96" i="22" s="1"/>
  <c r="AX96" i="22"/>
  <c r="AL96" i="22"/>
  <c r="Z96" i="22"/>
  <c r="AA96" i="22" s="1"/>
  <c r="N96" i="22"/>
  <c r="B96" i="22"/>
  <c r="CT95" i="22"/>
  <c r="CH95" i="22"/>
  <c r="CI95" i="22" s="1"/>
  <c r="BV95" i="22"/>
  <c r="BJ95" i="22"/>
  <c r="AX95" i="22"/>
  <c r="AL95" i="22"/>
  <c r="AM95" i="22" s="1"/>
  <c r="Z95" i="22"/>
  <c r="AA95" i="22" s="1"/>
  <c r="N95" i="22"/>
  <c r="B95" i="22"/>
  <c r="CT94" i="22"/>
  <c r="CH94" i="22"/>
  <c r="CI94" i="22" s="1"/>
  <c r="BV94" i="22"/>
  <c r="BJ94" i="22"/>
  <c r="BK94" i="22" s="1"/>
  <c r="AX94" i="22"/>
  <c r="AY94" i="22" s="1"/>
  <c r="AL94" i="22"/>
  <c r="Z94" i="22"/>
  <c r="N94" i="22"/>
  <c r="B94" i="22"/>
  <c r="C94" i="22" s="1"/>
  <c r="CU93" i="22"/>
  <c r="CT93" i="22"/>
  <c r="CH93" i="22"/>
  <c r="BV93" i="22"/>
  <c r="BJ93" i="22"/>
  <c r="BK93" i="22" s="1"/>
  <c r="AX93" i="22"/>
  <c r="AL93" i="22"/>
  <c r="Z93" i="22"/>
  <c r="N93" i="22"/>
  <c r="O93" i="22" s="1"/>
  <c r="B93" i="22"/>
  <c r="CT92" i="22"/>
  <c r="CH92" i="22"/>
  <c r="BV92" i="22"/>
  <c r="BJ92" i="22"/>
  <c r="AX92" i="22"/>
  <c r="AL92" i="22"/>
  <c r="Z92" i="22"/>
  <c r="AA92" i="22" s="1"/>
  <c r="N92" i="22"/>
  <c r="B92" i="22"/>
  <c r="CT91" i="22"/>
  <c r="CH91" i="22"/>
  <c r="CI91" i="22" s="1"/>
  <c r="BV91" i="22"/>
  <c r="BJ91" i="22"/>
  <c r="AX91" i="22"/>
  <c r="AL91" i="22"/>
  <c r="Z91" i="22"/>
  <c r="N91" i="22"/>
  <c r="B91" i="22"/>
  <c r="C91" i="22" s="1"/>
  <c r="CT90" i="22"/>
  <c r="CH90" i="22"/>
  <c r="BV90" i="22"/>
  <c r="BJ90" i="22"/>
  <c r="AX90" i="22"/>
  <c r="AY90" i="22" s="1"/>
  <c r="AL90" i="22"/>
  <c r="Z90" i="22"/>
  <c r="N90" i="22"/>
  <c r="O90" i="22" s="1"/>
  <c r="B90" i="22"/>
  <c r="C90" i="22" s="1"/>
  <c r="CT89" i="22"/>
  <c r="CH89" i="22"/>
  <c r="BV89" i="22"/>
  <c r="BJ89" i="22"/>
  <c r="BK89" i="22" s="1"/>
  <c r="AX89" i="22"/>
  <c r="AL89" i="22"/>
  <c r="Z89" i="22"/>
  <c r="N89" i="22"/>
  <c r="B89" i="22"/>
  <c r="CT88" i="22"/>
  <c r="CH88" i="22"/>
  <c r="BV88" i="22"/>
  <c r="BW88" i="22" s="1"/>
  <c r="BJ88" i="22"/>
  <c r="AX88" i="22"/>
  <c r="AL88" i="22"/>
  <c r="AM88" i="22" s="1"/>
  <c r="Z88" i="22"/>
  <c r="N88" i="22"/>
  <c r="B88" i="22"/>
  <c r="CT87" i="22"/>
  <c r="CH87" i="22"/>
  <c r="CI87" i="22" s="1"/>
  <c r="BV87" i="22"/>
  <c r="BJ87" i="22"/>
  <c r="AX87" i="22"/>
  <c r="AY87" i="22" s="1"/>
  <c r="AL87" i="22"/>
  <c r="Z87" i="22"/>
  <c r="N87" i="22"/>
  <c r="B87" i="22"/>
  <c r="CT86" i="22"/>
  <c r="CH86" i="22"/>
  <c r="CI86" i="22" s="1"/>
  <c r="BV86" i="22"/>
  <c r="BJ86" i="22"/>
  <c r="AX86" i="22"/>
  <c r="AL86" i="22"/>
  <c r="Z86" i="22"/>
  <c r="N86" i="22"/>
  <c r="B86" i="22"/>
  <c r="CT85" i="22"/>
  <c r="CH85" i="22"/>
  <c r="BV85" i="22"/>
  <c r="BW85" i="22" s="1"/>
  <c r="BJ85" i="22"/>
  <c r="AX85" i="22"/>
  <c r="AL85" i="22"/>
  <c r="Z85" i="22"/>
  <c r="N85" i="22"/>
  <c r="B85" i="22"/>
  <c r="C85" i="22" s="1"/>
  <c r="CT84" i="22"/>
  <c r="CI84" i="22"/>
  <c r="CH84" i="22"/>
  <c r="BV84" i="22"/>
  <c r="BJ84" i="22"/>
  <c r="AX84" i="22"/>
  <c r="AL84" i="22"/>
  <c r="Z84" i="22"/>
  <c r="N84" i="22"/>
  <c r="O84" i="22" s="1"/>
  <c r="B84" i="22"/>
  <c r="CT83" i="22"/>
  <c r="CH83" i="22"/>
  <c r="CI83" i="22" s="1"/>
  <c r="BV83" i="22"/>
  <c r="BJ83" i="22"/>
  <c r="AX83" i="22"/>
  <c r="AL83" i="22"/>
  <c r="AM83" i="22" s="1"/>
  <c r="Z83" i="22"/>
  <c r="AA83" i="22" s="1"/>
  <c r="N83" i="22"/>
  <c r="B83" i="22"/>
  <c r="CT82" i="22"/>
  <c r="CU82" i="22" s="1"/>
  <c r="CH82" i="22"/>
  <c r="BV82" i="22"/>
  <c r="BJ82" i="22"/>
  <c r="AX82" i="22"/>
  <c r="AY82" i="22" s="1"/>
  <c r="AL82" i="22"/>
  <c r="Z82" i="22"/>
  <c r="N82" i="22"/>
  <c r="B82" i="22"/>
  <c r="C82" i="22" s="1"/>
  <c r="CT81" i="22"/>
  <c r="CH81" i="22"/>
  <c r="BV81" i="22"/>
  <c r="BJ81" i="22"/>
  <c r="BK81" i="22" s="1"/>
  <c r="AX81" i="22"/>
  <c r="AL81" i="22"/>
  <c r="Z81" i="22"/>
  <c r="N81" i="22"/>
  <c r="B81" i="22"/>
  <c r="CT80" i="22"/>
  <c r="CH80" i="22"/>
  <c r="BV80" i="22"/>
  <c r="BW80" i="22" s="1"/>
  <c r="BJ80" i="22"/>
  <c r="BK80" i="22" s="1"/>
  <c r="AX80" i="22"/>
  <c r="AL80" i="22"/>
  <c r="AM80" i="22" s="1"/>
  <c r="Z80" i="22"/>
  <c r="AA80" i="22" s="1"/>
  <c r="N80" i="22"/>
  <c r="O80" i="22" s="1"/>
  <c r="B80" i="22"/>
  <c r="CT79" i="22"/>
  <c r="CH79" i="22"/>
  <c r="CI79" i="22" s="1"/>
  <c r="BV79" i="22"/>
  <c r="BW79" i="22" s="1"/>
  <c r="BJ79" i="22"/>
  <c r="AX79" i="22"/>
  <c r="AL79" i="22"/>
  <c r="AM79" i="22" s="1"/>
  <c r="AA79" i="22"/>
  <c r="Z79" i="22"/>
  <c r="N79" i="22"/>
  <c r="B79" i="22"/>
  <c r="CU78" i="22"/>
  <c r="CT78" i="22"/>
  <c r="CH78" i="22"/>
  <c r="BV78" i="22"/>
  <c r="BK78" i="22"/>
  <c r="BJ78" i="22"/>
  <c r="AX78" i="22"/>
  <c r="AY78" i="22" s="1"/>
  <c r="AL78" i="22"/>
  <c r="AM78" i="22" s="1"/>
  <c r="Z78" i="22"/>
  <c r="AA78" i="22" s="1"/>
  <c r="N78" i="22"/>
  <c r="B78" i="22"/>
  <c r="C78" i="22" s="1"/>
  <c r="CT77" i="22"/>
  <c r="CU77" i="22" s="1"/>
  <c r="CH77" i="22"/>
  <c r="BV77" i="22"/>
  <c r="BW77" i="22" s="1"/>
  <c r="BJ77" i="22"/>
  <c r="BK77" i="22" s="1"/>
  <c r="AX77" i="22"/>
  <c r="AL77" i="22"/>
  <c r="Z77" i="22"/>
  <c r="N77" i="22"/>
  <c r="O77" i="22" s="1"/>
  <c r="B77" i="22"/>
  <c r="CT76" i="22"/>
  <c r="CH76" i="22"/>
  <c r="CI76" i="22" s="1"/>
  <c r="BV76" i="22"/>
  <c r="BW76" i="22" s="1"/>
  <c r="BJ76" i="22"/>
  <c r="AX76" i="22"/>
  <c r="AY76" i="22" s="1"/>
  <c r="AL76" i="22"/>
  <c r="Z76" i="22"/>
  <c r="AA76" i="22" s="1"/>
  <c r="N76" i="22"/>
  <c r="B76" i="22"/>
  <c r="CT75" i="22"/>
  <c r="CU75" i="22" s="1"/>
  <c r="CH75" i="22"/>
  <c r="CI75" i="22" s="1"/>
  <c r="BV75" i="22"/>
  <c r="BJ75" i="22"/>
  <c r="BK75" i="22" s="1"/>
  <c r="AX75" i="22"/>
  <c r="AL75" i="22"/>
  <c r="AM75" i="22" s="1"/>
  <c r="Z75" i="22"/>
  <c r="N75" i="22"/>
  <c r="B75" i="22"/>
  <c r="CT74" i="22"/>
  <c r="CU74" i="22" s="1"/>
  <c r="CH74" i="22"/>
  <c r="BV74" i="22"/>
  <c r="BJ74" i="22"/>
  <c r="AX74" i="22"/>
  <c r="AY74" i="22" s="1"/>
  <c r="AL74" i="22"/>
  <c r="Z74" i="22"/>
  <c r="N74" i="22"/>
  <c r="O74" i="22" s="1"/>
  <c r="B74" i="22"/>
  <c r="C74" i="22" s="1"/>
  <c r="CT73" i="22"/>
  <c r="CH73" i="22"/>
  <c r="CI73" i="22" s="1"/>
  <c r="BV73" i="22"/>
  <c r="BJ73" i="22"/>
  <c r="BK73" i="22" s="1"/>
  <c r="AX73" i="22"/>
  <c r="AL73" i="22"/>
  <c r="Z73" i="22"/>
  <c r="AA73" i="22" s="1"/>
  <c r="N73" i="22"/>
  <c r="O73" i="22" s="1"/>
  <c r="B73" i="22"/>
  <c r="CT72" i="22"/>
  <c r="CH72" i="22"/>
  <c r="BV72" i="22"/>
  <c r="BW72" i="22" s="1"/>
  <c r="BJ72" i="22"/>
  <c r="AX72" i="22"/>
  <c r="AL72" i="22"/>
  <c r="AM72" i="22" s="1"/>
  <c r="Z72" i="22"/>
  <c r="AA72" i="22" s="1"/>
  <c r="N72" i="22"/>
  <c r="B72" i="22"/>
  <c r="C72" i="22" s="1"/>
  <c r="CT71" i="22"/>
  <c r="CH71" i="22"/>
  <c r="CI71" i="22" s="1"/>
  <c r="BV71" i="22"/>
  <c r="BJ71" i="22"/>
  <c r="AX71" i="22"/>
  <c r="AL71" i="22"/>
  <c r="AM71" i="22" s="1"/>
  <c r="Z71" i="22"/>
  <c r="N71" i="22"/>
  <c r="B71" i="22"/>
  <c r="CT70" i="22"/>
  <c r="CU70" i="22" s="1"/>
  <c r="CH70" i="22"/>
  <c r="BV70" i="22"/>
  <c r="BJ70" i="22"/>
  <c r="BK70" i="22" s="1"/>
  <c r="AX70" i="22"/>
  <c r="AY70" i="22" s="1"/>
  <c r="AL70" i="22"/>
  <c r="Z70" i="22"/>
  <c r="AA70" i="22" s="1"/>
  <c r="N70" i="22"/>
  <c r="B70" i="22"/>
  <c r="C70" i="22" s="1"/>
  <c r="CT69" i="22"/>
  <c r="CH69" i="22"/>
  <c r="BV69" i="22"/>
  <c r="BW69" i="22" s="1"/>
  <c r="BJ69" i="22"/>
  <c r="BK69" i="22" s="1"/>
  <c r="AX69" i="22"/>
  <c r="AL69" i="22"/>
  <c r="Z69" i="22"/>
  <c r="N69" i="22"/>
  <c r="O69" i="22" s="1"/>
  <c r="B69" i="22"/>
  <c r="CT68" i="22"/>
  <c r="CH68" i="22"/>
  <c r="CI68" i="22" s="1"/>
  <c r="BV68" i="22"/>
  <c r="BW68" i="22" s="1"/>
  <c r="BJ68" i="22"/>
  <c r="AX68" i="22"/>
  <c r="AY68" i="22" s="1"/>
  <c r="AL68" i="22"/>
  <c r="Z68" i="22"/>
  <c r="N68" i="22"/>
  <c r="B68" i="22"/>
  <c r="CT67" i="22"/>
  <c r="CU67" i="22" s="1"/>
  <c r="CH67" i="22"/>
  <c r="BV67" i="22"/>
  <c r="BJ67" i="22"/>
  <c r="BK67" i="22" s="1"/>
  <c r="AX67" i="22"/>
  <c r="AL67" i="22"/>
  <c r="AM67" i="22" s="1"/>
  <c r="Z67" i="22"/>
  <c r="N67" i="22"/>
  <c r="B67" i="22"/>
  <c r="C67" i="22" s="1"/>
  <c r="CT66" i="22"/>
  <c r="CU66" i="22" s="1"/>
  <c r="CH66" i="22"/>
  <c r="BV66" i="22"/>
  <c r="BW66" i="22" s="1"/>
  <c r="BJ66" i="22"/>
  <c r="AX66" i="22"/>
  <c r="AY66" i="22" s="1"/>
  <c r="AL66" i="22"/>
  <c r="Z66" i="22"/>
  <c r="N66" i="22"/>
  <c r="O66" i="22" s="1"/>
  <c r="B66" i="22"/>
  <c r="C66" i="22" s="1"/>
  <c r="CT65" i="22"/>
  <c r="CH65" i="22"/>
  <c r="BV65" i="22"/>
  <c r="BJ65" i="22"/>
  <c r="AX65" i="22"/>
  <c r="AL65" i="22"/>
  <c r="Z65" i="22"/>
  <c r="N65" i="22"/>
  <c r="O65" i="22" s="1"/>
  <c r="B65" i="22"/>
  <c r="C65" i="22" s="1"/>
  <c r="CT64" i="22"/>
  <c r="CH64" i="22"/>
  <c r="BV64" i="22"/>
  <c r="BW64" i="22" s="1"/>
  <c r="BJ64" i="22"/>
  <c r="AX64" i="22"/>
  <c r="AL64" i="22"/>
  <c r="Z64" i="22"/>
  <c r="N64" i="22"/>
  <c r="B64" i="22"/>
  <c r="C64" i="22" s="1"/>
  <c r="CT63" i="22"/>
  <c r="CH63" i="22"/>
  <c r="BV63" i="22"/>
  <c r="BW63" i="22" s="1"/>
  <c r="BJ63" i="22"/>
  <c r="AX63" i="22"/>
  <c r="AL63" i="22"/>
  <c r="AM63" i="22" s="1"/>
  <c r="Z63" i="22"/>
  <c r="AA63" i="22" s="1"/>
  <c r="N63" i="22"/>
  <c r="O63" i="22" s="1"/>
  <c r="B63" i="22"/>
  <c r="CT62" i="22"/>
  <c r="CH62" i="22"/>
  <c r="BV62" i="22"/>
  <c r="BJ62" i="22"/>
  <c r="AX62" i="22"/>
  <c r="AL62" i="22"/>
  <c r="Z62" i="22"/>
  <c r="AA62" i="22" s="1"/>
  <c r="N62" i="22"/>
  <c r="B62" i="22"/>
  <c r="CT61" i="22"/>
  <c r="CU61" i="22" s="1"/>
  <c r="CH61" i="22"/>
  <c r="BV61" i="22"/>
  <c r="BJ61" i="22"/>
  <c r="AX61" i="22"/>
  <c r="AY61" i="22" s="1"/>
  <c r="AL61" i="22"/>
  <c r="AM61" i="22" s="1"/>
  <c r="Z61" i="22"/>
  <c r="N61" i="22"/>
  <c r="O61" i="22" s="1"/>
  <c r="B61" i="22"/>
  <c r="CT60" i="22"/>
  <c r="CH60" i="22"/>
  <c r="BV60" i="22"/>
  <c r="BJ60" i="22"/>
  <c r="BK60" i="22" s="1"/>
  <c r="AX60" i="22"/>
  <c r="AL60" i="22"/>
  <c r="Z60" i="22"/>
  <c r="AA60" i="22" s="1"/>
  <c r="N60" i="22"/>
  <c r="B60" i="22"/>
  <c r="CT59" i="22"/>
  <c r="CU59" i="22" s="1"/>
  <c r="CH59" i="22"/>
  <c r="CI59" i="22" s="1"/>
  <c r="BV59" i="22"/>
  <c r="BW59" i="22" s="1"/>
  <c r="BJ59" i="22"/>
  <c r="AX59" i="22"/>
  <c r="AL59" i="22"/>
  <c r="Z59" i="22"/>
  <c r="N59" i="22"/>
  <c r="B59" i="22"/>
  <c r="CT58" i="22"/>
  <c r="CH58" i="22"/>
  <c r="CI58" i="22" s="1"/>
  <c r="BV58" i="22"/>
  <c r="BJ58" i="22"/>
  <c r="AX58" i="22"/>
  <c r="AL58" i="22"/>
  <c r="Z58" i="22"/>
  <c r="N58" i="22"/>
  <c r="O58" i="22" s="1"/>
  <c r="B58" i="22"/>
  <c r="CT57" i="22"/>
  <c r="CU57" i="22" s="1"/>
  <c r="CH57" i="22"/>
  <c r="CI57" i="22" s="1"/>
  <c r="BV57" i="22"/>
  <c r="BJ57" i="22"/>
  <c r="AX57" i="22"/>
  <c r="AL57" i="22"/>
  <c r="Z57" i="22"/>
  <c r="N57" i="22"/>
  <c r="B57" i="22"/>
  <c r="C57" i="22" s="1"/>
  <c r="CT56" i="22"/>
  <c r="CH56" i="22"/>
  <c r="BV56" i="22"/>
  <c r="BJ56" i="22"/>
  <c r="AX56" i="22"/>
  <c r="AL56" i="22"/>
  <c r="Z56" i="22"/>
  <c r="N56" i="22"/>
  <c r="B56" i="22"/>
  <c r="C56" i="22" s="1"/>
  <c r="CT55" i="22"/>
  <c r="CU55" i="22" s="1"/>
  <c r="CH55" i="22"/>
  <c r="BV55" i="22"/>
  <c r="BW55" i="22" s="1"/>
  <c r="BJ55" i="22"/>
  <c r="BK55" i="22" s="1"/>
  <c r="AX55" i="22"/>
  <c r="AL55" i="22"/>
  <c r="Z55" i="22"/>
  <c r="N55" i="22"/>
  <c r="O55" i="22" s="1"/>
  <c r="B55" i="22"/>
  <c r="CT54" i="22"/>
  <c r="CH54" i="22"/>
  <c r="BV54" i="22"/>
  <c r="BW54" i="22" s="1"/>
  <c r="BJ54" i="22"/>
  <c r="AX54" i="22"/>
  <c r="AL54" i="22"/>
  <c r="Z54" i="22"/>
  <c r="AA54" i="22" s="1"/>
  <c r="N54" i="22"/>
  <c r="B54" i="22"/>
  <c r="CT53" i="22"/>
  <c r="CH53" i="22"/>
  <c r="BV53" i="22"/>
  <c r="BJ53" i="22"/>
  <c r="AX53" i="22"/>
  <c r="AL53" i="22"/>
  <c r="Z53" i="22"/>
  <c r="N53" i="22"/>
  <c r="B53" i="22"/>
  <c r="CT52" i="22"/>
  <c r="CU52" i="22" s="1"/>
  <c r="CH52" i="22"/>
  <c r="BV52" i="22"/>
  <c r="BJ52" i="22"/>
  <c r="AX52" i="22"/>
  <c r="AY52" i="22" s="1"/>
  <c r="AL52" i="22"/>
  <c r="Z52" i="22"/>
  <c r="N52" i="22"/>
  <c r="B52" i="22"/>
  <c r="C52" i="22" s="1"/>
  <c r="CT51" i="22"/>
  <c r="CH51" i="22"/>
  <c r="BV51" i="22"/>
  <c r="BJ51" i="22"/>
  <c r="BK51" i="22" s="1"/>
  <c r="AX51" i="22"/>
  <c r="AL51" i="22"/>
  <c r="Z51" i="22"/>
  <c r="O51" i="22"/>
  <c r="N51" i="22"/>
  <c r="B51" i="22"/>
  <c r="CT50" i="22"/>
  <c r="CH50" i="22"/>
  <c r="BV50" i="22"/>
  <c r="BJ50" i="22"/>
  <c r="AX50" i="22"/>
  <c r="AY50" i="22" s="1"/>
  <c r="AL50" i="22"/>
  <c r="Z50" i="22"/>
  <c r="N50" i="22"/>
  <c r="O50" i="22" s="1"/>
  <c r="J50" i="22"/>
  <c r="G50" i="22"/>
  <c r="B50" i="22"/>
  <c r="CT49" i="22"/>
  <c r="CH49" i="22"/>
  <c r="BV49" i="22"/>
  <c r="BW49" i="22" s="1"/>
  <c r="BJ49" i="22"/>
  <c r="AX49" i="22"/>
  <c r="AL49" i="22"/>
  <c r="Z49" i="22"/>
  <c r="AA49" i="22" s="1"/>
  <c r="N49" i="22"/>
  <c r="J49" i="22"/>
  <c r="G49" i="22"/>
  <c r="B49" i="22"/>
  <c r="DB48" i="22"/>
  <c r="CY48" i="22"/>
  <c r="CT48" i="22"/>
  <c r="CP48" i="22"/>
  <c r="CM48" i="22"/>
  <c r="CH48" i="22"/>
  <c r="CD48" i="22"/>
  <c r="CA48" i="22"/>
  <c r="BV48" i="22"/>
  <c r="BR48" i="22"/>
  <c r="BO48" i="22"/>
  <c r="BJ48" i="22"/>
  <c r="BF48" i="22"/>
  <c r="BC48" i="22"/>
  <c r="AX48" i="22"/>
  <c r="AT48" i="22"/>
  <c r="AQ48" i="22"/>
  <c r="AL48" i="22"/>
  <c r="AH48" i="22"/>
  <c r="AE48" i="22"/>
  <c r="Z48" i="22"/>
  <c r="V48" i="22"/>
  <c r="S48" i="22"/>
  <c r="N48" i="22"/>
  <c r="J48" i="22"/>
  <c r="G48" i="22"/>
  <c r="B48" i="22"/>
  <c r="DB47" i="22"/>
  <c r="CY47" i="22"/>
  <c r="CT47" i="22"/>
  <c r="CP47" i="22"/>
  <c r="CM47" i="22"/>
  <c r="CQ47" i="22" s="1"/>
  <c r="CH47" i="22"/>
  <c r="CD47" i="22"/>
  <c r="CA47" i="22"/>
  <c r="BV47" i="22"/>
  <c r="BW47" i="22" s="1"/>
  <c r="BR47" i="22"/>
  <c r="BO47" i="22"/>
  <c r="BJ47" i="22"/>
  <c r="BF47" i="22"/>
  <c r="BG47" i="22" s="1"/>
  <c r="BC47" i="22"/>
  <c r="AX47" i="22"/>
  <c r="AT47" i="22"/>
  <c r="AQ47" i="22"/>
  <c r="AU47" i="22" s="1"/>
  <c r="AL47" i="22"/>
  <c r="AH47" i="22"/>
  <c r="AE47" i="22"/>
  <c r="Z47" i="22"/>
  <c r="V47" i="22"/>
  <c r="S47" i="22"/>
  <c r="N47" i="22"/>
  <c r="J47" i="22"/>
  <c r="G47" i="22"/>
  <c r="B47" i="22"/>
  <c r="DB46" i="22"/>
  <c r="CY46" i="22"/>
  <c r="CT46" i="22"/>
  <c r="CP46" i="22"/>
  <c r="CM46" i="22"/>
  <c r="CH46" i="22"/>
  <c r="CD46" i="22"/>
  <c r="CA46" i="22"/>
  <c r="BV46" i="22"/>
  <c r="BW46" i="22" s="1"/>
  <c r="BR46" i="22"/>
  <c r="BO46" i="22"/>
  <c r="BJ46" i="22"/>
  <c r="BK46" i="22" s="1"/>
  <c r="BF46" i="22"/>
  <c r="BC46" i="22"/>
  <c r="AX46" i="22"/>
  <c r="AY46" i="22" s="1"/>
  <c r="AT46" i="22"/>
  <c r="AQ46" i="22"/>
  <c r="AL46" i="22"/>
  <c r="AH46" i="22"/>
  <c r="AE46" i="22"/>
  <c r="Z46" i="22"/>
  <c r="AA46" i="22" s="1"/>
  <c r="V46" i="22"/>
  <c r="S46" i="22"/>
  <c r="N46" i="22"/>
  <c r="J46" i="22"/>
  <c r="G46" i="22"/>
  <c r="B46" i="22"/>
  <c r="C46" i="22" s="1"/>
  <c r="DB45" i="22"/>
  <c r="CY45" i="22"/>
  <c r="CT45" i="22"/>
  <c r="CU45" i="22" s="1"/>
  <c r="CP45" i="22"/>
  <c r="CM45" i="22"/>
  <c r="CH45" i="22"/>
  <c r="CI45" i="22" s="1"/>
  <c r="CD45" i="22"/>
  <c r="CA45" i="22"/>
  <c r="BV45" i="22"/>
  <c r="BR45" i="22"/>
  <c r="BO45" i="22"/>
  <c r="BJ45" i="22"/>
  <c r="BF45" i="22"/>
  <c r="BC45" i="22"/>
  <c r="AX45" i="22"/>
  <c r="AT45" i="22"/>
  <c r="AQ45" i="22"/>
  <c r="AL45" i="22"/>
  <c r="AM45" i="22" s="1"/>
  <c r="AH45" i="22"/>
  <c r="AE45" i="22"/>
  <c r="Z45" i="22"/>
  <c r="V45" i="22"/>
  <c r="S45" i="22"/>
  <c r="N45" i="22"/>
  <c r="J45" i="22"/>
  <c r="G45" i="22"/>
  <c r="B45" i="22"/>
  <c r="DB44" i="22"/>
  <c r="CY44" i="22"/>
  <c r="CU44" i="22"/>
  <c r="CT44" i="22"/>
  <c r="CP44" i="22"/>
  <c r="CM44" i="22"/>
  <c r="CH44" i="22"/>
  <c r="CI44" i="22" s="1"/>
  <c r="CD44" i="22"/>
  <c r="CA44" i="22"/>
  <c r="CE44" i="22" s="1"/>
  <c r="BV44" i="22"/>
  <c r="BW44" i="22" s="1"/>
  <c r="BR44" i="22"/>
  <c r="BO44" i="22"/>
  <c r="BJ44" i="22"/>
  <c r="BF44" i="22"/>
  <c r="BC44" i="22"/>
  <c r="AX44" i="22"/>
  <c r="AY44" i="22" s="1"/>
  <c r="AT44" i="22"/>
  <c r="AQ44" i="22"/>
  <c r="AL44" i="22"/>
  <c r="AH44" i="22"/>
  <c r="AE44" i="22"/>
  <c r="AI44" i="22" s="1"/>
  <c r="Z44" i="22"/>
  <c r="AA44" i="22" s="1"/>
  <c r="V44" i="22"/>
  <c r="S44" i="22"/>
  <c r="N44" i="22"/>
  <c r="O44" i="22" s="1"/>
  <c r="J44" i="22"/>
  <c r="G44" i="22"/>
  <c r="B44" i="22"/>
  <c r="C44" i="22" s="1"/>
  <c r="DB43" i="22"/>
  <c r="CY43" i="22"/>
  <c r="CT43" i="22"/>
  <c r="CU43" i="22" s="1"/>
  <c r="CP43" i="22"/>
  <c r="CM43" i="22"/>
  <c r="CQ43" i="22" s="1"/>
  <c r="CH43" i="22"/>
  <c r="CD43" i="22"/>
  <c r="CA43" i="22"/>
  <c r="BV43" i="22"/>
  <c r="BR43" i="22"/>
  <c r="BO43" i="22"/>
  <c r="BJ43" i="22"/>
  <c r="BF43" i="22"/>
  <c r="BC43" i="22"/>
  <c r="AX43" i="22"/>
  <c r="AY43" i="22" s="1"/>
  <c r="AT43" i="22"/>
  <c r="AQ43" i="22"/>
  <c r="AL43" i="22"/>
  <c r="AH43" i="22"/>
  <c r="AE43" i="22"/>
  <c r="Z43" i="22"/>
  <c r="V43" i="22"/>
  <c r="S43" i="22"/>
  <c r="N43" i="22"/>
  <c r="O43" i="22" s="1"/>
  <c r="G43" i="22"/>
  <c r="B43" i="22"/>
  <c r="C42" i="22" s="1"/>
  <c r="DB42" i="22"/>
  <c r="CY42" i="22"/>
  <c r="CT42" i="22"/>
  <c r="CP42" i="22"/>
  <c r="CM42" i="22"/>
  <c r="CH42" i="22"/>
  <c r="CD42" i="22"/>
  <c r="CA42" i="22"/>
  <c r="BV42" i="22"/>
  <c r="BR42" i="22"/>
  <c r="BO42" i="22"/>
  <c r="BS42" i="22" s="1"/>
  <c r="BJ42" i="22"/>
  <c r="BF42" i="22"/>
  <c r="BC42" i="22"/>
  <c r="AX42" i="22"/>
  <c r="AT42" i="22"/>
  <c r="AQ42" i="22"/>
  <c r="AL42" i="22"/>
  <c r="AH42" i="22"/>
  <c r="AE42" i="22"/>
  <c r="Z42" i="22"/>
  <c r="V42" i="22"/>
  <c r="S42" i="22"/>
  <c r="W42" i="22" s="1"/>
  <c r="N42" i="22"/>
  <c r="O42" i="22" s="1"/>
  <c r="G42" i="22"/>
  <c r="B42" i="22"/>
  <c r="CT41" i="22"/>
  <c r="CU41" i="22" s="1"/>
  <c r="CH41" i="22"/>
  <c r="BV41" i="22"/>
  <c r="BJ41" i="22"/>
  <c r="AX41" i="22"/>
  <c r="AY41" i="22" s="1"/>
  <c r="AL41" i="22"/>
  <c r="Z41" i="22"/>
  <c r="N41" i="22"/>
  <c r="B41" i="22"/>
  <c r="C41" i="22" s="1"/>
  <c r="CT40" i="22"/>
  <c r="CH40" i="22"/>
  <c r="BV40" i="22"/>
  <c r="BW40" i="22" s="1"/>
  <c r="BJ40" i="22"/>
  <c r="AX40" i="22"/>
  <c r="AL40" i="22"/>
  <c r="Z40" i="22"/>
  <c r="AA40" i="22" s="1"/>
  <c r="N40" i="22"/>
  <c r="B40" i="22"/>
  <c r="CT39" i="22"/>
  <c r="CH39" i="22"/>
  <c r="CI39" i="22" s="1"/>
  <c r="BV39" i="22"/>
  <c r="BJ39" i="22"/>
  <c r="AX39" i="22"/>
  <c r="AL39" i="22"/>
  <c r="AM39" i="22" s="1"/>
  <c r="Z39" i="22"/>
  <c r="N39" i="22"/>
  <c r="B39" i="22"/>
  <c r="CT38" i="22"/>
  <c r="CH38" i="22"/>
  <c r="BV38" i="22"/>
  <c r="BJ38" i="22"/>
  <c r="AX38" i="22"/>
  <c r="AL38" i="22"/>
  <c r="Z38" i="22"/>
  <c r="N38" i="22"/>
  <c r="B38" i="22"/>
  <c r="CT37" i="22"/>
  <c r="CH37" i="22"/>
  <c r="BV37" i="22"/>
  <c r="BJ37" i="22"/>
  <c r="AX37" i="22"/>
  <c r="AL37" i="22"/>
  <c r="AM37" i="22" s="1"/>
  <c r="Z37" i="22"/>
  <c r="N37" i="22"/>
  <c r="B37" i="22"/>
  <c r="CT36" i="22"/>
  <c r="CH36" i="22"/>
  <c r="BV36" i="22"/>
  <c r="BW36" i="22" s="1"/>
  <c r="BJ36" i="22"/>
  <c r="AX36" i="22"/>
  <c r="AL36" i="22"/>
  <c r="AM36" i="22" s="1"/>
  <c r="Z36" i="22"/>
  <c r="N36" i="22"/>
  <c r="B36" i="22"/>
  <c r="CT35" i="22"/>
  <c r="CH35" i="22"/>
  <c r="BV35" i="22"/>
  <c r="BJ35" i="22"/>
  <c r="AX35" i="22"/>
  <c r="AY35" i="22" s="1"/>
  <c r="AL35" i="22"/>
  <c r="Z35" i="22"/>
  <c r="N35" i="22"/>
  <c r="B35" i="22"/>
  <c r="F26" i="22" s="1"/>
  <c r="BW45" i="22" l="1"/>
  <c r="O47" i="22"/>
  <c r="AM49" i="22"/>
  <c r="BK59" i="22"/>
  <c r="BW93" i="22"/>
  <c r="O41" i="22"/>
  <c r="AM42" i="22"/>
  <c r="DC43" i="22"/>
  <c r="O45" i="22"/>
  <c r="C47" i="22"/>
  <c r="AY47" i="22"/>
  <c r="CU47" i="22"/>
  <c r="AM48" i="22"/>
  <c r="CI48" i="22"/>
  <c r="K49" i="22"/>
  <c r="CU49" i="22"/>
  <c r="C53" i="22"/>
  <c r="AA59" i="22"/>
  <c r="CI63" i="22"/>
  <c r="AM77" i="22"/>
  <c r="CI78" i="22"/>
  <c r="O79" i="22"/>
  <c r="AA81" i="22"/>
  <c r="AA84" i="22"/>
  <c r="BW84" i="22"/>
  <c r="CU85" i="22"/>
  <c r="BW96" i="22"/>
  <c r="AM98" i="22"/>
  <c r="CI103" i="22"/>
  <c r="AA104" i="22"/>
  <c r="O108" i="22"/>
  <c r="CU110" i="22"/>
  <c r="AY114" i="22"/>
  <c r="CU114" i="22"/>
  <c r="AM119" i="22"/>
  <c r="AY121" i="22"/>
  <c r="CU121" i="22"/>
  <c r="BW124" i="22"/>
  <c r="C126" i="22"/>
  <c r="CU130" i="22"/>
  <c r="AM131" i="22"/>
  <c r="BK132" i="22"/>
  <c r="C133" i="22"/>
  <c r="C149" i="22"/>
  <c r="CU153" i="22"/>
  <c r="BW156" i="22"/>
  <c r="CU180" i="22"/>
  <c r="C182" i="22"/>
  <c r="AY197" i="22"/>
  <c r="AA204" i="22"/>
  <c r="BW209" i="22"/>
  <c r="O210" i="22"/>
  <c r="BK213" i="22"/>
  <c r="CI218" i="22"/>
  <c r="BW220" i="22"/>
  <c r="CU223" i="22"/>
  <c r="AM224" i="22"/>
  <c r="CI227" i="22"/>
  <c r="C245" i="22"/>
  <c r="AM43" i="22"/>
  <c r="AA45" i="22"/>
  <c r="BK47" i="22"/>
  <c r="O64" i="22"/>
  <c r="AY36" i="22"/>
  <c r="CI37" i="22"/>
  <c r="AA38" i="22"/>
  <c r="BW38" i="22"/>
  <c r="BK43" i="22"/>
  <c r="BS45" i="22"/>
  <c r="CE45" i="22"/>
  <c r="K46" i="22"/>
  <c r="BG46" i="22"/>
  <c r="CU46" i="22"/>
  <c r="CI47" i="22"/>
  <c r="AA48" i="22"/>
  <c r="BW48" i="22"/>
  <c r="O49" i="22"/>
  <c r="BK49" i="22"/>
  <c r="C50" i="22"/>
  <c r="BW50" i="22"/>
  <c r="CI52" i="22"/>
  <c r="AA53" i="22"/>
  <c r="BW53" i="22"/>
  <c r="BW56" i="22"/>
  <c r="O56" i="22"/>
  <c r="BK57" i="22"/>
  <c r="C58" i="22"/>
  <c r="AY58" i="22"/>
  <c r="CU58" i="22"/>
  <c r="AM59" i="22"/>
  <c r="BW61" i="22"/>
  <c r="AY63" i="22"/>
  <c r="AM64" i="22"/>
  <c r="AY65" i="22"/>
  <c r="CU65" i="22"/>
  <c r="AM66" i="22"/>
  <c r="CI66" i="22"/>
  <c r="AA67" i="22"/>
  <c r="BW67" i="22"/>
  <c r="BK68" i="22"/>
  <c r="AY69" i="22"/>
  <c r="CU69" i="22"/>
  <c r="AM70" i="22"/>
  <c r="AA71" i="22"/>
  <c r="O72" i="22"/>
  <c r="C73" i="22"/>
  <c r="AY73" i="22"/>
  <c r="CU73" i="22"/>
  <c r="CI74" i="22"/>
  <c r="AA75" i="22"/>
  <c r="BW75" i="22"/>
  <c r="BK76" i="22"/>
  <c r="C77" i="22"/>
  <c r="AY77" i="22"/>
  <c r="CU80" i="22"/>
  <c r="O82" i="22"/>
  <c r="C83" i="22"/>
  <c r="O85" i="22"/>
  <c r="C86" i="22"/>
  <c r="AY86" i="22"/>
  <c r="BK88" i="22"/>
  <c r="AY89" i="22"/>
  <c r="AM90" i="22"/>
  <c r="CU94" i="22"/>
  <c r="BK97" i="22"/>
  <c r="O101" i="22"/>
  <c r="O105" i="22"/>
  <c r="CU105" i="22"/>
  <c r="AM106" i="22"/>
  <c r="CI106" i="22"/>
  <c r="AA107" i="22"/>
  <c r="BW107" i="22"/>
  <c r="BK112" i="22"/>
  <c r="BK116" i="22"/>
  <c r="AA120" i="22"/>
  <c r="BW120" i="22"/>
  <c r="O121" i="22"/>
  <c r="BK121" i="22"/>
  <c r="AM127" i="22"/>
  <c r="CI127" i="22"/>
  <c r="BK128" i="22"/>
  <c r="C129" i="22"/>
  <c r="BK129" i="22"/>
  <c r="AY130" i="22"/>
  <c r="AA132" i="22"/>
  <c r="BW132" i="22"/>
  <c r="O156" i="22"/>
  <c r="BK157" i="22"/>
  <c r="C158" i="22"/>
  <c r="CU158" i="22"/>
  <c r="CI159" i="22"/>
  <c r="BW160" i="22"/>
  <c r="BK161" i="22"/>
  <c r="AY162" i="22"/>
  <c r="AM163" i="22"/>
  <c r="AA164" i="22"/>
  <c r="O165" i="22"/>
  <c r="C166" i="22"/>
  <c r="CU166" i="22"/>
  <c r="CI167" i="22"/>
  <c r="BW168" i="22"/>
  <c r="BK169" i="22"/>
  <c r="AY170" i="22"/>
  <c r="AM171" i="22"/>
  <c r="AA172" i="22"/>
  <c r="O173" i="22"/>
  <c r="C174" i="22"/>
  <c r="CU174" i="22"/>
  <c r="CI175" i="22"/>
  <c r="BW176" i="22"/>
  <c r="BK177" i="22"/>
  <c r="AY178" i="22"/>
  <c r="AM179" i="22"/>
  <c r="AA180" i="22"/>
  <c r="C181" i="22"/>
  <c r="AY181" i="22"/>
  <c r="CI181" i="22"/>
  <c r="AA183" i="22"/>
  <c r="CU190" i="22"/>
  <c r="AM192" i="22"/>
  <c r="AA196" i="22"/>
  <c r="O197" i="22"/>
  <c r="CU200" i="22"/>
  <c r="AY211" i="22"/>
  <c r="CU211" i="22"/>
  <c r="AA213" i="22"/>
  <c r="CI215" i="22"/>
  <c r="AA216" i="22"/>
  <c r="BW216" i="22"/>
  <c r="O217" i="22"/>
  <c r="BK217" i="22"/>
  <c r="AY218" i="22"/>
  <c r="BW225" i="22"/>
  <c r="O226" i="22"/>
  <c r="AY227" i="22"/>
  <c r="AM228" i="22"/>
  <c r="C237" i="22"/>
  <c r="CI237" i="22"/>
  <c r="CI193" i="22"/>
  <c r="AA199" i="22"/>
  <c r="BW199" i="22"/>
  <c r="O200" i="22"/>
  <c r="BW207" i="22"/>
  <c r="O208" i="22"/>
  <c r="C209" i="22"/>
  <c r="AY209" i="22"/>
  <c r="CI216" i="22"/>
  <c r="AA217" i="22"/>
  <c r="BW217" i="22"/>
  <c r="O218" i="22"/>
  <c r="BK220" i="22"/>
  <c r="CU221" i="22"/>
  <c r="AM222" i="22"/>
  <c r="AA223" i="22"/>
  <c r="BW223" i="22"/>
  <c r="O229" i="22"/>
  <c r="BK229" i="22"/>
  <c r="C240" i="22"/>
  <c r="CU240" i="22"/>
  <c r="AM241" i="22"/>
  <c r="BW242" i="22"/>
  <c r="AM250" i="22"/>
  <c r="C48" i="22"/>
  <c r="AA111" i="22"/>
  <c r="AA155" i="22"/>
  <c r="O228" i="22"/>
  <c r="C233" i="22"/>
  <c r="BW234" i="22"/>
  <c r="BW248" i="22"/>
  <c r="AY249" i="22"/>
  <c r="CU249" i="22"/>
  <c r="BK267" i="22"/>
  <c r="C268" i="22"/>
  <c r="CI275" i="22"/>
  <c r="CU280" i="22"/>
  <c r="CI283" i="22"/>
  <c r="CU284" i="22"/>
  <c r="AM288" i="22"/>
  <c r="BW294" i="22"/>
  <c r="AY295" i="22"/>
  <c r="CI298" i="22"/>
  <c r="BK299" i="22"/>
  <c r="AA305" i="22"/>
  <c r="O316" i="22"/>
  <c r="BK316" i="22"/>
  <c r="CI320" i="22"/>
  <c r="AA321" i="22"/>
  <c r="AA324" i="22"/>
  <c r="BW324" i="22"/>
  <c r="BW333" i="22"/>
  <c r="O36" i="24"/>
  <c r="BK36" i="24"/>
  <c r="CU36" i="24"/>
  <c r="BK38" i="24"/>
  <c r="AA42" i="24"/>
  <c r="BG42" i="24"/>
  <c r="BW42" i="24"/>
  <c r="O43" i="24"/>
  <c r="CE43" i="24"/>
  <c r="CQ43" i="24"/>
  <c r="W44" i="24"/>
  <c r="BK44" i="24"/>
  <c r="BS46" i="24"/>
  <c r="C47" i="24"/>
  <c r="C60" i="24"/>
  <c r="AY60" i="24"/>
  <c r="CU60" i="24"/>
  <c r="AM61" i="24"/>
  <c r="BW68" i="24"/>
  <c r="BK69" i="24"/>
  <c r="CI75" i="24"/>
  <c r="BW76" i="24"/>
  <c r="CU82" i="24"/>
  <c r="CI83" i="24"/>
  <c r="C90" i="24"/>
  <c r="CU90" i="24"/>
  <c r="O97" i="24"/>
  <c r="BK97" i="24"/>
  <c r="C98" i="24"/>
  <c r="AA104" i="24"/>
  <c r="BW104" i="24"/>
  <c r="O105" i="24"/>
  <c r="CI116" i="24"/>
  <c r="CI115" i="24"/>
  <c r="AM119" i="24"/>
  <c r="C230" i="22"/>
  <c r="AY230" i="22"/>
  <c r="CU230" i="22"/>
  <c r="AM231" i="22"/>
  <c r="CI231" i="22"/>
  <c r="BW232" i="22"/>
  <c r="CU235" i="22"/>
  <c r="AA238" i="22"/>
  <c r="BW238" i="22"/>
  <c r="AM245" i="22"/>
  <c r="CI245" i="22"/>
  <c r="BK249" i="22"/>
  <c r="CI250" i="22"/>
  <c r="AA251" i="22"/>
  <c r="BW251" i="22"/>
  <c r="O252" i="22"/>
  <c r="AY253" i="22"/>
  <c r="CU253" i="22"/>
  <c r="C256" i="22"/>
  <c r="CU256" i="22"/>
  <c r="BW267" i="22"/>
  <c r="BW269" i="22"/>
  <c r="O270" i="22"/>
  <c r="BK270" i="22"/>
  <c r="C271" i="22"/>
  <c r="AY271" i="22"/>
  <c r="BW273" i="22"/>
  <c r="O274" i="22"/>
  <c r="AY275" i="22"/>
  <c r="AY278" i="22"/>
  <c r="AM279" i="22"/>
  <c r="CI279" i="22"/>
  <c r="AA280" i="22"/>
  <c r="C280" i="22"/>
  <c r="BK282" i="22"/>
  <c r="C283" i="22"/>
  <c r="AM285" i="22"/>
  <c r="AA286" i="22"/>
  <c r="BW286" i="22"/>
  <c r="O287" i="22"/>
  <c r="BK287" i="22"/>
  <c r="C288" i="22"/>
  <c r="BW299" i="22"/>
  <c r="AY300" i="22"/>
  <c r="CU300" i="22"/>
  <c r="AM301" i="22"/>
  <c r="CI301" i="22"/>
  <c r="AA302" i="22"/>
  <c r="BW302" i="22"/>
  <c r="O303" i="22"/>
  <c r="BK303" i="22"/>
  <c r="C304" i="22"/>
  <c r="AY304" i="22"/>
  <c r="CU304" i="22"/>
  <c r="AM305" i="22"/>
  <c r="O306" i="22"/>
  <c r="AM315" i="22"/>
  <c r="CI315" i="22"/>
  <c r="AA316" i="22"/>
  <c r="AY317" i="22"/>
  <c r="BK322" i="22"/>
  <c r="C323" i="22"/>
  <c r="AY323" i="22"/>
  <c r="AM324" i="22"/>
  <c r="CI324" i="22"/>
  <c r="O325" i="22"/>
  <c r="BK325" i="22"/>
  <c r="C326" i="22"/>
  <c r="AY326" i="22"/>
  <c r="CU326" i="22"/>
  <c r="CI327" i="22"/>
  <c r="AA328" i="22"/>
  <c r="O334" i="22"/>
  <c r="CU334" i="22"/>
  <c r="AY37" i="24"/>
  <c r="BS44" i="24"/>
  <c r="BG45" i="24"/>
  <c r="DC47" i="24"/>
  <c r="AM49" i="24"/>
  <c r="CI49" i="24"/>
  <c r="AA50" i="24"/>
  <c r="BW50" i="24"/>
  <c r="BK51" i="24"/>
  <c r="C52" i="24"/>
  <c r="C55" i="24"/>
  <c r="AA63" i="24"/>
  <c r="AA69" i="24"/>
  <c r="AM76" i="24"/>
  <c r="AY83" i="24"/>
  <c r="BK90" i="24"/>
  <c r="BW97" i="24"/>
  <c r="CI104" i="24"/>
  <c r="AA115" i="24"/>
  <c r="BW115" i="24"/>
  <c r="AA129" i="24"/>
  <c r="CU114" i="24"/>
  <c r="O256" i="22"/>
  <c r="BK277" i="22"/>
  <c r="AA281" i="22"/>
  <c r="O299" i="22"/>
  <c r="CU38" i="24"/>
  <c r="AM40" i="24"/>
  <c r="CI42" i="24"/>
  <c r="AA43" i="24"/>
  <c r="BW44" i="24"/>
  <c r="DC44" i="24"/>
  <c r="AU45" i="24"/>
  <c r="BK47" i="24"/>
  <c r="AY48" i="24"/>
  <c r="CU48" i="24"/>
  <c r="CI66" i="24"/>
  <c r="AM68" i="24"/>
  <c r="AM70" i="24"/>
  <c r="CU71" i="24"/>
  <c r="CU73" i="24"/>
  <c r="AY75" i="24"/>
  <c r="AY77" i="24"/>
  <c r="C79" i="24"/>
  <c r="C81" i="24"/>
  <c r="BK82" i="24"/>
  <c r="BK84" i="24"/>
  <c r="O86" i="24"/>
  <c r="O88" i="24"/>
  <c r="BW89" i="24"/>
  <c r="BW91" i="24"/>
  <c r="AA93" i="24"/>
  <c r="AA95" i="24"/>
  <c r="CI96" i="24"/>
  <c r="CI98" i="24"/>
  <c r="AM100" i="24"/>
  <c r="AM102" i="24"/>
  <c r="CU103" i="24"/>
  <c r="CU105" i="24"/>
  <c r="BK114" i="24"/>
  <c r="BK118" i="24"/>
  <c r="CI126" i="24"/>
  <c r="AA144" i="24"/>
  <c r="O146" i="24"/>
  <c r="O165" i="24"/>
  <c r="BK165" i="24"/>
  <c r="CI166" i="24"/>
  <c r="BW167" i="24"/>
  <c r="CU170" i="24"/>
  <c r="BK174" i="24"/>
  <c r="O180" i="24"/>
  <c r="C187" i="24"/>
  <c r="AM194" i="24"/>
  <c r="AA201" i="24"/>
  <c r="BK208" i="24"/>
  <c r="AY247" i="24"/>
  <c r="C252" i="24"/>
  <c r="BK254" i="24"/>
  <c r="O259" i="24"/>
  <c r="AY63" i="24"/>
  <c r="CU63" i="24"/>
  <c r="CI64" i="24"/>
  <c r="BW65" i="24"/>
  <c r="AY66" i="24"/>
  <c r="CU66" i="24"/>
  <c r="C70" i="24"/>
  <c r="AY70" i="24"/>
  <c r="BK73" i="24"/>
  <c r="C74" i="24"/>
  <c r="O77" i="24"/>
  <c r="BK77" i="24"/>
  <c r="BW80" i="24"/>
  <c r="O81" i="24"/>
  <c r="AA84" i="24"/>
  <c r="BW84" i="24"/>
  <c r="CI87" i="24"/>
  <c r="AA88" i="24"/>
  <c r="AM91" i="24"/>
  <c r="CU94" i="24"/>
  <c r="O96" i="24"/>
  <c r="AY98" i="24"/>
  <c r="BW99" i="24"/>
  <c r="C102" i="24"/>
  <c r="BK105" i="24"/>
  <c r="O116" i="24"/>
  <c r="BK116" i="24"/>
  <c r="CU117" i="24"/>
  <c r="BW120" i="24"/>
  <c r="O121" i="24"/>
  <c r="BK121" i="24"/>
  <c r="C122" i="24"/>
  <c r="AY122" i="24"/>
  <c r="CU122" i="24"/>
  <c r="AM123" i="24"/>
  <c r="CI123" i="24"/>
  <c r="AA124" i="24"/>
  <c r="BW124" i="24"/>
  <c r="O125" i="24"/>
  <c r="BK125" i="24"/>
  <c r="C126" i="24"/>
  <c r="AY126" i="24"/>
  <c r="C131" i="24"/>
  <c r="CU131" i="24"/>
  <c r="BW132" i="24"/>
  <c r="CU133" i="24"/>
  <c r="AM134" i="24"/>
  <c r="BW135" i="24"/>
  <c r="O136" i="24"/>
  <c r="CU137" i="24"/>
  <c r="AA139" i="24"/>
  <c r="BW139" i="24"/>
  <c r="C141" i="24"/>
  <c r="BW141" i="24"/>
  <c r="C147" i="24"/>
  <c r="AY146" i="24"/>
  <c r="CI147" i="24"/>
  <c r="O149" i="24"/>
  <c r="BK149" i="24"/>
  <c r="C150" i="24"/>
  <c r="AY150" i="24"/>
  <c r="CU150" i="24"/>
  <c r="AM151" i="24"/>
  <c r="CI151" i="24"/>
  <c r="AA152" i="24"/>
  <c r="BW152" i="24"/>
  <c r="O153" i="24"/>
  <c r="BK153" i="24"/>
  <c r="C154" i="24"/>
  <c r="O156" i="24"/>
  <c r="C157" i="24"/>
  <c r="AA160" i="24"/>
  <c r="C161" i="24"/>
  <c r="CI162" i="24"/>
  <c r="AA163" i="24"/>
  <c r="C166" i="24"/>
  <c r="AY166" i="24"/>
  <c r="CU166" i="24"/>
  <c r="AM167" i="24"/>
  <c r="AA168" i="24"/>
  <c r="BW168" i="24"/>
  <c r="AY169" i="24"/>
  <c r="AA169" i="24"/>
  <c r="C171" i="24"/>
  <c r="AM171" i="24"/>
  <c r="AA172" i="24"/>
  <c r="C173" i="24"/>
  <c r="AY173" i="24"/>
  <c r="BW173" i="24"/>
  <c r="AY175" i="24"/>
  <c r="BW176" i="24"/>
  <c r="O177" i="24"/>
  <c r="BK177" i="24"/>
  <c r="C181" i="24"/>
  <c r="CI182" i="24"/>
  <c r="BW183" i="24"/>
  <c r="CU187" i="24"/>
  <c r="BK190" i="24"/>
  <c r="CI191" i="24"/>
  <c r="AA195" i="24"/>
  <c r="C197" i="24"/>
  <c r="CU197" i="24"/>
  <c r="O202" i="24"/>
  <c r="CI204" i="24"/>
  <c r="C206" i="24"/>
  <c r="CU206" i="24"/>
  <c r="AY209" i="24"/>
  <c r="C220" i="24"/>
  <c r="BW222" i="24"/>
  <c r="AY224" i="24"/>
  <c r="AM225" i="24"/>
  <c r="AA226" i="24"/>
  <c r="C228" i="24"/>
  <c r="CU228" i="24"/>
  <c r="CI229" i="24"/>
  <c r="BK231" i="24"/>
  <c r="AY232" i="24"/>
  <c r="AA246" i="24"/>
  <c r="BW246" i="24"/>
  <c r="O247" i="24"/>
  <c r="AM248" i="24"/>
  <c r="AA249" i="24"/>
  <c r="AM253" i="24"/>
  <c r="CI253" i="24"/>
  <c r="AA254" i="24"/>
  <c r="AY255" i="24"/>
  <c r="AM256" i="24"/>
  <c r="AY260" i="24"/>
  <c r="CU260" i="24"/>
  <c r="AM261" i="24"/>
  <c r="CI261" i="24"/>
  <c r="AM186" i="24"/>
  <c r="CU147" i="24"/>
  <c r="AM152" i="24"/>
  <c r="O157" i="24"/>
  <c r="AY158" i="24"/>
  <c r="C162" i="24"/>
  <c r="BW301" i="24"/>
  <c r="CI303" i="24"/>
  <c r="AA304" i="24"/>
  <c r="CI328" i="24"/>
  <c r="O36" i="26"/>
  <c r="O39" i="26"/>
  <c r="O51" i="26"/>
  <c r="O53" i="26"/>
  <c r="O57" i="26"/>
  <c r="C59" i="26"/>
  <c r="C69" i="26"/>
  <c r="C77" i="26"/>
  <c r="C85" i="26"/>
  <c r="C93" i="26"/>
  <c r="C101" i="26"/>
  <c r="C109" i="26"/>
  <c r="C110" i="26"/>
  <c r="C117" i="26"/>
  <c r="C118" i="26"/>
  <c r="C125" i="26"/>
  <c r="C126" i="26"/>
  <c r="C137" i="26"/>
  <c r="C138" i="26"/>
  <c r="C143" i="26"/>
  <c r="C145" i="26"/>
  <c r="O167" i="26"/>
  <c r="O186" i="26"/>
  <c r="C188" i="26"/>
  <c r="C198" i="26"/>
  <c r="C202" i="26"/>
  <c r="C204" i="26"/>
  <c r="C206" i="26"/>
  <c r="C208" i="26"/>
  <c r="C228" i="26"/>
  <c r="C232" i="26"/>
  <c r="C240" i="26"/>
  <c r="O245" i="26"/>
  <c r="O249" i="26"/>
  <c r="O253" i="26"/>
  <c r="O257" i="26"/>
  <c r="O263" i="26"/>
  <c r="O297" i="26"/>
  <c r="C307" i="26"/>
  <c r="C311" i="26"/>
  <c r="O328" i="26"/>
  <c r="O332" i="26"/>
  <c r="C334" i="26"/>
  <c r="C70" i="27"/>
  <c r="O141" i="27"/>
  <c r="O164" i="27"/>
  <c r="O171" i="27"/>
  <c r="O187" i="27"/>
  <c r="C227" i="27"/>
  <c r="C231" i="27"/>
  <c r="C235" i="27"/>
  <c r="O236" i="27"/>
  <c r="C249" i="27"/>
  <c r="C257" i="27"/>
  <c r="O262" i="27"/>
  <c r="C285" i="27"/>
  <c r="C287" i="27"/>
  <c r="C309" i="27"/>
  <c r="C313" i="27"/>
  <c r="AA262" i="24"/>
  <c r="AA268" i="24"/>
  <c r="CI271" i="24"/>
  <c r="BW272" i="24"/>
  <c r="BK273" i="24"/>
  <c r="C274" i="24"/>
  <c r="CU274" i="24"/>
  <c r="AM275" i="24"/>
  <c r="CI275" i="24"/>
  <c r="AA276" i="24"/>
  <c r="BW276" i="24"/>
  <c r="CU277" i="24"/>
  <c r="CI278" i="24"/>
  <c r="AA279" i="24"/>
  <c r="BW279" i="24"/>
  <c r="BK280" i="24"/>
  <c r="AY283" i="24"/>
  <c r="CU283" i="24"/>
  <c r="AM284" i="24"/>
  <c r="CI284" i="24"/>
  <c r="AA285" i="24"/>
  <c r="C286" i="24"/>
  <c r="AY286" i="24"/>
  <c r="BW287" i="24"/>
  <c r="O288" i="24"/>
  <c r="AA293" i="24"/>
  <c r="BW293" i="24"/>
  <c r="C303" i="24"/>
  <c r="BW304" i="24"/>
  <c r="C308" i="24"/>
  <c r="AY308" i="24"/>
  <c r="CI309" i="24"/>
  <c r="AA310" i="24"/>
  <c r="BW310" i="24"/>
  <c r="O67" i="26"/>
  <c r="O75" i="26"/>
  <c r="O83" i="26"/>
  <c r="O91" i="26"/>
  <c r="O99" i="26"/>
  <c r="O107" i="26"/>
  <c r="O115" i="26"/>
  <c r="O116" i="26"/>
  <c r="O123" i="26"/>
  <c r="O124" i="26"/>
  <c r="O131" i="26"/>
  <c r="O133" i="26"/>
  <c r="O135" i="26"/>
  <c r="O137" i="26"/>
  <c r="C168" i="26"/>
  <c r="C175" i="26"/>
  <c r="C177" i="26"/>
  <c r="C181" i="26"/>
  <c r="O192" i="26"/>
  <c r="O200" i="26"/>
  <c r="O204" i="26"/>
  <c r="C248" i="26"/>
  <c r="C252" i="26"/>
  <c r="C256" i="26"/>
  <c r="C260" i="26"/>
  <c r="C298" i="26"/>
  <c r="O305" i="26"/>
  <c r="O309" i="26"/>
  <c r="O313" i="26"/>
  <c r="C323" i="26"/>
  <c r="C327" i="26"/>
  <c r="O46" i="27"/>
  <c r="C140" i="27"/>
  <c r="C148" i="27"/>
  <c r="C150" i="27"/>
  <c r="C154" i="27"/>
  <c r="C155" i="27"/>
  <c r="C157" i="27"/>
  <c r="O269" i="27"/>
  <c r="O273" i="27"/>
  <c r="O275" i="27"/>
  <c r="O279" i="27"/>
  <c r="CI265" i="24"/>
  <c r="AA266" i="24"/>
  <c r="K42" i="26"/>
  <c r="K44" i="26"/>
  <c r="O163" i="26"/>
  <c r="O243" i="26"/>
  <c r="O232" i="27"/>
  <c r="C342" i="27"/>
  <c r="CU35" i="22"/>
  <c r="BW39" i="22"/>
  <c r="O40" i="22"/>
  <c r="AY39" i="22"/>
  <c r="AA41" i="22"/>
  <c r="AA43" i="22"/>
  <c r="AU43" i="22"/>
  <c r="BG43" i="22"/>
  <c r="CI42" i="22"/>
  <c r="AM44" i="22"/>
  <c r="C45" i="22"/>
  <c r="W45" i="22"/>
  <c r="AI45" i="22"/>
  <c r="BK45" i="22"/>
  <c r="O46" i="22"/>
  <c r="CI46" i="22"/>
  <c r="DC46" i="22"/>
  <c r="K47" i="22"/>
  <c r="AM47" i="22"/>
  <c r="AY48" i="22"/>
  <c r="CU48" i="22"/>
  <c r="AY51" i="22"/>
  <c r="CU51" i="22"/>
  <c r="C55" i="22"/>
  <c r="AY55" i="22"/>
  <c r="BK56" i="22"/>
  <c r="CU56" i="22"/>
  <c r="AA57" i="22"/>
  <c r="AM58" i="22"/>
  <c r="BK61" i="22"/>
  <c r="C62" i="22"/>
  <c r="AY62" i="22"/>
  <c r="BK62" i="22"/>
  <c r="CU62" i="22"/>
  <c r="AA64" i="22"/>
  <c r="CI65" i="22"/>
  <c r="CI67" i="22"/>
  <c r="AA68" i="22"/>
  <c r="C69" i="22"/>
  <c r="CI70" i="22"/>
  <c r="O71" i="22"/>
  <c r="AY71" i="22"/>
  <c r="BK72" i="22"/>
  <c r="AM74" i="22"/>
  <c r="BW74" i="22"/>
  <c r="C75" i="22"/>
  <c r="O76" i="22"/>
  <c r="C80" i="22"/>
  <c r="O81" i="22"/>
  <c r="AM82" i="22"/>
  <c r="CU83" i="22"/>
  <c r="BK86" i="22"/>
  <c r="CU86" i="22"/>
  <c r="AM87" i="22"/>
  <c r="BW87" i="22"/>
  <c r="CU90" i="22"/>
  <c r="AA91" i="22"/>
  <c r="O92" i="22"/>
  <c r="C93" i="22"/>
  <c r="O96" i="22"/>
  <c r="AY96" i="22"/>
  <c r="C98" i="22"/>
  <c r="CI98" i="22"/>
  <c r="AA99" i="22"/>
  <c r="BW99" i="22"/>
  <c r="CU101" i="22"/>
  <c r="O109" i="22"/>
  <c r="BK109" i="22"/>
  <c r="C110" i="22"/>
  <c r="CI110" i="22"/>
  <c r="AA112" i="22"/>
  <c r="C113" i="22"/>
  <c r="AY113" i="22"/>
  <c r="CU113" i="22"/>
  <c r="O116" i="22"/>
  <c r="AM123" i="22"/>
  <c r="CI123" i="22"/>
  <c r="AA124" i="22"/>
  <c r="C125" i="22"/>
  <c r="AY126" i="22"/>
  <c r="AA127" i="22"/>
  <c r="BW127" i="22"/>
  <c r="O128" i="22"/>
  <c r="AM130" i="22"/>
  <c r="O97" i="22"/>
  <c r="BK101" i="22"/>
  <c r="AM102" i="22"/>
  <c r="CI102" i="22"/>
  <c r="AA103" i="22"/>
  <c r="AY105" i="22"/>
  <c r="CI115" i="22"/>
  <c r="C117" i="22"/>
  <c r="AY117" i="22"/>
  <c r="BW119" i="22"/>
  <c r="C130" i="22"/>
  <c r="AA131" i="22"/>
  <c r="BW131" i="22"/>
  <c r="CU133" i="22"/>
  <c r="AI42" i="22"/>
  <c r="BK42" i="22"/>
  <c r="AU44" i="22"/>
  <c r="W46" i="22"/>
  <c r="DC47" i="22"/>
  <c r="AM56" i="22"/>
  <c r="AY57" i="22"/>
  <c r="C59" i="22"/>
  <c r="BW60" i="22"/>
  <c r="BK65" i="22"/>
  <c r="BW71" i="22"/>
  <c r="AA87" i="22"/>
  <c r="AM91" i="22"/>
  <c r="BK35" i="22"/>
  <c r="C36" i="22"/>
  <c r="C35" i="22" s="1"/>
  <c r="CI36" i="22"/>
  <c r="AA37" i="22"/>
  <c r="BK36" i="22"/>
  <c r="AA39" i="22"/>
  <c r="BK41" i="22"/>
  <c r="AY42" i="22"/>
  <c r="CE42" i="22"/>
  <c r="CQ44" i="22"/>
  <c r="BS46" i="22"/>
  <c r="BK48" i="22"/>
  <c r="AA50" i="22"/>
  <c r="C51" i="22"/>
  <c r="AA51" i="22"/>
  <c r="AM53" i="22"/>
  <c r="CI53" i="22"/>
  <c r="BK54" i="22"/>
  <c r="BW58" i="22"/>
  <c r="O60" i="22"/>
  <c r="AY60" i="22"/>
  <c r="CI60" i="22"/>
  <c r="AM62" i="22"/>
  <c r="CI62" i="22"/>
  <c r="BK64" i="22"/>
  <c r="CU64" i="22"/>
  <c r="AA65" i="22"/>
  <c r="O68" i="22"/>
  <c r="AM69" i="22"/>
  <c r="CU72" i="22"/>
  <c r="AY79" i="22"/>
  <c r="AY81" i="22"/>
  <c r="CU91" i="22"/>
  <c r="AM135" i="22"/>
  <c r="CI135" i="22"/>
  <c r="AA136" i="22"/>
  <c r="BW136" i="22"/>
  <c r="O137" i="22"/>
  <c r="BK137" i="22"/>
  <c r="C138" i="22"/>
  <c r="AY138" i="22"/>
  <c r="CU138" i="22"/>
  <c r="AM139" i="22"/>
  <c r="CI139" i="22"/>
  <c r="AA140" i="22"/>
  <c r="BW140" i="22"/>
  <c r="O141" i="22"/>
  <c r="BK141" i="22"/>
  <c r="C142" i="22"/>
  <c r="AY142" i="22"/>
  <c r="CU142" i="22"/>
  <c r="AM143" i="22"/>
  <c r="CI143" i="22"/>
  <c r="AA144" i="22"/>
  <c r="BW144" i="22"/>
  <c r="O145" i="22"/>
  <c r="BK145" i="22"/>
  <c r="C146" i="22"/>
  <c r="AY146" i="22"/>
  <c r="CU146" i="22"/>
  <c r="AM147" i="22"/>
  <c r="CI147" i="22"/>
  <c r="BK149" i="22"/>
  <c r="CU154" i="22"/>
  <c r="CI191" i="22"/>
  <c r="AA191" i="22"/>
  <c r="CU192" i="22"/>
  <c r="AY194" i="22"/>
  <c r="BK195" i="22"/>
  <c r="CU198" i="22"/>
  <c r="C200" i="22"/>
  <c r="BK201" i="22"/>
  <c r="BW202" i="22"/>
  <c r="O206" i="22"/>
  <c r="CI206" i="22"/>
  <c r="AA207" i="22"/>
  <c r="BK210" i="22"/>
  <c r="C211" i="22"/>
  <c r="AY215" i="22"/>
  <c r="CU215" i="22"/>
  <c r="AM216" i="22"/>
  <c r="C218" i="22"/>
  <c r="CU222" i="22"/>
  <c r="AM223" i="22"/>
  <c r="AY225" i="22"/>
  <c r="CU225" i="22"/>
  <c r="AM226" i="22"/>
  <c r="AA229" i="22"/>
  <c r="AM230" i="22"/>
  <c r="CI230" i="22"/>
  <c r="BK234" i="22"/>
  <c r="AA235" i="22"/>
  <c r="C236" i="22"/>
  <c r="BW239" i="22"/>
  <c r="AY240" i="22"/>
  <c r="AM242" i="22"/>
  <c r="O243" i="22"/>
  <c r="CI246" i="22"/>
  <c r="BK247" i="22"/>
  <c r="BW250" i="22"/>
  <c r="BK251" i="22"/>
  <c r="O255" i="22"/>
  <c r="AY257" i="22"/>
  <c r="BW258" i="22"/>
  <c r="AY270" i="22"/>
  <c r="CU274" i="22"/>
  <c r="O278" i="22"/>
  <c r="BK278" i="22"/>
  <c r="BK281" i="22"/>
  <c r="BW282" i="22"/>
  <c r="AY287" i="22"/>
  <c r="CI288" i="22"/>
  <c r="CU291" i="22"/>
  <c r="AM292" i="22"/>
  <c r="CI292" i="22"/>
  <c r="BW293" i="22"/>
  <c r="O294" i="22"/>
  <c r="C296" i="22"/>
  <c r="AY296" i="22"/>
  <c r="CU296" i="22"/>
  <c r="AM297" i="22"/>
  <c r="O298" i="22"/>
  <c r="AA299" i="22"/>
  <c r="AM300" i="22"/>
  <c r="CI300" i="22"/>
  <c r="AA301" i="22"/>
  <c r="BW301" i="22"/>
  <c r="O302" i="22"/>
  <c r="BK302" i="22"/>
  <c r="C303" i="22"/>
  <c r="CU306" i="22"/>
  <c r="AM307" i="22"/>
  <c r="CI307" i="22"/>
  <c r="AA308" i="22"/>
  <c r="BW308" i="22"/>
  <c r="O309" i="22"/>
  <c r="BK309" i="22"/>
  <c r="C310" i="22"/>
  <c r="AY310" i="22"/>
  <c r="CU310" i="22"/>
  <c r="AM311" i="22"/>
  <c r="CI311" i="22"/>
  <c r="AA312" i="22"/>
  <c r="BW312" i="22"/>
  <c r="O313" i="22"/>
  <c r="BK313" i="22"/>
  <c r="C314" i="22"/>
  <c r="CI268" i="22"/>
  <c r="O273" i="22"/>
  <c r="C275" i="22"/>
  <c r="AA278" i="22"/>
  <c r="C286" i="22"/>
  <c r="BW148" i="22"/>
  <c r="AM195" i="22"/>
  <c r="AY196" i="22"/>
  <c r="C198" i="22"/>
  <c r="O199" i="22"/>
  <c r="AY202" i="22"/>
  <c r="BK203" i="22"/>
  <c r="BW208" i="22"/>
  <c r="O209" i="22"/>
  <c r="AA211" i="22"/>
  <c r="BW211" i="22"/>
  <c r="O212" i="22"/>
  <c r="C215" i="22"/>
  <c r="O216" i="22"/>
  <c r="BK216" i="22"/>
  <c r="AM220" i="22"/>
  <c r="C221" i="22"/>
  <c r="AY221" i="22"/>
  <c r="CI224" i="22"/>
  <c r="AA225" i="22"/>
  <c r="BW229" i="22"/>
  <c r="O230" i="22"/>
  <c r="BK230" i="22"/>
  <c r="AA232" i="22"/>
  <c r="AM238" i="22"/>
  <c r="AY245" i="22"/>
  <c r="AA259" i="22"/>
  <c r="BW259" i="22"/>
  <c r="O260" i="22"/>
  <c r="BK260" i="22"/>
  <c r="C261" i="22"/>
  <c r="AY261" i="22"/>
  <c r="CU261" i="22"/>
  <c r="AM262" i="22"/>
  <c r="CI262" i="22"/>
  <c r="AA263" i="22"/>
  <c r="BW263" i="22"/>
  <c r="O264" i="22"/>
  <c r="BK264" i="22"/>
  <c r="C265" i="22"/>
  <c r="AY265" i="22"/>
  <c r="AM266" i="22"/>
  <c r="AY268" i="22"/>
  <c r="AA270" i="22"/>
  <c r="CU271" i="22"/>
  <c r="AM272" i="22"/>
  <c r="CI272" i="22"/>
  <c r="AA273" i="22"/>
  <c r="C274" i="22"/>
  <c r="BW274" i="22"/>
  <c r="AA277" i="22"/>
  <c r="CU282" i="22"/>
  <c r="AM283" i="22"/>
  <c r="BK286" i="22"/>
  <c r="CU286" i="22"/>
  <c r="AA287" i="22"/>
  <c r="O288" i="22"/>
  <c r="O290" i="22"/>
  <c r="BW291" i="22"/>
  <c r="BK292" i="22"/>
  <c r="AY293" i="22"/>
  <c r="AM294" i="22"/>
  <c r="BW306" i="22"/>
  <c r="O307" i="22"/>
  <c r="BK307" i="22"/>
  <c r="C308" i="22"/>
  <c r="AY308" i="22"/>
  <c r="CU308" i="22"/>
  <c r="AM309" i="22"/>
  <c r="CI309" i="22"/>
  <c r="AA310" i="22"/>
  <c r="BW310" i="22"/>
  <c r="O311" i="22"/>
  <c r="BK311" i="22"/>
  <c r="C312" i="22"/>
  <c r="AY312" i="22"/>
  <c r="CU312" i="22"/>
  <c r="AM313" i="22"/>
  <c r="CI313" i="22"/>
  <c r="AA314" i="22"/>
  <c r="BW194" i="22"/>
  <c r="CI201" i="22"/>
  <c r="O224" i="22"/>
  <c r="BK224" i="22"/>
  <c r="AY229" i="22"/>
  <c r="CI232" i="22"/>
  <c r="O235" i="22"/>
  <c r="BK236" i="22"/>
  <c r="CI238" i="22"/>
  <c r="O239" i="22"/>
  <c r="BK239" i="22"/>
  <c r="C241" i="22"/>
  <c r="AY241" i="22"/>
  <c r="CI241" i="22"/>
  <c r="AA242" i="22"/>
  <c r="BW243" i="22"/>
  <c r="CU245" i="22"/>
  <c r="AA246" i="22"/>
  <c r="BW246" i="22"/>
  <c r="O248" i="22"/>
  <c r="BK248" i="22"/>
  <c r="AA250" i="22"/>
  <c r="C253" i="22"/>
  <c r="AA254" i="22"/>
  <c r="BK256" i="22"/>
  <c r="CI257" i="22"/>
  <c r="CU315" i="22"/>
  <c r="BW321" i="22"/>
  <c r="CI323" i="22"/>
  <c r="CI328" i="22"/>
  <c r="CU330" i="22"/>
  <c r="AY334" i="22"/>
  <c r="AY36" i="24"/>
  <c r="O38" i="24"/>
  <c r="CU40" i="24"/>
  <c r="BK42" i="24"/>
  <c r="BW43" i="24"/>
  <c r="O44" i="24"/>
  <c r="AU44" i="24"/>
  <c r="BG44" i="24"/>
  <c r="DC45" i="24"/>
  <c r="K46" i="24"/>
  <c r="AA46" i="24"/>
  <c r="K47" i="24"/>
  <c r="W47" i="24"/>
  <c r="BG47" i="24"/>
  <c r="CU47" i="24"/>
  <c r="BW54" i="24"/>
  <c r="CI56" i="24"/>
  <c r="CI61" i="24"/>
  <c r="AA62" i="24"/>
  <c r="BW62" i="24"/>
  <c r="BK63" i="24"/>
  <c r="BW107" i="24"/>
  <c r="AA116" i="24"/>
  <c r="BW116" i="24"/>
  <c r="C117" i="24"/>
  <c r="CU118" i="24"/>
  <c r="O122" i="24"/>
  <c r="AA123" i="24"/>
  <c r="BW123" i="24"/>
  <c r="O124" i="24"/>
  <c r="CU123" i="24"/>
  <c r="O129" i="24"/>
  <c r="BK129" i="24"/>
  <c r="CI131" i="24"/>
  <c r="C134" i="24"/>
  <c r="AY134" i="24"/>
  <c r="CI134" i="24"/>
  <c r="CU139" i="24"/>
  <c r="AY141" i="24"/>
  <c r="BW144" i="24"/>
  <c r="O145" i="24"/>
  <c r="AY145" i="24"/>
  <c r="CU146" i="24"/>
  <c r="AM147" i="24"/>
  <c r="BK150" i="24"/>
  <c r="BW151" i="24"/>
  <c r="BK152" i="24"/>
  <c r="AY153" i="24"/>
  <c r="C118" i="24"/>
  <c r="AY314" i="22"/>
  <c r="BW315" i="22"/>
  <c r="O318" i="22"/>
  <c r="AA320" i="22"/>
  <c r="AA325" i="22"/>
  <c r="AM327" i="22"/>
  <c r="AM332" i="22"/>
  <c r="AA333" i="22"/>
  <c r="AA36" i="24"/>
  <c r="C40" i="24"/>
  <c r="CI41" i="24"/>
  <c r="AM42" i="24"/>
  <c r="K43" i="24"/>
  <c r="CU43" i="24"/>
  <c r="AY45" i="24"/>
  <c r="CE45" i="24"/>
  <c r="C46" i="24"/>
  <c r="CQ46" i="24"/>
  <c r="AI47" i="24"/>
  <c r="AU47" i="24"/>
  <c r="O51" i="24"/>
  <c r="AA53" i="24"/>
  <c r="AA58" i="24"/>
  <c r="AM60" i="24"/>
  <c r="AA64" i="24"/>
  <c r="AY107" i="24"/>
  <c r="CI107" i="24"/>
  <c r="AY116" i="24"/>
  <c r="BK117" i="24"/>
  <c r="CI119" i="24"/>
  <c r="AA120" i="24"/>
  <c r="BK120" i="24"/>
  <c r="BW125" i="24"/>
  <c r="AA127" i="24"/>
  <c r="AY130" i="24"/>
  <c r="CU130" i="24"/>
  <c r="AA131" i="24"/>
  <c r="O133" i="24"/>
  <c r="BK134" i="24"/>
  <c r="AM136" i="24"/>
  <c r="AY137" i="24"/>
  <c r="AM138" i="24"/>
  <c r="O138" i="24"/>
  <c r="CI143" i="24"/>
  <c r="AA145" i="24"/>
  <c r="C146" i="24"/>
  <c r="AA148" i="24"/>
  <c r="BW148" i="24"/>
  <c r="C149" i="24"/>
  <c r="AA153" i="24"/>
  <c r="AY38" i="24"/>
  <c r="AA103" i="24"/>
  <c r="CI106" i="24"/>
  <c r="AA132" i="24"/>
  <c r="C138" i="24"/>
  <c r="CI139" i="24"/>
  <c r="BK144" i="24"/>
  <c r="AY154" i="24"/>
  <c r="CU154" i="24"/>
  <c r="BK223" i="24"/>
  <c r="CI237" i="24"/>
  <c r="O269" i="24"/>
  <c r="C270" i="24"/>
  <c r="CU270" i="24"/>
  <c r="CI272" i="24"/>
  <c r="AY277" i="24"/>
  <c r="AM278" i="24"/>
  <c r="O282" i="24"/>
  <c r="BK282" i="24"/>
  <c r="C283" i="24"/>
  <c r="CU293" i="24"/>
  <c r="AA297" i="24"/>
  <c r="BK297" i="24"/>
  <c r="AY298" i="24"/>
  <c r="O154" i="24"/>
  <c r="AA155" i="24"/>
  <c r="BW155" i="24"/>
  <c r="CU158" i="24"/>
  <c r="AM159" i="24"/>
  <c r="BW159" i="24"/>
  <c r="O161" i="24"/>
  <c r="BK161" i="24"/>
  <c r="C163" i="24"/>
  <c r="CI164" i="24"/>
  <c r="CU165" i="24"/>
  <c r="AM166" i="24"/>
  <c r="BK169" i="24"/>
  <c r="C170" i="24"/>
  <c r="AM170" i="24"/>
  <c r="AM175" i="24"/>
  <c r="CI175" i="24"/>
  <c r="AA177" i="24"/>
  <c r="C178" i="24"/>
  <c r="AY178" i="24"/>
  <c r="AM179" i="24"/>
  <c r="BK180" i="24"/>
  <c r="C182" i="24"/>
  <c r="CU182" i="24"/>
  <c r="O184" i="24"/>
  <c r="BK185" i="24"/>
  <c r="AY186" i="24"/>
  <c r="BW187" i="24"/>
  <c r="O189" i="24"/>
  <c r="C190" i="24"/>
  <c r="AA191" i="24"/>
  <c r="BW192" i="24"/>
  <c r="BK193" i="24"/>
  <c r="CI194" i="24"/>
  <c r="AA196" i="24"/>
  <c r="O197" i="24"/>
  <c r="AM198" i="24"/>
  <c r="BW200" i="24"/>
  <c r="CU201" i="24"/>
  <c r="AA204" i="24"/>
  <c r="AY205" i="24"/>
  <c r="CI207" i="24"/>
  <c r="AY210" i="24"/>
  <c r="CU212" i="24"/>
  <c r="O227" i="24"/>
  <c r="AM241" i="24"/>
  <c r="BW160" i="24"/>
  <c r="AM162" i="24"/>
  <c r="CI171" i="24"/>
  <c r="BK176" i="24"/>
  <c r="O178" i="24"/>
  <c r="C179" i="24"/>
  <c r="BW181" i="24"/>
  <c r="BK182" i="24"/>
  <c r="AA185" i="24"/>
  <c r="O186" i="24"/>
  <c r="CI188" i="24"/>
  <c r="BW189" i="24"/>
  <c r="AM192" i="24"/>
  <c r="AA193" i="24"/>
  <c r="CU195" i="24"/>
  <c r="CI196" i="24"/>
  <c r="AY199" i="24"/>
  <c r="AM200" i="24"/>
  <c r="C203" i="24"/>
  <c r="CU203" i="24"/>
  <c r="BK206" i="24"/>
  <c r="AY207" i="24"/>
  <c r="AY216" i="24"/>
  <c r="O219" i="24"/>
  <c r="CU220" i="24"/>
  <c r="BW230" i="24"/>
  <c r="AM233" i="24"/>
  <c r="O235" i="24"/>
  <c r="BK244" i="24"/>
  <c r="C245" i="24"/>
  <c r="BK246" i="24"/>
  <c r="CU248" i="24"/>
  <c r="O250" i="24"/>
  <c r="AY252" i="24"/>
  <c r="BW253" i="24"/>
  <c r="C256" i="24"/>
  <c r="AA257" i="24"/>
  <c r="BK259" i="24"/>
  <c r="CI260" i="24"/>
  <c r="O263" i="24"/>
  <c r="AM264" i="24"/>
  <c r="BW266" i="24"/>
  <c r="BK267" i="24"/>
  <c r="AY274" i="24"/>
  <c r="O286" i="24"/>
  <c r="BK286" i="24"/>
  <c r="AM283" i="24"/>
  <c r="CI283" i="24"/>
  <c r="C285" i="24"/>
  <c r="AY285" i="24"/>
  <c r="AM287" i="24"/>
  <c r="BK288" i="24"/>
  <c r="C289" i="24"/>
  <c r="CI296" i="24"/>
  <c r="CI291" i="24"/>
  <c r="AA292" i="24"/>
  <c r="C293" i="24"/>
  <c r="AY293" i="24"/>
  <c r="BK294" i="24"/>
  <c r="AM295" i="24"/>
  <c r="CI295" i="24"/>
  <c r="BK296" i="24"/>
  <c r="C298" i="24"/>
  <c r="AA299" i="24"/>
  <c r="BW299" i="24"/>
  <c r="CI300" i="24"/>
  <c r="CU301" i="24"/>
  <c r="AM307" i="24"/>
  <c r="BK308" i="24"/>
  <c r="BK311" i="24"/>
  <c r="C312" i="24"/>
  <c r="AM312" i="24"/>
  <c r="CU313" i="24"/>
  <c r="BK315" i="24"/>
  <c r="C316" i="24"/>
  <c r="BW317" i="24"/>
  <c r="O318" i="24"/>
  <c r="AA319" i="24"/>
  <c r="CU320" i="24"/>
  <c r="AM321" i="24"/>
  <c r="BK324" i="24"/>
  <c r="C325" i="24"/>
  <c r="CI325" i="24"/>
  <c r="O326" i="24"/>
  <c r="BW328" i="24"/>
  <c r="C329" i="24"/>
  <c r="AY329" i="24"/>
  <c r="CI329" i="24"/>
  <c r="AM332" i="24"/>
  <c r="AY333" i="24"/>
  <c r="C36" i="26"/>
  <c r="C38" i="26"/>
  <c r="C46" i="26"/>
  <c r="C48" i="26"/>
  <c r="C50" i="26"/>
  <c r="C52" i="26"/>
  <c r="C54" i="26"/>
  <c r="O63" i="26"/>
  <c r="C65" i="26"/>
  <c r="O66" i="26"/>
  <c r="O71" i="26"/>
  <c r="C73" i="26"/>
  <c r="O74" i="26"/>
  <c r="O79" i="26"/>
  <c r="C81" i="26"/>
  <c r="O82" i="26"/>
  <c r="O87" i="26"/>
  <c r="C89" i="26"/>
  <c r="O90" i="26"/>
  <c r="O95" i="26"/>
  <c r="C97" i="26"/>
  <c r="O98" i="26"/>
  <c r="O103" i="26"/>
  <c r="C105" i="26"/>
  <c r="O106" i="26"/>
  <c r="O111" i="26"/>
  <c r="C113" i="26"/>
  <c r="O114" i="26"/>
  <c r="O119" i="26"/>
  <c r="C121" i="26"/>
  <c r="O122" i="26"/>
  <c r="O127" i="26"/>
  <c r="C129" i="26"/>
  <c r="O130" i="26"/>
  <c r="C135" i="26"/>
  <c r="C142" i="26"/>
  <c r="O143" i="26"/>
  <c r="O145" i="26"/>
  <c r="C149" i="26"/>
  <c r="AY291" i="24"/>
  <c r="CU291" i="24"/>
  <c r="AM292" i="24"/>
  <c r="C295" i="24"/>
  <c r="AY295" i="24"/>
  <c r="CU295" i="24"/>
  <c r="O298" i="24"/>
  <c r="CU298" i="24"/>
  <c r="AM299" i="24"/>
  <c r="BK301" i="24"/>
  <c r="AM302" i="24"/>
  <c r="CI302" i="24"/>
  <c r="AA303" i="24"/>
  <c r="AA306" i="24"/>
  <c r="AA311" i="24"/>
  <c r="AY312" i="24"/>
  <c r="CI312" i="24"/>
  <c r="AY314" i="24"/>
  <c r="BW315" i="24"/>
  <c r="CU316" i="24"/>
  <c r="AM317" i="24"/>
  <c r="CI317" i="24"/>
  <c r="BW319" i="24"/>
  <c r="O320" i="24"/>
  <c r="BK320" i="24"/>
  <c r="C321" i="24"/>
  <c r="AY321" i="24"/>
  <c r="BK322" i="24"/>
  <c r="AM323" i="24"/>
  <c r="AA324" i="24"/>
  <c r="AY325" i="24"/>
  <c r="AA326" i="24"/>
  <c r="C327" i="24"/>
  <c r="CU327" i="24"/>
  <c r="CU329" i="24"/>
  <c r="BW330" i="24"/>
  <c r="O331" i="24"/>
  <c r="BK331" i="24"/>
  <c r="C332" i="24"/>
  <c r="CI334" i="24"/>
  <c r="W42" i="26"/>
  <c r="O43" i="26"/>
  <c r="O45" i="26"/>
  <c r="O47" i="26"/>
  <c r="O50" i="26"/>
  <c r="C60" i="26"/>
  <c r="C62" i="26"/>
  <c r="C72" i="26"/>
  <c r="C80" i="26"/>
  <c r="C88" i="26"/>
  <c r="C96" i="26"/>
  <c r="C133" i="26"/>
  <c r="O140" i="26"/>
  <c r="O147" i="26"/>
  <c r="C153" i="26"/>
  <c r="C183" i="26"/>
  <c r="C182" i="26"/>
  <c r="C162" i="26"/>
  <c r="C163" i="26"/>
  <c r="CU308" i="24"/>
  <c r="BW309" i="24"/>
  <c r="CU311" i="24"/>
  <c r="C318" i="24"/>
  <c r="CI318" i="24"/>
  <c r="BW321" i="24"/>
  <c r="AM329" i="24"/>
  <c r="AA332" i="24"/>
  <c r="C333" i="24"/>
  <c r="W47" i="26"/>
  <c r="C68" i="26"/>
  <c r="C76" i="26"/>
  <c r="C84" i="26"/>
  <c r="C92" i="26"/>
  <c r="C100" i="26"/>
  <c r="C108" i="26"/>
  <c r="C116" i="26"/>
  <c r="C124" i="26"/>
  <c r="O172" i="26"/>
  <c r="O171" i="26"/>
  <c r="C199" i="26"/>
  <c r="O266" i="26"/>
  <c r="C268" i="26"/>
  <c r="C270" i="26"/>
  <c r="C272" i="26"/>
  <c r="C274" i="26"/>
  <c r="C276" i="26"/>
  <c r="C278" i="26"/>
  <c r="C280" i="26"/>
  <c r="C282" i="26"/>
  <c r="C284" i="26"/>
  <c r="C286" i="26"/>
  <c r="C288" i="26"/>
  <c r="C290" i="26"/>
  <c r="C292" i="26"/>
  <c r="C294" i="26"/>
  <c r="C303" i="26"/>
  <c r="O308" i="26"/>
  <c r="C310" i="26"/>
  <c r="C319" i="26"/>
  <c r="O324" i="26"/>
  <c r="C326" i="26"/>
  <c r="O48" i="27"/>
  <c r="C74" i="27"/>
  <c r="C94" i="27"/>
  <c r="C110" i="27"/>
  <c r="O192" i="27"/>
  <c r="O194" i="27"/>
  <c r="C197" i="27"/>
  <c r="C203" i="27"/>
  <c r="O215" i="27"/>
  <c r="O219" i="27"/>
  <c r="C268" i="27"/>
  <c r="O274" i="27"/>
  <c r="O304" i="27"/>
  <c r="O306" i="27"/>
  <c r="O308" i="27"/>
  <c r="O310" i="27"/>
  <c r="O336" i="27"/>
  <c r="O338" i="27"/>
  <c r="O340" i="27"/>
  <c r="C244" i="27"/>
  <c r="C256" i="27"/>
  <c r="O257" i="27"/>
  <c r="O271" i="27"/>
  <c r="C284" i="27"/>
  <c r="C295" i="27"/>
  <c r="C297" i="27"/>
  <c r="C308" i="27"/>
  <c r="C325" i="27"/>
  <c r="C329" i="27"/>
  <c r="O156" i="26"/>
  <c r="C170" i="26"/>
  <c r="O183" i="26"/>
  <c r="O185" i="26"/>
  <c r="O193" i="26"/>
  <c r="O217" i="26"/>
  <c r="O219" i="26"/>
  <c r="O221" i="26"/>
  <c r="O227" i="26"/>
  <c r="C233" i="26"/>
  <c r="O140" i="27"/>
  <c r="C142" i="27"/>
  <c r="O145" i="27"/>
  <c r="C165" i="27"/>
  <c r="C171" i="27"/>
  <c r="O237" i="27"/>
  <c r="C154" i="26"/>
  <c r="C165" i="26"/>
  <c r="O180" i="26"/>
  <c r="C186" i="26"/>
  <c r="O188" i="26"/>
  <c r="C194" i="26"/>
  <c r="O195" i="26"/>
  <c r="O199" i="26"/>
  <c r="C216" i="26"/>
  <c r="C224" i="26"/>
  <c r="O229" i="26"/>
  <c r="O233" i="26"/>
  <c r="O235" i="26"/>
  <c r="O237" i="26"/>
  <c r="C249" i="26"/>
  <c r="O254" i="26"/>
  <c r="O262" i="26"/>
  <c r="C266" i="26"/>
  <c r="O269" i="26"/>
  <c r="O271" i="26"/>
  <c r="O273" i="26"/>
  <c r="O275" i="26"/>
  <c r="O277" i="26"/>
  <c r="O279" i="26"/>
  <c r="O281" i="26"/>
  <c r="O283" i="26"/>
  <c r="O285" i="26"/>
  <c r="O287" i="26"/>
  <c r="O289" i="26"/>
  <c r="O291" i="26"/>
  <c r="O293" i="26"/>
  <c r="O295" i="26"/>
  <c r="C299" i="26"/>
  <c r="O304" i="26"/>
  <c r="C306" i="26"/>
  <c r="O311" i="26"/>
  <c r="C315" i="26"/>
  <c r="O320" i="26"/>
  <c r="C322" i="26"/>
  <c r="O327" i="26"/>
  <c r="C331" i="26"/>
  <c r="C49" i="27"/>
  <c r="C51" i="27"/>
  <c r="C56" i="27"/>
  <c r="O74" i="27"/>
  <c r="O76" i="27"/>
  <c r="O78" i="27"/>
  <c r="O80" i="27"/>
  <c r="O94" i="27"/>
  <c r="O96" i="27"/>
  <c r="O98" i="27"/>
  <c r="O100" i="27"/>
  <c r="O102" i="27"/>
  <c r="O104" i="27"/>
  <c r="O106" i="27"/>
  <c r="O108" i="27"/>
  <c r="C146" i="27"/>
  <c r="O166" i="27"/>
  <c r="O168" i="27"/>
  <c r="O170" i="27"/>
  <c r="O174" i="27"/>
  <c r="O176" i="27"/>
  <c r="O178" i="27"/>
  <c r="C181" i="27"/>
  <c r="C187" i="27"/>
  <c r="O203" i="27"/>
  <c r="O224" i="27"/>
  <c r="O231" i="27"/>
  <c r="C240" i="27"/>
  <c r="O241" i="27"/>
  <c r="C61" i="22"/>
  <c r="AA36" i="22"/>
  <c r="CU36" i="22"/>
  <c r="BW37" i="22"/>
  <c r="C37" i="22"/>
  <c r="AM38" i="22"/>
  <c r="O38" i="22"/>
  <c r="BK40" i="22"/>
  <c r="CU39" i="22"/>
  <c r="AU42" i="22"/>
  <c r="BG42" i="22"/>
  <c r="CU42" i="22"/>
  <c r="C43" i="22"/>
  <c r="W43" i="22"/>
  <c r="AI43" i="22"/>
  <c r="BW43" i="22"/>
  <c r="CI43" i="22"/>
  <c r="K44" i="22"/>
  <c r="W44" i="22"/>
  <c r="BK44" i="22"/>
  <c r="DC44" i="22"/>
  <c r="K45" i="22"/>
  <c r="AY45" i="22"/>
  <c r="CQ45" i="22"/>
  <c r="DC45" i="22"/>
  <c r="AM46" i="22"/>
  <c r="CE46" i="22"/>
  <c r="CQ46" i="22"/>
  <c r="AA47" i="22"/>
  <c r="BS47" i="22"/>
  <c r="CE47" i="22"/>
  <c r="O48" i="22"/>
  <c r="C49" i="22"/>
  <c r="AY49" i="22"/>
  <c r="BK50" i="22"/>
  <c r="CU50" i="22"/>
  <c r="AM52" i="22"/>
  <c r="BW51" i="22"/>
  <c r="O54" i="22"/>
  <c r="AY53" i="22"/>
  <c r="CI54" i="22"/>
  <c r="AY80" i="22"/>
  <c r="BK85" i="22"/>
  <c r="AY37" i="22"/>
  <c r="CI38" i="22"/>
  <c r="BK38" i="22"/>
  <c r="AM40" i="22"/>
  <c r="BW41" i="22"/>
  <c r="CI49" i="22"/>
  <c r="AM50" i="22"/>
  <c r="O52" i="22"/>
  <c r="CU53" i="22"/>
  <c r="AA55" i="22"/>
  <c r="AA89" i="22"/>
  <c r="BW95" i="22"/>
  <c r="O36" i="22"/>
  <c r="CU37" i="22"/>
  <c r="C39" i="22"/>
  <c r="CI40" i="22"/>
  <c r="CQ42" i="22"/>
  <c r="DC42" i="22"/>
  <c r="BS43" i="22"/>
  <c r="CE43" i="22"/>
  <c r="BG44" i="22"/>
  <c r="BS44" i="22"/>
  <c r="AU45" i="22"/>
  <c r="BG45" i="22"/>
  <c r="AI46" i="22"/>
  <c r="AU46" i="22"/>
  <c r="W47" i="22"/>
  <c r="AI47" i="22"/>
  <c r="K48" i="22"/>
  <c r="CI50" i="22"/>
  <c r="BK52" i="22"/>
  <c r="AM54" i="22"/>
  <c r="CI92" i="22"/>
  <c r="AY158" i="22"/>
  <c r="CI158" i="22"/>
  <c r="BK160" i="22"/>
  <c r="AM162" i="22"/>
  <c r="O164" i="22"/>
  <c r="CU165" i="22"/>
  <c r="BW167" i="22"/>
  <c r="AY169" i="22"/>
  <c r="AA171" i="22"/>
  <c r="C173" i="22"/>
  <c r="CI174" i="22"/>
  <c r="BK176" i="22"/>
  <c r="AM178" i="22"/>
  <c r="O180" i="22"/>
  <c r="CI249" i="22"/>
  <c r="BW92" i="22"/>
  <c r="AY101" i="22"/>
  <c r="BK108" i="22"/>
  <c r="BW115" i="22"/>
  <c r="CI122" i="22"/>
  <c r="CU129" i="22"/>
  <c r="AM134" i="22"/>
  <c r="O195" i="22"/>
  <c r="BW198" i="22"/>
  <c r="AA202" i="22"/>
  <c r="BW205" i="22"/>
  <c r="BK206" i="22"/>
  <c r="BK208" i="22"/>
  <c r="CI210" i="22"/>
  <c r="AM212" i="22"/>
  <c r="BK214" i="22"/>
  <c r="CU219" i="22"/>
  <c r="CI220" i="22"/>
  <c r="CI222" i="22"/>
  <c r="C225" i="22"/>
  <c r="BK226" i="22"/>
  <c r="CI228" i="22"/>
  <c r="O234" i="22"/>
  <c r="C235" i="22"/>
  <c r="CU241" i="22"/>
  <c r="BK244" i="22"/>
  <c r="O251" i="22"/>
  <c r="CU252" i="22"/>
  <c r="BW254" i="22"/>
  <c r="AY256" i="22"/>
  <c r="AA258" i="22"/>
  <c r="CU157" i="22"/>
  <c r="BW159" i="22"/>
  <c r="AY161" i="22"/>
  <c r="AA163" i="22"/>
  <c r="C165" i="22"/>
  <c r="CI166" i="22"/>
  <c r="BK168" i="22"/>
  <c r="AM170" i="22"/>
  <c r="AA194" i="22"/>
  <c r="CI197" i="22"/>
  <c r="AM201" i="22"/>
  <c r="O89" i="22"/>
  <c r="CU97" i="22"/>
  <c r="C105" i="22"/>
  <c r="O112" i="22"/>
  <c r="AA119" i="22"/>
  <c r="AM126" i="22"/>
  <c r="AY133" i="22"/>
  <c r="AA195" i="22"/>
  <c r="CI198" i="22"/>
  <c r="AM202" i="22"/>
  <c r="AA205" i="22"/>
  <c r="CU204" i="22"/>
  <c r="AY207" i="22"/>
  <c r="CI212" i="22"/>
  <c r="BW213" i="22"/>
  <c r="BW215" i="22"/>
  <c r="CU217" i="22"/>
  <c r="AY219" i="22"/>
  <c r="BW221" i="22"/>
  <c r="C227" i="22"/>
  <c r="CU227" i="22"/>
  <c r="CU229" i="22"/>
  <c r="O232" i="22"/>
  <c r="BW233" i="22"/>
  <c r="AY237" i="22"/>
  <c r="C249" i="22"/>
  <c r="C252" i="22"/>
  <c r="CI253" i="22"/>
  <c r="BK255" i="22"/>
  <c r="AM257" i="22"/>
  <c r="O259" i="22"/>
  <c r="AA267" i="22"/>
  <c r="CU303" i="22"/>
  <c r="AI42" i="24"/>
  <c r="AU43" i="24"/>
  <c r="CE44" i="24"/>
  <c r="CQ45" i="24"/>
  <c r="DC46" i="24"/>
  <c r="CQ47" i="24"/>
  <c r="O50" i="24"/>
  <c r="CU51" i="24"/>
  <c r="BW53" i="24"/>
  <c r="AY55" i="24"/>
  <c r="AA57" i="24"/>
  <c r="C59" i="24"/>
  <c r="CI60" i="24"/>
  <c r="C282" i="22"/>
  <c r="AA285" i="22"/>
  <c r="BK285" i="22"/>
  <c r="CU288" i="22"/>
  <c r="AA289" i="22"/>
  <c r="BW290" i="22"/>
  <c r="C291" i="22"/>
  <c r="BW305" i="22"/>
  <c r="CU314" i="22"/>
  <c r="BK318" i="22"/>
  <c r="AM320" i="22"/>
  <c r="O322" i="22"/>
  <c r="CU323" i="22"/>
  <c r="BW325" i="22"/>
  <c r="AY327" i="22"/>
  <c r="AA329" i="22"/>
  <c r="C331" i="22"/>
  <c r="CI332" i="22"/>
  <c r="BW334" i="22"/>
  <c r="C37" i="24"/>
  <c r="O39" i="24"/>
  <c r="AY39" i="24"/>
  <c r="K42" i="24"/>
  <c r="W43" i="24"/>
  <c r="AI44" i="24"/>
  <c r="BS45" i="24"/>
  <c r="CE46" i="24"/>
  <c r="O47" i="24"/>
  <c r="BS47" i="24"/>
  <c r="C48" i="24"/>
  <c r="BK50" i="24"/>
  <c r="AM52" i="24"/>
  <c r="O54" i="24"/>
  <c r="CU55" i="24"/>
  <c r="BW57" i="24"/>
  <c r="AY59" i="24"/>
  <c r="AA61" i="24"/>
  <c r="AM286" i="22"/>
  <c r="AM316" i="22"/>
  <c r="BK334" i="22"/>
  <c r="BS42" i="24"/>
  <c r="CQ42" i="24"/>
  <c r="DC42" i="24"/>
  <c r="DC43" i="24"/>
  <c r="K44" i="24"/>
  <c r="AY44" i="24"/>
  <c r="K45" i="24"/>
  <c r="W45" i="24"/>
  <c r="W46" i="24"/>
  <c r="AU46" i="24"/>
  <c r="BG46" i="24"/>
  <c r="AM48" i="24"/>
  <c r="CI48" i="24"/>
  <c r="AA49" i="24"/>
  <c r="C51" i="24"/>
  <c r="CI52" i="24"/>
  <c r="BK54" i="24"/>
  <c r="AM56" i="24"/>
  <c r="O58" i="24"/>
  <c r="CU59" i="24"/>
  <c r="BW61" i="24"/>
  <c r="O64" i="24"/>
  <c r="AY64" i="24"/>
  <c r="BK65" i="24"/>
  <c r="CU65" i="24"/>
  <c r="AM67" i="24"/>
  <c r="BW67" i="24"/>
  <c r="O69" i="24"/>
  <c r="AY69" i="24"/>
  <c r="CU70" i="24"/>
  <c r="AA71" i="24"/>
  <c r="BW72" i="24"/>
  <c r="C73" i="24"/>
  <c r="AY74" i="24"/>
  <c r="CI74" i="24"/>
  <c r="AA76" i="24"/>
  <c r="BK76" i="24"/>
  <c r="C78" i="24"/>
  <c r="AM78" i="24"/>
  <c r="CI79" i="24"/>
  <c r="O80" i="24"/>
  <c r="BK81" i="24"/>
  <c r="CU81" i="24"/>
  <c r="AM83" i="24"/>
  <c r="BW83" i="24"/>
  <c r="O85" i="24"/>
  <c r="AY85" i="24"/>
  <c r="CU86" i="24"/>
  <c r="AA87" i="24"/>
  <c r="BW88" i="24"/>
  <c r="C89" i="24"/>
  <c r="AY90" i="24"/>
  <c r="CI90" i="24"/>
  <c r="AA92" i="24"/>
  <c r="BK92" i="24"/>
  <c r="BW108" i="24"/>
  <c r="BK109" i="24"/>
  <c r="AY110" i="24"/>
  <c r="AM111" i="24"/>
  <c r="AA112" i="24"/>
  <c r="CU37" i="24"/>
  <c r="BW48" i="24"/>
  <c r="AM108" i="24"/>
  <c r="AA109" i="24"/>
  <c r="O110" i="24"/>
  <c r="C111" i="24"/>
  <c r="CU111" i="24"/>
  <c r="CI112" i="24"/>
  <c r="BW113" i="24"/>
  <c r="AA183" i="24"/>
  <c r="AM190" i="24"/>
  <c r="AY197" i="24"/>
  <c r="BK204" i="24"/>
  <c r="O109" i="24"/>
  <c r="AY109" i="24"/>
  <c r="CU110" i="24"/>
  <c r="AA111" i="24"/>
  <c r="BW112" i="24"/>
  <c r="C113" i="24"/>
  <c r="CI118" i="24"/>
  <c r="CU125" i="24"/>
  <c r="C133" i="24"/>
  <c r="O140" i="24"/>
  <c r="AA147" i="24"/>
  <c r="AM154" i="24"/>
  <c r="AY161" i="24"/>
  <c r="BK168" i="24"/>
  <c r="BW175" i="24"/>
  <c r="CU177" i="24"/>
  <c r="BK181" i="24"/>
  <c r="CU181" i="24"/>
  <c r="C185" i="24"/>
  <c r="BW188" i="24"/>
  <c r="C189" i="24"/>
  <c r="O192" i="24"/>
  <c r="CI195" i="24"/>
  <c r="O196" i="24"/>
  <c r="AA199" i="24"/>
  <c r="CU202" i="24"/>
  <c r="AA203" i="24"/>
  <c r="AM206" i="24"/>
  <c r="AM209" i="24"/>
  <c r="O246" i="24"/>
  <c r="CU247" i="24"/>
  <c r="BW249" i="24"/>
  <c r="AY251" i="24"/>
  <c r="AA253" i="24"/>
  <c r="C255" i="24"/>
  <c r="CI256" i="24"/>
  <c r="BK258" i="24"/>
  <c r="AM260" i="24"/>
  <c r="O262" i="24"/>
  <c r="CU263" i="24"/>
  <c r="BW265" i="24"/>
  <c r="AY268" i="24"/>
  <c r="CU269" i="24"/>
  <c r="O273" i="24"/>
  <c r="BW179" i="24"/>
  <c r="CI186" i="24"/>
  <c r="CU193" i="24"/>
  <c r="C201" i="24"/>
  <c r="O208" i="24"/>
  <c r="AA108" i="24"/>
  <c r="BK108" i="24"/>
  <c r="C110" i="24"/>
  <c r="AM110" i="24"/>
  <c r="CI111" i="24"/>
  <c r="O112" i="24"/>
  <c r="BK113" i="24"/>
  <c r="CU113" i="24"/>
  <c r="BK115" i="24"/>
  <c r="AM122" i="24"/>
  <c r="AY129" i="24"/>
  <c r="BK136" i="24"/>
  <c r="BW143" i="24"/>
  <c r="CI150" i="24"/>
  <c r="CU157" i="24"/>
  <c r="C165" i="24"/>
  <c r="O172" i="24"/>
  <c r="AM178" i="24"/>
  <c r="AY181" i="24"/>
  <c r="O185" i="24"/>
  <c r="AY185" i="24"/>
  <c r="BK188" i="24"/>
  <c r="AA192" i="24"/>
  <c r="BK192" i="24"/>
  <c r="BW195" i="24"/>
  <c r="AM199" i="24"/>
  <c r="BW199" i="24"/>
  <c r="CI202" i="24"/>
  <c r="AY206" i="24"/>
  <c r="CI206" i="24"/>
  <c r="C247" i="24"/>
  <c r="CI248" i="24"/>
  <c r="BK250" i="24"/>
  <c r="AM252" i="24"/>
  <c r="O254" i="24"/>
  <c r="CU255" i="24"/>
  <c r="BW257" i="24"/>
  <c r="AY259" i="24"/>
  <c r="AA261" i="24"/>
  <c r="C263" i="24"/>
  <c r="CI264" i="24"/>
  <c r="BK266" i="24"/>
  <c r="C269" i="24"/>
  <c r="BW285" i="24"/>
  <c r="C287" i="24"/>
  <c r="CI290" i="24"/>
  <c r="CI292" i="24"/>
  <c r="O294" i="24"/>
  <c r="CU297" i="24"/>
  <c r="CU299" i="24"/>
  <c r="AA301" i="24"/>
  <c r="C305" i="24"/>
  <c r="BK307" i="24"/>
  <c r="CU307" i="24"/>
  <c r="CU312" i="24"/>
  <c r="AA313" i="24"/>
  <c r="CU333" i="24"/>
  <c r="AY334" i="24"/>
  <c r="W44" i="26"/>
  <c r="W46" i="26"/>
  <c r="AY305" i="24"/>
  <c r="C314" i="24"/>
  <c r="C40" i="26"/>
  <c r="C42" i="26"/>
  <c r="W43" i="26"/>
  <c r="C45" i="26"/>
  <c r="K46" i="26"/>
  <c r="C64" i="26"/>
  <c r="C166" i="26"/>
  <c r="C167" i="26"/>
  <c r="C250" i="26"/>
  <c r="C251" i="26"/>
  <c r="BK276" i="24"/>
  <c r="O280" i="24"/>
  <c r="AY281" i="24"/>
  <c r="AM282" i="24"/>
  <c r="AA287" i="24"/>
  <c r="AA289" i="24"/>
  <c r="BK290" i="24"/>
  <c r="AM294" i="24"/>
  <c r="AM296" i="24"/>
  <c r="BW297" i="24"/>
  <c r="AY301" i="24"/>
  <c r="AY303" i="24"/>
  <c r="CI304" i="24"/>
  <c r="CU305" i="24"/>
  <c r="AM306" i="24"/>
  <c r="BW306" i="24"/>
  <c r="AY311" i="24"/>
  <c r="CI313" i="24"/>
  <c r="O314" i="24"/>
  <c r="BK314" i="24"/>
  <c r="CU315" i="24"/>
  <c r="BW334" i="24"/>
  <c r="O38" i="26"/>
  <c r="O40" i="26"/>
  <c r="K47" i="26"/>
  <c r="O49" i="26"/>
  <c r="O55" i="26"/>
  <c r="O54" i="26"/>
  <c r="O62" i="26"/>
  <c r="O70" i="26"/>
  <c r="O78" i="26"/>
  <c r="O86" i="26"/>
  <c r="O94" i="26"/>
  <c r="O102" i="26"/>
  <c r="O110" i="26"/>
  <c r="O118" i="26"/>
  <c r="O126" i="26"/>
  <c r="O153" i="26"/>
  <c r="C178" i="26"/>
  <c r="C179" i="26"/>
  <c r="O299" i="26"/>
  <c r="O315" i="26"/>
  <c r="O331" i="26"/>
  <c r="O50" i="27"/>
  <c r="C37" i="26"/>
  <c r="C39" i="26"/>
  <c r="C44" i="26"/>
  <c r="K45" i="26"/>
  <c r="W45" i="26"/>
  <c r="C47" i="26"/>
  <c r="C49" i="26"/>
  <c r="C56" i="26"/>
  <c r="C58" i="26"/>
  <c r="O59" i="26"/>
  <c r="C61" i="26"/>
  <c r="O65" i="26"/>
  <c r="O69" i="26"/>
  <c r="O73" i="26"/>
  <c r="O77" i="26"/>
  <c r="O81" i="26"/>
  <c r="O85" i="26"/>
  <c r="O89" i="26"/>
  <c r="O93" i="26"/>
  <c r="O97" i="26"/>
  <c r="O101" i="26"/>
  <c r="O105" i="26"/>
  <c r="O109" i="26"/>
  <c r="O113" i="26"/>
  <c r="O117" i="26"/>
  <c r="O121" i="26"/>
  <c r="O125" i="26"/>
  <c r="O129" i="26"/>
  <c r="O136" i="26"/>
  <c r="C139" i="26"/>
  <c r="C141" i="26"/>
  <c r="O142" i="26"/>
  <c r="C148" i="26"/>
  <c r="O152" i="26"/>
  <c r="C155" i="26"/>
  <c r="C157" i="26"/>
  <c r="O158" i="26"/>
  <c r="O169" i="26"/>
  <c r="C184" i="26"/>
  <c r="C185" i="26"/>
  <c r="C190" i="26"/>
  <c r="C191" i="26"/>
  <c r="C221" i="26"/>
  <c r="C220" i="26"/>
  <c r="O303" i="26"/>
  <c r="O319" i="26"/>
  <c r="C51" i="26"/>
  <c r="C53" i="26"/>
  <c r="O61" i="26"/>
  <c r="C63" i="26"/>
  <c r="C67" i="26"/>
  <c r="C71" i="26"/>
  <c r="C75" i="26"/>
  <c r="C79" i="26"/>
  <c r="C83" i="26"/>
  <c r="C87" i="26"/>
  <c r="C91" i="26"/>
  <c r="C95" i="26"/>
  <c r="C99" i="26"/>
  <c r="C103" i="26"/>
  <c r="C107" i="26"/>
  <c r="C111" i="26"/>
  <c r="C115" i="26"/>
  <c r="C119" i="26"/>
  <c r="C123" i="26"/>
  <c r="C127" i="26"/>
  <c r="C131" i="26"/>
  <c r="O132" i="26"/>
  <c r="O139" i="26"/>
  <c r="O144" i="26"/>
  <c r="O148" i="26"/>
  <c r="O155" i="26"/>
  <c r="O160" i="26"/>
  <c r="C173" i="26"/>
  <c r="C172" i="26"/>
  <c r="C237" i="26"/>
  <c r="C236" i="26"/>
  <c r="O307" i="26"/>
  <c r="C83" i="27"/>
  <c r="C82" i="27"/>
  <c r="C97" i="27"/>
  <c r="C96" i="27"/>
  <c r="C167" i="27"/>
  <c r="C168" i="27"/>
  <c r="C177" i="27"/>
  <c r="C178" i="27"/>
  <c r="O189" i="27"/>
  <c r="O188" i="27"/>
  <c r="C225" i="27"/>
  <c r="C226" i="27"/>
  <c r="O234" i="27"/>
  <c r="O233" i="27"/>
  <c r="O254" i="27"/>
  <c r="O253" i="27"/>
  <c r="O277" i="27"/>
  <c r="O276" i="27"/>
  <c r="O164" i="26"/>
  <c r="O168" i="26"/>
  <c r="O174" i="26"/>
  <c r="C193" i="26"/>
  <c r="O203" i="26"/>
  <c r="C205" i="26"/>
  <c r="O207" i="26"/>
  <c r="C209" i="26"/>
  <c r="O223" i="26"/>
  <c r="C225" i="26"/>
  <c r="O239" i="26"/>
  <c r="C241" i="26"/>
  <c r="O259" i="26"/>
  <c r="C269" i="26"/>
  <c r="C273" i="26"/>
  <c r="C277" i="26"/>
  <c r="C281" i="26"/>
  <c r="C285" i="26"/>
  <c r="C289" i="26"/>
  <c r="C293" i="26"/>
  <c r="C297" i="26"/>
  <c r="C301" i="26"/>
  <c r="C305" i="26"/>
  <c r="C309" i="26"/>
  <c r="C313" i="26"/>
  <c r="C317" i="26"/>
  <c r="C321" i="26"/>
  <c r="C325" i="26"/>
  <c r="C329" i="26"/>
  <c r="C333" i="26"/>
  <c r="C44" i="27"/>
  <c r="C144" i="27"/>
  <c r="C143" i="27"/>
  <c r="C183" i="27"/>
  <c r="C184" i="27"/>
  <c r="C193" i="27"/>
  <c r="C194" i="27"/>
  <c r="O205" i="27"/>
  <c r="O204" i="27"/>
  <c r="O176" i="26"/>
  <c r="O179" i="26"/>
  <c r="O191" i="26"/>
  <c r="O209" i="26"/>
  <c r="C213" i="26"/>
  <c r="O225" i="26"/>
  <c r="C229" i="26"/>
  <c r="O241" i="26"/>
  <c r="C245" i="26"/>
  <c r="C253" i="26"/>
  <c r="C255" i="26"/>
  <c r="O256" i="26"/>
  <c r="O261" i="26"/>
  <c r="C265" i="26"/>
  <c r="O270" i="26"/>
  <c r="O274" i="26"/>
  <c r="O278" i="26"/>
  <c r="O282" i="26"/>
  <c r="O286" i="26"/>
  <c r="O290" i="26"/>
  <c r="O294" i="26"/>
  <c r="O298" i="26"/>
  <c r="O302" i="26"/>
  <c r="O306" i="26"/>
  <c r="O310" i="26"/>
  <c r="O314" i="26"/>
  <c r="O318" i="26"/>
  <c r="O322" i="26"/>
  <c r="O326" i="26"/>
  <c r="O330" i="26"/>
  <c r="O334" i="26"/>
  <c r="C45" i="27"/>
  <c r="O47" i="27"/>
  <c r="O60" i="27"/>
  <c r="O62" i="27"/>
  <c r="O64" i="27"/>
  <c r="O66" i="27"/>
  <c r="O68" i="27"/>
  <c r="C71" i="27"/>
  <c r="C73" i="27"/>
  <c r="C152" i="27"/>
  <c r="C151" i="27"/>
  <c r="O157" i="27"/>
  <c r="O156" i="27"/>
  <c r="C199" i="27"/>
  <c r="C200" i="27"/>
  <c r="C209" i="27"/>
  <c r="C210" i="27"/>
  <c r="O221" i="27"/>
  <c r="O220" i="27"/>
  <c r="O230" i="27"/>
  <c r="O229" i="27"/>
  <c r="O250" i="27"/>
  <c r="O249" i="27"/>
  <c r="O178" i="26"/>
  <c r="O184" i="26"/>
  <c r="O190" i="26"/>
  <c r="O196" i="26"/>
  <c r="O215" i="26"/>
  <c r="O231" i="26"/>
  <c r="O247" i="26"/>
  <c r="O250" i="26"/>
  <c r="O255" i="26"/>
  <c r="C257" i="26"/>
  <c r="O258" i="26"/>
  <c r="O265" i="26"/>
  <c r="C271" i="26"/>
  <c r="C275" i="26"/>
  <c r="C279" i="26"/>
  <c r="C283" i="26"/>
  <c r="C287" i="26"/>
  <c r="C296" i="26"/>
  <c r="C300" i="26"/>
  <c r="C304" i="26"/>
  <c r="C308" i="26"/>
  <c r="C312" i="26"/>
  <c r="C316" i="26"/>
  <c r="C320" i="26"/>
  <c r="C324" i="26"/>
  <c r="C328" i="26"/>
  <c r="C332" i="26"/>
  <c r="O44" i="27"/>
  <c r="C47" i="27"/>
  <c r="O49" i="27"/>
  <c r="C53" i="27"/>
  <c r="C55" i="27"/>
  <c r="C60" i="27"/>
  <c r="O70" i="27"/>
  <c r="O72" i="27"/>
  <c r="C161" i="27"/>
  <c r="C162" i="27"/>
  <c r="O173" i="27"/>
  <c r="O172" i="27"/>
  <c r="C215" i="27"/>
  <c r="C216" i="27"/>
  <c r="C286" i="27"/>
  <c r="C312" i="27"/>
  <c r="C89" i="27"/>
  <c r="C91" i="27"/>
  <c r="C93" i="27"/>
  <c r="O110" i="27"/>
  <c r="O112" i="27"/>
  <c r="O114" i="27"/>
  <c r="O116" i="27"/>
  <c r="O118" i="27"/>
  <c r="O120" i="27"/>
  <c r="O122" i="27"/>
  <c r="O124" i="27"/>
  <c r="O126" i="27"/>
  <c r="O128" i="27"/>
  <c r="O130" i="27"/>
  <c r="O132" i="27"/>
  <c r="O134" i="27"/>
  <c r="C137" i="27"/>
  <c r="C139" i="27"/>
  <c r="O144" i="27"/>
  <c r="O149" i="27"/>
  <c r="C159" i="27"/>
  <c r="C163" i="27"/>
  <c r="O165" i="27"/>
  <c r="C169" i="27"/>
  <c r="C175" i="27"/>
  <c r="C179" i="27"/>
  <c r="O181" i="27"/>
  <c r="C185" i="27"/>
  <c r="C191" i="27"/>
  <c r="C195" i="27"/>
  <c r="O197" i="27"/>
  <c r="C201" i="27"/>
  <c r="C207" i="27"/>
  <c r="C211" i="27"/>
  <c r="O213" i="27"/>
  <c r="C217" i="27"/>
  <c r="C223" i="27"/>
  <c r="C228" i="27"/>
  <c r="C239" i="27"/>
  <c r="C255" i="27"/>
  <c r="O259" i="27"/>
  <c r="C275" i="27"/>
  <c r="C281" i="27"/>
  <c r="C293" i="27"/>
  <c r="O300" i="27"/>
  <c r="O302" i="27"/>
  <c r="C305" i="27"/>
  <c r="O316" i="27"/>
  <c r="O318" i="27"/>
  <c r="C321" i="27"/>
  <c r="O332" i="27"/>
  <c r="O334" i="27"/>
  <c r="C337" i="27"/>
  <c r="O82" i="27"/>
  <c r="O84" i="27"/>
  <c r="O86" i="27"/>
  <c r="O88" i="27"/>
  <c r="O90" i="27"/>
  <c r="O92" i="27"/>
  <c r="C95" i="27"/>
  <c r="O136" i="27"/>
  <c r="O138" i="27"/>
  <c r="O151" i="27"/>
  <c r="O155" i="27"/>
  <c r="C160" i="27"/>
  <c r="O161" i="27"/>
  <c r="O167" i="27"/>
  <c r="C170" i="27"/>
  <c r="C176" i="27"/>
  <c r="O177" i="27"/>
  <c r="O183" i="27"/>
  <c r="C186" i="27"/>
  <c r="C192" i="27"/>
  <c r="O193" i="27"/>
  <c r="O199" i="27"/>
  <c r="C202" i="27"/>
  <c r="C208" i="27"/>
  <c r="O209" i="27"/>
  <c r="C218" i="27"/>
  <c r="O147" i="27"/>
  <c r="O153" i="27"/>
  <c r="O159" i="27"/>
  <c r="O163" i="27"/>
  <c r="O169" i="27"/>
  <c r="C173" i="27"/>
  <c r="O175" i="27"/>
  <c r="O179" i="27"/>
  <c r="O185" i="27"/>
  <c r="C189" i="27"/>
  <c r="O191" i="27"/>
  <c r="O195" i="27"/>
  <c r="O201" i="27"/>
  <c r="C205" i="27"/>
  <c r="O207" i="27"/>
  <c r="O211" i="27"/>
  <c r="O217" i="27"/>
  <c r="C221" i="27"/>
  <c r="O223" i="27"/>
  <c r="C232" i="27"/>
  <c r="C236" i="27"/>
  <c r="O240" i="27"/>
  <c r="C243" i="27"/>
  <c r="C248" i="27"/>
  <c r="C252" i="27"/>
  <c r="O256" i="27"/>
  <c r="C259" i="27"/>
  <c r="O263" i="27"/>
  <c r="O267" i="27"/>
  <c r="C272" i="27"/>
  <c r="C279" i="27"/>
  <c r="C289" i="27"/>
  <c r="C301" i="27"/>
  <c r="O312" i="27"/>
  <c r="O314" i="27"/>
  <c r="C317" i="27"/>
  <c r="O328" i="27"/>
  <c r="O330" i="27"/>
  <c r="C333" i="27"/>
  <c r="C43" i="27"/>
  <c r="C62" i="27"/>
  <c r="C66" i="27"/>
  <c r="C72" i="27"/>
  <c r="C78" i="27"/>
  <c r="C84" i="27"/>
  <c r="C88" i="27"/>
  <c r="C92" i="27"/>
  <c r="C100" i="27"/>
  <c r="C104" i="27"/>
  <c r="C108" i="27"/>
  <c r="C114" i="27"/>
  <c r="C118" i="27"/>
  <c r="C122" i="27"/>
  <c r="C126" i="27"/>
  <c r="C130" i="27"/>
  <c r="C134" i="27"/>
  <c r="O292" i="27"/>
  <c r="O293" i="27"/>
  <c r="C335" i="27"/>
  <c r="C334" i="27"/>
  <c r="C46" i="27"/>
  <c r="C50" i="27"/>
  <c r="C52" i="27"/>
  <c r="O53" i="27"/>
  <c r="O143" i="27"/>
  <c r="C149" i="27"/>
  <c r="C174" i="27"/>
  <c r="C190" i="27"/>
  <c r="C206" i="27"/>
  <c r="C222" i="27"/>
  <c r="C274" i="27"/>
  <c r="C327" i="27"/>
  <c r="C326" i="27"/>
  <c r="O43" i="27"/>
  <c r="O54" i="27"/>
  <c r="O57" i="27"/>
  <c r="O59" i="27"/>
  <c r="O61" i="27"/>
  <c r="O63" i="27"/>
  <c r="O65" i="27"/>
  <c r="O67" i="27"/>
  <c r="O69" i="27"/>
  <c r="O71" i="27"/>
  <c r="O73" i="27"/>
  <c r="O75" i="27"/>
  <c r="O77" i="27"/>
  <c r="O79" i="27"/>
  <c r="O81" i="27"/>
  <c r="O83" i="27"/>
  <c r="O85" i="27"/>
  <c r="O87" i="27"/>
  <c r="O89" i="27"/>
  <c r="O91" i="27"/>
  <c r="O93" i="27"/>
  <c r="O95" i="27"/>
  <c r="O97" i="27"/>
  <c r="O99" i="27"/>
  <c r="O101" i="27"/>
  <c r="O103" i="27"/>
  <c r="O105" i="27"/>
  <c r="O107" i="27"/>
  <c r="O109" i="27"/>
  <c r="O111" i="27"/>
  <c r="O113" i="27"/>
  <c r="O115" i="27"/>
  <c r="O117" i="27"/>
  <c r="O119" i="27"/>
  <c r="O121" i="27"/>
  <c r="O123" i="27"/>
  <c r="O125" i="27"/>
  <c r="O127" i="27"/>
  <c r="O129" i="27"/>
  <c r="O131" i="27"/>
  <c r="O133" i="27"/>
  <c r="O135" i="27"/>
  <c r="O137" i="27"/>
  <c r="O139" i="27"/>
  <c r="C145" i="27"/>
  <c r="O150" i="27"/>
  <c r="C156" i="27"/>
  <c r="C164" i="27"/>
  <c r="C172" i="27"/>
  <c r="C180" i="27"/>
  <c r="C188" i="27"/>
  <c r="C196" i="27"/>
  <c r="C204" i="27"/>
  <c r="C212" i="27"/>
  <c r="C220" i="27"/>
  <c r="O228" i="27"/>
  <c r="O227" i="27"/>
  <c r="C242" i="27"/>
  <c r="C246" i="27"/>
  <c r="C245" i="27"/>
  <c r="C299" i="27"/>
  <c r="C298" i="27"/>
  <c r="C319" i="27"/>
  <c r="C318" i="27"/>
  <c r="C58" i="27"/>
  <c r="C64" i="27"/>
  <c r="C68" i="27"/>
  <c r="C76" i="27"/>
  <c r="C80" i="27"/>
  <c r="C86" i="27"/>
  <c r="C90" i="27"/>
  <c r="C98" i="27"/>
  <c r="C102" i="27"/>
  <c r="C106" i="27"/>
  <c r="C112" i="27"/>
  <c r="C116" i="27"/>
  <c r="C120" i="27"/>
  <c r="C124" i="27"/>
  <c r="C128" i="27"/>
  <c r="C132" i="27"/>
  <c r="C138" i="27"/>
  <c r="C283" i="27"/>
  <c r="C282" i="27"/>
  <c r="C303" i="27"/>
  <c r="C302" i="27"/>
  <c r="C48" i="27"/>
  <c r="C158" i="27"/>
  <c r="C166" i="27"/>
  <c r="C182" i="27"/>
  <c r="C198" i="27"/>
  <c r="C214" i="27"/>
  <c r="O244" i="27"/>
  <c r="O243" i="27"/>
  <c r="C258" i="27"/>
  <c r="C291" i="27"/>
  <c r="C290" i="27"/>
  <c r="C54" i="27"/>
  <c r="O146" i="27"/>
  <c r="C230" i="27"/>
  <c r="C229" i="27"/>
  <c r="O247" i="27"/>
  <c r="O284" i="27"/>
  <c r="O285" i="27"/>
  <c r="C311" i="27"/>
  <c r="C310" i="27"/>
  <c r="C238" i="27"/>
  <c r="C254" i="27"/>
  <c r="C262" i="27"/>
  <c r="C267" i="27"/>
  <c r="C278" i="27"/>
  <c r="O282" i="27"/>
  <c r="O283" i="27"/>
  <c r="O290" i="27"/>
  <c r="O291" i="27"/>
  <c r="O298" i="27"/>
  <c r="O299" i="27"/>
  <c r="C307" i="27"/>
  <c r="C306" i="27"/>
  <c r="C315" i="27"/>
  <c r="C314" i="27"/>
  <c r="C323" i="27"/>
  <c r="C322" i="27"/>
  <c r="C331" i="27"/>
  <c r="C330" i="27"/>
  <c r="C339" i="27"/>
  <c r="C338" i="27"/>
  <c r="C234" i="27"/>
  <c r="O239" i="27"/>
  <c r="C250" i="27"/>
  <c r="O255" i="27"/>
  <c r="C266" i="27"/>
  <c r="C271" i="27"/>
  <c r="C261" i="27"/>
  <c r="C265" i="27"/>
  <c r="C269" i="27"/>
  <c r="C273" i="27"/>
  <c r="C277" i="27"/>
  <c r="O280" i="27"/>
  <c r="O281" i="27"/>
  <c r="O288" i="27"/>
  <c r="O289" i="27"/>
  <c r="O296" i="27"/>
  <c r="O297" i="27"/>
  <c r="O286" i="27"/>
  <c r="O287" i="27"/>
  <c r="O294" i="27"/>
  <c r="O295" i="27"/>
  <c r="O301" i="27"/>
  <c r="O303" i="27"/>
  <c r="O305" i="27"/>
  <c r="O307" i="27"/>
  <c r="O309" i="27"/>
  <c r="O311" i="27"/>
  <c r="O313" i="27"/>
  <c r="O315" i="27"/>
  <c r="O317" i="27"/>
  <c r="O319" i="27"/>
  <c r="O321" i="27"/>
  <c r="O323" i="27"/>
  <c r="O325" i="27"/>
  <c r="O327" i="27"/>
  <c r="O329" i="27"/>
  <c r="O331" i="27"/>
  <c r="O333" i="27"/>
  <c r="O335" i="27"/>
  <c r="O337" i="27"/>
  <c r="O339" i="27"/>
  <c r="O341" i="27"/>
  <c r="O35" i="26"/>
  <c r="C35" i="26"/>
  <c r="O56" i="26"/>
  <c r="O202" i="26"/>
  <c r="O201" i="26"/>
  <c r="C227" i="26"/>
  <c r="C226" i="26"/>
  <c r="O37" i="26"/>
  <c r="O154" i="26"/>
  <c r="O194" i="26"/>
  <c r="O42" i="26"/>
  <c r="O44" i="26"/>
  <c r="O46" i="26"/>
  <c r="O134" i="26"/>
  <c r="C140" i="26"/>
  <c r="O150" i="26"/>
  <c r="C156" i="26"/>
  <c r="C176" i="26"/>
  <c r="O182" i="26"/>
  <c r="O181" i="26"/>
  <c r="C196" i="26"/>
  <c r="C215" i="26"/>
  <c r="C214" i="26"/>
  <c r="C223" i="26"/>
  <c r="C222" i="26"/>
  <c r="C231" i="26"/>
  <c r="C230" i="26"/>
  <c r="C239" i="26"/>
  <c r="C238" i="26"/>
  <c r="C247" i="26"/>
  <c r="C246" i="26"/>
  <c r="C259" i="26"/>
  <c r="C258" i="26"/>
  <c r="O52" i="26"/>
  <c r="C211" i="26"/>
  <c r="C210" i="26"/>
  <c r="C219" i="26"/>
  <c r="C218" i="26"/>
  <c r="C235" i="26"/>
  <c r="C234" i="26"/>
  <c r="C243" i="26"/>
  <c r="C242" i="26"/>
  <c r="O138" i="26"/>
  <c r="C144" i="26"/>
  <c r="C160" i="26"/>
  <c r="O166" i="26"/>
  <c r="O165" i="26"/>
  <c r="C180" i="26"/>
  <c r="C136" i="26"/>
  <c r="O141" i="26"/>
  <c r="O146" i="26"/>
  <c r="C152" i="26"/>
  <c r="O157" i="26"/>
  <c r="O162" i="26"/>
  <c r="O177" i="26"/>
  <c r="C192" i="26"/>
  <c r="O198" i="26"/>
  <c r="O197" i="26"/>
  <c r="C201" i="26"/>
  <c r="C200" i="26"/>
  <c r="C262" i="26"/>
  <c r="C263" i="26"/>
  <c r="O252" i="26"/>
  <c r="O206" i="26"/>
  <c r="O251" i="26"/>
  <c r="O267" i="26"/>
  <c r="O208" i="26"/>
  <c r="O210" i="26"/>
  <c r="O212" i="26"/>
  <c r="O214" i="26"/>
  <c r="O216" i="26"/>
  <c r="O218" i="26"/>
  <c r="O220" i="26"/>
  <c r="O222" i="26"/>
  <c r="O224" i="26"/>
  <c r="O226" i="26"/>
  <c r="O228" i="26"/>
  <c r="O230" i="26"/>
  <c r="O232" i="26"/>
  <c r="O234" i="26"/>
  <c r="O236" i="26"/>
  <c r="O238" i="26"/>
  <c r="O240" i="26"/>
  <c r="O242" i="26"/>
  <c r="O244" i="26"/>
  <c r="O246" i="26"/>
  <c r="O248" i="26"/>
  <c r="O264" i="26"/>
  <c r="C254" i="26"/>
  <c r="O260" i="26"/>
  <c r="O35" i="24"/>
  <c r="O119" i="24"/>
  <c r="O118" i="24"/>
  <c r="CU120" i="24"/>
  <c r="CU119" i="24"/>
  <c r="AY124" i="24"/>
  <c r="AY123" i="24"/>
  <c r="C128" i="24"/>
  <c r="C127" i="24"/>
  <c r="AM133" i="24"/>
  <c r="AM132" i="24"/>
  <c r="BW138" i="24"/>
  <c r="BW137" i="24"/>
  <c r="CI145" i="24"/>
  <c r="CI144" i="24"/>
  <c r="O151" i="24"/>
  <c r="O150" i="24"/>
  <c r="CU152" i="24"/>
  <c r="CU151" i="24"/>
  <c r="AA158" i="24"/>
  <c r="AA157" i="24"/>
  <c r="CI161" i="24"/>
  <c r="CI160" i="24"/>
  <c r="BK163" i="24"/>
  <c r="BK162" i="24"/>
  <c r="O167" i="24"/>
  <c r="O166" i="24"/>
  <c r="CU168" i="24"/>
  <c r="CU167" i="24"/>
  <c r="BW170" i="24"/>
  <c r="BW169" i="24"/>
  <c r="AY172" i="24"/>
  <c r="AY171" i="24"/>
  <c r="AA174" i="24"/>
  <c r="AA173" i="24"/>
  <c r="C176" i="24"/>
  <c r="C175" i="24"/>
  <c r="C184" i="24"/>
  <c r="C183" i="24"/>
  <c r="CU184" i="24"/>
  <c r="CU183" i="24"/>
  <c r="CU185" i="24"/>
  <c r="CU186" i="24"/>
  <c r="O191" i="24"/>
  <c r="O190" i="24"/>
  <c r="C192" i="24"/>
  <c r="C191" i="24"/>
  <c r="AM205" i="24"/>
  <c r="AM204" i="24"/>
  <c r="AA206" i="24"/>
  <c r="AA205" i="24"/>
  <c r="AA207" i="24"/>
  <c r="AA208" i="24"/>
  <c r="CU210" i="24"/>
  <c r="CU209" i="24"/>
  <c r="AY214" i="24"/>
  <c r="AY213" i="24"/>
  <c r="BK221" i="24"/>
  <c r="BK220" i="24"/>
  <c r="O225" i="24"/>
  <c r="O224" i="24"/>
  <c r="BW228" i="24"/>
  <c r="BW227" i="24"/>
  <c r="AA232" i="24"/>
  <c r="AA231" i="24"/>
  <c r="CI235" i="24"/>
  <c r="CI234" i="24"/>
  <c r="AM239" i="24"/>
  <c r="AM238" i="24"/>
  <c r="CU242" i="24"/>
  <c r="CU241" i="24"/>
  <c r="C307" i="24"/>
  <c r="C306" i="24"/>
  <c r="O311" i="24"/>
  <c r="O310" i="24"/>
  <c r="CI324" i="24"/>
  <c r="CI323" i="24"/>
  <c r="AM328" i="24"/>
  <c r="AM327" i="24"/>
  <c r="CI36" i="24"/>
  <c r="CI37" i="24"/>
  <c r="AA48" i="24"/>
  <c r="BW49" i="24"/>
  <c r="BK64" i="24"/>
  <c r="AM66" i="24"/>
  <c r="CU68" i="24"/>
  <c r="CU67" i="24"/>
  <c r="BW70" i="24"/>
  <c r="BW69" i="24"/>
  <c r="BW71" i="24"/>
  <c r="AY73" i="24"/>
  <c r="AA74" i="24"/>
  <c r="AA73" i="24"/>
  <c r="CI78" i="24"/>
  <c r="BK79" i="24"/>
  <c r="BK78" i="24"/>
  <c r="AM82" i="24"/>
  <c r="CU85" i="24"/>
  <c r="BW86" i="24"/>
  <c r="BW85" i="24"/>
  <c r="BW87" i="24"/>
  <c r="AY88" i="24"/>
  <c r="AY87" i="24"/>
  <c r="AA91" i="24"/>
  <c r="C92" i="24"/>
  <c r="C91" i="24"/>
  <c r="BK95" i="24"/>
  <c r="BK94" i="24"/>
  <c r="BK96" i="24"/>
  <c r="O100" i="24"/>
  <c r="CU100" i="24"/>
  <c r="CU99" i="24"/>
  <c r="AY104" i="24"/>
  <c r="AY103" i="24"/>
  <c r="AA106" i="24"/>
  <c r="AA105" i="24"/>
  <c r="BK112" i="24"/>
  <c r="AM113" i="24"/>
  <c r="AM112" i="24"/>
  <c r="O115" i="24"/>
  <c r="O114" i="24"/>
  <c r="CI187" i="24"/>
  <c r="CU194" i="24"/>
  <c r="O209" i="24"/>
  <c r="CI215" i="24"/>
  <c r="CI214" i="24"/>
  <c r="AY226" i="24"/>
  <c r="AY225" i="24"/>
  <c r="O237" i="24"/>
  <c r="O236" i="24"/>
  <c r="AA244" i="24"/>
  <c r="AA243" i="24"/>
  <c r="AM314" i="24"/>
  <c r="C331" i="24"/>
  <c r="C330" i="24"/>
  <c r="BK334" i="24"/>
  <c r="BK333" i="24"/>
  <c r="CU335" i="24"/>
  <c r="AA35" i="24"/>
  <c r="CU35" i="24"/>
  <c r="AA37" i="24"/>
  <c r="AA38" i="24"/>
  <c r="BW37" i="24"/>
  <c r="BW38" i="24"/>
  <c r="AM38" i="24"/>
  <c r="AM39" i="24"/>
  <c r="CI38" i="24"/>
  <c r="CI39" i="24"/>
  <c r="AA39" i="24"/>
  <c r="AA40" i="24"/>
  <c r="BW39" i="24"/>
  <c r="BW40" i="24"/>
  <c r="O40" i="24"/>
  <c r="O41" i="24"/>
  <c r="BK40" i="24"/>
  <c r="BK41" i="24"/>
  <c r="C41" i="24"/>
  <c r="C42" i="24"/>
  <c r="CU41" i="24"/>
  <c r="CU42" i="24"/>
  <c r="AM47" i="24"/>
  <c r="BW63" i="24"/>
  <c r="BW64" i="24"/>
  <c r="AY180" i="24"/>
  <c r="AY179" i="24"/>
  <c r="AM181" i="24"/>
  <c r="AM180" i="24"/>
  <c r="AM182" i="24"/>
  <c r="AM183" i="24"/>
  <c r="BK187" i="24"/>
  <c r="BK186" i="24"/>
  <c r="AY188" i="24"/>
  <c r="AY187" i="24"/>
  <c r="AY189" i="24"/>
  <c r="AY190" i="24"/>
  <c r="BW194" i="24"/>
  <c r="BW193" i="24"/>
  <c r="BK195" i="24"/>
  <c r="BK194" i="24"/>
  <c r="BK196" i="24"/>
  <c r="BK197" i="24"/>
  <c r="CI201" i="24"/>
  <c r="CI200" i="24"/>
  <c r="BW202" i="24"/>
  <c r="BW201" i="24"/>
  <c r="BW203" i="24"/>
  <c r="BW204" i="24"/>
  <c r="CU208" i="24"/>
  <c r="CU207" i="24"/>
  <c r="CI209" i="24"/>
  <c r="CI208" i="24"/>
  <c r="BW210" i="24"/>
  <c r="BW209" i="24"/>
  <c r="AM213" i="24"/>
  <c r="AM212" i="24"/>
  <c r="AA214" i="24"/>
  <c r="AA213" i="24"/>
  <c r="CU216" i="24"/>
  <c r="CU215" i="24"/>
  <c r="CI217" i="24"/>
  <c r="CI216" i="24"/>
  <c r="AY220" i="24"/>
  <c r="AY219" i="24"/>
  <c r="AM221" i="24"/>
  <c r="AM220" i="24"/>
  <c r="C224" i="24"/>
  <c r="C223" i="24"/>
  <c r="CU224" i="24"/>
  <c r="CU223" i="24"/>
  <c r="BK227" i="24"/>
  <c r="BK226" i="24"/>
  <c r="AY228" i="24"/>
  <c r="AY227" i="24"/>
  <c r="O231" i="24"/>
  <c r="O230" i="24"/>
  <c r="C232" i="24"/>
  <c r="C231" i="24"/>
  <c r="BW234" i="24"/>
  <c r="BW233" i="24"/>
  <c r="BK235" i="24"/>
  <c r="BK234" i="24"/>
  <c r="AA238" i="24"/>
  <c r="AA237" i="24"/>
  <c r="O239" i="24"/>
  <c r="O238" i="24"/>
  <c r="CI241" i="24"/>
  <c r="CI240" i="24"/>
  <c r="BW242" i="24"/>
  <c r="BW241" i="24"/>
  <c r="AY41" i="24"/>
  <c r="AY42" i="24"/>
  <c r="AM62" i="24"/>
  <c r="AM63" i="24"/>
  <c r="CI62" i="24"/>
  <c r="CI63" i="24"/>
  <c r="C116" i="24"/>
  <c r="C115" i="24"/>
  <c r="AM117" i="24"/>
  <c r="AM116" i="24"/>
  <c r="BW122" i="24"/>
  <c r="BW121" i="24"/>
  <c r="AA126" i="24"/>
  <c r="AA125" i="24"/>
  <c r="CI129" i="24"/>
  <c r="CI128" i="24"/>
  <c r="BK131" i="24"/>
  <c r="BK130" i="24"/>
  <c r="O135" i="24"/>
  <c r="O134" i="24"/>
  <c r="CU136" i="24"/>
  <c r="CU135" i="24"/>
  <c r="AY140" i="24"/>
  <c r="AY139" i="24"/>
  <c r="AA142" i="24"/>
  <c r="AA141" i="24"/>
  <c r="C144" i="24"/>
  <c r="C143" i="24"/>
  <c r="BK147" i="24"/>
  <c r="BK146" i="24"/>
  <c r="AM149" i="24"/>
  <c r="AM148" i="24"/>
  <c r="BW154" i="24"/>
  <c r="BW153" i="24"/>
  <c r="AY156" i="24"/>
  <c r="AY155" i="24"/>
  <c r="C160" i="24"/>
  <c r="C159" i="24"/>
  <c r="AM165" i="24"/>
  <c r="AM164" i="24"/>
  <c r="CI177" i="24"/>
  <c r="CI176" i="24"/>
  <c r="CI178" i="24"/>
  <c r="CI179" i="24"/>
  <c r="C193" i="24"/>
  <c r="C194" i="24"/>
  <c r="AA198" i="24"/>
  <c r="AA197" i="24"/>
  <c r="O199" i="24"/>
  <c r="O198" i="24"/>
  <c r="O200" i="24"/>
  <c r="O201" i="24"/>
  <c r="C218" i="24"/>
  <c r="C217" i="24"/>
  <c r="AM309" i="24"/>
  <c r="AM308" i="24"/>
  <c r="AA321" i="24"/>
  <c r="AA320" i="24"/>
  <c r="CU331" i="24"/>
  <c r="CU330" i="24"/>
  <c r="BW35" i="24"/>
  <c r="AM36" i="24"/>
  <c r="AM37" i="24"/>
  <c r="AM65" i="24"/>
  <c r="AM64" i="24"/>
  <c r="O67" i="24"/>
  <c r="O66" i="24"/>
  <c r="O68" i="24"/>
  <c r="CU69" i="24"/>
  <c r="AY72" i="24"/>
  <c r="AY71" i="24"/>
  <c r="AA75" i="24"/>
  <c r="C76" i="24"/>
  <c r="C75" i="24"/>
  <c r="C77" i="24"/>
  <c r="CI77" i="24"/>
  <c r="CI76" i="24"/>
  <c r="BK80" i="24"/>
  <c r="AM81" i="24"/>
  <c r="AM80" i="24"/>
  <c r="O83" i="24"/>
  <c r="O82" i="24"/>
  <c r="O84" i="24"/>
  <c r="CU84" i="24"/>
  <c r="CU83" i="24"/>
  <c r="AY89" i="24"/>
  <c r="AA90" i="24"/>
  <c r="AA89" i="24"/>
  <c r="C93" i="24"/>
  <c r="CI93" i="24"/>
  <c r="CI92" i="24"/>
  <c r="CI94" i="24"/>
  <c r="AM97" i="24"/>
  <c r="AM96" i="24"/>
  <c r="AM98" i="24"/>
  <c r="O99" i="24"/>
  <c r="O98" i="24"/>
  <c r="CU101" i="24"/>
  <c r="BW102" i="24"/>
  <c r="BW101" i="24"/>
  <c r="BW103" i="24"/>
  <c r="AY105" i="24"/>
  <c r="AA107" i="24"/>
  <c r="C108" i="24"/>
  <c r="C107" i="24"/>
  <c r="C109" i="24"/>
  <c r="CI109" i="24"/>
  <c r="CI108" i="24"/>
  <c r="CI110" i="24"/>
  <c r="BK111" i="24"/>
  <c r="BK110" i="24"/>
  <c r="AM114" i="24"/>
  <c r="BW180" i="24"/>
  <c r="C202" i="24"/>
  <c r="AA212" i="24"/>
  <c r="AA211" i="24"/>
  <c r="AM219" i="24"/>
  <c r="AM218" i="24"/>
  <c r="CU222" i="24"/>
  <c r="CU221" i="24"/>
  <c r="C230" i="24"/>
  <c r="C229" i="24"/>
  <c r="BK233" i="24"/>
  <c r="BK232" i="24"/>
  <c r="BW240" i="24"/>
  <c r="BW239" i="24"/>
  <c r="AM271" i="24"/>
  <c r="AM270" i="24"/>
  <c r="BW313" i="24"/>
  <c r="AM320" i="24"/>
  <c r="AM319" i="24"/>
  <c r="CU323" i="24"/>
  <c r="CU322" i="24"/>
  <c r="AY327" i="24"/>
  <c r="AY326" i="24"/>
  <c r="BK35" i="24"/>
  <c r="AY47" i="24"/>
  <c r="O48" i="24"/>
  <c r="O49" i="24"/>
  <c r="BK48" i="24"/>
  <c r="BK49" i="24"/>
  <c r="C49" i="24"/>
  <c r="C50" i="24"/>
  <c r="AY49" i="24"/>
  <c r="AY50" i="24"/>
  <c r="CU49" i="24"/>
  <c r="CU50" i="24"/>
  <c r="AM50" i="24"/>
  <c r="AM51" i="24"/>
  <c r="CI50" i="24"/>
  <c r="CI51" i="24"/>
  <c r="AA51" i="24"/>
  <c r="AA52" i="24"/>
  <c r="BW51" i="24"/>
  <c r="BW52" i="24"/>
  <c r="O52" i="24"/>
  <c r="O53" i="24"/>
  <c r="BK52" i="24"/>
  <c r="BK53" i="24"/>
  <c r="C53" i="24"/>
  <c r="C54" i="24"/>
  <c r="AY53" i="24"/>
  <c r="AY54" i="24"/>
  <c r="CU53" i="24"/>
  <c r="CU54" i="24"/>
  <c r="AM54" i="24"/>
  <c r="AM55" i="24"/>
  <c r="CI54" i="24"/>
  <c r="CI55" i="24"/>
  <c r="AA55" i="24"/>
  <c r="AA56" i="24"/>
  <c r="BW55" i="24"/>
  <c r="BW56" i="24"/>
  <c r="O56" i="24"/>
  <c r="O57" i="24"/>
  <c r="BK56" i="24"/>
  <c r="BK57" i="24"/>
  <c r="C57" i="24"/>
  <c r="C58" i="24"/>
  <c r="AY57" i="24"/>
  <c r="AY58" i="24"/>
  <c r="CU57" i="24"/>
  <c r="CU58" i="24"/>
  <c r="AM58" i="24"/>
  <c r="AM59" i="24"/>
  <c r="CI58" i="24"/>
  <c r="CI59" i="24"/>
  <c r="AA59" i="24"/>
  <c r="AA60" i="24"/>
  <c r="BW59" i="24"/>
  <c r="BW60" i="24"/>
  <c r="O60" i="24"/>
  <c r="O61" i="24"/>
  <c r="BK60" i="24"/>
  <c r="BK61" i="24"/>
  <c r="C61" i="24"/>
  <c r="C62" i="24"/>
  <c r="AY61" i="24"/>
  <c r="AY62" i="24"/>
  <c r="CU61" i="24"/>
  <c r="CU62" i="24"/>
  <c r="O63" i="24"/>
  <c r="AY65" i="24"/>
  <c r="AA66" i="24"/>
  <c r="AA65" i="24"/>
  <c r="AA67" i="24"/>
  <c r="C68" i="24"/>
  <c r="C67" i="24"/>
  <c r="C69" i="24"/>
  <c r="CI69" i="24"/>
  <c r="CI68" i="24"/>
  <c r="CI70" i="24"/>
  <c r="BK71" i="24"/>
  <c r="BK70" i="24"/>
  <c r="BK72" i="24"/>
  <c r="AM73" i="24"/>
  <c r="AM72" i="24"/>
  <c r="AM74" i="24"/>
  <c r="O75" i="24"/>
  <c r="O74" i="24"/>
  <c r="O76" i="24"/>
  <c r="CU76" i="24"/>
  <c r="CU75" i="24"/>
  <c r="CU77" i="24"/>
  <c r="BW78" i="24"/>
  <c r="BW77" i="24"/>
  <c r="BW79" i="24"/>
  <c r="AY80" i="24"/>
  <c r="AY79" i="24"/>
  <c r="AY81" i="24"/>
  <c r="AA82" i="24"/>
  <c r="AA81" i="24"/>
  <c r="AA83" i="24"/>
  <c r="C84" i="24"/>
  <c r="C83" i="24"/>
  <c r="C85" i="24"/>
  <c r="CI85" i="24"/>
  <c r="CI84" i="24"/>
  <c r="CI86" i="24"/>
  <c r="BK87" i="24"/>
  <c r="BK86" i="24"/>
  <c r="BK88" i="24"/>
  <c r="AM89" i="24"/>
  <c r="AM88" i="24"/>
  <c r="AM90" i="24"/>
  <c r="O91" i="24"/>
  <c r="O90" i="24"/>
  <c r="O92" i="24"/>
  <c r="CU92" i="24"/>
  <c r="CU91" i="24"/>
  <c r="CU93" i="24"/>
  <c r="BW94" i="24"/>
  <c r="BW93" i="24"/>
  <c r="BW95" i="24"/>
  <c r="AY96" i="24"/>
  <c r="AY95" i="24"/>
  <c r="AY97" i="24"/>
  <c r="AA98" i="24"/>
  <c r="AA97" i="24"/>
  <c r="AA99" i="24"/>
  <c r="C100" i="24"/>
  <c r="C99" i="24"/>
  <c r="C101" i="24"/>
  <c r="CI101" i="24"/>
  <c r="CI100" i="24"/>
  <c r="CI102" i="24"/>
  <c r="BK103" i="24"/>
  <c r="BK102" i="24"/>
  <c r="BK104" i="24"/>
  <c r="AM105" i="24"/>
  <c r="AM104" i="24"/>
  <c r="AM106" i="24"/>
  <c r="O107" i="24"/>
  <c r="O106" i="24"/>
  <c r="O108" i="24"/>
  <c r="CU108" i="24"/>
  <c r="CU107" i="24"/>
  <c r="CU109" i="24"/>
  <c r="BW110" i="24"/>
  <c r="BW109" i="24"/>
  <c r="BW111" i="24"/>
  <c r="AY112" i="24"/>
  <c r="AY111" i="24"/>
  <c r="AY113" i="24"/>
  <c r="AA114" i="24"/>
  <c r="AA113" i="24"/>
  <c r="AA184" i="24"/>
  <c r="AM191" i="24"/>
  <c r="AY198" i="24"/>
  <c r="BK205" i="24"/>
  <c r="AM211" i="24"/>
  <c r="AM210" i="24"/>
  <c r="CI211" i="24"/>
  <c r="CI210" i="24"/>
  <c r="CU214" i="24"/>
  <c r="CU213" i="24"/>
  <c r="AM215" i="24"/>
  <c r="AM214" i="24"/>
  <c r="AY218" i="24"/>
  <c r="AY217" i="24"/>
  <c r="CU218" i="24"/>
  <c r="CU217" i="24"/>
  <c r="C222" i="24"/>
  <c r="C221" i="24"/>
  <c r="AY222" i="24"/>
  <c r="AY221" i="24"/>
  <c r="BK225" i="24"/>
  <c r="BK224" i="24"/>
  <c r="C226" i="24"/>
  <c r="C225" i="24"/>
  <c r="O229" i="24"/>
  <c r="O228" i="24"/>
  <c r="BK229" i="24"/>
  <c r="BK228" i="24"/>
  <c r="BW232" i="24"/>
  <c r="BW231" i="24"/>
  <c r="O233" i="24"/>
  <c r="O232" i="24"/>
  <c r="AA236" i="24"/>
  <c r="AA235" i="24"/>
  <c r="BW236" i="24"/>
  <c r="BW235" i="24"/>
  <c r="CI239" i="24"/>
  <c r="CI238" i="24"/>
  <c r="AA240" i="24"/>
  <c r="AA239" i="24"/>
  <c r="AM243" i="24"/>
  <c r="AM242" i="24"/>
  <c r="CI243" i="24"/>
  <c r="CI242" i="24"/>
  <c r="O245" i="24"/>
  <c r="O244" i="24"/>
  <c r="AA118" i="24"/>
  <c r="AA117" i="24"/>
  <c r="C120" i="24"/>
  <c r="C119" i="24"/>
  <c r="CI121" i="24"/>
  <c r="CI120" i="24"/>
  <c r="BK123" i="24"/>
  <c r="BK122" i="24"/>
  <c r="AM125" i="24"/>
  <c r="AM124" i="24"/>
  <c r="O127" i="24"/>
  <c r="O126" i="24"/>
  <c r="CU128" i="24"/>
  <c r="CU127" i="24"/>
  <c r="BW130" i="24"/>
  <c r="BW129" i="24"/>
  <c r="AY132" i="24"/>
  <c r="AY131" i="24"/>
  <c r="AA134" i="24"/>
  <c r="AA133" i="24"/>
  <c r="C136" i="24"/>
  <c r="C135" i="24"/>
  <c r="CI137" i="24"/>
  <c r="CI136" i="24"/>
  <c r="BK139" i="24"/>
  <c r="BK138" i="24"/>
  <c r="AM141" i="24"/>
  <c r="AM140" i="24"/>
  <c r="O143" i="24"/>
  <c r="O142" i="24"/>
  <c r="CU144" i="24"/>
  <c r="CU143" i="24"/>
  <c r="BW146" i="24"/>
  <c r="BW145" i="24"/>
  <c r="AY148" i="24"/>
  <c r="AY147" i="24"/>
  <c r="AA150" i="24"/>
  <c r="AA149" i="24"/>
  <c r="C152" i="24"/>
  <c r="C151" i="24"/>
  <c r="CI153" i="24"/>
  <c r="CI152" i="24"/>
  <c r="BK155" i="24"/>
  <c r="BK154" i="24"/>
  <c r="AM157" i="24"/>
  <c r="AM156" i="24"/>
  <c r="O159" i="24"/>
  <c r="O158" i="24"/>
  <c r="CU160" i="24"/>
  <c r="CU159" i="24"/>
  <c r="BW162" i="24"/>
  <c r="BW161" i="24"/>
  <c r="AY164" i="24"/>
  <c r="AY163" i="24"/>
  <c r="AA166" i="24"/>
  <c r="AA165" i="24"/>
  <c r="C168" i="24"/>
  <c r="C167" i="24"/>
  <c r="CI169" i="24"/>
  <c r="CI168" i="24"/>
  <c r="BK171" i="24"/>
  <c r="BK170" i="24"/>
  <c r="AM173" i="24"/>
  <c r="AM172" i="24"/>
  <c r="O175" i="24"/>
  <c r="O174" i="24"/>
  <c r="CU176" i="24"/>
  <c r="CU175" i="24"/>
  <c r="BK179" i="24"/>
  <c r="BK178" i="24"/>
  <c r="O183" i="24"/>
  <c r="O182" i="24"/>
  <c r="BW186" i="24"/>
  <c r="BW185" i="24"/>
  <c r="AA190" i="24"/>
  <c r="AA189" i="24"/>
  <c r="CI193" i="24"/>
  <c r="CI192" i="24"/>
  <c r="AM197" i="24"/>
  <c r="AM196" i="24"/>
  <c r="CU200" i="24"/>
  <c r="CU199" i="24"/>
  <c r="AY204" i="24"/>
  <c r="AY203" i="24"/>
  <c r="C208" i="24"/>
  <c r="C207" i="24"/>
  <c r="BK211" i="24"/>
  <c r="BK210" i="24"/>
  <c r="BW212" i="24"/>
  <c r="BW211" i="24"/>
  <c r="O213" i="24"/>
  <c r="O212" i="24"/>
  <c r="O215" i="24"/>
  <c r="O214" i="24"/>
  <c r="AA216" i="24"/>
  <c r="AA215" i="24"/>
  <c r="BW216" i="24"/>
  <c r="BW215" i="24"/>
  <c r="BW218" i="24"/>
  <c r="BW217" i="24"/>
  <c r="CI219" i="24"/>
  <c r="CI218" i="24"/>
  <c r="AA220" i="24"/>
  <c r="AA219" i="24"/>
  <c r="AA222" i="24"/>
  <c r="AA221" i="24"/>
  <c r="AM223" i="24"/>
  <c r="AM222" i="24"/>
  <c r="CI223" i="24"/>
  <c r="CI222" i="24"/>
  <c r="CI225" i="24"/>
  <c r="CI224" i="24"/>
  <c r="CU226" i="24"/>
  <c r="CU225" i="24"/>
  <c r="AM227" i="24"/>
  <c r="AM226" i="24"/>
  <c r="AM229" i="24"/>
  <c r="AM228" i="24"/>
  <c r="AY230" i="24"/>
  <c r="AY229" i="24"/>
  <c r="CU230" i="24"/>
  <c r="CU229" i="24"/>
  <c r="CU232" i="24"/>
  <c r="CU231" i="24"/>
  <c r="C234" i="24"/>
  <c r="C233" i="24"/>
  <c r="AY234" i="24"/>
  <c r="AY233" i="24"/>
  <c r="AY236" i="24"/>
  <c r="AY235" i="24"/>
  <c r="BK237" i="24"/>
  <c r="BK236" i="24"/>
  <c r="C238" i="24"/>
  <c r="C237" i="24"/>
  <c r="C240" i="24"/>
  <c r="C239" i="24"/>
  <c r="O241" i="24"/>
  <c r="O240" i="24"/>
  <c r="BK241" i="24"/>
  <c r="BK240" i="24"/>
  <c r="BK243" i="24"/>
  <c r="BK242" i="24"/>
  <c r="BW267" i="24"/>
  <c r="BW268" i="24"/>
  <c r="BK269" i="24"/>
  <c r="BK268" i="24"/>
  <c r="C64" i="24"/>
  <c r="CU64" i="24"/>
  <c r="CI65" i="24"/>
  <c r="BW66" i="24"/>
  <c r="BK67" i="24"/>
  <c r="AY68" i="24"/>
  <c r="AM69" i="24"/>
  <c r="AA70" i="24"/>
  <c r="O71" i="24"/>
  <c r="C72" i="24"/>
  <c r="CU72" i="24"/>
  <c r="CI73" i="24"/>
  <c r="BW74" i="24"/>
  <c r="BK75" i="24"/>
  <c r="AY76" i="24"/>
  <c r="AM77" i="24"/>
  <c r="AA78" i="24"/>
  <c r="O79" i="24"/>
  <c r="C80" i="24"/>
  <c r="CU80" i="24"/>
  <c r="CI81" i="24"/>
  <c r="BW82" i="24"/>
  <c r="BK83" i="24"/>
  <c r="AY84" i="24"/>
  <c r="AM85" i="24"/>
  <c r="AA86" i="24"/>
  <c r="O87" i="24"/>
  <c r="C88" i="24"/>
  <c r="CU88" i="24"/>
  <c r="CI89" i="24"/>
  <c r="BW90" i="24"/>
  <c r="BK91" i="24"/>
  <c r="AY92" i="24"/>
  <c r="AM93" i="24"/>
  <c r="AA94" i="24"/>
  <c r="O95" i="24"/>
  <c r="C96" i="24"/>
  <c r="CU96" i="24"/>
  <c r="CI97" i="24"/>
  <c r="BW98" i="24"/>
  <c r="BK99" i="24"/>
  <c r="AY100" i="24"/>
  <c r="AM101" i="24"/>
  <c r="AA102" i="24"/>
  <c r="O103" i="24"/>
  <c r="C104" i="24"/>
  <c r="CU104" i="24"/>
  <c r="CI105" i="24"/>
  <c r="BW106" i="24"/>
  <c r="BK107" i="24"/>
  <c r="AY108" i="24"/>
  <c r="AM109" i="24"/>
  <c r="AA110" i="24"/>
  <c r="O111" i="24"/>
  <c r="C112" i="24"/>
  <c r="CU112" i="24"/>
  <c r="CI113" i="24"/>
  <c r="BW114" i="24"/>
  <c r="AY117" i="24"/>
  <c r="AA119" i="24"/>
  <c r="C121" i="24"/>
  <c r="CI122" i="24"/>
  <c r="BK124" i="24"/>
  <c r="AM126" i="24"/>
  <c r="O128" i="24"/>
  <c r="CU129" i="24"/>
  <c r="BW131" i="24"/>
  <c r="AY133" i="24"/>
  <c r="AA135" i="24"/>
  <c r="C137" i="24"/>
  <c r="CI138" i="24"/>
  <c r="BK140" i="24"/>
  <c r="AM142" i="24"/>
  <c r="O144" i="24"/>
  <c r="CU145" i="24"/>
  <c r="BW147" i="24"/>
  <c r="AY149" i="24"/>
  <c r="AA151" i="24"/>
  <c r="C153" i="24"/>
  <c r="CI154" i="24"/>
  <c r="BK156" i="24"/>
  <c r="AM158" i="24"/>
  <c r="O160" i="24"/>
  <c r="CU161" i="24"/>
  <c r="BW163" i="24"/>
  <c r="AY165" i="24"/>
  <c r="AA167" i="24"/>
  <c r="C169" i="24"/>
  <c r="CI170" i="24"/>
  <c r="BK172" i="24"/>
  <c r="AM174" i="24"/>
  <c r="O176" i="24"/>
  <c r="BW178" i="24"/>
  <c r="BW177" i="24"/>
  <c r="CU178" i="24"/>
  <c r="AA182" i="24"/>
  <c r="AA181" i="24"/>
  <c r="AY182" i="24"/>
  <c r="CI185" i="24"/>
  <c r="CI184" i="24"/>
  <c r="C186" i="24"/>
  <c r="AM189" i="24"/>
  <c r="AM188" i="24"/>
  <c r="BK189" i="24"/>
  <c r="CU192" i="24"/>
  <c r="CU191" i="24"/>
  <c r="O193" i="24"/>
  <c r="AY196" i="24"/>
  <c r="AY195" i="24"/>
  <c r="BW196" i="24"/>
  <c r="C200" i="24"/>
  <c r="C199" i="24"/>
  <c r="AA200" i="24"/>
  <c r="BK203" i="24"/>
  <c r="BK202" i="24"/>
  <c r="CI203" i="24"/>
  <c r="O207" i="24"/>
  <c r="O206" i="24"/>
  <c r="AM207" i="24"/>
  <c r="C210" i="24"/>
  <c r="C209" i="24"/>
  <c r="AY212" i="24"/>
  <c r="AY211" i="24"/>
  <c r="BK213" i="24"/>
  <c r="BK212" i="24"/>
  <c r="C214" i="24"/>
  <c r="C213" i="24"/>
  <c r="C216" i="24"/>
  <c r="C215" i="24"/>
  <c r="O217" i="24"/>
  <c r="O216" i="24"/>
  <c r="BK217" i="24"/>
  <c r="BK216" i="24"/>
  <c r="BK219" i="24"/>
  <c r="BK218" i="24"/>
  <c r="BW220" i="24"/>
  <c r="BW219" i="24"/>
  <c r="O221" i="24"/>
  <c r="O220" i="24"/>
  <c r="O223" i="24"/>
  <c r="O222" i="24"/>
  <c r="AA224" i="24"/>
  <c r="AA223" i="24"/>
  <c r="BW224" i="24"/>
  <c r="BW223" i="24"/>
  <c r="BW226" i="24"/>
  <c r="BW225" i="24"/>
  <c r="CI227" i="24"/>
  <c r="CI226" i="24"/>
  <c r="AA228" i="24"/>
  <c r="AA227" i="24"/>
  <c r="AA230" i="24"/>
  <c r="AA229" i="24"/>
  <c r="AM231" i="24"/>
  <c r="AM230" i="24"/>
  <c r="CI231" i="24"/>
  <c r="CI230" i="24"/>
  <c r="CI233" i="24"/>
  <c r="CI232" i="24"/>
  <c r="CU234" i="24"/>
  <c r="CU233" i="24"/>
  <c r="AM235" i="24"/>
  <c r="AM234" i="24"/>
  <c r="AM237" i="24"/>
  <c r="AM236" i="24"/>
  <c r="AY238" i="24"/>
  <c r="AY237" i="24"/>
  <c r="CU238" i="24"/>
  <c r="CU237" i="24"/>
  <c r="CU240" i="24"/>
  <c r="CU239" i="24"/>
  <c r="C242" i="24"/>
  <c r="C241" i="24"/>
  <c r="AY242" i="24"/>
  <c r="AY241" i="24"/>
  <c r="AY244" i="24"/>
  <c r="AY243" i="24"/>
  <c r="BW244" i="24"/>
  <c r="BW243" i="24"/>
  <c r="AM245" i="24"/>
  <c r="AM244" i="24"/>
  <c r="CU116" i="24"/>
  <c r="CI117" i="24"/>
  <c r="BW118" i="24"/>
  <c r="BK119" i="24"/>
  <c r="AY120" i="24"/>
  <c r="AM121" i="24"/>
  <c r="AA122" i="24"/>
  <c r="O123" i="24"/>
  <c r="C124" i="24"/>
  <c r="CU124" i="24"/>
  <c r="CI125" i="24"/>
  <c r="BW126" i="24"/>
  <c r="BK127" i="24"/>
  <c r="AY128" i="24"/>
  <c r="AM129" i="24"/>
  <c r="AA130" i="24"/>
  <c r="O131" i="24"/>
  <c r="C132" i="24"/>
  <c r="CU132" i="24"/>
  <c r="CI133" i="24"/>
  <c r="BW134" i="24"/>
  <c r="BK135" i="24"/>
  <c r="AY136" i="24"/>
  <c r="AM137" i="24"/>
  <c r="AA138" i="24"/>
  <c r="O139" i="24"/>
  <c r="C140" i="24"/>
  <c r="CU140" i="24"/>
  <c r="CI141" i="24"/>
  <c r="BW142" i="24"/>
  <c r="BK143" i="24"/>
  <c r="AY144" i="24"/>
  <c r="AM145" i="24"/>
  <c r="AA146" i="24"/>
  <c r="O147" i="24"/>
  <c r="C148" i="24"/>
  <c r="CU148" i="24"/>
  <c r="CI149" i="24"/>
  <c r="BW150" i="24"/>
  <c r="BK151" i="24"/>
  <c r="AY152" i="24"/>
  <c r="AM153" i="24"/>
  <c r="AA154" i="24"/>
  <c r="O155" i="24"/>
  <c r="C156" i="24"/>
  <c r="CU156" i="24"/>
  <c r="CI157" i="24"/>
  <c r="BW158" i="24"/>
  <c r="BK159" i="24"/>
  <c r="AY160" i="24"/>
  <c r="AM161" i="24"/>
  <c r="AA162" i="24"/>
  <c r="O163" i="24"/>
  <c r="C164" i="24"/>
  <c r="CU164" i="24"/>
  <c r="CI165" i="24"/>
  <c r="BW166" i="24"/>
  <c r="BK167" i="24"/>
  <c r="AY168" i="24"/>
  <c r="AM169" i="24"/>
  <c r="AA170" i="24"/>
  <c r="O171" i="24"/>
  <c r="C172" i="24"/>
  <c r="CU172" i="24"/>
  <c r="CI173" i="24"/>
  <c r="BW174" i="24"/>
  <c r="BK175" i="24"/>
  <c r="AY176" i="24"/>
  <c r="AM177" i="24"/>
  <c r="AA178" i="24"/>
  <c r="O179" i="24"/>
  <c r="C180" i="24"/>
  <c r="CU180" i="24"/>
  <c r="CI181" i="24"/>
  <c r="BW182" i="24"/>
  <c r="BK183" i="24"/>
  <c r="AY184" i="24"/>
  <c r="AM185" i="24"/>
  <c r="AA186" i="24"/>
  <c r="O187" i="24"/>
  <c r="C188" i="24"/>
  <c r="CU188" i="24"/>
  <c r="CI189" i="24"/>
  <c r="BW190" i="24"/>
  <c r="BK191" i="24"/>
  <c r="AY192" i="24"/>
  <c r="AM193" i="24"/>
  <c r="AA194" i="24"/>
  <c r="O195" i="24"/>
  <c r="C196" i="24"/>
  <c r="CU196" i="24"/>
  <c r="CI197" i="24"/>
  <c r="BW198" i="24"/>
  <c r="BK199" i="24"/>
  <c r="AY200" i="24"/>
  <c r="AM201" i="24"/>
  <c r="AA202" i="24"/>
  <c r="O203" i="24"/>
  <c r="C204" i="24"/>
  <c r="CU204" i="24"/>
  <c r="CI205" i="24"/>
  <c r="BW206" i="24"/>
  <c r="BK207" i="24"/>
  <c r="AY208" i="24"/>
  <c r="O210" i="24"/>
  <c r="C211" i="24"/>
  <c r="CU211" i="24"/>
  <c r="CI212" i="24"/>
  <c r="BW213" i="24"/>
  <c r="BK214" i="24"/>
  <c r="AY215" i="24"/>
  <c r="AM216" i="24"/>
  <c r="AA217" i="24"/>
  <c r="O218" i="24"/>
  <c r="C219" i="24"/>
  <c r="CU219" i="24"/>
  <c r="CI220" i="24"/>
  <c r="BW221" i="24"/>
  <c r="BK222" i="24"/>
  <c r="AY223" i="24"/>
  <c r="AM224" i="24"/>
  <c r="AA225" i="24"/>
  <c r="O226" i="24"/>
  <c r="C227" i="24"/>
  <c r="CU227" i="24"/>
  <c r="CI228" i="24"/>
  <c r="BW229" i="24"/>
  <c r="BK230" i="24"/>
  <c r="AY231" i="24"/>
  <c r="AM232" i="24"/>
  <c r="AA233" i="24"/>
  <c r="O234" i="24"/>
  <c r="C235" i="24"/>
  <c r="CU235" i="24"/>
  <c r="CI236" i="24"/>
  <c r="BW237" i="24"/>
  <c r="BK238" i="24"/>
  <c r="AY239" i="24"/>
  <c r="AM240" i="24"/>
  <c r="AA241" i="24"/>
  <c r="O242" i="24"/>
  <c r="C243" i="24"/>
  <c r="CU243" i="24"/>
  <c r="CI266" i="24"/>
  <c r="CI267" i="24"/>
  <c r="O271" i="24"/>
  <c r="O270" i="24"/>
  <c r="AA272" i="24"/>
  <c r="AA271" i="24"/>
  <c r="CU272" i="24"/>
  <c r="CU271" i="24"/>
  <c r="AM266" i="24"/>
  <c r="AM267" i="24"/>
  <c r="O268" i="24"/>
  <c r="O267" i="24"/>
  <c r="AM269" i="24"/>
  <c r="AM268" i="24"/>
  <c r="AY270" i="24"/>
  <c r="AY269" i="24"/>
  <c r="BK245" i="24"/>
  <c r="C246" i="24"/>
  <c r="AY245" i="24"/>
  <c r="AY246" i="24"/>
  <c r="CU245" i="24"/>
  <c r="CU246" i="24"/>
  <c r="AM246" i="24"/>
  <c r="AM247" i="24"/>
  <c r="CI246" i="24"/>
  <c r="CI247" i="24"/>
  <c r="AA247" i="24"/>
  <c r="AA248" i="24"/>
  <c r="BW247" i="24"/>
  <c r="BW248" i="24"/>
  <c r="O248" i="24"/>
  <c r="O249" i="24"/>
  <c r="BK248" i="24"/>
  <c r="BK249" i="24"/>
  <c r="C249" i="24"/>
  <c r="C250" i="24"/>
  <c r="AY249" i="24"/>
  <c r="AY250" i="24"/>
  <c r="CU249" i="24"/>
  <c r="CU250" i="24"/>
  <c r="AM250" i="24"/>
  <c r="AM251" i="24"/>
  <c r="CI250" i="24"/>
  <c r="CI251" i="24"/>
  <c r="AA251" i="24"/>
  <c r="AA252" i="24"/>
  <c r="BW251" i="24"/>
  <c r="BW252" i="24"/>
  <c r="O252" i="24"/>
  <c r="O253" i="24"/>
  <c r="BK252" i="24"/>
  <c r="BK253" i="24"/>
  <c r="C253" i="24"/>
  <c r="C254" i="24"/>
  <c r="AY253" i="24"/>
  <c r="AY254" i="24"/>
  <c r="CU253" i="24"/>
  <c r="CU254" i="24"/>
  <c r="AM254" i="24"/>
  <c r="AM255" i="24"/>
  <c r="CI254" i="24"/>
  <c r="CI255" i="24"/>
  <c r="AA255" i="24"/>
  <c r="AA256" i="24"/>
  <c r="BW255" i="24"/>
  <c r="BW256" i="24"/>
  <c r="O256" i="24"/>
  <c r="O257" i="24"/>
  <c r="BK256" i="24"/>
  <c r="BK257" i="24"/>
  <c r="C257" i="24"/>
  <c r="C258" i="24"/>
  <c r="AY257" i="24"/>
  <c r="AY258" i="24"/>
  <c r="CU257" i="24"/>
  <c r="CU258" i="24"/>
  <c r="AM258" i="24"/>
  <c r="AM259" i="24"/>
  <c r="CI258" i="24"/>
  <c r="CI259" i="24"/>
  <c r="AA259" i="24"/>
  <c r="AA260" i="24"/>
  <c r="BW259" i="24"/>
  <c r="BW260" i="24"/>
  <c r="O260" i="24"/>
  <c r="O261" i="24"/>
  <c r="BK260" i="24"/>
  <c r="BK261" i="24"/>
  <c r="C261" i="24"/>
  <c r="C262" i="24"/>
  <c r="AY261" i="24"/>
  <c r="AY262" i="24"/>
  <c r="CU261" i="24"/>
  <c r="CU262" i="24"/>
  <c r="AM262" i="24"/>
  <c r="AM263" i="24"/>
  <c r="CI262" i="24"/>
  <c r="CI263" i="24"/>
  <c r="AA263" i="24"/>
  <c r="AA264" i="24"/>
  <c r="BW263" i="24"/>
  <c r="BW264" i="24"/>
  <c r="O264" i="24"/>
  <c r="O265" i="24"/>
  <c r="BK264" i="24"/>
  <c r="BK265" i="24"/>
  <c r="C265" i="24"/>
  <c r="C266" i="24"/>
  <c r="AY265" i="24"/>
  <c r="AY266" i="24"/>
  <c r="CU265" i="24"/>
  <c r="CU266" i="24"/>
  <c r="AA270" i="24"/>
  <c r="AA269" i="24"/>
  <c r="C272" i="24"/>
  <c r="C271" i="24"/>
  <c r="AM280" i="24"/>
  <c r="AM281" i="24"/>
  <c r="CI280" i="24"/>
  <c r="CI281" i="24"/>
  <c r="AA308" i="24"/>
  <c r="AA307" i="24"/>
  <c r="C310" i="24"/>
  <c r="C309" i="24"/>
  <c r="CI311" i="24"/>
  <c r="CI310" i="24"/>
  <c r="C268" i="24"/>
  <c r="CU268" i="24"/>
  <c r="CI269" i="24"/>
  <c r="BW270" i="24"/>
  <c r="BK271" i="24"/>
  <c r="AY272" i="24"/>
  <c r="AM273" i="24"/>
  <c r="CI273" i="24"/>
  <c r="AA274" i="24"/>
  <c r="BW273" i="24"/>
  <c r="BW274" i="24"/>
  <c r="O274" i="24"/>
  <c r="O275" i="24"/>
  <c r="BK274" i="24"/>
  <c r="BK275" i="24"/>
  <c r="C275" i="24"/>
  <c r="C276" i="24"/>
  <c r="AY275" i="24"/>
  <c r="AY276" i="24"/>
  <c r="CU275" i="24"/>
  <c r="CU276" i="24"/>
  <c r="AM276" i="24"/>
  <c r="AM277" i="24"/>
  <c r="CI276" i="24"/>
  <c r="CI277" i="24"/>
  <c r="AA277" i="24"/>
  <c r="AA278" i="24"/>
  <c r="BW277" i="24"/>
  <c r="BW278" i="24"/>
  <c r="O278" i="24"/>
  <c r="O279" i="24"/>
  <c r="BK278" i="24"/>
  <c r="BK279" i="24"/>
  <c r="C279" i="24"/>
  <c r="C280" i="24"/>
  <c r="AY279" i="24"/>
  <c r="AY280" i="24"/>
  <c r="CU279" i="24"/>
  <c r="CU280" i="24"/>
  <c r="BK306" i="24"/>
  <c r="O309" i="24"/>
  <c r="O308" i="24"/>
  <c r="CU310" i="24"/>
  <c r="CU309" i="24"/>
  <c r="AA282" i="24"/>
  <c r="BW282" i="24"/>
  <c r="O283" i="24"/>
  <c r="BK283" i="24"/>
  <c r="C284" i="24"/>
  <c r="AY284" i="24"/>
  <c r="CU284" i="24"/>
  <c r="AM285" i="24"/>
  <c r="CI285" i="24"/>
  <c r="AA286" i="24"/>
  <c r="BW286" i="24"/>
  <c r="O287" i="24"/>
  <c r="BK287" i="24"/>
  <c r="C288" i="24"/>
  <c r="AY288" i="24"/>
  <c r="CU288" i="24"/>
  <c r="AM289" i="24"/>
  <c r="CI289" i="24"/>
  <c r="AA290" i="24"/>
  <c r="BW290" i="24"/>
  <c r="O291" i="24"/>
  <c r="BK291" i="24"/>
  <c r="C292" i="24"/>
  <c r="AY292" i="24"/>
  <c r="CU292" i="24"/>
  <c r="AM293" i="24"/>
  <c r="CI293" i="24"/>
  <c r="AA294" i="24"/>
  <c r="BW294" i="24"/>
  <c r="O295" i="24"/>
  <c r="BK295" i="24"/>
  <c r="C296" i="24"/>
  <c r="AY296" i="24"/>
  <c r="CU296" i="24"/>
  <c r="AM297" i="24"/>
  <c r="CI297" i="24"/>
  <c r="AA298" i="24"/>
  <c r="BW298" i="24"/>
  <c r="O299" i="24"/>
  <c r="BK299" i="24"/>
  <c r="C300" i="24"/>
  <c r="AY300" i="24"/>
  <c r="CU300" i="24"/>
  <c r="AM301" i="24"/>
  <c r="CI301" i="24"/>
  <c r="AA302" i="24"/>
  <c r="BW302" i="24"/>
  <c r="O303" i="24"/>
  <c r="BK303" i="24"/>
  <c r="C304" i="24"/>
  <c r="AY304" i="24"/>
  <c r="CU304" i="24"/>
  <c r="AM305" i="24"/>
  <c r="CI305" i="24"/>
  <c r="BW312" i="24"/>
  <c r="BK313" i="24"/>
  <c r="BW316" i="24"/>
  <c r="AY319" i="24"/>
  <c r="AY318" i="24"/>
  <c r="C323" i="24"/>
  <c r="C322" i="24"/>
  <c r="BK326" i="24"/>
  <c r="BK325" i="24"/>
  <c r="O330" i="24"/>
  <c r="O329" i="24"/>
  <c r="BW333" i="24"/>
  <c r="BW332" i="24"/>
  <c r="AY335" i="24"/>
  <c r="CU306" i="24"/>
  <c r="CI307" i="24"/>
  <c r="BW308" i="24"/>
  <c r="BK309" i="24"/>
  <c r="AY310" i="24"/>
  <c r="AM311" i="24"/>
  <c r="BW311" i="24"/>
  <c r="AA312" i="24"/>
  <c r="O313" i="24"/>
  <c r="AA316" i="24"/>
  <c r="AA315" i="24"/>
  <c r="AY316" i="24"/>
  <c r="BK318" i="24"/>
  <c r="BK317" i="24"/>
  <c r="O322" i="24"/>
  <c r="O321" i="24"/>
  <c r="BW325" i="24"/>
  <c r="BW324" i="24"/>
  <c r="AA329" i="24"/>
  <c r="AA328" i="24"/>
  <c r="CI332" i="24"/>
  <c r="CI331" i="24"/>
  <c r="AM334" i="24"/>
  <c r="CU314" i="24"/>
  <c r="AM35" i="22"/>
  <c r="CI35" i="22"/>
  <c r="BW35" i="22"/>
  <c r="O35" i="22"/>
  <c r="AA35" i="22"/>
  <c r="AA86" i="22"/>
  <c r="AA85" i="22"/>
  <c r="CI89" i="22"/>
  <c r="CI88" i="22"/>
  <c r="AM93" i="22"/>
  <c r="AM92" i="22"/>
  <c r="O95" i="22"/>
  <c r="O94" i="22"/>
  <c r="C99" i="22"/>
  <c r="C100" i="22"/>
  <c r="AM104" i="22"/>
  <c r="AM105" i="22"/>
  <c r="O106" i="22"/>
  <c r="O107" i="22"/>
  <c r="CU107" i="22"/>
  <c r="CU108" i="22"/>
  <c r="BW109" i="22"/>
  <c r="BW110" i="22"/>
  <c r="AA113" i="22"/>
  <c r="AA114" i="22"/>
  <c r="CI116" i="22"/>
  <c r="CI117" i="22"/>
  <c r="AM120" i="22"/>
  <c r="AM121" i="22"/>
  <c r="CU123" i="22"/>
  <c r="CU124" i="22"/>
  <c r="AY127" i="22"/>
  <c r="AY128" i="22"/>
  <c r="CI132" i="22"/>
  <c r="CI133" i="22"/>
  <c r="O134" i="22"/>
  <c r="O135" i="22"/>
  <c r="CU135" i="22"/>
  <c r="CU136" i="22"/>
  <c r="BW137" i="22"/>
  <c r="BW138" i="22"/>
  <c r="BK138" i="22"/>
  <c r="BK139" i="22"/>
  <c r="AM140" i="22"/>
  <c r="AM141" i="22"/>
  <c r="O142" i="22"/>
  <c r="O143" i="22"/>
  <c r="C143" i="22"/>
  <c r="C144" i="22"/>
  <c r="CI144" i="22"/>
  <c r="CI145" i="22"/>
  <c r="BW145" i="22"/>
  <c r="BW146" i="22"/>
  <c r="AY147" i="22"/>
  <c r="AY148" i="22"/>
  <c r="AA149" i="22"/>
  <c r="AA150" i="22"/>
  <c r="CU151" i="22"/>
  <c r="CU152" i="22"/>
  <c r="BW153" i="22"/>
  <c r="BW154" i="22"/>
  <c r="AY155" i="22"/>
  <c r="AY156" i="22"/>
  <c r="BW164" i="22"/>
  <c r="BW163" i="22"/>
  <c r="AA168" i="22"/>
  <c r="AA167" i="22"/>
  <c r="CI171" i="22"/>
  <c r="CI170" i="22"/>
  <c r="AM175" i="22"/>
  <c r="AM174" i="22"/>
  <c r="CU178" i="22"/>
  <c r="CU177" i="22"/>
  <c r="CU187" i="22"/>
  <c r="CU188" i="22"/>
  <c r="CU81" i="22"/>
  <c r="AY85" i="22"/>
  <c r="AA88" i="22"/>
  <c r="C89" i="22"/>
  <c r="CI90" i="22"/>
  <c r="AM94" i="22"/>
  <c r="CI96" i="22"/>
  <c r="CI97" i="22"/>
  <c r="O102" i="22"/>
  <c r="O103" i="22"/>
  <c r="BW105" i="22"/>
  <c r="BW106" i="22"/>
  <c r="AA109" i="22"/>
  <c r="AA110" i="22"/>
  <c r="C111" i="22"/>
  <c r="C112" i="22"/>
  <c r="BK114" i="22"/>
  <c r="BK115" i="22"/>
  <c r="AM116" i="22"/>
  <c r="AM117" i="22"/>
  <c r="AY123" i="22"/>
  <c r="AY124" i="22"/>
  <c r="C127" i="22"/>
  <c r="C128" i="22"/>
  <c r="CI128" i="22"/>
  <c r="CI129" i="22"/>
  <c r="BK130" i="22"/>
  <c r="BK131" i="22"/>
  <c r="C162" i="22"/>
  <c r="C161" i="22"/>
  <c r="O169" i="22"/>
  <c r="O168" i="22"/>
  <c r="AA176" i="22"/>
  <c r="AA175" i="22"/>
  <c r="CI179" i="22"/>
  <c r="CI178" i="22"/>
  <c r="CI180" i="22"/>
  <c r="AA185" i="22"/>
  <c r="AA186" i="22"/>
  <c r="CI188" i="22"/>
  <c r="CI189" i="22"/>
  <c r="AM193" i="22"/>
  <c r="AM194" i="22"/>
  <c r="CU196" i="22"/>
  <c r="CU197" i="22"/>
  <c r="AY200" i="22"/>
  <c r="AY201" i="22"/>
  <c r="CI259" i="22"/>
  <c r="CI260" i="22"/>
  <c r="CU317" i="22"/>
  <c r="CU316" i="22"/>
  <c r="BW319" i="22"/>
  <c r="BW318" i="22"/>
  <c r="AY321" i="22"/>
  <c r="AY320" i="22"/>
  <c r="AA323" i="22"/>
  <c r="AA322" i="22"/>
  <c r="C325" i="22"/>
  <c r="C324" i="22"/>
  <c r="CI326" i="22"/>
  <c r="CI325" i="22"/>
  <c r="BK328" i="22"/>
  <c r="BK327" i="22"/>
  <c r="AM330" i="22"/>
  <c r="AM329" i="22"/>
  <c r="O332" i="22"/>
  <c r="O331" i="22"/>
  <c r="CU333" i="22"/>
  <c r="CU332" i="22"/>
  <c r="AY335" i="22"/>
  <c r="O37" i="22"/>
  <c r="BK37" i="22"/>
  <c r="C38" i="22"/>
  <c r="AY38" i="22"/>
  <c r="CU38" i="22"/>
  <c r="O39" i="22"/>
  <c r="BK39" i="22"/>
  <c r="C40" i="22"/>
  <c r="AY40" i="22"/>
  <c r="CU40" i="22"/>
  <c r="AM41" i="22"/>
  <c r="CI41" i="22"/>
  <c r="AA42" i="22"/>
  <c r="BW42" i="22"/>
  <c r="AM51" i="22"/>
  <c r="CI51" i="22"/>
  <c r="AA52" i="22"/>
  <c r="BW52" i="22"/>
  <c r="O53" i="22"/>
  <c r="BK53" i="22"/>
  <c r="C54" i="22"/>
  <c r="AY54" i="22"/>
  <c r="CU54" i="22"/>
  <c r="AM55" i="22"/>
  <c r="CI55" i="22"/>
  <c r="AA56" i="22"/>
  <c r="O57" i="22"/>
  <c r="CI81" i="22"/>
  <c r="CI80" i="22"/>
  <c r="BK83" i="22"/>
  <c r="BK82" i="22"/>
  <c r="AM85" i="22"/>
  <c r="AM84" i="22"/>
  <c r="O87" i="22"/>
  <c r="O86" i="22"/>
  <c r="CU88" i="22"/>
  <c r="CU87" i="22"/>
  <c r="BW90" i="22"/>
  <c r="BW89" i="22"/>
  <c r="AY92" i="22"/>
  <c r="AY91" i="22"/>
  <c r="AA94" i="22"/>
  <c r="AA93" i="22"/>
  <c r="AM96" i="22"/>
  <c r="AM97" i="22"/>
  <c r="O98" i="22"/>
  <c r="O99" i="22"/>
  <c r="CU99" i="22"/>
  <c r="CU100" i="22"/>
  <c r="BW101" i="22"/>
  <c r="BW102" i="22"/>
  <c r="AY103" i="22"/>
  <c r="AY104" i="22"/>
  <c r="AA105" i="22"/>
  <c r="AA106" i="22"/>
  <c r="C107" i="22"/>
  <c r="C108" i="22"/>
  <c r="CI108" i="22"/>
  <c r="CI109" i="22"/>
  <c r="BK110" i="22"/>
  <c r="BK111" i="22"/>
  <c r="AM112" i="22"/>
  <c r="AM113" i="22"/>
  <c r="O114" i="22"/>
  <c r="O115" i="22"/>
  <c r="CU115" i="22"/>
  <c r="CU116" i="22"/>
  <c r="BW117" i="22"/>
  <c r="BW118" i="22"/>
  <c r="AY119" i="22"/>
  <c r="AY120" i="22"/>
  <c r="AA121" i="22"/>
  <c r="AA122" i="22"/>
  <c r="C123" i="22"/>
  <c r="C124" i="22"/>
  <c r="CI124" i="22"/>
  <c r="CI125" i="22"/>
  <c r="BK126" i="22"/>
  <c r="BK127" i="22"/>
  <c r="AM128" i="22"/>
  <c r="AM129" i="22"/>
  <c r="O130" i="22"/>
  <c r="O131" i="22"/>
  <c r="CU131" i="22"/>
  <c r="CU132" i="22"/>
  <c r="BW133" i="22"/>
  <c r="BW134" i="22"/>
  <c r="BK134" i="22"/>
  <c r="BK135" i="22"/>
  <c r="AY135" i="22"/>
  <c r="AY136" i="22"/>
  <c r="AM136" i="22"/>
  <c r="AM137" i="22"/>
  <c r="AA137" i="22"/>
  <c r="AA138" i="22"/>
  <c r="O138" i="22"/>
  <c r="O139" i="22"/>
  <c r="C139" i="22"/>
  <c r="C140" i="22"/>
  <c r="CU139" i="22"/>
  <c r="CU140" i="22"/>
  <c r="CI140" i="22"/>
  <c r="CI141" i="22"/>
  <c r="BW141" i="22"/>
  <c r="BW142" i="22"/>
  <c r="BK142" i="22"/>
  <c r="BK143" i="22"/>
  <c r="AY143" i="22"/>
  <c r="AY144" i="22"/>
  <c r="AM144" i="22"/>
  <c r="AM145" i="22"/>
  <c r="AA145" i="22"/>
  <c r="AA146" i="22"/>
  <c r="O146" i="22"/>
  <c r="O147" i="22"/>
  <c r="C147" i="22"/>
  <c r="C148" i="22"/>
  <c r="CU147" i="22"/>
  <c r="CU148" i="22"/>
  <c r="CI148" i="22"/>
  <c r="CI149" i="22"/>
  <c r="BW149" i="22"/>
  <c r="BW150" i="22"/>
  <c r="BK150" i="22"/>
  <c r="BK151" i="22"/>
  <c r="AY151" i="22"/>
  <c r="AY152" i="22"/>
  <c r="AM152" i="22"/>
  <c r="AM153" i="22"/>
  <c r="AA153" i="22"/>
  <c r="AA154" i="22"/>
  <c r="O154" i="22"/>
  <c r="O155" i="22"/>
  <c r="C155" i="22"/>
  <c r="C156" i="22"/>
  <c r="CU155" i="22"/>
  <c r="CU156" i="22"/>
  <c r="AY157" i="22"/>
  <c r="AM159" i="22"/>
  <c r="AM158" i="22"/>
  <c r="CU162" i="22"/>
  <c r="CU161" i="22"/>
  <c r="AY166" i="22"/>
  <c r="AY165" i="22"/>
  <c r="C170" i="22"/>
  <c r="C169" i="22"/>
  <c r="BK173" i="22"/>
  <c r="BK172" i="22"/>
  <c r="O177" i="22"/>
  <c r="O176" i="22"/>
  <c r="BK182" i="22"/>
  <c r="BK183" i="22"/>
  <c r="O186" i="22"/>
  <c r="O187" i="22"/>
  <c r="BW189" i="22"/>
  <c r="BW190" i="22"/>
  <c r="AY192" i="22"/>
  <c r="AY193" i="22"/>
  <c r="C196" i="22"/>
  <c r="C197" i="22"/>
  <c r="BK199" i="22"/>
  <c r="BK200" i="22"/>
  <c r="O203" i="22"/>
  <c r="O204" i="22"/>
  <c r="C251" i="22"/>
  <c r="C250" i="22"/>
  <c r="AM263" i="22"/>
  <c r="AM264" i="22"/>
  <c r="AA268" i="22"/>
  <c r="AA269" i="22"/>
  <c r="AM276" i="22"/>
  <c r="AM275" i="22"/>
  <c r="AY283" i="22"/>
  <c r="AY282" i="22"/>
  <c r="BK291" i="22"/>
  <c r="BK290" i="22"/>
  <c r="BW82" i="22"/>
  <c r="BW81" i="22"/>
  <c r="AY84" i="22"/>
  <c r="AY83" i="22"/>
  <c r="C88" i="22"/>
  <c r="C87" i="22"/>
  <c r="BK91" i="22"/>
  <c r="BK90" i="22"/>
  <c r="AA97" i="22"/>
  <c r="AA98" i="22"/>
  <c r="CI100" i="22"/>
  <c r="CI101" i="22"/>
  <c r="BK102" i="22"/>
  <c r="BK103" i="22"/>
  <c r="AY111" i="22"/>
  <c r="AY112" i="22"/>
  <c r="C115" i="22"/>
  <c r="C116" i="22"/>
  <c r="BK118" i="22"/>
  <c r="BK119" i="22"/>
  <c r="O122" i="22"/>
  <c r="O123" i="22"/>
  <c r="BW125" i="22"/>
  <c r="BW126" i="22"/>
  <c r="AA129" i="22"/>
  <c r="AA130" i="22"/>
  <c r="C131" i="22"/>
  <c r="C132" i="22"/>
  <c r="C135" i="22"/>
  <c r="C136" i="22"/>
  <c r="CI136" i="22"/>
  <c r="CI137" i="22"/>
  <c r="AY139" i="22"/>
  <c r="AY140" i="22"/>
  <c r="AA141" i="22"/>
  <c r="AA142" i="22"/>
  <c r="CU143" i="22"/>
  <c r="CU144" i="22"/>
  <c r="BK146" i="22"/>
  <c r="BK147" i="22"/>
  <c r="AM148" i="22"/>
  <c r="AM149" i="22"/>
  <c r="O150" i="22"/>
  <c r="O151" i="22"/>
  <c r="C151" i="22"/>
  <c r="C152" i="22"/>
  <c r="CI152" i="22"/>
  <c r="CI153" i="22"/>
  <c r="BK154" i="22"/>
  <c r="BK155" i="22"/>
  <c r="AM156" i="22"/>
  <c r="AM157" i="22"/>
  <c r="O161" i="22"/>
  <c r="O160" i="22"/>
  <c r="AM184" i="22"/>
  <c r="AM185" i="22"/>
  <c r="BW245" i="22"/>
  <c r="BW244" i="22"/>
  <c r="BW83" i="22"/>
  <c r="BK92" i="22"/>
  <c r="C96" i="22"/>
  <c r="C95" i="22"/>
  <c r="BK98" i="22"/>
  <c r="BK99" i="22"/>
  <c r="AM100" i="22"/>
  <c r="AM101" i="22"/>
  <c r="CU103" i="22"/>
  <c r="CU104" i="22"/>
  <c r="AY107" i="22"/>
  <c r="AY108" i="22"/>
  <c r="CI112" i="22"/>
  <c r="CI113" i="22"/>
  <c r="O118" i="22"/>
  <c r="O119" i="22"/>
  <c r="CU119" i="22"/>
  <c r="CU120" i="22"/>
  <c r="BW121" i="22"/>
  <c r="BW122" i="22"/>
  <c r="AA125" i="22"/>
  <c r="AA126" i="22"/>
  <c r="AM132" i="22"/>
  <c r="AM133" i="22"/>
  <c r="BK165" i="22"/>
  <c r="BK164" i="22"/>
  <c r="BW172" i="22"/>
  <c r="BW171" i="22"/>
  <c r="BW181" i="22"/>
  <c r="BW182" i="22"/>
  <c r="AY56" i="22"/>
  <c r="CI56" i="22"/>
  <c r="AM57" i="22"/>
  <c r="BW57" i="22"/>
  <c r="AA58" i="22"/>
  <c r="BK58" i="22"/>
  <c r="O59" i="22"/>
  <c r="AY59" i="22"/>
  <c r="C60" i="22"/>
  <c r="AM60" i="22"/>
  <c r="CU60" i="22"/>
  <c r="AA61" i="22"/>
  <c r="CI61" i="22"/>
  <c r="O62" i="22"/>
  <c r="BW62" i="22"/>
  <c r="C63" i="22"/>
  <c r="BK63" i="22"/>
  <c r="CU63" i="22"/>
  <c r="AY64" i="22"/>
  <c r="CI64" i="22"/>
  <c r="AM65" i="22"/>
  <c r="BW65" i="22"/>
  <c r="AA66" i="22"/>
  <c r="BK66" i="22"/>
  <c r="O67" i="22"/>
  <c r="AY67" i="22"/>
  <c r="C68" i="22"/>
  <c r="AM68" i="22"/>
  <c r="CU68" i="22"/>
  <c r="AA69" i="22"/>
  <c r="CI69" i="22"/>
  <c r="O70" i="22"/>
  <c r="BW70" i="22"/>
  <c r="C71" i="22"/>
  <c r="BK71" i="22"/>
  <c r="CU71" i="22"/>
  <c r="AY72" i="22"/>
  <c r="CI72" i="22"/>
  <c r="AM73" i="22"/>
  <c r="BW73" i="22"/>
  <c r="AA74" i="22"/>
  <c r="BK74" i="22"/>
  <c r="O75" i="22"/>
  <c r="AY75" i="22"/>
  <c r="C76" i="22"/>
  <c r="AM76" i="22"/>
  <c r="CU76" i="22"/>
  <c r="AA77" i="22"/>
  <c r="CI77" i="22"/>
  <c r="O78" i="22"/>
  <c r="BW78" i="22"/>
  <c r="C79" i="22"/>
  <c r="BK79" i="22"/>
  <c r="CU79" i="22"/>
  <c r="C81" i="22"/>
  <c r="CI82" i="22"/>
  <c r="BK84" i="22"/>
  <c r="AM86" i="22"/>
  <c r="O88" i="22"/>
  <c r="CU89" i="22"/>
  <c r="BW91" i="22"/>
  <c r="AY93" i="22"/>
  <c r="AY95" i="22"/>
  <c r="CU95" i="22"/>
  <c r="CU96" i="22"/>
  <c r="BW97" i="22"/>
  <c r="BW98" i="22"/>
  <c r="AY99" i="22"/>
  <c r="AY100" i="22"/>
  <c r="AA101" i="22"/>
  <c r="AA102" i="22"/>
  <c r="C103" i="22"/>
  <c r="C104" i="22"/>
  <c r="CI104" i="22"/>
  <c r="CI105" i="22"/>
  <c r="BK106" i="22"/>
  <c r="BK107" i="22"/>
  <c r="AM108" i="22"/>
  <c r="AM109" i="22"/>
  <c r="O110" i="22"/>
  <c r="O111" i="22"/>
  <c r="CU111" i="22"/>
  <c r="CU112" i="22"/>
  <c r="BW113" i="22"/>
  <c r="BW114" i="22"/>
  <c r="AY115" i="22"/>
  <c r="AY116" i="22"/>
  <c r="AA117" i="22"/>
  <c r="AA118" i="22"/>
  <c r="C119" i="22"/>
  <c r="C120" i="22"/>
  <c r="CI120" i="22"/>
  <c r="CI121" i="22"/>
  <c r="BK122" i="22"/>
  <c r="BK123" i="22"/>
  <c r="AM124" i="22"/>
  <c r="AM125" i="22"/>
  <c r="O126" i="22"/>
  <c r="O127" i="22"/>
  <c r="CU127" i="22"/>
  <c r="CU128" i="22"/>
  <c r="BW129" i="22"/>
  <c r="BW130" i="22"/>
  <c r="AY131" i="22"/>
  <c r="AY132" i="22"/>
  <c r="AA133" i="22"/>
  <c r="AA134" i="22"/>
  <c r="AA160" i="22"/>
  <c r="AA159" i="22"/>
  <c r="CI163" i="22"/>
  <c r="CI162" i="22"/>
  <c r="AM167" i="22"/>
  <c r="AM166" i="22"/>
  <c r="CU170" i="22"/>
  <c r="CU169" i="22"/>
  <c r="AY174" i="22"/>
  <c r="AY173" i="22"/>
  <c r="C178" i="22"/>
  <c r="C177" i="22"/>
  <c r="BW180" i="22"/>
  <c r="BW179" i="22"/>
  <c r="AY183" i="22"/>
  <c r="AY184" i="22"/>
  <c r="C187" i="22"/>
  <c r="C188" i="22"/>
  <c r="O194" i="22"/>
  <c r="O193" i="22"/>
  <c r="BW197" i="22"/>
  <c r="BW196" i="22"/>
  <c r="AA201" i="22"/>
  <c r="AA200" i="22"/>
  <c r="BK238" i="22"/>
  <c r="BK237" i="22"/>
  <c r="CI156" i="22"/>
  <c r="CI157" i="22"/>
  <c r="AA158" i="22"/>
  <c r="AA157" i="22"/>
  <c r="C160" i="22"/>
  <c r="C159" i="22"/>
  <c r="CI161" i="22"/>
  <c r="CI160" i="22"/>
  <c r="BK163" i="22"/>
  <c r="BK162" i="22"/>
  <c r="AM165" i="22"/>
  <c r="AM164" i="22"/>
  <c r="O167" i="22"/>
  <c r="O166" i="22"/>
  <c r="CU168" i="22"/>
  <c r="CU167" i="22"/>
  <c r="BW170" i="22"/>
  <c r="BW169" i="22"/>
  <c r="AY172" i="22"/>
  <c r="AY171" i="22"/>
  <c r="AA174" i="22"/>
  <c r="AA173" i="22"/>
  <c r="C176" i="22"/>
  <c r="C175" i="22"/>
  <c r="CI177" i="22"/>
  <c r="CI176" i="22"/>
  <c r="BK179" i="22"/>
  <c r="BK178" i="22"/>
  <c r="AM181" i="22"/>
  <c r="AM180" i="22"/>
  <c r="O182" i="22"/>
  <c r="O183" i="22"/>
  <c r="CU183" i="22"/>
  <c r="CU184" i="22"/>
  <c r="BW185" i="22"/>
  <c r="BW186" i="22"/>
  <c r="AY187" i="22"/>
  <c r="AY188" i="22"/>
  <c r="AA189" i="22"/>
  <c r="AA190" i="22"/>
  <c r="C191" i="22"/>
  <c r="C192" i="22"/>
  <c r="C195" i="22"/>
  <c r="C194" i="22"/>
  <c r="BK198" i="22"/>
  <c r="BK197" i="22"/>
  <c r="O202" i="22"/>
  <c r="O201" i="22"/>
  <c r="CI236" i="22"/>
  <c r="CI235" i="22"/>
  <c r="CU243" i="22"/>
  <c r="CU242" i="22"/>
  <c r="AY251" i="22"/>
  <c r="AY250" i="22"/>
  <c r="CU254" i="22"/>
  <c r="CU255" i="22"/>
  <c r="BK257" i="22"/>
  <c r="BK258" i="22"/>
  <c r="C262" i="22"/>
  <c r="C263" i="22"/>
  <c r="AM274" i="22"/>
  <c r="AM273" i="22"/>
  <c r="AY281" i="22"/>
  <c r="AY280" i="22"/>
  <c r="AA319" i="22"/>
  <c r="AA318" i="22"/>
  <c r="C321" i="22"/>
  <c r="C320" i="22"/>
  <c r="CI322" i="22"/>
  <c r="CI321" i="22"/>
  <c r="BK324" i="22"/>
  <c r="BK323" i="22"/>
  <c r="AM326" i="22"/>
  <c r="AM325" i="22"/>
  <c r="O328" i="22"/>
  <c r="O327" i="22"/>
  <c r="CU329" i="22"/>
  <c r="CU328" i="22"/>
  <c r="BW331" i="22"/>
  <c r="BW330" i="22"/>
  <c r="AY333" i="22"/>
  <c r="AY332" i="22"/>
  <c r="CI334" i="22"/>
  <c r="CI333" i="22"/>
  <c r="AM81" i="22"/>
  <c r="AA82" i="22"/>
  <c r="O83" i="22"/>
  <c r="C84" i="22"/>
  <c r="CU84" i="22"/>
  <c r="CI85" i="22"/>
  <c r="BW86" i="22"/>
  <c r="BK87" i="22"/>
  <c r="AY88" i="22"/>
  <c r="AM89" i="22"/>
  <c r="AA90" i="22"/>
  <c r="O91" i="22"/>
  <c r="C92" i="22"/>
  <c r="CU92" i="22"/>
  <c r="CI93" i="22"/>
  <c r="BW94" i="22"/>
  <c r="BK95" i="22"/>
  <c r="O159" i="22"/>
  <c r="O158" i="22"/>
  <c r="CU160" i="22"/>
  <c r="CU159" i="22"/>
  <c r="BW162" i="22"/>
  <c r="BW161" i="22"/>
  <c r="AY164" i="22"/>
  <c r="AY163" i="22"/>
  <c r="AA166" i="22"/>
  <c r="AA165" i="22"/>
  <c r="C168" i="22"/>
  <c r="C167" i="22"/>
  <c r="CI169" i="22"/>
  <c r="CI168" i="22"/>
  <c r="BK171" i="22"/>
  <c r="BK170" i="22"/>
  <c r="AM173" i="22"/>
  <c r="AM172" i="22"/>
  <c r="O175" i="22"/>
  <c r="O174" i="22"/>
  <c r="CU176" i="22"/>
  <c r="CU175" i="22"/>
  <c r="BW178" i="22"/>
  <c r="BW177" i="22"/>
  <c r="AY180" i="22"/>
  <c r="AY179" i="22"/>
  <c r="AA182" i="22"/>
  <c r="AA181" i="22"/>
  <c r="C183" i="22"/>
  <c r="C184" i="22"/>
  <c r="CI184" i="22"/>
  <c r="CI185" i="22"/>
  <c r="BK186" i="22"/>
  <c r="BK187" i="22"/>
  <c r="AM188" i="22"/>
  <c r="AM189" i="22"/>
  <c r="O190" i="22"/>
  <c r="O191" i="22"/>
  <c r="C204" i="22"/>
  <c r="C205" i="22"/>
  <c r="AM251" i="22"/>
  <c r="AM252" i="22"/>
  <c r="C254" i="22"/>
  <c r="C255" i="22"/>
  <c r="AY258" i="22"/>
  <c r="AY259" i="22"/>
  <c r="BK265" i="22"/>
  <c r="BK266" i="22"/>
  <c r="BK190" i="22"/>
  <c r="BK191" i="22"/>
  <c r="AA193" i="22"/>
  <c r="AA192" i="22"/>
  <c r="CI196" i="22"/>
  <c r="CI195" i="22"/>
  <c r="AM200" i="22"/>
  <c r="AM199" i="22"/>
  <c r="CU203" i="22"/>
  <c r="CU202" i="22"/>
  <c r="CI204" i="22"/>
  <c r="CI203" i="22"/>
  <c r="AM240" i="22"/>
  <c r="AM239" i="22"/>
  <c r="AY247" i="22"/>
  <c r="AY246" i="22"/>
  <c r="O253" i="22"/>
  <c r="O254" i="22"/>
  <c r="BW256" i="22"/>
  <c r="BW257" i="22"/>
  <c r="AA260" i="22"/>
  <c r="AA261" i="22"/>
  <c r="BK261" i="22"/>
  <c r="BK262" i="22"/>
  <c r="CI263" i="22"/>
  <c r="CI264" i="22"/>
  <c r="O265" i="22"/>
  <c r="O266" i="22"/>
  <c r="BK272" i="22"/>
  <c r="BK271" i="22"/>
  <c r="BW279" i="22"/>
  <c r="BW278" i="22"/>
  <c r="BW158" i="22"/>
  <c r="BK159" i="22"/>
  <c r="AY160" i="22"/>
  <c r="AM161" i="22"/>
  <c r="AA162" i="22"/>
  <c r="O163" i="22"/>
  <c r="C164" i="22"/>
  <c r="CU164" i="22"/>
  <c r="CI165" i="22"/>
  <c r="BW166" i="22"/>
  <c r="BK167" i="22"/>
  <c r="AY168" i="22"/>
  <c r="AM169" i="22"/>
  <c r="AA170" i="22"/>
  <c r="O171" i="22"/>
  <c r="C172" i="22"/>
  <c r="CU172" i="22"/>
  <c r="CI173" i="22"/>
  <c r="BW174" i="22"/>
  <c r="BK175" i="22"/>
  <c r="AY176" i="22"/>
  <c r="AM177" i="22"/>
  <c r="AA178" i="22"/>
  <c r="O179" i="22"/>
  <c r="C180" i="22"/>
  <c r="CU195" i="22"/>
  <c r="CU194" i="22"/>
  <c r="AY199" i="22"/>
  <c r="AY198" i="22"/>
  <c r="C203" i="22"/>
  <c r="C202" i="22"/>
  <c r="O242" i="22"/>
  <c r="O241" i="22"/>
  <c r="AA249" i="22"/>
  <c r="AA248" i="22"/>
  <c r="AA252" i="22"/>
  <c r="AA253" i="22"/>
  <c r="CI255" i="22"/>
  <c r="CI256" i="22"/>
  <c r="BK274" i="22"/>
  <c r="BK273" i="22"/>
  <c r="BW281" i="22"/>
  <c r="BW280" i="22"/>
  <c r="CU191" i="22"/>
  <c r="CI192" i="22"/>
  <c r="BW193" i="22"/>
  <c r="BK194" i="22"/>
  <c r="AY195" i="22"/>
  <c r="AM196" i="22"/>
  <c r="AA197" i="22"/>
  <c r="O198" i="22"/>
  <c r="C199" i="22"/>
  <c r="CU199" i="22"/>
  <c r="CI200" i="22"/>
  <c r="BW201" i="22"/>
  <c r="BK202" i="22"/>
  <c r="AY203" i="22"/>
  <c r="AM204" i="22"/>
  <c r="CU251" i="22"/>
  <c r="CU250" i="22"/>
  <c r="CI251" i="22"/>
  <c r="CI252" i="22"/>
  <c r="BW252" i="22"/>
  <c r="BW253" i="22"/>
  <c r="BK253" i="22"/>
  <c r="BK254" i="22"/>
  <c r="AY254" i="22"/>
  <c r="AY255" i="22"/>
  <c r="AM255" i="22"/>
  <c r="AM256" i="22"/>
  <c r="AA256" i="22"/>
  <c r="AA257" i="22"/>
  <c r="O257" i="22"/>
  <c r="O258" i="22"/>
  <c r="C258" i="22"/>
  <c r="C259" i="22"/>
  <c r="AM259" i="22"/>
  <c r="AM260" i="22"/>
  <c r="O261" i="22"/>
  <c r="O262" i="22"/>
  <c r="CU262" i="22"/>
  <c r="CU263" i="22"/>
  <c r="BW264" i="22"/>
  <c r="BW265" i="22"/>
  <c r="AY266" i="22"/>
  <c r="AY267" i="22"/>
  <c r="CI271" i="22"/>
  <c r="O276" i="22"/>
  <c r="O275" i="22"/>
  <c r="CU278" i="22"/>
  <c r="AA283" i="22"/>
  <c r="AA282" i="22"/>
  <c r="AM205" i="22"/>
  <c r="CI205" i="22"/>
  <c r="AA206" i="22"/>
  <c r="BW206" i="22"/>
  <c r="O207" i="22"/>
  <c r="BK207" i="22"/>
  <c r="C208" i="22"/>
  <c r="AY208" i="22"/>
  <c r="CU208" i="22"/>
  <c r="AM209" i="22"/>
  <c r="CI209" i="22"/>
  <c r="AA210" i="22"/>
  <c r="BW210" i="22"/>
  <c r="O211" i="22"/>
  <c r="BK211" i="22"/>
  <c r="C212" i="22"/>
  <c r="AY212" i="22"/>
  <c r="CU212" i="22"/>
  <c r="AM213" i="22"/>
  <c r="CI213" i="22"/>
  <c r="AA214" i="22"/>
  <c r="BW214" i="22"/>
  <c r="O215" i="22"/>
  <c r="BK215" i="22"/>
  <c r="C216" i="22"/>
  <c r="AY216" i="22"/>
  <c r="CU216" i="22"/>
  <c r="AM217" i="22"/>
  <c r="CI217" i="22"/>
  <c r="AA218" i="22"/>
  <c r="BW218" i="22"/>
  <c r="O219" i="22"/>
  <c r="BK219" i="22"/>
  <c r="C220" i="22"/>
  <c r="AY220" i="22"/>
  <c r="CU220" i="22"/>
  <c r="AM221" i="22"/>
  <c r="CI221" i="22"/>
  <c r="AA222" i="22"/>
  <c r="BW222" i="22"/>
  <c r="O223" i="22"/>
  <c r="BK223" i="22"/>
  <c r="C224" i="22"/>
  <c r="AY224" i="22"/>
  <c r="CU224" i="22"/>
  <c r="AM225" i="22"/>
  <c r="CI225" i="22"/>
  <c r="AA226" i="22"/>
  <c r="BW226" i="22"/>
  <c r="O227" i="22"/>
  <c r="BK227" i="22"/>
  <c r="C228" i="22"/>
  <c r="AY228" i="22"/>
  <c r="CU228" i="22"/>
  <c r="AM229" i="22"/>
  <c r="CI229" i="22"/>
  <c r="AA230" i="22"/>
  <c r="BW230" i="22"/>
  <c r="O231" i="22"/>
  <c r="BK231" i="22"/>
  <c r="C232" i="22"/>
  <c r="AY232" i="22"/>
  <c r="CU232" i="22"/>
  <c r="AM233" i="22"/>
  <c r="CI233" i="22"/>
  <c r="AA234" i="22"/>
  <c r="BW237" i="22"/>
  <c r="BW236" i="22"/>
  <c r="AY239" i="22"/>
  <c r="AY238" i="22"/>
  <c r="AA241" i="22"/>
  <c r="AA240" i="22"/>
  <c r="C243" i="22"/>
  <c r="C242" i="22"/>
  <c r="CI244" i="22"/>
  <c r="CI243" i="22"/>
  <c r="BK246" i="22"/>
  <c r="BK245" i="22"/>
  <c r="AM248" i="22"/>
  <c r="AM247" i="22"/>
  <c r="O250" i="22"/>
  <c r="O249" i="22"/>
  <c r="CU258" i="22"/>
  <c r="CU259" i="22"/>
  <c r="BW260" i="22"/>
  <c r="BW261" i="22"/>
  <c r="AY262" i="22"/>
  <c r="AY263" i="22"/>
  <c r="AA264" i="22"/>
  <c r="AA265" i="22"/>
  <c r="C266" i="22"/>
  <c r="C267" i="22"/>
  <c r="CI270" i="22"/>
  <c r="CI269" i="22"/>
  <c r="CU277" i="22"/>
  <c r="CU276" i="22"/>
  <c r="AM299" i="22"/>
  <c r="AM298" i="22"/>
  <c r="AY235" i="22"/>
  <c r="AM236" i="22"/>
  <c r="AA237" i="22"/>
  <c r="O238" i="22"/>
  <c r="C239" i="22"/>
  <c r="CU239" i="22"/>
  <c r="CI240" i="22"/>
  <c r="BW241" i="22"/>
  <c r="BK242" i="22"/>
  <c r="AY243" i="22"/>
  <c r="AM244" i="22"/>
  <c r="AA245" i="22"/>
  <c r="O246" i="22"/>
  <c r="C247" i="22"/>
  <c r="CU247" i="22"/>
  <c r="CI248" i="22"/>
  <c r="BW249" i="22"/>
  <c r="CU266" i="22"/>
  <c r="CU267" i="22"/>
  <c r="AM267" i="22"/>
  <c r="AM268" i="22"/>
  <c r="C285" i="22"/>
  <c r="C284" i="22"/>
  <c r="CI285" i="22"/>
  <c r="CI286" i="22"/>
  <c r="CU269" i="22"/>
  <c r="CU268" i="22"/>
  <c r="BW271" i="22"/>
  <c r="BW270" i="22"/>
  <c r="AY273" i="22"/>
  <c r="AY272" i="22"/>
  <c r="AA275" i="22"/>
  <c r="AA274" i="22"/>
  <c r="C277" i="22"/>
  <c r="C276" i="22"/>
  <c r="CI278" i="22"/>
  <c r="CI277" i="22"/>
  <c r="BK280" i="22"/>
  <c r="BK279" i="22"/>
  <c r="AM282" i="22"/>
  <c r="AM281" i="22"/>
  <c r="O284" i="22"/>
  <c r="O283" i="22"/>
  <c r="BK289" i="22"/>
  <c r="BK288" i="22"/>
  <c r="AM291" i="22"/>
  <c r="AM290" i="22"/>
  <c r="O293" i="22"/>
  <c r="O292" i="22"/>
  <c r="CU294" i="22"/>
  <c r="CU293" i="22"/>
  <c r="BW296" i="22"/>
  <c r="BW295" i="22"/>
  <c r="AY298" i="22"/>
  <c r="AY297" i="22"/>
  <c r="C305" i="22"/>
  <c r="C306" i="22"/>
  <c r="AY305" i="22"/>
  <c r="AY306" i="22"/>
  <c r="BK268" i="22"/>
  <c r="AY269" i="22"/>
  <c r="AM270" i="22"/>
  <c r="AA271" i="22"/>
  <c r="O272" i="22"/>
  <c r="C273" i="22"/>
  <c r="CU273" i="22"/>
  <c r="CI274" i="22"/>
  <c r="BW275" i="22"/>
  <c r="BK276" i="22"/>
  <c r="AY277" i="22"/>
  <c r="AM278" i="22"/>
  <c r="AA279" i="22"/>
  <c r="O280" i="22"/>
  <c r="C281" i="22"/>
  <c r="CU281" i="22"/>
  <c r="CI282" i="22"/>
  <c r="BW283" i="22"/>
  <c r="BK284" i="22"/>
  <c r="AY285" i="22"/>
  <c r="CU285" i="22"/>
  <c r="O286" i="22"/>
  <c r="CU287" i="22"/>
  <c r="BW288" i="22"/>
  <c r="BW287" i="22"/>
  <c r="BW289" i="22"/>
  <c r="AY290" i="22"/>
  <c r="AY289" i="22"/>
  <c r="AY291" i="22"/>
  <c r="AA292" i="22"/>
  <c r="AA291" i="22"/>
  <c r="AA293" i="22"/>
  <c r="C294" i="22"/>
  <c r="C293" i="22"/>
  <c r="C295" i="22"/>
  <c r="CI295" i="22"/>
  <c r="CI294" i="22"/>
  <c r="CI296" i="22"/>
  <c r="BK297" i="22"/>
  <c r="BK296" i="22"/>
  <c r="AM287" i="22"/>
  <c r="AA288" i="22"/>
  <c r="O289" i="22"/>
  <c r="C290" i="22"/>
  <c r="CU290" i="22"/>
  <c r="CI291" i="22"/>
  <c r="BW292" i="22"/>
  <c r="BK293" i="22"/>
  <c r="AY294" i="22"/>
  <c r="AM295" i="22"/>
  <c r="AA296" i="22"/>
  <c r="O297" i="22"/>
  <c r="C298" i="22"/>
  <c r="CU298" i="22"/>
  <c r="CI299" i="22"/>
  <c r="AA300" i="22"/>
  <c r="BW300" i="22"/>
  <c r="O300" i="22"/>
  <c r="O301" i="22"/>
  <c r="BK300" i="22"/>
  <c r="BK301" i="22"/>
  <c r="C301" i="22"/>
  <c r="C302" i="22"/>
  <c r="AY301" i="22"/>
  <c r="AY302" i="22"/>
  <c r="CU301" i="22"/>
  <c r="CU302" i="22"/>
  <c r="AM302" i="22"/>
  <c r="AM303" i="22"/>
  <c r="CI302" i="22"/>
  <c r="CI303" i="22"/>
  <c r="AA303" i="22"/>
  <c r="AA304" i="22"/>
  <c r="BW303" i="22"/>
  <c r="BW304" i="22"/>
  <c r="O304" i="22"/>
  <c r="O305" i="22"/>
  <c r="BK304" i="22"/>
  <c r="BK305" i="22"/>
  <c r="C307" i="22"/>
  <c r="AA307" i="22"/>
  <c r="AY307" i="22"/>
  <c r="BW307" i="22"/>
  <c r="CU307" i="22"/>
  <c r="O308" i="22"/>
  <c r="AM308" i="22"/>
  <c r="BK308" i="22"/>
  <c r="CI308" i="22"/>
  <c r="C309" i="22"/>
  <c r="AA309" i="22"/>
  <c r="AY309" i="22"/>
  <c r="BW309" i="22"/>
  <c r="CU309" i="22"/>
  <c r="O310" i="22"/>
  <c r="AM310" i="22"/>
  <c r="BK310" i="22"/>
  <c r="CI310" i="22"/>
  <c r="C311" i="22"/>
  <c r="AA311" i="22"/>
  <c r="AY311" i="22"/>
  <c r="BW311" i="22"/>
  <c r="CU311" i="22"/>
  <c r="O312" i="22"/>
  <c r="AM312" i="22"/>
  <c r="BK312" i="22"/>
  <c r="CI312" i="22"/>
  <c r="C313" i="22"/>
  <c r="AA313" i="22"/>
  <c r="AY313" i="22"/>
  <c r="BW313" i="22"/>
  <c r="CU313" i="22"/>
  <c r="O314" i="22"/>
  <c r="AM314" i="22"/>
  <c r="BK314" i="22"/>
  <c r="CI314" i="22"/>
  <c r="C315" i="22"/>
  <c r="AA315" i="22"/>
  <c r="AM318" i="22"/>
  <c r="AM317" i="22"/>
  <c r="O320" i="22"/>
  <c r="O319" i="22"/>
  <c r="CU321" i="22"/>
  <c r="CU320" i="22"/>
  <c r="BW323" i="22"/>
  <c r="BW322" i="22"/>
  <c r="AY325" i="22"/>
  <c r="AY324" i="22"/>
  <c r="AA327" i="22"/>
  <c r="AA326" i="22"/>
  <c r="C329" i="22"/>
  <c r="C328" i="22"/>
  <c r="CI330" i="22"/>
  <c r="CI329" i="22"/>
  <c r="BK332" i="22"/>
  <c r="BK331" i="22"/>
  <c r="CU335" i="22"/>
  <c r="CI318" i="22"/>
  <c r="CI317" i="22"/>
  <c r="BK320" i="22"/>
  <c r="BK319" i="22"/>
  <c r="AM322" i="22"/>
  <c r="AM321" i="22"/>
  <c r="O324" i="22"/>
  <c r="O323" i="22"/>
  <c r="CU325" i="22"/>
  <c r="CU324" i="22"/>
  <c r="BW327" i="22"/>
  <c r="BW326" i="22"/>
  <c r="AY329" i="22"/>
  <c r="AY328" i="22"/>
  <c r="AA331" i="22"/>
  <c r="AA330" i="22"/>
  <c r="C333" i="22"/>
  <c r="C332" i="22"/>
  <c r="AM334" i="22"/>
  <c r="AM333" i="22"/>
  <c r="BK335" i="22"/>
  <c r="BW316" i="22"/>
  <c r="AM35" i="24" l="1"/>
  <c r="BK335" i="24"/>
  <c r="CI35" i="24"/>
  <c r="G19" i="17" l="1"/>
  <c r="F19" i="17"/>
  <c r="D83" i="6"/>
  <c r="AB15" i="5" l="1"/>
  <c r="Z15" i="5"/>
  <c r="X15" i="5"/>
  <c r="V15" i="5"/>
  <c r="T15" i="5"/>
  <c r="R15" i="5"/>
  <c r="M6" i="2" l="1"/>
  <c r="AG74" i="6" l="1"/>
  <c r="C25" i="17" l="1"/>
  <c r="I25" i="17"/>
  <c r="J25" i="17"/>
  <c r="K25" i="17"/>
  <c r="L25" i="17"/>
  <c r="M25" i="17"/>
  <c r="B25" i="17"/>
  <c r="A25" i="17"/>
  <c r="K170" i="19" s="1"/>
  <c r="P50" i="16" l="1"/>
  <c r="C36" i="2" l="1"/>
  <c r="AD173" i="19" l="1"/>
  <c r="AD175" i="19"/>
  <c r="AD176" i="19"/>
  <c r="AD177" i="19"/>
  <c r="AC173" i="19"/>
  <c r="AC175" i="19"/>
  <c r="AC176" i="19"/>
  <c r="AC177" i="19"/>
  <c r="AB173" i="19"/>
  <c r="AB175" i="19"/>
  <c r="AB176" i="19"/>
  <c r="AB177" i="19"/>
  <c r="AA173" i="19"/>
  <c r="AA175" i="19"/>
  <c r="AA176" i="19"/>
  <c r="AA177" i="19"/>
  <c r="S129" i="34"/>
  <c r="W129" i="34"/>
  <c r="A126" i="34"/>
  <c r="A127" i="34"/>
  <c r="A128" i="34"/>
  <c r="A125" i="34"/>
  <c r="A122" i="34" l="1"/>
  <c r="A119" i="34"/>
  <c r="A120" i="34"/>
  <c r="A118" i="34"/>
  <c r="A116" i="34"/>
  <c r="A115" i="34"/>
  <c r="A114" i="34"/>
  <c r="A111" i="34"/>
  <c r="A112" i="34"/>
  <c r="A109" i="34"/>
  <c r="A110" i="34"/>
  <c r="A107" i="34"/>
  <c r="A108" i="34"/>
  <c r="A105" i="34"/>
  <c r="A106" i="34"/>
  <c r="A104" i="34"/>
  <c r="J34" i="5" l="1"/>
  <c r="N25" i="17" l="1"/>
  <c r="D25" i="17"/>
  <c r="B171" i="5"/>
  <c r="C171" i="5"/>
  <c r="B172" i="5"/>
  <c r="C172" i="5"/>
  <c r="B173" i="5"/>
  <c r="C173" i="5"/>
  <c r="B156" i="5"/>
  <c r="C156" i="5"/>
  <c r="B157" i="5"/>
  <c r="C157" i="5"/>
  <c r="B158" i="5"/>
  <c r="C158" i="5"/>
  <c r="B159" i="5"/>
  <c r="C159" i="5"/>
  <c r="B160" i="5"/>
  <c r="C160" i="5"/>
  <c r="B161" i="5"/>
  <c r="C161" i="5"/>
  <c r="B162" i="5"/>
  <c r="C162" i="5"/>
  <c r="B163" i="5"/>
  <c r="C163" i="5"/>
  <c r="B164" i="5"/>
  <c r="C164" i="5"/>
  <c r="B165" i="5"/>
  <c r="C165" i="5"/>
  <c r="B166" i="5"/>
  <c r="C166" i="5"/>
  <c r="B167" i="5"/>
  <c r="C167" i="5"/>
  <c r="B168" i="5"/>
  <c r="C168" i="5"/>
  <c r="B169" i="5"/>
  <c r="C169" i="5"/>
  <c r="B170" i="5"/>
  <c r="C170" i="5"/>
  <c r="B149" i="5"/>
  <c r="C149" i="5"/>
  <c r="B150" i="5"/>
  <c r="C150" i="5"/>
  <c r="B151" i="5"/>
  <c r="C151" i="5"/>
  <c r="B152" i="5"/>
  <c r="C152" i="5"/>
  <c r="B153" i="5"/>
  <c r="C153" i="5"/>
  <c r="B154" i="5"/>
  <c r="C154" i="5"/>
  <c r="B155" i="5"/>
  <c r="C155" i="5"/>
  <c r="B148" i="5"/>
  <c r="C148" i="5"/>
  <c r="B140" i="5"/>
  <c r="C140" i="5"/>
  <c r="B141" i="5"/>
  <c r="C141" i="5"/>
  <c r="B142" i="5"/>
  <c r="C142" i="5"/>
  <c r="B143" i="5"/>
  <c r="C143" i="5"/>
  <c r="B144" i="5"/>
  <c r="C144" i="5"/>
  <c r="B145" i="5"/>
  <c r="C145" i="5"/>
  <c r="B146" i="5"/>
  <c r="C146" i="5"/>
  <c r="B147" i="5"/>
  <c r="C147" i="5"/>
  <c r="O7" i="10"/>
  <c r="Q7" i="10"/>
  <c r="O6" i="10"/>
  <c r="Q8" i="10"/>
  <c r="Q6" i="10"/>
  <c r="O8" i="10"/>
  <c r="J27" i="17" l="1"/>
  <c r="K27" i="17"/>
  <c r="J28" i="17"/>
  <c r="K28" i="17"/>
  <c r="J29" i="17"/>
  <c r="K29" i="17"/>
  <c r="J30" i="17"/>
  <c r="K30" i="17"/>
  <c r="J31" i="17"/>
  <c r="K31" i="17"/>
  <c r="J32" i="17"/>
  <c r="K32" i="17"/>
  <c r="K26" i="17"/>
  <c r="J26" i="17"/>
  <c r="K20" i="17"/>
  <c r="K18" i="17"/>
  <c r="K19" i="17"/>
  <c r="F28" i="17"/>
  <c r="G28" i="17"/>
  <c r="F29" i="17"/>
  <c r="G29" i="17"/>
  <c r="F30" i="17"/>
  <c r="G30" i="17"/>
  <c r="F31" i="17"/>
  <c r="G31" i="17"/>
  <c r="F32" i="17"/>
  <c r="G32" i="17"/>
  <c r="A19" i="17"/>
  <c r="F21" i="17"/>
  <c r="G21" i="17"/>
  <c r="G20" i="17"/>
  <c r="F20" i="17"/>
  <c r="G17" i="17"/>
  <c r="F17" i="17"/>
  <c r="F16" i="17"/>
  <c r="G16" i="17"/>
  <c r="D80" i="6"/>
  <c r="P44" i="16" l="1"/>
  <c r="K164" i="19"/>
  <c r="X164" i="19" s="1"/>
  <c r="D89" i="6"/>
  <c r="C7" i="6" l="1"/>
  <c r="A30" i="17" l="1"/>
  <c r="B30" i="17"/>
  <c r="C30" i="17"/>
  <c r="I30" i="17"/>
  <c r="L30" i="17"/>
  <c r="M30" i="17"/>
  <c r="A31" i="17"/>
  <c r="B31" i="17"/>
  <c r="C31" i="17"/>
  <c r="I31" i="17"/>
  <c r="L31" i="17"/>
  <c r="M31" i="17"/>
  <c r="A32" i="17"/>
  <c r="B32" i="17"/>
  <c r="C32" i="17"/>
  <c r="H32" i="17"/>
  <c r="I32" i="17"/>
  <c r="L32" i="17"/>
  <c r="M32" i="17"/>
  <c r="I20" i="17"/>
  <c r="L20" i="17"/>
  <c r="I21" i="17"/>
  <c r="L21" i="17"/>
  <c r="M21" i="17"/>
  <c r="I22" i="17"/>
  <c r="L22" i="17"/>
  <c r="M22" i="17"/>
  <c r="I23" i="17"/>
  <c r="L23" i="17"/>
  <c r="M23" i="17"/>
  <c r="I24" i="17"/>
  <c r="L24" i="17"/>
  <c r="M24" i="17"/>
  <c r="I26" i="17"/>
  <c r="L26" i="17"/>
  <c r="M26" i="17"/>
  <c r="I27" i="17"/>
  <c r="L27" i="17"/>
  <c r="M27" i="17"/>
  <c r="I28" i="17"/>
  <c r="L28" i="17"/>
  <c r="M28" i="17"/>
  <c r="I29" i="17"/>
  <c r="L29" i="17"/>
  <c r="M29" i="17"/>
  <c r="C26" i="17"/>
  <c r="C27" i="17"/>
  <c r="C28" i="17"/>
  <c r="C29" i="17"/>
  <c r="B26" i="17"/>
  <c r="B27" i="17"/>
  <c r="B28" i="17"/>
  <c r="B29" i="17"/>
  <c r="A26" i="17"/>
  <c r="A27" i="17"/>
  <c r="A28" i="17"/>
  <c r="A29" i="17"/>
  <c r="F15" i="17"/>
  <c r="H16" i="17"/>
  <c r="H19" i="17"/>
  <c r="D96" i="6"/>
  <c r="D93" i="6"/>
  <c r="D94" i="6"/>
  <c r="D95" i="6"/>
  <c r="D97" i="6"/>
  <c r="D92" i="6"/>
  <c r="Q4" i="17"/>
  <c r="L12" i="17"/>
  <c r="P4" i="17"/>
  <c r="O4" i="17"/>
  <c r="M4" i="17"/>
  <c r="N4" i="17"/>
  <c r="A16" i="17"/>
  <c r="B16" i="17"/>
  <c r="C16" i="17"/>
  <c r="M32" i="5"/>
  <c r="Q23" i="17" s="1"/>
  <c r="M33" i="5"/>
  <c r="Q24" i="17" s="1"/>
  <c r="M34" i="5"/>
  <c r="Q25" i="17" s="1"/>
  <c r="M31" i="5"/>
  <c r="Q22" i="17" s="1"/>
  <c r="M29" i="5"/>
  <c r="Q21" i="17" s="1"/>
  <c r="M28" i="5"/>
  <c r="Q20" i="17" s="1"/>
  <c r="M25" i="5"/>
  <c r="Q18" i="17" s="1"/>
  <c r="M26" i="5"/>
  <c r="Q19" i="17" s="1"/>
  <c r="M24" i="5"/>
  <c r="Q17" i="17" s="1"/>
  <c r="M39" i="5"/>
  <c r="Q27" i="17" s="1"/>
  <c r="M40" i="5"/>
  <c r="Q28" i="17" s="1"/>
  <c r="M41" i="5"/>
  <c r="Q29" i="17" s="1"/>
  <c r="M42" i="5"/>
  <c r="Q30" i="17" s="1"/>
  <c r="M43" i="5"/>
  <c r="Q31" i="17" s="1"/>
  <c r="M44" i="5"/>
  <c r="Q32" i="17" s="1"/>
  <c r="M38" i="5"/>
  <c r="Q26" i="17" s="1"/>
  <c r="J39" i="5"/>
  <c r="D27" i="17" s="1"/>
  <c r="J40" i="5"/>
  <c r="D28" i="17" s="1"/>
  <c r="J41" i="5"/>
  <c r="D29" i="17" s="1"/>
  <c r="J42" i="5"/>
  <c r="D30" i="17" s="1"/>
  <c r="J43" i="5"/>
  <c r="D31" i="17" s="1"/>
  <c r="J44" i="5"/>
  <c r="D32" i="17" s="1"/>
  <c r="J38" i="5"/>
  <c r="D26" i="17" s="1"/>
  <c r="A136" i="34"/>
  <c r="A131" i="34"/>
  <c r="A132" i="34"/>
  <c r="A133" i="34"/>
  <c r="A134" i="34"/>
  <c r="A135" i="34"/>
  <c r="A130" i="34"/>
  <c r="W113" i="34"/>
  <c r="W117" i="34"/>
  <c r="W121" i="34"/>
  <c r="W124" i="34"/>
  <c r="S113" i="34"/>
  <c r="T113" i="34" s="1"/>
  <c r="U113" i="34" s="1"/>
  <c r="S117" i="34"/>
  <c r="T117" i="34" s="1"/>
  <c r="U117" i="34" s="1"/>
  <c r="S121" i="34"/>
  <c r="T121" i="34" s="1"/>
  <c r="U121" i="34" s="1"/>
  <c r="S124" i="34"/>
  <c r="T124" i="34" s="1"/>
  <c r="U124" i="34" s="1"/>
  <c r="C96" i="34"/>
  <c r="B96" i="34"/>
  <c r="S8" i="21"/>
  <c r="E11" i="33"/>
  <c r="U20" i="21" s="1"/>
  <c r="E23" i="33"/>
  <c r="U32" i="21" s="1"/>
  <c r="E25" i="33"/>
  <c r="U34" i="21" s="1"/>
  <c r="E17" i="33"/>
  <c r="U26" i="21" s="1"/>
  <c r="E19" i="33"/>
  <c r="U28" i="21" s="1"/>
  <c r="E21" i="33"/>
  <c r="U30" i="21" s="1"/>
  <c r="E15" i="33"/>
  <c r="U24" i="21" s="1"/>
  <c r="E27" i="33"/>
  <c r="U36" i="21" s="1"/>
  <c r="E29" i="33"/>
  <c r="U38" i="21" s="1"/>
  <c r="B7" i="26" s="1"/>
  <c r="E31" i="33"/>
  <c r="U40" i="21" s="1"/>
  <c r="E13" i="33"/>
  <c r="U22" i="21" s="1"/>
  <c r="K34" i="25"/>
  <c r="T60" i="25" s="1"/>
  <c r="T61" i="25" s="1"/>
  <c r="T62" i="25" s="1"/>
  <c r="T63" i="25" s="1"/>
  <c r="T64" i="25" s="1"/>
  <c r="T65" i="25" s="1"/>
  <c r="T66" i="25" s="1"/>
  <c r="T67" i="25" s="1"/>
  <c r="T68" i="25" s="1"/>
  <c r="T69" i="25" s="1"/>
  <c r="T70" i="25" s="1"/>
  <c r="T71" i="25" s="1"/>
  <c r="T72" i="25" s="1"/>
  <c r="T73" i="25" s="1"/>
  <c r="T74" i="25" s="1"/>
  <c r="T75" i="25" s="1"/>
  <c r="T76" i="25" s="1"/>
  <c r="T77" i="25" s="1"/>
  <c r="T78" i="25" s="1"/>
  <c r="T79" i="25" s="1"/>
  <c r="T80" i="25" s="1"/>
  <c r="T81" i="25" s="1"/>
  <c r="T82" i="25" s="1"/>
  <c r="T83" i="25" s="1"/>
  <c r="T84" i="25" s="1"/>
  <c r="T85" i="25" s="1"/>
  <c r="T86" i="25" s="1"/>
  <c r="T87" i="25" s="1"/>
  <c r="T88" i="25" s="1"/>
  <c r="T89" i="25" s="1"/>
  <c r="T90" i="25" s="1"/>
  <c r="T91" i="25" s="1"/>
  <c r="T92" i="25" s="1"/>
  <c r="T93" i="25" s="1"/>
  <c r="T94" i="25" s="1"/>
  <c r="T95" i="25" s="1"/>
  <c r="T96" i="25" s="1"/>
  <c r="T97" i="25" s="1"/>
  <c r="T98" i="25" s="1"/>
  <c r="T99" i="25" s="1"/>
  <c r="T100" i="25" s="1"/>
  <c r="T101" i="25" s="1"/>
  <c r="T102" i="25" s="1"/>
  <c r="T103" i="25" s="1"/>
  <c r="T104" i="25" s="1"/>
  <c r="T105" i="25" s="1"/>
  <c r="T106" i="25" s="1"/>
  <c r="T107" i="25" s="1"/>
  <c r="T108" i="25" s="1"/>
  <c r="T109" i="25" s="1"/>
  <c r="T110" i="25" s="1"/>
  <c r="E34" i="25"/>
  <c r="D34" i="25"/>
  <c r="C34" i="25"/>
  <c r="B34" i="25"/>
  <c r="O34" i="25" s="1"/>
  <c r="M32" i="25"/>
  <c r="L32" i="25"/>
  <c r="J32" i="25"/>
  <c r="K32" i="25" s="1"/>
  <c r="S60" i="25" s="1"/>
  <c r="D32" i="25"/>
  <c r="C32" i="25"/>
  <c r="B32" i="25"/>
  <c r="M30" i="25"/>
  <c r="L30" i="25"/>
  <c r="J30" i="25"/>
  <c r="K30" i="25" s="1"/>
  <c r="R60" i="25" s="1"/>
  <c r="D30" i="25"/>
  <c r="C30" i="25"/>
  <c r="M28" i="25"/>
  <c r="L28" i="25"/>
  <c r="J28" i="25"/>
  <c r="K28" i="25" s="1"/>
  <c r="O50" i="25" s="1"/>
  <c r="D28" i="25"/>
  <c r="A28" i="25"/>
  <c r="M26" i="25"/>
  <c r="L26" i="25"/>
  <c r="J26" i="25"/>
  <c r="K26" i="25" s="1"/>
  <c r="N60" i="25" s="1"/>
  <c r="D26" i="25"/>
  <c r="A26" i="25"/>
  <c r="K24" i="25"/>
  <c r="K70" i="25" s="1"/>
  <c r="D24" i="25"/>
  <c r="A24" i="25"/>
  <c r="K22" i="25"/>
  <c r="J80" i="25" s="1"/>
  <c r="D22" i="25"/>
  <c r="A22" i="25"/>
  <c r="K20" i="25"/>
  <c r="I70" i="25" s="1"/>
  <c r="I71" i="25" s="1"/>
  <c r="I72" i="25" s="1"/>
  <c r="I73" i="25" s="1"/>
  <c r="I74" i="25" s="1"/>
  <c r="I75" i="25" s="1"/>
  <c r="I76" i="25" s="1"/>
  <c r="I77" i="25" s="1"/>
  <c r="I78" i="25" s="1"/>
  <c r="I79" i="25" s="1"/>
  <c r="I80" i="25" s="1"/>
  <c r="I81" i="25" s="1"/>
  <c r="I82" i="25" s="1"/>
  <c r="I83" i="25" s="1"/>
  <c r="I84" i="25" s="1"/>
  <c r="I85" i="25" s="1"/>
  <c r="I86" i="25" s="1"/>
  <c r="I87" i="25" s="1"/>
  <c r="I88" i="25" s="1"/>
  <c r="I89" i="25" s="1"/>
  <c r="I90" i="25" s="1"/>
  <c r="I91" i="25" s="1"/>
  <c r="I92" i="25" s="1"/>
  <c r="I93" i="25" s="1"/>
  <c r="I94" i="25" s="1"/>
  <c r="I95" i="25" s="1"/>
  <c r="I96" i="25" s="1"/>
  <c r="I97" i="25" s="1"/>
  <c r="I98" i="25" s="1"/>
  <c r="I99" i="25" s="1"/>
  <c r="I100" i="25" s="1"/>
  <c r="I101" i="25" s="1"/>
  <c r="I102" i="25" s="1"/>
  <c r="I103" i="25" s="1"/>
  <c r="I104" i="25" s="1"/>
  <c r="I105" i="25" s="1"/>
  <c r="I106" i="25" s="1"/>
  <c r="I107" i="25" s="1"/>
  <c r="I108" i="25" s="1"/>
  <c r="I109" i="25" s="1"/>
  <c r="I110" i="25" s="1"/>
  <c r="I111" i="25" s="1"/>
  <c r="I112" i="25" s="1"/>
  <c r="I113" i="25" s="1"/>
  <c r="I114" i="25" s="1"/>
  <c r="I115" i="25" s="1"/>
  <c r="I116" i="25" s="1"/>
  <c r="I117" i="25" s="1"/>
  <c r="I118" i="25" s="1"/>
  <c r="I119" i="25" s="1"/>
  <c r="I120" i="25" s="1"/>
  <c r="I121" i="25" s="1"/>
  <c r="I122" i="25" s="1"/>
  <c r="I123" i="25" s="1"/>
  <c r="I124" i="25" s="1"/>
  <c r="I125" i="25" s="1"/>
  <c r="I126" i="25" s="1"/>
  <c r="I127" i="25" s="1"/>
  <c r="I128" i="25" s="1"/>
  <c r="I129" i="25" s="1"/>
  <c r="I130" i="25" s="1"/>
  <c r="D20" i="25"/>
  <c r="A20" i="25"/>
  <c r="K18" i="25"/>
  <c r="H70" i="25" s="1"/>
  <c r="H69" i="25" s="1"/>
  <c r="H68" i="25" s="1"/>
  <c r="H67" i="25" s="1"/>
  <c r="H66" i="25" s="1"/>
  <c r="H65" i="25" s="1"/>
  <c r="H64" i="25" s="1"/>
  <c r="H63" i="25" s="1"/>
  <c r="H62" i="25" s="1"/>
  <c r="H61" i="25" s="1"/>
  <c r="H60" i="25" s="1"/>
  <c r="H59" i="25" s="1"/>
  <c r="H58" i="25" s="1"/>
  <c r="H57" i="25" s="1"/>
  <c r="H56" i="25" s="1"/>
  <c r="H55" i="25" s="1"/>
  <c r="H54" i="25" s="1"/>
  <c r="H53" i="25" s="1"/>
  <c r="H52" i="25" s="1"/>
  <c r="H51" i="25" s="1"/>
  <c r="H50" i="25" s="1"/>
  <c r="H49" i="25" s="1"/>
  <c r="H48" i="25" s="1"/>
  <c r="H47" i="25" s="1"/>
  <c r="H46" i="25" s="1"/>
  <c r="H45" i="25" s="1"/>
  <c r="H44" i="25" s="1"/>
  <c r="H43" i="25" s="1"/>
  <c r="H42" i="25" s="1"/>
  <c r="H41" i="25" s="1"/>
  <c r="H40" i="25" s="1"/>
  <c r="D18" i="25"/>
  <c r="A18" i="25"/>
  <c r="K16" i="25"/>
  <c r="G70" i="25" s="1"/>
  <c r="D16" i="25"/>
  <c r="A16" i="25"/>
  <c r="K14" i="25"/>
  <c r="F70" i="25" s="1"/>
  <c r="D14" i="25"/>
  <c r="A14" i="25"/>
  <c r="K12" i="25"/>
  <c r="E70" i="25" s="1"/>
  <c r="E69" i="25" s="1"/>
  <c r="E68" i="25" s="1"/>
  <c r="E67" i="25" s="1"/>
  <c r="E66" i="25" s="1"/>
  <c r="E65" i="25" s="1"/>
  <c r="E64" i="25" s="1"/>
  <c r="E63" i="25" s="1"/>
  <c r="E62" i="25" s="1"/>
  <c r="E61" i="25" s="1"/>
  <c r="E60" i="25" s="1"/>
  <c r="E59" i="25" s="1"/>
  <c r="E58" i="25" s="1"/>
  <c r="E57" i="25" s="1"/>
  <c r="E56" i="25" s="1"/>
  <c r="E55" i="25" s="1"/>
  <c r="E54" i="25" s="1"/>
  <c r="E53" i="25" s="1"/>
  <c r="E52" i="25" s="1"/>
  <c r="E51" i="25" s="1"/>
  <c r="E50" i="25" s="1"/>
  <c r="E49" i="25" s="1"/>
  <c r="E48" i="25" s="1"/>
  <c r="E47" i="25" s="1"/>
  <c r="E46" i="25" s="1"/>
  <c r="E45" i="25" s="1"/>
  <c r="E44" i="25" s="1"/>
  <c r="E43" i="25" s="1"/>
  <c r="E42" i="25" s="1"/>
  <c r="E41" i="25" s="1"/>
  <c r="E40" i="25" s="1"/>
  <c r="D12" i="25"/>
  <c r="A12" i="25"/>
  <c r="K10" i="25"/>
  <c r="D80" i="25" s="1"/>
  <c r="D79" i="25" s="1"/>
  <c r="D78" i="25" s="1"/>
  <c r="D77" i="25" s="1"/>
  <c r="D76" i="25" s="1"/>
  <c r="D75" i="25" s="1"/>
  <c r="D74" i="25" s="1"/>
  <c r="D73" i="25" s="1"/>
  <c r="D72" i="25" s="1"/>
  <c r="D71" i="25" s="1"/>
  <c r="D70" i="25" s="1"/>
  <c r="D69" i="25" s="1"/>
  <c r="D68" i="25" s="1"/>
  <c r="D67" i="25" s="1"/>
  <c r="D66" i="25" s="1"/>
  <c r="D65" i="25" s="1"/>
  <c r="D64" i="25" s="1"/>
  <c r="D63" i="25" s="1"/>
  <c r="D62" i="25" s="1"/>
  <c r="D61" i="25" s="1"/>
  <c r="D60" i="25" s="1"/>
  <c r="D59" i="25" s="1"/>
  <c r="D58" i="25" s="1"/>
  <c r="D57" i="25" s="1"/>
  <c r="D56" i="25" s="1"/>
  <c r="D55" i="25" s="1"/>
  <c r="D54" i="25" s="1"/>
  <c r="D53" i="25" s="1"/>
  <c r="D52" i="25" s="1"/>
  <c r="D51" i="25" s="1"/>
  <c r="D50" i="25" s="1"/>
  <c r="D49" i="25" s="1"/>
  <c r="D48" i="25" s="1"/>
  <c r="D47" i="25" s="1"/>
  <c r="D46" i="25" s="1"/>
  <c r="D45" i="25" s="1"/>
  <c r="D44" i="25" s="1"/>
  <c r="D43" i="25" s="1"/>
  <c r="D42" i="25" s="1"/>
  <c r="D41" i="25" s="1"/>
  <c r="D40" i="25" s="1"/>
  <c r="D10" i="25"/>
  <c r="A10" i="25"/>
  <c r="K8" i="25"/>
  <c r="B80" i="25" s="1"/>
  <c r="D8" i="25"/>
  <c r="A8" i="25"/>
  <c r="P51" i="23"/>
  <c r="P52" i="23" s="1"/>
  <c r="P53" i="23" s="1"/>
  <c r="P54" i="23" s="1"/>
  <c r="P55" i="23" s="1"/>
  <c r="P56" i="23" s="1"/>
  <c r="P57" i="23" s="1"/>
  <c r="P58" i="23" s="1"/>
  <c r="P59" i="23" s="1"/>
  <c r="P60" i="23" s="1"/>
  <c r="P61" i="23" s="1"/>
  <c r="P62" i="23" s="1"/>
  <c r="P63" i="23" s="1"/>
  <c r="P64" i="23" s="1"/>
  <c r="P65" i="23" s="1"/>
  <c r="P66" i="23" s="1"/>
  <c r="P67" i="23" s="1"/>
  <c r="P68" i="23" s="1"/>
  <c r="P69" i="23" s="1"/>
  <c r="P70" i="23" s="1"/>
  <c r="P71" i="23" s="1"/>
  <c r="P72" i="23" s="1"/>
  <c r="P73" i="23" s="1"/>
  <c r="P74" i="23" s="1"/>
  <c r="P75" i="23" s="1"/>
  <c r="P76" i="23" s="1"/>
  <c r="P77" i="23" s="1"/>
  <c r="P78" i="23" s="1"/>
  <c r="P79" i="23" s="1"/>
  <c r="P80" i="23" s="1"/>
  <c r="P81" i="23" s="1"/>
  <c r="P82" i="23" s="1"/>
  <c r="P83" i="23" s="1"/>
  <c r="P84" i="23" s="1"/>
  <c r="P85" i="23" s="1"/>
  <c r="P86" i="23" s="1"/>
  <c r="P87" i="23" s="1"/>
  <c r="P88" i="23" s="1"/>
  <c r="P89" i="23" s="1"/>
  <c r="P90" i="23" s="1"/>
  <c r="P49" i="23"/>
  <c r="P48" i="23" s="1"/>
  <c r="P47" i="23" s="1"/>
  <c r="P46" i="23" s="1"/>
  <c r="P45" i="23" s="1"/>
  <c r="P44" i="23" s="1"/>
  <c r="P43" i="23" s="1"/>
  <c r="P42" i="23" s="1"/>
  <c r="P41" i="23" s="1"/>
  <c r="P40" i="23" s="1"/>
  <c r="L33" i="23"/>
  <c r="T60" i="23" s="1"/>
  <c r="D33" i="23"/>
  <c r="C33" i="23"/>
  <c r="B33" i="23"/>
  <c r="L31" i="23"/>
  <c r="S60" i="23" s="1"/>
  <c r="D31" i="23"/>
  <c r="C31" i="23"/>
  <c r="L28" i="23"/>
  <c r="D28" i="23"/>
  <c r="A28" i="23"/>
  <c r="L26" i="23"/>
  <c r="O60" i="23" s="1"/>
  <c r="D26" i="23"/>
  <c r="A26" i="23"/>
  <c r="L24" i="23"/>
  <c r="L70" i="23" s="1"/>
  <c r="L69" i="23" s="1"/>
  <c r="L68" i="23" s="1"/>
  <c r="L67" i="23" s="1"/>
  <c r="L66" i="23" s="1"/>
  <c r="L65" i="23" s="1"/>
  <c r="L64" i="23" s="1"/>
  <c r="L63" i="23" s="1"/>
  <c r="L62" i="23" s="1"/>
  <c r="L61" i="23" s="1"/>
  <c r="L60" i="23" s="1"/>
  <c r="L59" i="23" s="1"/>
  <c r="L58" i="23" s="1"/>
  <c r="L57" i="23" s="1"/>
  <c r="L56" i="23" s="1"/>
  <c r="L55" i="23" s="1"/>
  <c r="L54" i="23" s="1"/>
  <c r="L53" i="23" s="1"/>
  <c r="L52" i="23" s="1"/>
  <c r="L51" i="23" s="1"/>
  <c r="L50" i="23" s="1"/>
  <c r="L49" i="23" s="1"/>
  <c r="L48" i="23" s="1"/>
  <c r="L47" i="23" s="1"/>
  <c r="L46" i="23" s="1"/>
  <c r="L45" i="23" s="1"/>
  <c r="L44" i="23" s="1"/>
  <c r="L43" i="23" s="1"/>
  <c r="L42" i="23" s="1"/>
  <c r="L41" i="23" s="1"/>
  <c r="L40" i="23" s="1"/>
  <c r="D24" i="23"/>
  <c r="A24" i="23"/>
  <c r="L22" i="23"/>
  <c r="K80" i="23" s="1"/>
  <c r="D22" i="23"/>
  <c r="A22" i="23"/>
  <c r="L20" i="23"/>
  <c r="J70" i="23" s="1"/>
  <c r="J71" i="23" s="1"/>
  <c r="J72" i="23" s="1"/>
  <c r="J73" i="23" s="1"/>
  <c r="J74" i="23" s="1"/>
  <c r="J75" i="23" s="1"/>
  <c r="J76" i="23" s="1"/>
  <c r="J77" i="23" s="1"/>
  <c r="J78" i="23" s="1"/>
  <c r="J79" i="23" s="1"/>
  <c r="J80" i="23" s="1"/>
  <c r="J81" i="23" s="1"/>
  <c r="J82" i="23" s="1"/>
  <c r="J83" i="23" s="1"/>
  <c r="J84" i="23" s="1"/>
  <c r="J85" i="23" s="1"/>
  <c r="J86" i="23" s="1"/>
  <c r="J87" i="23" s="1"/>
  <c r="J88" i="23" s="1"/>
  <c r="J89" i="23" s="1"/>
  <c r="J90" i="23" s="1"/>
  <c r="J91" i="23" s="1"/>
  <c r="J92" i="23" s="1"/>
  <c r="J93" i="23" s="1"/>
  <c r="J94" i="23" s="1"/>
  <c r="J95" i="23" s="1"/>
  <c r="J96" i="23" s="1"/>
  <c r="J97" i="23" s="1"/>
  <c r="J98" i="23" s="1"/>
  <c r="J99" i="23" s="1"/>
  <c r="J100" i="23" s="1"/>
  <c r="J101" i="23" s="1"/>
  <c r="J102" i="23" s="1"/>
  <c r="J103" i="23" s="1"/>
  <c r="J104" i="23" s="1"/>
  <c r="J105" i="23" s="1"/>
  <c r="J106" i="23" s="1"/>
  <c r="J107" i="23" s="1"/>
  <c r="J108" i="23" s="1"/>
  <c r="J109" i="23" s="1"/>
  <c r="J110" i="23" s="1"/>
  <c r="J111" i="23" s="1"/>
  <c r="J112" i="23" s="1"/>
  <c r="J113" i="23" s="1"/>
  <c r="J114" i="23" s="1"/>
  <c r="J115" i="23" s="1"/>
  <c r="J116" i="23" s="1"/>
  <c r="J117" i="23" s="1"/>
  <c r="J118" i="23" s="1"/>
  <c r="J119" i="23" s="1"/>
  <c r="J120" i="23" s="1"/>
  <c r="J121" i="23" s="1"/>
  <c r="J122" i="23" s="1"/>
  <c r="J123" i="23" s="1"/>
  <c r="J124" i="23" s="1"/>
  <c r="J125" i="23" s="1"/>
  <c r="J126" i="23" s="1"/>
  <c r="J127" i="23" s="1"/>
  <c r="J128" i="23" s="1"/>
  <c r="J129" i="23" s="1"/>
  <c r="J130" i="23" s="1"/>
  <c r="D20" i="23"/>
  <c r="A20" i="23"/>
  <c r="L18" i="23"/>
  <c r="I70" i="23" s="1"/>
  <c r="I69" i="23" s="1"/>
  <c r="I68" i="23" s="1"/>
  <c r="I67" i="23" s="1"/>
  <c r="I66" i="23" s="1"/>
  <c r="I65" i="23" s="1"/>
  <c r="I64" i="23" s="1"/>
  <c r="I63" i="23" s="1"/>
  <c r="I62" i="23" s="1"/>
  <c r="I61" i="23" s="1"/>
  <c r="I60" i="23" s="1"/>
  <c r="I59" i="23" s="1"/>
  <c r="I58" i="23" s="1"/>
  <c r="I57" i="23" s="1"/>
  <c r="I56" i="23" s="1"/>
  <c r="I55" i="23" s="1"/>
  <c r="I54" i="23" s="1"/>
  <c r="I53" i="23" s="1"/>
  <c r="I52" i="23" s="1"/>
  <c r="I51" i="23" s="1"/>
  <c r="I50" i="23" s="1"/>
  <c r="I49" i="23" s="1"/>
  <c r="I48" i="23" s="1"/>
  <c r="I47" i="23" s="1"/>
  <c r="I46" i="23" s="1"/>
  <c r="I45" i="23" s="1"/>
  <c r="I44" i="23" s="1"/>
  <c r="I43" i="23" s="1"/>
  <c r="I42" i="23" s="1"/>
  <c r="I41" i="23" s="1"/>
  <c r="I40" i="23" s="1"/>
  <c r="D18" i="23"/>
  <c r="A18" i="23"/>
  <c r="L16" i="23"/>
  <c r="H70" i="23" s="1"/>
  <c r="H69" i="23" s="1"/>
  <c r="H68" i="23" s="1"/>
  <c r="H67" i="23" s="1"/>
  <c r="H66" i="23" s="1"/>
  <c r="H65" i="23" s="1"/>
  <c r="H64" i="23" s="1"/>
  <c r="H63" i="23" s="1"/>
  <c r="H62" i="23" s="1"/>
  <c r="H61" i="23" s="1"/>
  <c r="H60" i="23" s="1"/>
  <c r="H59" i="23" s="1"/>
  <c r="H58" i="23" s="1"/>
  <c r="H57" i="23" s="1"/>
  <c r="H56" i="23" s="1"/>
  <c r="H55" i="23" s="1"/>
  <c r="H54" i="23" s="1"/>
  <c r="H53" i="23" s="1"/>
  <c r="H52" i="23" s="1"/>
  <c r="H51" i="23" s="1"/>
  <c r="H50" i="23" s="1"/>
  <c r="H49" i="23" s="1"/>
  <c r="H48" i="23" s="1"/>
  <c r="H47" i="23" s="1"/>
  <c r="H46" i="23" s="1"/>
  <c r="H45" i="23" s="1"/>
  <c r="H44" i="23" s="1"/>
  <c r="H43" i="23" s="1"/>
  <c r="H42" i="23" s="1"/>
  <c r="H41" i="23" s="1"/>
  <c r="H40" i="23" s="1"/>
  <c r="D16" i="23"/>
  <c r="A16" i="23"/>
  <c r="L14" i="23"/>
  <c r="G80" i="23" s="1"/>
  <c r="D14" i="23"/>
  <c r="A14" i="23"/>
  <c r="L12" i="23"/>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D12" i="23"/>
  <c r="A12" i="23"/>
  <c r="L10" i="23"/>
  <c r="D90" i="23" s="1"/>
  <c r="D89" i="23" s="1"/>
  <c r="D88" i="23" s="1"/>
  <c r="D87" i="23" s="1"/>
  <c r="D86" i="23" s="1"/>
  <c r="D85" i="23" s="1"/>
  <c r="D84" i="23" s="1"/>
  <c r="D83" i="23" s="1"/>
  <c r="D82" i="23" s="1"/>
  <c r="D81" i="23" s="1"/>
  <c r="D80" i="23" s="1"/>
  <c r="D79" i="23" s="1"/>
  <c r="D78" i="23" s="1"/>
  <c r="D77" i="23" s="1"/>
  <c r="D76" i="23" s="1"/>
  <c r="D75" i="23" s="1"/>
  <c r="D74" i="23" s="1"/>
  <c r="D73" i="23" s="1"/>
  <c r="D72" i="23" s="1"/>
  <c r="D71" i="23" s="1"/>
  <c r="D70" i="23" s="1"/>
  <c r="D69" i="23" s="1"/>
  <c r="D68" i="23" s="1"/>
  <c r="D67" i="23" s="1"/>
  <c r="D66" i="23" s="1"/>
  <c r="D65" i="23" s="1"/>
  <c r="D64" i="23" s="1"/>
  <c r="D63" i="23" s="1"/>
  <c r="D62" i="23" s="1"/>
  <c r="D61" i="23" s="1"/>
  <c r="D60" i="23" s="1"/>
  <c r="D59" i="23" s="1"/>
  <c r="D58" i="23" s="1"/>
  <c r="D57" i="23" s="1"/>
  <c r="D56" i="23" s="1"/>
  <c r="D55" i="23" s="1"/>
  <c r="D54" i="23" s="1"/>
  <c r="D53" i="23" s="1"/>
  <c r="D52" i="23" s="1"/>
  <c r="D51" i="23" s="1"/>
  <c r="D50" i="23" s="1"/>
  <c r="D49" i="23" s="1"/>
  <c r="D48" i="23" s="1"/>
  <c r="D47" i="23" s="1"/>
  <c r="D46" i="23" s="1"/>
  <c r="D45" i="23" s="1"/>
  <c r="D44" i="23" s="1"/>
  <c r="D43" i="23" s="1"/>
  <c r="D42" i="23" s="1"/>
  <c r="D41" i="23" s="1"/>
  <c r="D40" i="23" s="1"/>
  <c r="D10" i="23"/>
  <c r="A10" i="23"/>
  <c r="L8" i="23"/>
  <c r="B90" i="23" s="1"/>
  <c r="B89" i="23" s="1"/>
  <c r="B88" i="23" s="1"/>
  <c r="B87" i="23" s="1"/>
  <c r="B86" i="23" s="1"/>
  <c r="B85" i="23" s="1"/>
  <c r="B84" i="23" s="1"/>
  <c r="B83" i="23" s="1"/>
  <c r="B82" i="23" s="1"/>
  <c r="B81" i="23" s="1"/>
  <c r="B80" i="23" s="1"/>
  <c r="B79" i="23" s="1"/>
  <c r="B78" i="23" s="1"/>
  <c r="B77" i="23" s="1"/>
  <c r="B76" i="23" s="1"/>
  <c r="B75" i="23" s="1"/>
  <c r="B74" i="23" s="1"/>
  <c r="B73" i="23" s="1"/>
  <c r="B72" i="23" s="1"/>
  <c r="B71" i="23" s="1"/>
  <c r="B70" i="23" s="1"/>
  <c r="B69" i="23" s="1"/>
  <c r="B68" i="23" s="1"/>
  <c r="B67" i="23" s="1"/>
  <c r="B66" i="23" s="1"/>
  <c r="B65" i="23" s="1"/>
  <c r="B64" i="23" s="1"/>
  <c r="B63" i="23" s="1"/>
  <c r="B62" i="23" s="1"/>
  <c r="B61" i="23" s="1"/>
  <c r="B60" i="23" s="1"/>
  <c r="B59" i="23" s="1"/>
  <c r="B58" i="23" s="1"/>
  <c r="B57" i="23" s="1"/>
  <c r="B56" i="23" s="1"/>
  <c r="B55" i="23" s="1"/>
  <c r="B54" i="23" s="1"/>
  <c r="B53" i="23" s="1"/>
  <c r="B52" i="23" s="1"/>
  <c r="B51" i="23" s="1"/>
  <c r="B50" i="23" s="1"/>
  <c r="B49" i="23" s="1"/>
  <c r="B48" i="23" s="1"/>
  <c r="B47" i="23" s="1"/>
  <c r="B46" i="23" s="1"/>
  <c r="B45" i="23" s="1"/>
  <c r="B44" i="23" s="1"/>
  <c r="B43" i="23" s="1"/>
  <c r="B42" i="23" s="1"/>
  <c r="B41" i="23" s="1"/>
  <c r="B40" i="23" s="1"/>
  <c r="D8" i="23"/>
  <c r="A8" i="23"/>
  <c r="AA48" i="21"/>
  <c r="Q48" i="21"/>
  <c r="AN47" i="21"/>
  <c r="AA46" i="21"/>
  <c r="Q46" i="21"/>
  <c r="AA40" i="21"/>
  <c r="AA38" i="21"/>
  <c r="AD36" i="21"/>
  <c r="AA36" i="21"/>
  <c r="Q36" i="21"/>
  <c r="AD34" i="21"/>
  <c r="AA34" i="21"/>
  <c r="Q34" i="21"/>
  <c r="AD32" i="21"/>
  <c r="AA32" i="21"/>
  <c r="Q32" i="21"/>
  <c r="AD30" i="21"/>
  <c r="AA30" i="21"/>
  <c r="Q30" i="21"/>
  <c r="AD28" i="21"/>
  <c r="AA28" i="21"/>
  <c r="Q28" i="21"/>
  <c r="AD26" i="21"/>
  <c r="AA26" i="21"/>
  <c r="Q26" i="21"/>
  <c r="AD24" i="21"/>
  <c r="AA24" i="21"/>
  <c r="Q24" i="21"/>
  <c r="AD22" i="21"/>
  <c r="AA22" i="21"/>
  <c r="Q22" i="21"/>
  <c r="AD20" i="21"/>
  <c r="AA20" i="21"/>
  <c r="Q20" i="21"/>
  <c r="B91" i="23" l="1"/>
  <c r="B92" i="23" s="1"/>
  <c r="B93" i="23" s="1"/>
  <c r="B94" i="23" s="1"/>
  <c r="B95" i="23" s="1"/>
  <c r="B96" i="23" s="1"/>
  <c r="B97" i="23" s="1"/>
  <c r="B98" i="23" s="1"/>
  <c r="B99" i="23" s="1"/>
  <c r="B100" i="23" s="1"/>
  <c r="B101" i="23" s="1"/>
  <c r="B102" i="23" s="1"/>
  <c r="B103" i="23" s="1"/>
  <c r="B104" i="23" s="1"/>
  <c r="B105" i="23" s="1"/>
  <c r="B106" i="23" s="1"/>
  <c r="B107" i="23" s="1"/>
  <c r="B108" i="23" s="1"/>
  <c r="B109" i="23" s="1"/>
  <c r="B110" i="23" s="1"/>
  <c r="B111" i="23" s="1"/>
  <c r="B112" i="23" s="1"/>
  <c r="B113" i="23" s="1"/>
  <c r="B114" i="23" s="1"/>
  <c r="B115" i="23" s="1"/>
  <c r="B116" i="23" s="1"/>
  <c r="B117" i="23" s="1"/>
  <c r="B118" i="23" s="1"/>
  <c r="B119" i="23" s="1"/>
  <c r="B120" i="23" s="1"/>
  <c r="B121" i="23" s="1"/>
  <c r="B122" i="23" s="1"/>
  <c r="B123" i="23" s="1"/>
  <c r="B124" i="23" s="1"/>
  <c r="B125" i="23" s="1"/>
  <c r="B126" i="23" s="1"/>
  <c r="B127" i="23" s="1"/>
  <c r="B128" i="23" s="1"/>
  <c r="B129" i="23" s="1"/>
  <c r="B130" i="23" s="1"/>
  <c r="I69" i="25"/>
  <c r="I68" i="25" s="1"/>
  <c r="I67" i="25" s="1"/>
  <c r="I66" i="25" s="1"/>
  <c r="I65" i="25" s="1"/>
  <c r="I64" i="25" s="1"/>
  <c r="I63" i="25" s="1"/>
  <c r="I62" i="25" s="1"/>
  <c r="I61" i="25" s="1"/>
  <c r="I60" i="25" s="1"/>
  <c r="I59" i="25" s="1"/>
  <c r="I58" i="25" s="1"/>
  <c r="I57" i="25" s="1"/>
  <c r="I56" i="25" s="1"/>
  <c r="I55" i="25" s="1"/>
  <c r="I54" i="25" s="1"/>
  <c r="I53" i="25" s="1"/>
  <c r="I52" i="25" s="1"/>
  <c r="I51" i="25" s="1"/>
  <c r="I50" i="25" s="1"/>
  <c r="I49" i="25" s="1"/>
  <c r="I48" i="25" s="1"/>
  <c r="I47" i="25" s="1"/>
  <c r="I46" i="25" s="1"/>
  <c r="I45" i="25" s="1"/>
  <c r="I44" i="25" s="1"/>
  <c r="I43" i="25" s="1"/>
  <c r="I42" i="25" s="1"/>
  <c r="I41" i="25" s="1"/>
  <c r="I40" i="25" s="1"/>
  <c r="N31" i="17"/>
  <c r="O61" i="23"/>
  <c r="O62" i="23" s="1"/>
  <c r="O63" i="23" s="1"/>
  <c r="O64" i="23" s="1"/>
  <c r="O65" i="23" s="1"/>
  <c r="O66" i="23" s="1"/>
  <c r="O67" i="23" s="1"/>
  <c r="O68" i="23" s="1"/>
  <c r="O69" i="23" s="1"/>
  <c r="O70" i="23" s="1"/>
  <c r="O71" i="23" s="1"/>
  <c r="O72" i="23" s="1"/>
  <c r="O73" i="23" s="1"/>
  <c r="O74" i="23" s="1"/>
  <c r="O75" i="23" s="1"/>
  <c r="O76" i="23" s="1"/>
  <c r="O77" i="23" s="1"/>
  <c r="O78" i="23" s="1"/>
  <c r="O79" i="23" s="1"/>
  <c r="O80" i="23" s="1"/>
  <c r="O81" i="23" s="1"/>
  <c r="O82" i="23" s="1"/>
  <c r="O83" i="23" s="1"/>
  <c r="O84" i="23" s="1"/>
  <c r="O85" i="23" s="1"/>
  <c r="O86" i="23" s="1"/>
  <c r="O87" i="23" s="1"/>
  <c r="O88" i="23" s="1"/>
  <c r="O89" i="23" s="1"/>
  <c r="O90" i="23" s="1"/>
  <c r="O59" i="23"/>
  <c r="O58" i="23" s="1"/>
  <c r="O57" i="23" s="1"/>
  <c r="O56" i="23" s="1"/>
  <c r="O55" i="23" s="1"/>
  <c r="O54" i="23" s="1"/>
  <c r="O53" i="23" s="1"/>
  <c r="O52" i="23" s="1"/>
  <c r="O51" i="23" s="1"/>
  <c r="O50" i="23" s="1"/>
  <c r="O49" i="23" s="1"/>
  <c r="O48" i="23" s="1"/>
  <c r="O47" i="23" s="1"/>
  <c r="O46" i="23" s="1"/>
  <c r="O45" i="23" s="1"/>
  <c r="O44" i="23" s="1"/>
  <c r="O43" i="23" s="1"/>
  <c r="O42" i="23" s="1"/>
  <c r="O41" i="23" s="1"/>
  <c r="O40" i="23" s="1"/>
  <c r="G79" i="23"/>
  <c r="G78" i="23" s="1"/>
  <c r="G77" i="23" s="1"/>
  <c r="G76" i="23" s="1"/>
  <c r="G75" i="23" s="1"/>
  <c r="G74" i="23" s="1"/>
  <c r="G73" i="23" s="1"/>
  <c r="G72" i="23" s="1"/>
  <c r="G71" i="23" s="1"/>
  <c r="G70" i="23" s="1"/>
  <c r="G69" i="23" s="1"/>
  <c r="G68" i="23" s="1"/>
  <c r="G67" i="23" s="1"/>
  <c r="G66" i="23" s="1"/>
  <c r="G65" i="23" s="1"/>
  <c r="G64" i="23" s="1"/>
  <c r="G63" i="23" s="1"/>
  <c r="G62" i="23" s="1"/>
  <c r="G61" i="23" s="1"/>
  <c r="G60" i="23" s="1"/>
  <c r="G59" i="23" s="1"/>
  <c r="G58" i="23" s="1"/>
  <c r="G57" i="23" s="1"/>
  <c r="G56" i="23" s="1"/>
  <c r="G55" i="23" s="1"/>
  <c r="G54" i="23" s="1"/>
  <c r="G53" i="23" s="1"/>
  <c r="G52" i="23" s="1"/>
  <c r="G51" i="23" s="1"/>
  <c r="G50" i="23" s="1"/>
  <c r="G49" i="23" s="1"/>
  <c r="G48" i="23" s="1"/>
  <c r="G47" i="23" s="1"/>
  <c r="G46" i="23" s="1"/>
  <c r="G45" i="23" s="1"/>
  <c r="G44" i="23" s="1"/>
  <c r="G43" i="23" s="1"/>
  <c r="G42" i="23" s="1"/>
  <c r="G41" i="23" s="1"/>
  <c r="G40" i="23" s="1"/>
  <c r="G81" i="23"/>
  <c r="G82" i="23" s="1"/>
  <c r="G83" i="23" s="1"/>
  <c r="G84" i="23" s="1"/>
  <c r="G85" i="23" s="1"/>
  <c r="G86" i="23" s="1"/>
  <c r="G87" i="23" s="1"/>
  <c r="G88" i="23" s="1"/>
  <c r="G89" i="23" s="1"/>
  <c r="G90" i="23" s="1"/>
  <c r="G91" i="23" s="1"/>
  <c r="G92" i="23" s="1"/>
  <c r="G93" i="23" s="1"/>
  <c r="G94" i="23" s="1"/>
  <c r="G95" i="23" s="1"/>
  <c r="G96" i="23" s="1"/>
  <c r="G97" i="23" s="1"/>
  <c r="G98" i="23" s="1"/>
  <c r="G99" i="23" s="1"/>
  <c r="G100" i="23" s="1"/>
  <c r="G101" i="23" s="1"/>
  <c r="G102" i="23" s="1"/>
  <c r="G103" i="23" s="1"/>
  <c r="G104" i="23" s="1"/>
  <c r="G105" i="23" s="1"/>
  <c r="G106" i="23" s="1"/>
  <c r="G107" i="23" s="1"/>
  <c r="G108" i="23" s="1"/>
  <c r="G109" i="23" s="1"/>
  <c r="G110" i="23" s="1"/>
  <c r="G111" i="23" s="1"/>
  <c r="G112" i="23" s="1"/>
  <c r="G113" i="23" s="1"/>
  <c r="G114" i="23" s="1"/>
  <c r="G115" i="23" s="1"/>
  <c r="G116" i="23" s="1"/>
  <c r="G117" i="23" s="1"/>
  <c r="G118" i="23" s="1"/>
  <c r="G119" i="23" s="1"/>
  <c r="G120" i="23" s="1"/>
  <c r="G121" i="23" s="1"/>
  <c r="G122" i="23" s="1"/>
  <c r="G123" i="23" s="1"/>
  <c r="G124" i="23" s="1"/>
  <c r="G125" i="23" s="1"/>
  <c r="G126" i="23" s="1"/>
  <c r="G127" i="23" s="1"/>
  <c r="G128" i="23" s="1"/>
  <c r="G129" i="23" s="1"/>
  <c r="G130" i="23" s="1"/>
  <c r="T61" i="23"/>
  <c r="T62" i="23" s="1"/>
  <c r="T63" i="23" s="1"/>
  <c r="T64" i="23" s="1"/>
  <c r="T65" i="23" s="1"/>
  <c r="T66" i="23" s="1"/>
  <c r="T67" i="23" s="1"/>
  <c r="T68" i="23" s="1"/>
  <c r="T69" i="23" s="1"/>
  <c r="T70" i="23" s="1"/>
  <c r="T71" i="23" s="1"/>
  <c r="T72" i="23" s="1"/>
  <c r="T73" i="23" s="1"/>
  <c r="T74" i="23" s="1"/>
  <c r="T75" i="23" s="1"/>
  <c r="T76" i="23" s="1"/>
  <c r="T77" i="23" s="1"/>
  <c r="T78" i="23" s="1"/>
  <c r="T79" i="23" s="1"/>
  <c r="T80" i="23" s="1"/>
  <c r="T59" i="23"/>
  <c r="T58" i="23" s="1"/>
  <c r="T57" i="23" s="1"/>
  <c r="T56" i="23" s="1"/>
  <c r="T55" i="23" s="1"/>
  <c r="T54" i="23" s="1"/>
  <c r="T53" i="23" s="1"/>
  <c r="T52" i="23" s="1"/>
  <c r="T51" i="23" s="1"/>
  <c r="T50" i="23" s="1"/>
  <c r="T49" i="23" s="1"/>
  <c r="T48" i="23" s="1"/>
  <c r="T47" i="23" s="1"/>
  <c r="T46" i="23" s="1"/>
  <c r="T45" i="23" s="1"/>
  <c r="T44" i="23" s="1"/>
  <c r="T43" i="23" s="1"/>
  <c r="T42" i="23" s="1"/>
  <c r="T41" i="23" s="1"/>
  <c r="T40" i="23" s="1"/>
  <c r="J69" i="23"/>
  <c r="J68" i="23" s="1"/>
  <c r="J67" i="23" s="1"/>
  <c r="J66" i="23" s="1"/>
  <c r="J65" i="23" s="1"/>
  <c r="J64" i="23" s="1"/>
  <c r="J63" i="23" s="1"/>
  <c r="J62" i="23" s="1"/>
  <c r="J61" i="23" s="1"/>
  <c r="J60" i="23" s="1"/>
  <c r="J59" i="23" s="1"/>
  <c r="J58" i="23" s="1"/>
  <c r="J57" i="23" s="1"/>
  <c r="J56" i="23" s="1"/>
  <c r="J55" i="23" s="1"/>
  <c r="J54" i="23" s="1"/>
  <c r="J53" i="23" s="1"/>
  <c r="J52" i="23" s="1"/>
  <c r="J51" i="23" s="1"/>
  <c r="J50" i="23" s="1"/>
  <c r="J49" i="23" s="1"/>
  <c r="J48" i="23" s="1"/>
  <c r="J47" i="23" s="1"/>
  <c r="J46" i="23" s="1"/>
  <c r="J45" i="23" s="1"/>
  <c r="J44" i="23" s="1"/>
  <c r="J43" i="23" s="1"/>
  <c r="J42" i="23" s="1"/>
  <c r="J41" i="23" s="1"/>
  <c r="J40" i="23" s="1"/>
  <c r="H71" i="23"/>
  <c r="H72" i="23" s="1"/>
  <c r="H73" i="23" s="1"/>
  <c r="H74" i="23" s="1"/>
  <c r="H75" i="23" s="1"/>
  <c r="H76" i="23" s="1"/>
  <c r="H77" i="23" s="1"/>
  <c r="H78" i="23" s="1"/>
  <c r="H79" i="23" s="1"/>
  <c r="H80" i="23" s="1"/>
  <c r="H81" i="23" s="1"/>
  <c r="H82" i="23" s="1"/>
  <c r="H83" i="23" s="1"/>
  <c r="H84" i="23" s="1"/>
  <c r="H85" i="23" s="1"/>
  <c r="H86" i="23" s="1"/>
  <c r="H87" i="23" s="1"/>
  <c r="H88" i="23" s="1"/>
  <c r="H89" i="23" s="1"/>
  <c r="H90" i="23" s="1"/>
  <c r="H91" i="23" s="1"/>
  <c r="H92" i="23" s="1"/>
  <c r="H93" i="23" s="1"/>
  <c r="H94" i="23" s="1"/>
  <c r="H95" i="23" s="1"/>
  <c r="H96" i="23" s="1"/>
  <c r="H97" i="23" s="1"/>
  <c r="H98" i="23" s="1"/>
  <c r="H99" i="23" s="1"/>
  <c r="H100" i="23" s="1"/>
  <c r="H101" i="23" s="1"/>
  <c r="H102" i="23" s="1"/>
  <c r="H103" i="23" s="1"/>
  <c r="H104" i="23" s="1"/>
  <c r="H105" i="23" s="1"/>
  <c r="H106" i="23" s="1"/>
  <c r="H107" i="23" s="1"/>
  <c r="H108" i="23" s="1"/>
  <c r="H109" i="23" s="1"/>
  <c r="H110" i="23" s="1"/>
  <c r="H111" i="23" s="1"/>
  <c r="H112" i="23" s="1"/>
  <c r="H113" i="23" s="1"/>
  <c r="H114" i="23" s="1"/>
  <c r="H115" i="23" s="1"/>
  <c r="H116" i="23" s="1"/>
  <c r="H117" i="23" s="1"/>
  <c r="H118" i="23" s="1"/>
  <c r="H119" i="23" s="1"/>
  <c r="H120" i="23" s="1"/>
  <c r="H121" i="23" s="1"/>
  <c r="H122" i="23" s="1"/>
  <c r="H123" i="23" s="1"/>
  <c r="H124" i="23" s="1"/>
  <c r="H125" i="23" s="1"/>
  <c r="H126" i="23" s="1"/>
  <c r="H127" i="23" s="1"/>
  <c r="H128" i="23" s="1"/>
  <c r="H129" i="23" s="1"/>
  <c r="H130" i="23" s="1"/>
  <c r="D91" i="23"/>
  <c r="D92" i="23" s="1"/>
  <c r="D93" i="23" s="1"/>
  <c r="D94" i="23" s="1"/>
  <c r="D95" i="23" s="1"/>
  <c r="D96" i="23" s="1"/>
  <c r="D97" i="23" s="1"/>
  <c r="D98" i="23" s="1"/>
  <c r="D99" i="23" s="1"/>
  <c r="D100" i="23" s="1"/>
  <c r="D101" i="23" s="1"/>
  <c r="D102" i="23" s="1"/>
  <c r="D103" i="23" s="1"/>
  <c r="D104" i="23" s="1"/>
  <c r="D105" i="23" s="1"/>
  <c r="D106" i="23" s="1"/>
  <c r="D107" i="23" s="1"/>
  <c r="D108" i="23" s="1"/>
  <c r="D109" i="23" s="1"/>
  <c r="D110" i="23" s="1"/>
  <c r="D111" i="23" s="1"/>
  <c r="D112" i="23" s="1"/>
  <c r="D113" i="23" s="1"/>
  <c r="D114" i="23" s="1"/>
  <c r="D115" i="23" s="1"/>
  <c r="D116" i="23" s="1"/>
  <c r="D117" i="23" s="1"/>
  <c r="D118" i="23" s="1"/>
  <c r="D119" i="23" s="1"/>
  <c r="D120" i="23" s="1"/>
  <c r="D121" i="23" s="1"/>
  <c r="D122" i="23" s="1"/>
  <c r="D123" i="23" s="1"/>
  <c r="D124" i="23" s="1"/>
  <c r="D125" i="23" s="1"/>
  <c r="D126" i="23" s="1"/>
  <c r="D127" i="23" s="1"/>
  <c r="D128" i="23" s="1"/>
  <c r="D129" i="23" s="1"/>
  <c r="D130" i="23" s="1"/>
  <c r="H71" i="25"/>
  <c r="H72" i="25" s="1"/>
  <c r="H73" i="25" s="1"/>
  <c r="H74" i="25" s="1"/>
  <c r="H75" i="25" s="1"/>
  <c r="H76" i="25" s="1"/>
  <c r="H77" i="25" s="1"/>
  <c r="H78" i="25" s="1"/>
  <c r="H79" i="25" s="1"/>
  <c r="H80" i="25" s="1"/>
  <c r="H81" i="25" s="1"/>
  <c r="H82" i="25" s="1"/>
  <c r="H83" i="25" s="1"/>
  <c r="H84" i="25" s="1"/>
  <c r="H85" i="25" s="1"/>
  <c r="H86" i="25" s="1"/>
  <c r="H87" i="25" s="1"/>
  <c r="H88" i="25" s="1"/>
  <c r="H89" i="25" s="1"/>
  <c r="H90" i="25" s="1"/>
  <c r="H91" i="25" s="1"/>
  <c r="H92" i="25" s="1"/>
  <c r="H93" i="25" s="1"/>
  <c r="H94" i="25" s="1"/>
  <c r="H95" i="25" s="1"/>
  <c r="H96" i="25" s="1"/>
  <c r="H97" i="25" s="1"/>
  <c r="H98" i="25" s="1"/>
  <c r="H99" i="25" s="1"/>
  <c r="H100" i="25" s="1"/>
  <c r="H101" i="25" s="1"/>
  <c r="H102" i="25" s="1"/>
  <c r="H103" i="25" s="1"/>
  <c r="H104" i="25" s="1"/>
  <c r="H105" i="25" s="1"/>
  <c r="H106" i="25" s="1"/>
  <c r="H107" i="25" s="1"/>
  <c r="H108" i="25" s="1"/>
  <c r="H109" i="25" s="1"/>
  <c r="H110" i="25" s="1"/>
  <c r="H111" i="25" s="1"/>
  <c r="H112" i="25" s="1"/>
  <c r="H113" i="25" s="1"/>
  <c r="H114" i="25" s="1"/>
  <c r="H115" i="25" s="1"/>
  <c r="H116" i="25" s="1"/>
  <c r="H117" i="25" s="1"/>
  <c r="H118" i="25" s="1"/>
  <c r="H119" i="25" s="1"/>
  <c r="H120" i="25" s="1"/>
  <c r="H121" i="25" s="1"/>
  <c r="H122" i="25" s="1"/>
  <c r="H123" i="25" s="1"/>
  <c r="H124" i="25" s="1"/>
  <c r="H125" i="25" s="1"/>
  <c r="H126" i="25" s="1"/>
  <c r="H127" i="25" s="1"/>
  <c r="H128" i="25" s="1"/>
  <c r="H129" i="25" s="1"/>
  <c r="H130" i="25" s="1"/>
  <c r="D81" i="25"/>
  <c r="D82" i="25" s="1"/>
  <c r="D83" i="25" s="1"/>
  <c r="D84" i="25" s="1"/>
  <c r="D85" i="25" s="1"/>
  <c r="D86" i="25" s="1"/>
  <c r="D87" i="25" s="1"/>
  <c r="D88" i="25" s="1"/>
  <c r="D89" i="25" s="1"/>
  <c r="D90" i="25" s="1"/>
  <c r="D91" i="25" s="1"/>
  <c r="D92" i="25" s="1"/>
  <c r="D93" i="25" s="1"/>
  <c r="D94" i="25" s="1"/>
  <c r="D95" i="25" s="1"/>
  <c r="D96" i="25" s="1"/>
  <c r="D97" i="25" s="1"/>
  <c r="D98" i="25" s="1"/>
  <c r="D99" i="25" s="1"/>
  <c r="D100" i="25" s="1"/>
  <c r="D101" i="25" s="1"/>
  <c r="D102" i="25" s="1"/>
  <c r="D103" i="25" s="1"/>
  <c r="D104" i="25" s="1"/>
  <c r="D105" i="25" s="1"/>
  <c r="D106" i="25" s="1"/>
  <c r="D107" i="25" s="1"/>
  <c r="D108" i="25" s="1"/>
  <c r="D109" i="25" s="1"/>
  <c r="D110" i="25" s="1"/>
  <c r="D111" i="25" s="1"/>
  <c r="D112" i="25" s="1"/>
  <c r="D113" i="25" s="1"/>
  <c r="D114" i="25" s="1"/>
  <c r="D115" i="25" s="1"/>
  <c r="D116" i="25" s="1"/>
  <c r="D117" i="25" s="1"/>
  <c r="D118" i="25" s="1"/>
  <c r="D119" i="25" s="1"/>
  <c r="D120" i="25" s="1"/>
  <c r="D121" i="25" s="1"/>
  <c r="D122" i="25" s="1"/>
  <c r="D123" i="25" s="1"/>
  <c r="D124" i="25" s="1"/>
  <c r="D125" i="25" s="1"/>
  <c r="D126" i="25" s="1"/>
  <c r="D127" i="25" s="1"/>
  <c r="D128" i="25" s="1"/>
  <c r="D129" i="25" s="1"/>
  <c r="D130" i="25" s="1"/>
  <c r="C28" i="23"/>
  <c r="N7" i="26"/>
  <c r="BJ7" i="22"/>
  <c r="BJ7" i="24"/>
  <c r="BV7" i="24"/>
  <c r="BV7" i="22"/>
  <c r="I71" i="23"/>
  <c r="I72" i="23" s="1"/>
  <c r="I73" i="23" s="1"/>
  <c r="I74" i="23" s="1"/>
  <c r="I75" i="23" s="1"/>
  <c r="I76" i="23" s="1"/>
  <c r="I77" i="23" s="1"/>
  <c r="I78" i="23" s="1"/>
  <c r="I79" i="23" s="1"/>
  <c r="I80" i="23" s="1"/>
  <c r="I81" i="23" s="1"/>
  <c r="I82" i="23" s="1"/>
  <c r="I83" i="23" s="1"/>
  <c r="I84" i="23" s="1"/>
  <c r="I85" i="23" s="1"/>
  <c r="I86" i="23" s="1"/>
  <c r="I87" i="23" s="1"/>
  <c r="I88" i="23" s="1"/>
  <c r="I89" i="23" s="1"/>
  <c r="I90" i="23" s="1"/>
  <c r="I91" i="23" s="1"/>
  <c r="I92" i="23" s="1"/>
  <c r="I93" i="23" s="1"/>
  <c r="I94" i="23" s="1"/>
  <c r="I95" i="23" s="1"/>
  <c r="I96" i="23" s="1"/>
  <c r="I97" i="23" s="1"/>
  <c r="I98" i="23" s="1"/>
  <c r="I99" i="23" s="1"/>
  <c r="I100" i="23" s="1"/>
  <c r="I101" i="23" s="1"/>
  <c r="I102" i="23" s="1"/>
  <c r="I103" i="23" s="1"/>
  <c r="I104" i="23" s="1"/>
  <c r="I105" i="23" s="1"/>
  <c r="I106" i="23" s="1"/>
  <c r="I107" i="23" s="1"/>
  <c r="I108" i="23" s="1"/>
  <c r="I109" i="23" s="1"/>
  <c r="I110" i="23" s="1"/>
  <c r="I111" i="23" s="1"/>
  <c r="I112" i="23" s="1"/>
  <c r="I113" i="23" s="1"/>
  <c r="I114" i="23" s="1"/>
  <c r="I115" i="23" s="1"/>
  <c r="I116" i="23" s="1"/>
  <c r="I117" i="23" s="1"/>
  <c r="I118" i="23" s="1"/>
  <c r="I119" i="23" s="1"/>
  <c r="I120" i="23" s="1"/>
  <c r="I121" i="23" s="1"/>
  <c r="I122" i="23" s="1"/>
  <c r="I123" i="23" s="1"/>
  <c r="I124" i="23" s="1"/>
  <c r="I125" i="23" s="1"/>
  <c r="I126" i="23" s="1"/>
  <c r="I127" i="23" s="1"/>
  <c r="I128" i="23" s="1"/>
  <c r="I129" i="23" s="1"/>
  <c r="I130" i="23" s="1"/>
  <c r="C16" i="23"/>
  <c r="AX7" i="24"/>
  <c r="AX7" i="22"/>
  <c r="B7" i="24"/>
  <c r="B7" i="22"/>
  <c r="N30" i="17"/>
  <c r="L71" i="23"/>
  <c r="L72" i="23" s="1"/>
  <c r="L73" i="23" s="1"/>
  <c r="L74" i="23" s="1"/>
  <c r="L75" i="23" s="1"/>
  <c r="L76" i="23" s="1"/>
  <c r="L77" i="23" s="1"/>
  <c r="L78" i="23" s="1"/>
  <c r="L79" i="23" s="1"/>
  <c r="L80" i="23" s="1"/>
  <c r="L81" i="23" s="1"/>
  <c r="L82" i="23" s="1"/>
  <c r="L83" i="23" s="1"/>
  <c r="L84" i="23" s="1"/>
  <c r="L85" i="23" s="1"/>
  <c r="L86" i="23" s="1"/>
  <c r="L87" i="23" s="1"/>
  <c r="L88" i="23" s="1"/>
  <c r="L89" i="23" s="1"/>
  <c r="L90" i="23" s="1"/>
  <c r="L91" i="23" s="1"/>
  <c r="L92" i="23" s="1"/>
  <c r="L93" i="23" s="1"/>
  <c r="L94" i="23" s="1"/>
  <c r="L95" i="23" s="1"/>
  <c r="L96" i="23" s="1"/>
  <c r="L97" i="23" s="1"/>
  <c r="L98" i="23" s="1"/>
  <c r="L99" i="23" s="1"/>
  <c r="L100" i="23" s="1"/>
  <c r="L101" i="23" s="1"/>
  <c r="L102" i="23" s="1"/>
  <c r="L103" i="23" s="1"/>
  <c r="L104" i="23" s="1"/>
  <c r="L105" i="23" s="1"/>
  <c r="L106" i="23" s="1"/>
  <c r="L107" i="23" s="1"/>
  <c r="L108" i="23" s="1"/>
  <c r="L109" i="23" s="1"/>
  <c r="L110" i="23" s="1"/>
  <c r="L111" i="23" s="1"/>
  <c r="L112" i="23" s="1"/>
  <c r="L113" i="23" s="1"/>
  <c r="L114" i="23" s="1"/>
  <c r="L115" i="23" s="1"/>
  <c r="L116" i="23" s="1"/>
  <c r="L117" i="23" s="1"/>
  <c r="L118" i="23" s="1"/>
  <c r="L119" i="23" s="1"/>
  <c r="L120" i="23" s="1"/>
  <c r="L121" i="23" s="1"/>
  <c r="L122" i="23" s="1"/>
  <c r="L123" i="23" s="1"/>
  <c r="L124" i="23" s="1"/>
  <c r="L125" i="23" s="1"/>
  <c r="L126" i="23" s="1"/>
  <c r="L127" i="23" s="1"/>
  <c r="L128" i="23" s="1"/>
  <c r="L129" i="23" s="1"/>
  <c r="L130" i="23" s="1"/>
  <c r="T59" i="25"/>
  <c r="T58" i="25" s="1"/>
  <c r="T57" i="25" s="1"/>
  <c r="T56" i="25" s="1"/>
  <c r="T55" i="25" s="1"/>
  <c r="T54" i="25" s="1"/>
  <c r="T53" i="25" s="1"/>
  <c r="T52" i="25" s="1"/>
  <c r="T51" i="25" s="1"/>
  <c r="T50" i="25" s="1"/>
  <c r="T49" i="25" s="1"/>
  <c r="T48" i="25" s="1"/>
  <c r="T47" i="25" s="1"/>
  <c r="T46" i="25" s="1"/>
  <c r="T45" i="25" s="1"/>
  <c r="T44" i="25" s="1"/>
  <c r="T43" i="25" s="1"/>
  <c r="T42" i="25" s="1"/>
  <c r="T41" i="25" s="1"/>
  <c r="T40" i="25" s="1"/>
  <c r="C24" i="23"/>
  <c r="CT7" i="24"/>
  <c r="CT7" i="22"/>
  <c r="AL7" i="22"/>
  <c r="AL7" i="24"/>
  <c r="P41" i="16"/>
  <c r="K161" i="19"/>
  <c r="X161" i="19" s="1"/>
  <c r="N32" i="17"/>
  <c r="E71" i="25"/>
  <c r="E72" i="25" s="1"/>
  <c r="E73" i="25" s="1"/>
  <c r="E74" i="25" s="1"/>
  <c r="E75" i="25" s="1"/>
  <c r="E76" i="25" s="1"/>
  <c r="E77" i="25" s="1"/>
  <c r="E78" i="25" s="1"/>
  <c r="E79" i="25" s="1"/>
  <c r="E80" i="25" s="1"/>
  <c r="E81" i="25" s="1"/>
  <c r="E82" i="25" s="1"/>
  <c r="E83" i="25" s="1"/>
  <c r="E84" i="25" s="1"/>
  <c r="E85" i="25" s="1"/>
  <c r="E86" i="25" s="1"/>
  <c r="E87" i="25" s="1"/>
  <c r="E88" i="25" s="1"/>
  <c r="E89" i="25" s="1"/>
  <c r="E90" i="25" s="1"/>
  <c r="E91" i="25" s="1"/>
  <c r="E92" i="25" s="1"/>
  <c r="E93" i="25" s="1"/>
  <c r="E94" i="25" s="1"/>
  <c r="E95" i="25" s="1"/>
  <c r="E96" i="25" s="1"/>
  <c r="E97" i="25" s="1"/>
  <c r="E98" i="25" s="1"/>
  <c r="E99" i="25" s="1"/>
  <c r="E100" i="25" s="1"/>
  <c r="E101" i="25" s="1"/>
  <c r="E102" i="25" s="1"/>
  <c r="E103" i="25" s="1"/>
  <c r="E104" i="25" s="1"/>
  <c r="E105" i="25" s="1"/>
  <c r="E106" i="25" s="1"/>
  <c r="E107" i="25" s="1"/>
  <c r="E108" i="25" s="1"/>
  <c r="E109" i="25" s="1"/>
  <c r="E110" i="25" s="1"/>
  <c r="E111" i="25" s="1"/>
  <c r="E112" i="25" s="1"/>
  <c r="E113" i="25" s="1"/>
  <c r="E114" i="25" s="1"/>
  <c r="E115" i="25" s="1"/>
  <c r="E116" i="25" s="1"/>
  <c r="E117" i="25" s="1"/>
  <c r="E118" i="25" s="1"/>
  <c r="E119" i="25" s="1"/>
  <c r="E120" i="25" s="1"/>
  <c r="E121" i="25" s="1"/>
  <c r="E122" i="25" s="1"/>
  <c r="E123" i="25" s="1"/>
  <c r="E124" i="25" s="1"/>
  <c r="E125" i="25" s="1"/>
  <c r="E126" i="25" s="1"/>
  <c r="E127" i="25" s="1"/>
  <c r="E128" i="25" s="1"/>
  <c r="E129" i="25" s="1"/>
  <c r="E130" i="25" s="1"/>
  <c r="N7" i="22"/>
  <c r="N7" i="24"/>
  <c r="C12" i="23"/>
  <c r="Z7" i="24"/>
  <c r="Z7" i="22"/>
  <c r="CH7" i="22"/>
  <c r="CH7" i="24"/>
  <c r="N29" i="17"/>
  <c r="B9" i="27"/>
  <c r="CH8" i="24"/>
  <c r="AL8" i="24"/>
  <c r="CT8" i="22"/>
  <c r="AX8" i="22"/>
  <c r="B8" i="22"/>
  <c r="N8" i="26"/>
  <c r="BV8" i="24"/>
  <c r="Z8" i="24"/>
  <c r="CH8" i="22"/>
  <c r="AL8" i="22"/>
  <c r="B8" i="26"/>
  <c r="N8" i="24"/>
  <c r="Z8" i="22"/>
  <c r="N9" i="27"/>
  <c r="AX8" i="24"/>
  <c r="BJ8" i="22"/>
  <c r="BJ8" i="24"/>
  <c r="CT8" i="24"/>
  <c r="N8" i="22"/>
  <c r="BV8" i="22"/>
  <c r="B8" i="24"/>
  <c r="P51" i="16"/>
  <c r="K171" i="19"/>
  <c r="X171" i="19" s="1"/>
  <c r="P52" i="16"/>
  <c r="K172" i="19"/>
  <c r="X172" i="19" s="1"/>
  <c r="P55" i="16"/>
  <c r="K175" i="19"/>
  <c r="X175" i="19" s="1"/>
  <c r="P54" i="16"/>
  <c r="K174" i="19"/>
  <c r="X174" i="19" s="1"/>
  <c r="P57" i="16"/>
  <c r="K177" i="19"/>
  <c r="X177" i="19" s="1"/>
  <c r="P56" i="16"/>
  <c r="K176" i="19"/>
  <c r="X176" i="19" s="1"/>
  <c r="N28" i="17"/>
  <c r="P53" i="16"/>
  <c r="K173" i="19"/>
  <c r="V107" i="34"/>
  <c r="V129" i="34"/>
  <c r="V130" i="34"/>
  <c r="V132" i="34"/>
  <c r="V134" i="34"/>
  <c r="V136" i="34"/>
  <c r="V131" i="34"/>
  <c r="V133" i="34"/>
  <c r="V135" i="34"/>
  <c r="R114" i="34"/>
  <c r="R131" i="34"/>
  <c r="R133" i="34"/>
  <c r="R135" i="34"/>
  <c r="R129" i="34"/>
  <c r="T129" i="34" s="1"/>
  <c r="U129" i="34" s="1"/>
  <c r="R130" i="34"/>
  <c r="R132" i="34"/>
  <c r="R134" i="34"/>
  <c r="R136" i="34"/>
  <c r="N26" i="17"/>
  <c r="N27" i="17"/>
  <c r="H29" i="17"/>
  <c r="H31" i="17"/>
  <c r="H30" i="17"/>
  <c r="H28" i="17"/>
  <c r="R126" i="34"/>
  <c r="V126" i="34"/>
  <c r="V122" i="34"/>
  <c r="V118" i="34"/>
  <c r="V114" i="34"/>
  <c r="V110" i="34"/>
  <c r="V106" i="34"/>
  <c r="V104" i="34"/>
  <c r="V125" i="34"/>
  <c r="V121" i="34"/>
  <c r="V117" i="34"/>
  <c r="V113" i="34"/>
  <c r="V109" i="34"/>
  <c r="V105" i="34"/>
  <c r="V128" i="34"/>
  <c r="V124" i="34"/>
  <c r="V120" i="34"/>
  <c r="V116" i="34"/>
  <c r="V112" i="34"/>
  <c r="V108" i="34"/>
  <c r="V127" i="34"/>
  <c r="V123" i="34"/>
  <c r="V119" i="34"/>
  <c r="V115" i="34"/>
  <c r="V111" i="34"/>
  <c r="R110" i="34"/>
  <c r="R115" i="34"/>
  <c r="R120" i="34"/>
  <c r="R106" i="34"/>
  <c r="R112" i="34"/>
  <c r="R108" i="34"/>
  <c r="R128" i="34"/>
  <c r="R123" i="34"/>
  <c r="R118" i="34"/>
  <c r="R111" i="34"/>
  <c r="R107" i="34"/>
  <c r="R127" i="34"/>
  <c r="R122" i="34"/>
  <c r="R116" i="34"/>
  <c r="R104" i="34"/>
  <c r="R109" i="34"/>
  <c r="R105" i="34"/>
  <c r="R125" i="34"/>
  <c r="R119" i="34"/>
  <c r="O49" i="25"/>
  <c r="O48" i="25" s="1"/>
  <c r="O47" i="25" s="1"/>
  <c r="O46" i="25" s="1"/>
  <c r="O45" i="25" s="1"/>
  <c r="O44" i="25" s="1"/>
  <c r="O43" i="25" s="1"/>
  <c r="O42" i="25" s="1"/>
  <c r="O41" i="25" s="1"/>
  <c r="O40" i="25" s="1"/>
  <c r="O51" i="25"/>
  <c r="O52" i="25" s="1"/>
  <c r="O53" i="25" s="1"/>
  <c r="O54" i="25" s="1"/>
  <c r="O55" i="25" s="1"/>
  <c r="O56" i="25" s="1"/>
  <c r="O57" i="25" s="1"/>
  <c r="O58" i="25" s="1"/>
  <c r="O59" i="25" s="1"/>
  <c r="O60" i="25" s="1"/>
  <c r="O61" i="25" s="1"/>
  <c r="O62" i="25" s="1"/>
  <c r="O63" i="25" s="1"/>
  <c r="O64" i="25" s="1"/>
  <c r="O65" i="25" s="1"/>
  <c r="O66" i="25" s="1"/>
  <c r="O67" i="25" s="1"/>
  <c r="O68" i="25" s="1"/>
  <c r="O69" i="25" s="1"/>
  <c r="O70" i="25" s="1"/>
  <c r="O71" i="25" s="1"/>
  <c r="O72" i="25" s="1"/>
  <c r="O73" i="25" s="1"/>
  <c r="O74" i="25" s="1"/>
  <c r="O75" i="25" s="1"/>
  <c r="O76" i="25" s="1"/>
  <c r="O77" i="25" s="1"/>
  <c r="O78" i="25" s="1"/>
  <c r="O79" i="25" s="1"/>
  <c r="O80" i="25" s="1"/>
  <c r="O81" i="25" s="1"/>
  <c r="O82" i="25" s="1"/>
  <c r="O83" i="25" s="1"/>
  <c r="O84" i="25" s="1"/>
  <c r="O85" i="25" s="1"/>
  <c r="O86" i="25" s="1"/>
  <c r="O87" i="25" s="1"/>
  <c r="O88" i="25" s="1"/>
  <c r="O89" i="25" s="1"/>
  <c r="O90" i="25" s="1"/>
  <c r="C10" i="23"/>
  <c r="C10" i="25"/>
  <c r="C14" i="25"/>
  <c r="C14" i="23"/>
  <c r="C18" i="25"/>
  <c r="C18" i="23"/>
  <c r="C20" i="25"/>
  <c r="C20" i="23"/>
  <c r="C26" i="23"/>
  <c r="C26" i="25"/>
  <c r="C8" i="23"/>
  <c r="C8" i="25"/>
  <c r="C22" i="25"/>
  <c r="C22" i="23"/>
  <c r="C28" i="25"/>
  <c r="C24" i="25"/>
  <c r="C16" i="25"/>
  <c r="C12" i="25"/>
  <c r="T81" i="23"/>
  <c r="T82" i="23" s="1"/>
  <c r="T83" i="23" s="1"/>
  <c r="T84" i="23" s="1"/>
  <c r="T85" i="23" s="1"/>
  <c r="T86" i="23" s="1"/>
  <c r="T87" i="23" s="1"/>
  <c r="T88" i="23" s="1"/>
  <c r="T89" i="23" s="1"/>
  <c r="T90" i="23" s="1"/>
  <c r="T91" i="23" s="1"/>
  <c r="T92" i="23" s="1"/>
  <c r="T93" i="23" s="1"/>
  <c r="T94" i="23" s="1"/>
  <c r="T95" i="23" s="1"/>
  <c r="T96" i="23" s="1"/>
  <c r="T97" i="23" s="1"/>
  <c r="T98" i="23" s="1"/>
  <c r="T99" i="23" s="1"/>
  <c r="T100" i="23" s="1"/>
  <c r="T101" i="23" s="1"/>
  <c r="T102" i="23" s="1"/>
  <c r="T103" i="23" s="1"/>
  <c r="T104" i="23" s="1"/>
  <c r="T105" i="23" s="1"/>
  <c r="T106" i="23" s="1"/>
  <c r="T107" i="23" s="1"/>
  <c r="T108" i="23" s="1"/>
  <c r="T109" i="23" s="1"/>
  <c r="T110" i="23" s="1"/>
  <c r="P33" i="23"/>
  <c r="K79" i="23"/>
  <c r="K78" i="23" s="1"/>
  <c r="K77" i="23" s="1"/>
  <c r="K76" i="23" s="1"/>
  <c r="K75" i="23" s="1"/>
  <c r="K74" i="23" s="1"/>
  <c r="K73" i="23" s="1"/>
  <c r="K72" i="23" s="1"/>
  <c r="K71" i="23" s="1"/>
  <c r="K70" i="23" s="1"/>
  <c r="K69" i="23" s="1"/>
  <c r="K68" i="23" s="1"/>
  <c r="K67" i="23" s="1"/>
  <c r="K66" i="23" s="1"/>
  <c r="K65" i="23" s="1"/>
  <c r="K64" i="23" s="1"/>
  <c r="K63" i="23" s="1"/>
  <c r="K62" i="23" s="1"/>
  <c r="K61" i="23" s="1"/>
  <c r="K60" i="23" s="1"/>
  <c r="K59" i="23" s="1"/>
  <c r="K58" i="23" s="1"/>
  <c r="K57" i="23" s="1"/>
  <c r="K56" i="23" s="1"/>
  <c r="K55" i="23" s="1"/>
  <c r="K54" i="23" s="1"/>
  <c r="K53" i="23" s="1"/>
  <c r="K52" i="23" s="1"/>
  <c r="K51" i="23" s="1"/>
  <c r="K50" i="23" s="1"/>
  <c r="K49" i="23" s="1"/>
  <c r="K48" i="23" s="1"/>
  <c r="K47" i="23" s="1"/>
  <c r="K46" i="23" s="1"/>
  <c r="K45" i="23" s="1"/>
  <c r="K44" i="23" s="1"/>
  <c r="K43" i="23" s="1"/>
  <c r="K42" i="23" s="1"/>
  <c r="K41" i="23" s="1"/>
  <c r="K40" i="23" s="1"/>
  <c r="K81" i="23"/>
  <c r="K82" i="23" s="1"/>
  <c r="K83" i="23" s="1"/>
  <c r="K84" i="23" s="1"/>
  <c r="K85" i="23" s="1"/>
  <c r="K86" i="23" s="1"/>
  <c r="K87" i="23" s="1"/>
  <c r="K88" i="23" s="1"/>
  <c r="K89" i="23" s="1"/>
  <c r="K90" i="23" s="1"/>
  <c r="K91" i="23" s="1"/>
  <c r="K92" i="23" s="1"/>
  <c r="K93" i="23" s="1"/>
  <c r="K94" i="23" s="1"/>
  <c r="K95" i="23" s="1"/>
  <c r="K96" i="23" s="1"/>
  <c r="K97" i="23" s="1"/>
  <c r="K98" i="23" s="1"/>
  <c r="K99" i="23" s="1"/>
  <c r="K100" i="23" s="1"/>
  <c r="K101" i="23" s="1"/>
  <c r="K102" i="23" s="1"/>
  <c r="K103" i="23" s="1"/>
  <c r="K104" i="23" s="1"/>
  <c r="K105" i="23" s="1"/>
  <c r="K106" i="23" s="1"/>
  <c r="K107" i="23" s="1"/>
  <c r="K108" i="23" s="1"/>
  <c r="K109" i="23" s="1"/>
  <c r="K110" i="23" s="1"/>
  <c r="K111" i="23" s="1"/>
  <c r="K112" i="23" s="1"/>
  <c r="K113" i="23" s="1"/>
  <c r="K114" i="23" s="1"/>
  <c r="K115" i="23" s="1"/>
  <c r="K116" i="23" s="1"/>
  <c r="K117" i="23" s="1"/>
  <c r="K118" i="23" s="1"/>
  <c r="K119" i="23" s="1"/>
  <c r="K120" i="23" s="1"/>
  <c r="K121" i="23" s="1"/>
  <c r="K122" i="23" s="1"/>
  <c r="K123" i="23" s="1"/>
  <c r="K124" i="23" s="1"/>
  <c r="K125" i="23" s="1"/>
  <c r="K126" i="23" s="1"/>
  <c r="K127" i="23" s="1"/>
  <c r="K128" i="23" s="1"/>
  <c r="K129" i="23" s="1"/>
  <c r="K130" i="23" s="1"/>
  <c r="S59" i="23"/>
  <c r="S58" i="23" s="1"/>
  <c r="S57" i="23" s="1"/>
  <c r="S56" i="23" s="1"/>
  <c r="S55" i="23" s="1"/>
  <c r="S54" i="23" s="1"/>
  <c r="S53" i="23" s="1"/>
  <c r="S52" i="23" s="1"/>
  <c r="S51" i="23" s="1"/>
  <c r="S50" i="23" s="1"/>
  <c r="S49" i="23" s="1"/>
  <c r="S48" i="23" s="1"/>
  <c r="S47" i="23" s="1"/>
  <c r="S46" i="23" s="1"/>
  <c r="S45" i="23" s="1"/>
  <c r="S44" i="23" s="1"/>
  <c r="S43" i="23" s="1"/>
  <c r="S42" i="23" s="1"/>
  <c r="S41" i="23" s="1"/>
  <c r="S40" i="23" s="1"/>
  <c r="S61" i="23"/>
  <c r="S62" i="23" s="1"/>
  <c r="S63" i="23" s="1"/>
  <c r="S64" i="23" s="1"/>
  <c r="S65" i="23" s="1"/>
  <c r="S66" i="23" s="1"/>
  <c r="S67" i="23" s="1"/>
  <c r="S68" i="23" s="1"/>
  <c r="S69" i="23" s="1"/>
  <c r="S70" i="23" s="1"/>
  <c r="J81" i="25"/>
  <c r="J82" i="25" s="1"/>
  <c r="J83" i="25" s="1"/>
  <c r="J84" i="25" s="1"/>
  <c r="J85" i="25" s="1"/>
  <c r="J86" i="25" s="1"/>
  <c r="J87" i="25" s="1"/>
  <c r="J88" i="25" s="1"/>
  <c r="J89" i="25" s="1"/>
  <c r="J90" i="25" s="1"/>
  <c r="J91" i="25" s="1"/>
  <c r="J92" i="25" s="1"/>
  <c r="J93" i="25" s="1"/>
  <c r="J94" i="25" s="1"/>
  <c r="J95" i="25" s="1"/>
  <c r="J96" i="25" s="1"/>
  <c r="J97" i="25" s="1"/>
  <c r="J98" i="25" s="1"/>
  <c r="J99" i="25" s="1"/>
  <c r="J100" i="25" s="1"/>
  <c r="J101" i="25" s="1"/>
  <c r="J102" i="25" s="1"/>
  <c r="J103" i="25" s="1"/>
  <c r="J104" i="25" s="1"/>
  <c r="J105" i="25" s="1"/>
  <c r="J106" i="25" s="1"/>
  <c r="J107" i="25" s="1"/>
  <c r="J108" i="25" s="1"/>
  <c r="J109" i="25" s="1"/>
  <c r="J110" i="25" s="1"/>
  <c r="J111" i="25" s="1"/>
  <c r="J112" i="25" s="1"/>
  <c r="J113" i="25" s="1"/>
  <c r="J114" i="25" s="1"/>
  <c r="J115" i="25" s="1"/>
  <c r="J116" i="25" s="1"/>
  <c r="J117" i="25" s="1"/>
  <c r="J118" i="25" s="1"/>
  <c r="J119" i="25" s="1"/>
  <c r="J120" i="25" s="1"/>
  <c r="J121" i="25" s="1"/>
  <c r="J122" i="25" s="1"/>
  <c r="J123" i="25" s="1"/>
  <c r="J124" i="25" s="1"/>
  <c r="J125" i="25" s="1"/>
  <c r="J126" i="25" s="1"/>
  <c r="J127" i="25" s="1"/>
  <c r="J128" i="25" s="1"/>
  <c r="J129" i="25" s="1"/>
  <c r="J130" i="25" s="1"/>
  <c r="J79" i="25"/>
  <c r="J78" i="25" s="1"/>
  <c r="J77" i="25" s="1"/>
  <c r="J76" i="25" s="1"/>
  <c r="J75" i="25" s="1"/>
  <c r="J74" i="25" s="1"/>
  <c r="J73" i="25" s="1"/>
  <c r="J72" i="25" s="1"/>
  <c r="J71" i="25" s="1"/>
  <c r="J70" i="25" s="1"/>
  <c r="J69" i="25" s="1"/>
  <c r="J68" i="25" s="1"/>
  <c r="J67" i="25" s="1"/>
  <c r="J66" i="25" s="1"/>
  <c r="J65" i="25" s="1"/>
  <c r="J64" i="25" s="1"/>
  <c r="J63" i="25" s="1"/>
  <c r="J62" i="25" s="1"/>
  <c r="J61" i="25" s="1"/>
  <c r="J60" i="25" s="1"/>
  <c r="J59" i="25" s="1"/>
  <c r="J58" i="25" s="1"/>
  <c r="J57" i="25" s="1"/>
  <c r="J56" i="25" s="1"/>
  <c r="J55" i="25" s="1"/>
  <c r="J54" i="25" s="1"/>
  <c r="J53" i="25" s="1"/>
  <c r="J52" i="25" s="1"/>
  <c r="J51" i="25" s="1"/>
  <c r="J50" i="25" s="1"/>
  <c r="J49" i="25" s="1"/>
  <c r="J48" i="25" s="1"/>
  <c r="J47" i="25" s="1"/>
  <c r="J46" i="25" s="1"/>
  <c r="J45" i="25" s="1"/>
  <c r="J44" i="25" s="1"/>
  <c r="J43" i="25" s="1"/>
  <c r="J42" i="25" s="1"/>
  <c r="J41" i="25" s="1"/>
  <c r="J40" i="25" s="1"/>
  <c r="F71" i="25"/>
  <c r="F72" i="25" s="1"/>
  <c r="F73" i="25" s="1"/>
  <c r="F74" i="25" s="1"/>
  <c r="F75" i="25" s="1"/>
  <c r="F76" i="25" s="1"/>
  <c r="F77" i="25" s="1"/>
  <c r="F78" i="25" s="1"/>
  <c r="F79" i="25" s="1"/>
  <c r="F80" i="25" s="1"/>
  <c r="F81" i="25" s="1"/>
  <c r="F82" i="25" s="1"/>
  <c r="F83" i="25" s="1"/>
  <c r="F84" i="25" s="1"/>
  <c r="F85" i="25" s="1"/>
  <c r="F86" i="25" s="1"/>
  <c r="F87" i="25" s="1"/>
  <c r="F88" i="25" s="1"/>
  <c r="F89" i="25" s="1"/>
  <c r="F90" i="25" s="1"/>
  <c r="F91" i="25" s="1"/>
  <c r="F92" i="25" s="1"/>
  <c r="F93" i="25" s="1"/>
  <c r="F94" i="25" s="1"/>
  <c r="F95" i="25" s="1"/>
  <c r="F96" i="25" s="1"/>
  <c r="F97" i="25" s="1"/>
  <c r="F98" i="25" s="1"/>
  <c r="F99" i="25" s="1"/>
  <c r="F100" i="25" s="1"/>
  <c r="F101" i="25" s="1"/>
  <c r="F102" i="25" s="1"/>
  <c r="F103" i="25" s="1"/>
  <c r="F104" i="25" s="1"/>
  <c r="F105" i="25" s="1"/>
  <c r="F106" i="25" s="1"/>
  <c r="F107" i="25" s="1"/>
  <c r="F108" i="25" s="1"/>
  <c r="F109" i="25" s="1"/>
  <c r="F110" i="25" s="1"/>
  <c r="F111" i="25" s="1"/>
  <c r="F112" i="25" s="1"/>
  <c r="F113" i="25" s="1"/>
  <c r="F114" i="25" s="1"/>
  <c r="F115" i="25" s="1"/>
  <c r="F116" i="25" s="1"/>
  <c r="F117" i="25" s="1"/>
  <c r="F118" i="25" s="1"/>
  <c r="F119" i="25" s="1"/>
  <c r="F120" i="25" s="1"/>
  <c r="F121" i="25" s="1"/>
  <c r="F122" i="25" s="1"/>
  <c r="F123" i="25" s="1"/>
  <c r="F124" i="25" s="1"/>
  <c r="F125" i="25" s="1"/>
  <c r="F126" i="25" s="1"/>
  <c r="F127" i="25" s="1"/>
  <c r="F128" i="25" s="1"/>
  <c r="F129" i="25" s="1"/>
  <c r="F130" i="25" s="1"/>
  <c r="F69" i="25"/>
  <c r="F68" i="25" s="1"/>
  <c r="F67" i="25" s="1"/>
  <c r="F66" i="25" s="1"/>
  <c r="F65" i="25" s="1"/>
  <c r="F64" i="25" s="1"/>
  <c r="F63" i="25" s="1"/>
  <c r="F62" i="25" s="1"/>
  <c r="F61" i="25" s="1"/>
  <c r="F60" i="25" s="1"/>
  <c r="F59" i="25" s="1"/>
  <c r="F58" i="25" s="1"/>
  <c r="F57" i="25" s="1"/>
  <c r="F56" i="25" s="1"/>
  <c r="F55" i="25" s="1"/>
  <c r="F54" i="25" s="1"/>
  <c r="F53" i="25" s="1"/>
  <c r="F52" i="25" s="1"/>
  <c r="F51" i="25" s="1"/>
  <c r="F50" i="25" s="1"/>
  <c r="F49" i="25" s="1"/>
  <c r="F48" i="25" s="1"/>
  <c r="F47" i="25" s="1"/>
  <c r="F46" i="25" s="1"/>
  <c r="F45" i="25" s="1"/>
  <c r="F44" i="25" s="1"/>
  <c r="F43" i="25" s="1"/>
  <c r="F42" i="25" s="1"/>
  <c r="F41" i="25" s="1"/>
  <c r="F40" i="25" s="1"/>
  <c r="N59" i="25"/>
  <c r="N58" i="25" s="1"/>
  <c r="N57" i="25" s="1"/>
  <c r="N56" i="25" s="1"/>
  <c r="N55" i="25" s="1"/>
  <c r="N54" i="25" s="1"/>
  <c r="N53" i="25" s="1"/>
  <c r="N52" i="25" s="1"/>
  <c r="N51" i="25" s="1"/>
  <c r="N50" i="25" s="1"/>
  <c r="N49" i="25" s="1"/>
  <c r="N48" i="25" s="1"/>
  <c r="N47" i="25" s="1"/>
  <c r="N46" i="25" s="1"/>
  <c r="N45" i="25" s="1"/>
  <c r="N44" i="25" s="1"/>
  <c r="N43" i="25" s="1"/>
  <c r="N42" i="25" s="1"/>
  <c r="N41" i="25" s="1"/>
  <c r="N40" i="25" s="1"/>
  <c r="N61" i="25"/>
  <c r="N62" i="25" s="1"/>
  <c r="N63" i="25" s="1"/>
  <c r="N64" i="25" s="1"/>
  <c r="N65" i="25" s="1"/>
  <c r="N66" i="25" s="1"/>
  <c r="N67" i="25" s="1"/>
  <c r="N68" i="25" s="1"/>
  <c r="N69" i="25" s="1"/>
  <c r="N70" i="25" s="1"/>
  <c r="N71" i="25" s="1"/>
  <c r="N72" i="25" s="1"/>
  <c r="N73" i="25" s="1"/>
  <c r="N74" i="25" s="1"/>
  <c r="N75" i="25" s="1"/>
  <c r="N76" i="25" s="1"/>
  <c r="N77" i="25" s="1"/>
  <c r="N78" i="25" s="1"/>
  <c r="N79" i="25" s="1"/>
  <c r="N80" i="25" s="1"/>
  <c r="N81" i="25" s="1"/>
  <c r="N82" i="25" s="1"/>
  <c r="N83" i="25" s="1"/>
  <c r="N84" i="25" s="1"/>
  <c r="N85" i="25" s="1"/>
  <c r="N86" i="25" s="1"/>
  <c r="N87" i="25" s="1"/>
  <c r="N88" i="25" s="1"/>
  <c r="N89" i="25" s="1"/>
  <c r="N90" i="25" s="1"/>
  <c r="G71" i="25"/>
  <c r="G72" i="25" s="1"/>
  <c r="G73" i="25" s="1"/>
  <c r="G74" i="25" s="1"/>
  <c r="G75" i="25" s="1"/>
  <c r="G76" i="25" s="1"/>
  <c r="G77" i="25" s="1"/>
  <c r="G78" i="25" s="1"/>
  <c r="G79" i="25" s="1"/>
  <c r="G80" i="25" s="1"/>
  <c r="G81" i="25" s="1"/>
  <c r="G82" i="25" s="1"/>
  <c r="G83" i="25" s="1"/>
  <c r="G84" i="25" s="1"/>
  <c r="G85" i="25" s="1"/>
  <c r="G86" i="25" s="1"/>
  <c r="G87" i="25" s="1"/>
  <c r="G88" i="25" s="1"/>
  <c r="G89" i="25" s="1"/>
  <c r="G90" i="25" s="1"/>
  <c r="G91" i="25" s="1"/>
  <c r="G92" i="25" s="1"/>
  <c r="G93" i="25" s="1"/>
  <c r="G94" i="25" s="1"/>
  <c r="G95" i="25" s="1"/>
  <c r="G96" i="25" s="1"/>
  <c r="G97" i="25" s="1"/>
  <c r="G98" i="25" s="1"/>
  <c r="G99" i="25" s="1"/>
  <c r="G100" i="25" s="1"/>
  <c r="G101" i="25" s="1"/>
  <c r="G102" i="25" s="1"/>
  <c r="G103" i="25" s="1"/>
  <c r="G104" i="25" s="1"/>
  <c r="G105" i="25" s="1"/>
  <c r="G106" i="25" s="1"/>
  <c r="G107" i="25" s="1"/>
  <c r="G108" i="25" s="1"/>
  <c r="G109" i="25" s="1"/>
  <c r="G110" i="25" s="1"/>
  <c r="G111" i="25" s="1"/>
  <c r="G112" i="25" s="1"/>
  <c r="G113" i="25" s="1"/>
  <c r="G114" i="25" s="1"/>
  <c r="G115" i="25" s="1"/>
  <c r="G116" i="25" s="1"/>
  <c r="G117" i="25" s="1"/>
  <c r="G118" i="25" s="1"/>
  <c r="G119" i="25" s="1"/>
  <c r="G120" i="25" s="1"/>
  <c r="G121" i="25" s="1"/>
  <c r="G122" i="25" s="1"/>
  <c r="G123" i="25" s="1"/>
  <c r="G124" i="25" s="1"/>
  <c r="G125" i="25" s="1"/>
  <c r="G126" i="25" s="1"/>
  <c r="G127" i="25" s="1"/>
  <c r="G128" i="25" s="1"/>
  <c r="G129" i="25" s="1"/>
  <c r="G130" i="25" s="1"/>
  <c r="G69" i="25"/>
  <c r="G68" i="25" s="1"/>
  <c r="G67" i="25" s="1"/>
  <c r="G66" i="25" s="1"/>
  <c r="G65" i="25" s="1"/>
  <c r="G64" i="25" s="1"/>
  <c r="G63" i="25" s="1"/>
  <c r="G62" i="25" s="1"/>
  <c r="G61" i="25" s="1"/>
  <c r="G60" i="25" s="1"/>
  <c r="G59" i="25" s="1"/>
  <c r="G58" i="25" s="1"/>
  <c r="G57" i="25" s="1"/>
  <c r="G56" i="25" s="1"/>
  <c r="G55" i="25" s="1"/>
  <c r="G54" i="25" s="1"/>
  <c r="G53" i="25" s="1"/>
  <c r="G52" i="25" s="1"/>
  <c r="G51" i="25" s="1"/>
  <c r="G50" i="25" s="1"/>
  <c r="G49" i="25" s="1"/>
  <c r="G48" i="25" s="1"/>
  <c r="G47" i="25" s="1"/>
  <c r="G46" i="25" s="1"/>
  <c r="G45" i="25" s="1"/>
  <c r="G44" i="25" s="1"/>
  <c r="G43" i="25" s="1"/>
  <c r="G42" i="25" s="1"/>
  <c r="G41" i="25" s="1"/>
  <c r="G40" i="25" s="1"/>
  <c r="E69" i="23"/>
  <c r="E68" i="23" s="1"/>
  <c r="E67" i="23" s="1"/>
  <c r="E66" i="23" s="1"/>
  <c r="E65" i="23" s="1"/>
  <c r="E64" i="23" s="1"/>
  <c r="E63" i="23" s="1"/>
  <c r="E62" i="23" s="1"/>
  <c r="E61" i="23" s="1"/>
  <c r="E60" i="23" s="1"/>
  <c r="E59" i="23" s="1"/>
  <c r="E58" i="23" s="1"/>
  <c r="E57" i="23" s="1"/>
  <c r="E56" i="23" s="1"/>
  <c r="E55" i="23" s="1"/>
  <c r="E54" i="23" s="1"/>
  <c r="E53" i="23" s="1"/>
  <c r="E52" i="23" s="1"/>
  <c r="E51" i="23" s="1"/>
  <c r="E50" i="23" s="1"/>
  <c r="E49" i="23" s="1"/>
  <c r="E48" i="23" s="1"/>
  <c r="E47" i="23" s="1"/>
  <c r="E46" i="23" s="1"/>
  <c r="E45" i="23" s="1"/>
  <c r="E44" i="23" s="1"/>
  <c r="E43" i="23" s="1"/>
  <c r="E42" i="23" s="1"/>
  <c r="E41" i="23" s="1"/>
  <c r="E40" i="23" s="1"/>
  <c r="O32" i="25"/>
  <c r="S61" i="25"/>
  <c r="S62" i="25" s="1"/>
  <c r="S63" i="25" s="1"/>
  <c r="S64" i="25" s="1"/>
  <c r="S65" i="25" s="1"/>
  <c r="S66" i="25" s="1"/>
  <c r="S67" i="25" s="1"/>
  <c r="S68" i="25" s="1"/>
  <c r="S69" i="25" s="1"/>
  <c r="S70" i="25" s="1"/>
  <c r="S71" i="25" s="1"/>
  <c r="S72" i="25" s="1"/>
  <c r="S73" i="25" s="1"/>
  <c r="S74" i="25" s="1"/>
  <c r="S75" i="25" s="1"/>
  <c r="S76" i="25" s="1"/>
  <c r="S77" i="25" s="1"/>
  <c r="S78" i="25" s="1"/>
  <c r="S79" i="25" s="1"/>
  <c r="S80" i="25" s="1"/>
  <c r="S81" i="25" s="1"/>
  <c r="S82" i="25" s="1"/>
  <c r="S83" i="25" s="1"/>
  <c r="S84" i="25" s="1"/>
  <c r="S85" i="25" s="1"/>
  <c r="S86" i="25" s="1"/>
  <c r="S87" i="25" s="1"/>
  <c r="S88" i="25" s="1"/>
  <c r="S89" i="25" s="1"/>
  <c r="S90" i="25" s="1"/>
  <c r="S91" i="25" s="1"/>
  <c r="S92" i="25" s="1"/>
  <c r="S93" i="25" s="1"/>
  <c r="S94" i="25" s="1"/>
  <c r="S95" i="25" s="1"/>
  <c r="S96" i="25" s="1"/>
  <c r="S97" i="25" s="1"/>
  <c r="S98" i="25" s="1"/>
  <c r="S99" i="25" s="1"/>
  <c r="S100" i="25" s="1"/>
  <c r="S101" i="25" s="1"/>
  <c r="S102" i="25" s="1"/>
  <c r="S103" i="25" s="1"/>
  <c r="S104" i="25" s="1"/>
  <c r="S105" i="25" s="1"/>
  <c r="S106" i="25" s="1"/>
  <c r="S107" i="25" s="1"/>
  <c r="S108" i="25" s="1"/>
  <c r="S109" i="25" s="1"/>
  <c r="S110" i="25" s="1"/>
  <c r="S59" i="25"/>
  <c r="S58" i="25" s="1"/>
  <c r="S57" i="25" s="1"/>
  <c r="S56" i="25" s="1"/>
  <c r="S55" i="25" s="1"/>
  <c r="S54" i="25" s="1"/>
  <c r="S53" i="25" s="1"/>
  <c r="S52" i="25" s="1"/>
  <c r="S51" i="25" s="1"/>
  <c r="S50" i="25" s="1"/>
  <c r="S49" i="25" s="1"/>
  <c r="S48" i="25" s="1"/>
  <c r="S47" i="25" s="1"/>
  <c r="S46" i="25" s="1"/>
  <c r="S45" i="25" s="1"/>
  <c r="S44" i="25" s="1"/>
  <c r="S43" i="25" s="1"/>
  <c r="S42" i="25" s="1"/>
  <c r="S41" i="25" s="1"/>
  <c r="S40" i="25" s="1"/>
  <c r="K71" i="25"/>
  <c r="K72" i="25" s="1"/>
  <c r="K73" i="25" s="1"/>
  <c r="K74" i="25" s="1"/>
  <c r="K75" i="25" s="1"/>
  <c r="K76" i="25" s="1"/>
  <c r="K77" i="25" s="1"/>
  <c r="K78" i="25" s="1"/>
  <c r="K79" i="25" s="1"/>
  <c r="K80" i="25" s="1"/>
  <c r="K81" i="25" s="1"/>
  <c r="K82" i="25" s="1"/>
  <c r="K83" i="25" s="1"/>
  <c r="K84" i="25" s="1"/>
  <c r="K85" i="25" s="1"/>
  <c r="K86" i="25" s="1"/>
  <c r="K87" i="25" s="1"/>
  <c r="K88" i="25" s="1"/>
  <c r="K89" i="25" s="1"/>
  <c r="K90" i="25" s="1"/>
  <c r="K91" i="25" s="1"/>
  <c r="K92" i="25" s="1"/>
  <c r="K93" i="25" s="1"/>
  <c r="K94" i="25" s="1"/>
  <c r="K95" i="25" s="1"/>
  <c r="K96" i="25" s="1"/>
  <c r="K97" i="25" s="1"/>
  <c r="K98" i="25" s="1"/>
  <c r="K99" i="25" s="1"/>
  <c r="K100" i="25" s="1"/>
  <c r="K101" i="25" s="1"/>
  <c r="K102" i="25" s="1"/>
  <c r="K103" i="25" s="1"/>
  <c r="K104" i="25" s="1"/>
  <c r="K105" i="25" s="1"/>
  <c r="K106" i="25" s="1"/>
  <c r="K107" i="25" s="1"/>
  <c r="K108" i="25" s="1"/>
  <c r="K109" i="25" s="1"/>
  <c r="K110" i="25" s="1"/>
  <c r="K111" i="25" s="1"/>
  <c r="K112" i="25" s="1"/>
  <c r="K113" i="25" s="1"/>
  <c r="K114" i="25" s="1"/>
  <c r="K115" i="25" s="1"/>
  <c r="K116" i="25" s="1"/>
  <c r="K117" i="25" s="1"/>
  <c r="K118" i="25" s="1"/>
  <c r="K119" i="25" s="1"/>
  <c r="K120" i="25" s="1"/>
  <c r="K121" i="25" s="1"/>
  <c r="K122" i="25" s="1"/>
  <c r="K123" i="25" s="1"/>
  <c r="K124" i="25" s="1"/>
  <c r="K125" i="25" s="1"/>
  <c r="K126" i="25" s="1"/>
  <c r="K127" i="25" s="1"/>
  <c r="K128" i="25" s="1"/>
  <c r="K129" i="25" s="1"/>
  <c r="K130" i="25" s="1"/>
  <c r="K69" i="25"/>
  <c r="K68" i="25" s="1"/>
  <c r="K67" i="25" s="1"/>
  <c r="K66" i="25" s="1"/>
  <c r="K65" i="25" s="1"/>
  <c r="K64" i="25" s="1"/>
  <c r="K63" i="25" s="1"/>
  <c r="K62" i="25" s="1"/>
  <c r="K61" i="25" s="1"/>
  <c r="K60" i="25" s="1"/>
  <c r="K59" i="25" s="1"/>
  <c r="K58" i="25" s="1"/>
  <c r="K57" i="25" s="1"/>
  <c r="K56" i="25" s="1"/>
  <c r="K55" i="25" s="1"/>
  <c r="K54" i="25" s="1"/>
  <c r="K53" i="25" s="1"/>
  <c r="K52" i="25" s="1"/>
  <c r="K51" i="25" s="1"/>
  <c r="K50" i="25" s="1"/>
  <c r="K49" i="25" s="1"/>
  <c r="K48" i="25" s="1"/>
  <c r="K47" i="25" s="1"/>
  <c r="K46" i="25" s="1"/>
  <c r="K45" i="25" s="1"/>
  <c r="K44" i="25" s="1"/>
  <c r="K43" i="25" s="1"/>
  <c r="K42" i="25" s="1"/>
  <c r="K41" i="25" s="1"/>
  <c r="K40" i="25" s="1"/>
  <c r="B81" i="25"/>
  <c r="B82" i="25" s="1"/>
  <c r="B83" i="25" s="1"/>
  <c r="B84" i="25" s="1"/>
  <c r="B85" i="25" s="1"/>
  <c r="B86" i="25" s="1"/>
  <c r="B87" i="25" s="1"/>
  <c r="B88" i="25" s="1"/>
  <c r="B89" i="25" s="1"/>
  <c r="B90" i="25" s="1"/>
  <c r="B91" i="25" s="1"/>
  <c r="B92" i="25" s="1"/>
  <c r="B93" i="25" s="1"/>
  <c r="B94" i="25" s="1"/>
  <c r="B95" i="25" s="1"/>
  <c r="B96" i="25" s="1"/>
  <c r="B97" i="25" s="1"/>
  <c r="B98" i="25" s="1"/>
  <c r="B99" i="25" s="1"/>
  <c r="B100" i="25" s="1"/>
  <c r="B101" i="25" s="1"/>
  <c r="B102" i="25" s="1"/>
  <c r="B103" i="25" s="1"/>
  <c r="B104" i="25" s="1"/>
  <c r="B105" i="25" s="1"/>
  <c r="B106" i="25" s="1"/>
  <c r="B107" i="25" s="1"/>
  <c r="B108" i="25" s="1"/>
  <c r="B109" i="25" s="1"/>
  <c r="B110" i="25" s="1"/>
  <c r="B111" i="25" s="1"/>
  <c r="B112" i="25" s="1"/>
  <c r="B113" i="25" s="1"/>
  <c r="B114" i="25" s="1"/>
  <c r="B115" i="25" s="1"/>
  <c r="B116" i="25" s="1"/>
  <c r="B117" i="25" s="1"/>
  <c r="B118" i="25" s="1"/>
  <c r="B119" i="25" s="1"/>
  <c r="B120" i="25" s="1"/>
  <c r="B121" i="25" s="1"/>
  <c r="B122" i="25" s="1"/>
  <c r="B123" i="25" s="1"/>
  <c r="B124" i="25" s="1"/>
  <c r="B125" i="25" s="1"/>
  <c r="B126" i="25" s="1"/>
  <c r="B127" i="25" s="1"/>
  <c r="B128" i="25" s="1"/>
  <c r="B129" i="25" s="1"/>
  <c r="B130" i="25" s="1"/>
  <c r="B79" i="25"/>
  <c r="B78" i="25" s="1"/>
  <c r="B77" i="25" s="1"/>
  <c r="B76" i="25" s="1"/>
  <c r="B75" i="25" s="1"/>
  <c r="B74" i="25" s="1"/>
  <c r="B73" i="25" s="1"/>
  <c r="B72" i="25" s="1"/>
  <c r="B71" i="25" s="1"/>
  <c r="B70" i="25" s="1"/>
  <c r="B69" i="25" s="1"/>
  <c r="B68" i="25" s="1"/>
  <c r="B67" i="25" s="1"/>
  <c r="B66" i="25" s="1"/>
  <c r="B65" i="25" s="1"/>
  <c r="B64" i="25" s="1"/>
  <c r="B63" i="25" s="1"/>
  <c r="B62" i="25" s="1"/>
  <c r="B61" i="25" s="1"/>
  <c r="B60" i="25" s="1"/>
  <c r="B59" i="25" s="1"/>
  <c r="B58" i="25" s="1"/>
  <c r="B57" i="25" s="1"/>
  <c r="B56" i="25" s="1"/>
  <c r="B55" i="25" s="1"/>
  <c r="B54" i="25" s="1"/>
  <c r="B53" i="25" s="1"/>
  <c r="B52" i="25" s="1"/>
  <c r="B51" i="25" s="1"/>
  <c r="B50" i="25" s="1"/>
  <c r="B49" i="25" s="1"/>
  <c r="B48" i="25" s="1"/>
  <c r="B47" i="25" s="1"/>
  <c r="B46" i="25" s="1"/>
  <c r="B45" i="25" s="1"/>
  <c r="B44" i="25" s="1"/>
  <c r="B43" i="25" s="1"/>
  <c r="B42" i="25" s="1"/>
  <c r="B41" i="25" s="1"/>
  <c r="B40" i="25" s="1"/>
  <c r="R61" i="25"/>
  <c r="R62" i="25" s="1"/>
  <c r="R63" i="25" s="1"/>
  <c r="R64" i="25" s="1"/>
  <c r="R65" i="25" s="1"/>
  <c r="R66" i="25" s="1"/>
  <c r="R67" i="25" s="1"/>
  <c r="R68" i="25" s="1"/>
  <c r="R69" i="25" s="1"/>
  <c r="R70" i="25" s="1"/>
  <c r="R71" i="25" s="1"/>
  <c r="R72" i="25" s="1"/>
  <c r="R73" i="25" s="1"/>
  <c r="R74" i="25" s="1"/>
  <c r="R75" i="25" s="1"/>
  <c r="R76" i="25" s="1"/>
  <c r="R77" i="25" s="1"/>
  <c r="R78" i="25" s="1"/>
  <c r="R79" i="25" s="1"/>
  <c r="R80" i="25" s="1"/>
  <c r="R81" i="25" s="1"/>
  <c r="R82" i="25" s="1"/>
  <c r="R83" i="25" s="1"/>
  <c r="R84" i="25" s="1"/>
  <c r="R85" i="25" s="1"/>
  <c r="R86" i="25" s="1"/>
  <c r="R87" i="25" s="1"/>
  <c r="R88" i="25" s="1"/>
  <c r="R89" i="25" s="1"/>
  <c r="R90" i="25" s="1"/>
  <c r="R91" i="25" s="1"/>
  <c r="R92" i="25" s="1"/>
  <c r="R93" i="25" s="1"/>
  <c r="R94" i="25" s="1"/>
  <c r="R95" i="25" s="1"/>
  <c r="R96" i="25" s="1"/>
  <c r="R97" i="25" s="1"/>
  <c r="R98" i="25" s="1"/>
  <c r="R99" i="25" s="1"/>
  <c r="R100" i="25" s="1"/>
  <c r="R101" i="25" s="1"/>
  <c r="R102" i="25" s="1"/>
  <c r="R103" i="25" s="1"/>
  <c r="R104" i="25" s="1"/>
  <c r="R105" i="25" s="1"/>
  <c r="R106" i="25" s="1"/>
  <c r="R107" i="25" s="1"/>
  <c r="R108" i="25" s="1"/>
  <c r="R109" i="25" s="1"/>
  <c r="R110" i="25" s="1"/>
  <c r="R59" i="25"/>
  <c r="R58" i="25" s="1"/>
  <c r="R57" i="25" s="1"/>
  <c r="R56" i="25" s="1"/>
  <c r="R55" i="25" s="1"/>
  <c r="R54" i="25" s="1"/>
  <c r="R53" i="25" s="1"/>
  <c r="R52" i="25" s="1"/>
  <c r="R51" i="25" s="1"/>
  <c r="R50" i="25" s="1"/>
  <c r="R49" i="25" s="1"/>
  <c r="R48" i="25" s="1"/>
  <c r="R47" i="25" s="1"/>
  <c r="R46" i="25" s="1"/>
  <c r="R45" i="25" s="1"/>
  <c r="R44" i="25" s="1"/>
  <c r="R43" i="25" s="1"/>
  <c r="R42" i="25" s="1"/>
  <c r="R41" i="25" s="1"/>
  <c r="R40" i="25" s="1"/>
  <c r="N34" i="25"/>
  <c r="X124" i="34" l="1"/>
  <c r="Y124" i="34" s="1"/>
  <c r="X113" i="34"/>
  <c r="Y113" i="34" s="1"/>
  <c r="X117" i="34"/>
  <c r="Y117" i="34" s="1"/>
  <c r="X121" i="34"/>
  <c r="Y121" i="34" s="1"/>
  <c r="X129" i="34"/>
  <c r="Y129" i="34" s="1"/>
  <c r="AW48" i="24"/>
  <c r="AW291" i="24"/>
  <c r="AW37" i="24"/>
  <c r="AW322" i="24"/>
  <c r="AW333" i="24"/>
  <c r="AW75" i="24"/>
  <c r="AW277" i="24"/>
  <c r="AW86" i="24"/>
  <c r="AW126" i="24"/>
  <c r="AW267" i="24"/>
  <c r="AW51" i="24"/>
  <c r="AW36" i="24"/>
  <c r="AW35" i="24" s="1"/>
  <c r="AW85" i="24"/>
  <c r="AW154" i="24"/>
  <c r="AW206" i="24"/>
  <c r="AW44" i="24"/>
  <c r="AW90" i="24"/>
  <c r="AW173" i="24"/>
  <c r="AW293" i="24"/>
  <c r="AW59" i="24"/>
  <c r="AW106" i="24"/>
  <c r="AW170" i="24"/>
  <c r="AW311" i="24"/>
  <c r="AW332" i="24"/>
  <c r="AW39" i="24"/>
  <c r="AW107" i="24"/>
  <c r="AW175" i="24"/>
  <c r="AW287" i="24"/>
  <c r="AW46" i="24"/>
  <c r="AW101" i="24"/>
  <c r="AW174" i="24"/>
  <c r="AW295" i="24"/>
  <c r="AW70" i="24"/>
  <c r="AW127" i="24"/>
  <c r="AW259" i="24"/>
  <c r="AW43" i="24"/>
  <c r="AW138" i="24"/>
  <c r="AW63" i="24"/>
  <c r="AW183" i="24"/>
  <c r="AW55" i="24"/>
  <c r="AW193" i="24"/>
  <c r="AW91" i="24"/>
  <c r="AW285" i="24"/>
  <c r="AW125" i="24"/>
  <c r="AW142" i="24"/>
  <c r="AW38" i="24"/>
  <c r="AW143" i="24"/>
  <c r="AW325" i="24"/>
  <c r="AW158" i="24"/>
  <c r="AW159" i="24"/>
  <c r="AW185" i="24"/>
  <c r="AW232" i="24"/>
  <c r="AW297" i="24"/>
  <c r="AW141" i="24"/>
  <c r="AW122" i="24"/>
  <c r="AW157" i="24"/>
  <c r="AW210" i="24"/>
  <c r="AW40" i="24"/>
  <c r="AW301" i="24"/>
  <c r="AW205" i="24"/>
  <c r="AW83" i="24"/>
  <c r="AW109" i="24"/>
  <c r="AW114" i="24"/>
  <c r="AW116" i="24"/>
  <c r="AW118" i="24"/>
  <c r="AW137" i="24"/>
  <c r="AW201" i="24"/>
  <c r="AW209" i="24"/>
  <c r="AW281" i="24"/>
  <c r="AW52" i="24"/>
  <c r="AW251" i="24"/>
  <c r="AW74" i="24"/>
  <c r="AW102" i="24"/>
  <c r="AW268" i="24"/>
  <c r="AW66" i="24"/>
  <c r="AW99" i="24"/>
  <c r="AW129" i="24"/>
  <c r="AW134" i="24"/>
  <c r="AW153" i="24"/>
  <c r="AW207" i="24"/>
  <c r="AW56" i="24"/>
  <c r="AW78" i="24"/>
  <c r="AW94" i="24"/>
  <c r="AW110" i="24"/>
  <c r="AW199" i="24"/>
  <c r="AW216" i="24"/>
  <c r="AW69" i="24"/>
  <c r="AW67" i="24"/>
  <c r="AW161" i="24"/>
  <c r="AW166" i="24"/>
  <c r="AW60" i="24"/>
  <c r="AW181" i="24"/>
  <c r="AW146" i="24"/>
  <c r="AW324" i="24"/>
  <c r="AW315" i="24"/>
  <c r="AW77" i="24"/>
  <c r="AW82" i="24"/>
  <c r="AW115" i="24"/>
  <c r="AW177" i="24"/>
  <c r="AW162" i="24"/>
  <c r="AW135" i="24"/>
  <c r="AW167" i="24"/>
  <c r="AW263" i="24"/>
  <c r="AW93" i="24"/>
  <c r="AW121" i="24"/>
  <c r="AW169" i="24"/>
  <c r="AW197" i="24"/>
  <c r="AW151" i="24"/>
  <c r="AW273" i="24"/>
  <c r="AW186" i="24"/>
  <c r="AW248" i="24"/>
  <c r="AW264" i="24"/>
  <c r="AW274" i="24"/>
  <c r="AW313" i="24"/>
  <c r="AW286" i="24"/>
  <c r="AW294" i="24"/>
  <c r="AW302" i="24"/>
  <c r="AW306" i="24"/>
  <c r="AW314" i="24"/>
  <c r="AW317" i="24"/>
  <c r="AW323" i="24"/>
  <c r="AW145" i="24"/>
  <c r="AW271" i="24"/>
  <c r="AW178" i="24"/>
  <c r="AW252" i="24"/>
  <c r="AW305" i="24"/>
  <c r="AW278" i="24"/>
  <c r="AW309" i="24"/>
  <c r="AW312" i="24"/>
  <c r="AW328" i="24"/>
  <c r="AW45" i="24"/>
  <c r="AW150" i="24"/>
  <c r="AW240" i="24"/>
  <c r="AW224" i="24"/>
  <c r="AW255" i="24"/>
  <c r="AW194" i="24"/>
  <c r="AW256" i="24"/>
  <c r="AW308" i="24"/>
  <c r="AW330" i="24"/>
  <c r="AW320" i="24"/>
  <c r="AW98" i="24"/>
  <c r="AW247" i="24"/>
  <c r="AW202" i="24"/>
  <c r="AW289" i="24"/>
  <c r="AW307" i="24"/>
  <c r="AW298" i="24"/>
  <c r="AW331" i="24"/>
  <c r="AW119" i="24"/>
  <c r="AW303" i="24"/>
  <c r="AW64" i="24"/>
  <c r="AW290" i="24"/>
  <c r="AW130" i="24"/>
  <c r="AW329" i="24"/>
  <c r="AW191" i="24"/>
  <c r="AW299" i="24"/>
  <c r="AW260" i="24"/>
  <c r="AW283" i="24"/>
  <c r="AW321" i="24"/>
  <c r="AX10" i="24"/>
  <c r="BC38" i="24" s="1"/>
  <c r="BF38" i="24" s="1"/>
  <c r="AW282" i="24"/>
  <c r="AW334" i="24"/>
  <c r="AW238" i="24"/>
  <c r="AW280" i="24"/>
  <c r="AW250" i="24"/>
  <c r="AW68" i="24"/>
  <c r="AW120" i="24"/>
  <c r="AW217" i="24"/>
  <c r="AW180" i="24"/>
  <c r="AW112" i="24"/>
  <c r="AW53" i="24"/>
  <c r="AW310" i="24"/>
  <c r="AW245" i="24"/>
  <c r="AW284" i="24"/>
  <c r="AW262" i="24"/>
  <c r="AW192" i="24"/>
  <c r="AW76" i="24"/>
  <c r="AW96" i="24"/>
  <c r="AW327" i="24"/>
  <c r="AW213" i="24"/>
  <c r="AW171" i="24"/>
  <c r="AW253" i="24"/>
  <c r="AW144" i="24"/>
  <c r="AW163" i="24"/>
  <c r="AW227" i="24"/>
  <c r="AW189" i="24"/>
  <c r="AW204" i="24"/>
  <c r="AW218" i="24"/>
  <c r="AW61" i="24"/>
  <c r="AW104" i="24"/>
  <c r="AW88" i="24"/>
  <c r="AW124" i="24"/>
  <c r="AW231" i="24"/>
  <c r="AW288" i="24"/>
  <c r="AW296" i="24"/>
  <c r="AW249" i="24"/>
  <c r="AW92" i="24"/>
  <c r="AW132" i="24"/>
  <c r="AW244" i="24"/>
  <c r="AW212" i="24"/>
  <c r="AW81" i="24"/>
  <c r="AW219" i="24"/>
  <c r="AW276" i="24"/>
  <c r="AW265" i="24"/>
  <c r="AW198" i="24"/>
  <c r="AW257" i="24"/>
  <c r="AW160" i="24"/>
  <c r="AW237" i="24"/>
  <c r="AW117" i="24"/>
  <c r="AW111" i="24"/>
  <c r="AW65" i="24"/>
  <c r="AW42" i="24"/>
  <c r="AW279" i="24"/>
  <c r="AW215" i="24"/>
  <c r="AW200" i="24"/>
  <c r="AW230" i="24"/>
  <c r="AW203" i="24"/>
  <c r="AW241" i="24"/>
  <c r="AW84" i="24"/>
  <c r="AW221" i="24"/>
  <c r="AW79" i="24"/>
  <c r="AW62" i="24"/>
  <c r="AW80" i="24"/>
  <c r="AW234" i="24"/>
  <c r="AW50" i="24"/>
  <c r="AW179" i="24"/>
  <c r="AW123" i="24"/>
  <c r="AW156" i="24"/>
  <c r="AW220" i="24"/>
  <c r="AW214" i="24"/>
  <c r="AW211" i="24"/>
  <c r="AW188" i="24"/>
  <c r="AW57" i="24"/>
  <c r="AW300" i="24"/>
  <c r="AW246" i="24"/>
  <c r="AW168" i="24"/>
  <c r="AW223" i="24"/>
  <c r="AW89" i="24"/>
  <c r="AW270" i="24"/>
  <c r="AW149" i="24"/>
  <c r="AW196" i="24"/>
  <c r="AW172" i="24"/>
  <c r="AW243" i="24"/>
  <c r="AW242" i="24"/>
  <c r="AW235" i="24"/>
  <c r="AW195" i="24"/>
  <c r="AW164" i="24"/>
  <c r="AW222" i="24"/>
  <c r="AW139" i="24"/>
  <c r="AW318" i="24"/>
  <c r="AW269" i="24"/>
  <c r="AW182" i="24"/>
  <c r="AW208" i="24"/>
  <c r="AW97" i="24"/>
  <c r="AW148" i="24"/>
  <c r="AW190" i="24"/>
  <c r="AW261" i="24"/>
  <c r="AW100" i="24"/>
  <c r="AW319" i="24"/>
  <c r="AW152" i="24"/>
  <c r="AW275" i="24"/>
  <c r="AW266" i="24"/>
  <c r="AW239" i="24"/>
  <c r="AW108" i="24"/>
  <c r="AW236" i="24"/>
  <c r="AW140" i="24"/>
  <c r="AW176" i="24"/>
  <c r="AW113" i="24"/>
  <c r="AW58" i="24"/>
  <c r="AW131" i="24"/>
  <c r="AW326" i="24"/>
  <c r="AW71" i="24"/>
  <c r="AW187" i="24"/>
  <c r="AW103" i="24"/>
  <c r="AW228" i="24"/>
  <c r="AW54" i="24"/>
  <c r="AW155" i="24"/>
  <c r="AW47" i="24"/>
  <c r="AW41" i="24"/>
  <c r="AW73" i="24"/>
  <c r="AW316" i="24"/>
  <c r="AW304" i="24"/>
  <c r="AW272" i="24"/>
  <c r="AW292" i="24"/>
  <c r="AW258" i="24"/>
  <c r="AW136" i="24"/>
  <c r="AW233" i="24"/>
  <c r="AW147" i="24"/>
  <c r="AW72" i="24"/>
  <c r="AW87" i="24"/>
  <c r="AW184" i="24"/>
  <c r="AW105" i="24"/>
  <c r="AW229" i="24"/>
  <c r="AW254" i="24"/>
  <c r="AW128" i="24"/>
  <c r="AW165" i="24"/>
  <c r="AW226" i="24"/>
  <c r="AW335" i="24"/>
  <c r="AW133" i="24"/>
  <c r="AW49" i="24"/>
  <c r="AW95" i="24"/>
  <c r="AW225" i="24"/>
  <c r="BU175" i="24"/>
  <c r="BU61" i="24"/>
  <c r="BU207" i="24"/>
  <c r="BU291" i="24"/>
  <c r="BU53" i="24"/>
  <c r="BU57" i="24"/>
  <c r="BU47" i="24"/>
  <c r="BU73" i="24"/>
  <c r="BU89" i="24"/>
  <c r="BU48" i="24"/>
  <c r="BU72" i="24"/>
  <c r="BU88" i="24"/>
  <c r="BU179" i="24"/>
  <c r="BU68" i="24"/>
  <c r="BU120" i="24"/>
  <c r="BU265" i="24"/>
  <c r="BU125" i="24"/>
  <c r="BU140" i="24"/>
  <c r="BU191" i="24"/>
  <c r="BU272" i="24"/>
  <c r="BU309" i="24"/>
  <c r="BU317" i="24"/>
  <c r="BU271" i="24"/>
  <c r="BU97" i="24"/>
  <c r="BU127" i="24"/>
  <c r="BU132" i="24"/>
  <c r="BU151" i="24"/>
  <c r="BU188" i="24"/>
  <c r="BU222" i="24"/>
  <c r="BU281" i="24"/>
  <c r="BU104" i="24"/>
  <c r="BU141" i="24"/>
  <c r="BU172" i="24"/>
  <c r="BU189" i="24"/>
  <c r="BU84" i="24"/>
  <c r="BU50" i="24"/>
  <c r="BU42" i="24"/>
  <c r="BU156" i="24"/>
  <c r="BU199" i="24"/>
  <c r="BU314" i="24"/>
  <c r="BU123" i="24"/>
  <c r="BU155" i="24"/>
  <c r="BU328" i="24"/>
  <c r="BU75" i="24"/>
  <c r="BU80" i="24"/>
  <c r="BU113" i="24"/>
  <c r="BU143" i="24"/>
  <c r="BU148" i="24"/>
  <c r="BU301" i="24"/>
  <c r="BU67" i="24"/>
  <c r="BU115" i="24"/>
  <c r="BU183" i="24"/>
  <c r="BU197" i="24"/>
  <c r="BU285" i="24"/>
  <c r="BU36" i="24"/>
  <c r="BU136" i="24"/>
  <c r="BU168" i="24"/>
  <c r="BU299" i="24"/>
  <c r="BU54" i="24"/>
  <c r="BU76" i="24"/>
  <c r="BU92" i="24"/>
  <c r="BU108" i="24"/>
  <c r="BU195" i="24"/>
  <c r="BU128" i="24"/>
  <c r="BU181" i="24"/>
  <c r="BU230" i="24"/>
  <c r="BU43" i="24"/>
  <c r="BU81" i="24"/>
  <c r="BU83" i="24"/>
  <c r="BU91" i="24"/>
  <c r="BU96" i="24"/>
  <c r="BU119" i="24"/>
  <c r="BU167" i="24"/>
  <c r="BU335" i="24"/>
  <c r="BU157" i="24"/>
  <c r="BU214" i="24"/>
  <c r="BU334" i="24"/>
  <c r="BU58" i="24"/>
  <c r="BU249" i="24"/>
  <c r="BU144" i="24"/>
  <c r="BU117" i="24"/>
  <c r="BU149" i="24"/>
  <c r="BU245" i="24"/>
  <c r="BU139" i="24"/>
  <c r="BU112" i="24"/>
  <c r="BU306" i="24"/>
  <c r="BU100" i="24"/>
  <c r="BU305" i="24"/>
  <c r="BU165" i="24"/>
  <c r="BU238" i="24"/>
  <c r="BU200" i="24"/>
  <c r="BU269" i="24"/>
  <c r="BU297" i="24"/>
  <c r="BU246" i="24"/>
  <c r="BU262" i="24"/>
  <c r="BU284" i="24"/>
  <c r="BU292" i="24"/>
  <c r="BU300" i="24"/>
  <c r="BU320" i="24"/>
  <c r="BU331" i="24"/>
  <c r="BU323" i="24"/>
  <c r="BU321" i="24"/>
  <c r="BU327" i="24"/>
  <c r="BU171" i="24"/>
  <c r="BU164" i="24"/>
  <c r="BU44" i="24"/>
  <c r="BU289" i="24"/>
  <c r="BU253" i="24"/>
  <c r="BU192" i="24"/>
  <c r="BU275" i="24"/>
  <c r="BU250" i="24"/>
  <c r="BU266" i="24"/>
  <c r="BU276" i="24"/>
  <c r="BU283" i="24"/>
  <c r="BU310" i="24"/>
  <c r="BU326" i="24"/>
  <c r="BU319" i="24"/>
  <c r="BV10" i="24"/>
  <c r="CA38" i="24" s="1"/>
  <c r="CD38" i="24" s="1"/>
  <c r="BU133" i="24"/>
  <c r="BU208" i="24"/>
  <c r="BU287" i="24"/>
  <c r="BU288" i="24"/>
  <c r="BU315" i="24"/>
  <c r="BU41" i="24"/>
  <c r="BU46" i="24"/>
  <c r="BU116" i="24"/>
  <c r="BU135" i="24"/>
  <c r="BU257" i="24"/>
  <c r="BU105" i="24"/>
  <c r="BU124" i="24"/>
  <c r="BU293" i="24"/>
  <c r="BU62" i="24"/>
  <c r="BU258" i="24"/>
  <c r="BU303" i="24"/>
  <c r="BU99" i="24"/>
  <c r="BU152" i="24"/>
  <c r="BU65" i="24"/>
  <c r="BU159" i="24"/>
  <c r="BU187" i="24"/>
  <c r="BU173" i="24"/>
  <c r="BU295" i="24"/>
  <c r="BU45" i="24"/>
  <c r="BU160" i="24"/>
  <c r="BU304" i="24"/>
  <c r="BU307" i="24"/>
  <c r="BU322" i="24"/>
  <c r="BU329" i="24"/>
  <c r="BU261" i="24"/>
  <c r="BU296" i="24"/>
  <c r="BU330" i="24"/>
  <c r="BU318" i="24"/>
  <c r="BU280" i="24"/>
  <c r="BU176" i="24"/>
  <c r="BU205" i="24"/>
  <c r="BU107" i="24"/>
  <c r="BU184" i="24"/>
  <c r="BU279" i="24"/>
  <c r="BU254" i="24"/>
  <c r="BU134" i="24"/>
  <c r="BU70" i="24"/>
  <c r="BU82" i="24"/>
  <c r="BU252" i="24"/>
  <c r="BU161" i="24"/>
  <c r="BU332" i="24"/>
  <c r="BU286" i="24"/>
  <c r="BU278" i="24"/>
  <c r="BU259" i="24"/>
  <c r="BU218" i="24"/>
  <c r="BU298" i="24"/>
  <c r="BU221" i="24"/>
  <c r="BU206" i="24"/>
  <c r="BU90" i="24"/>
  <c r="BU268" i="24"/>
  <c r="BU204" i="24"/>
  <c r="BU311" i="24"/>
  <c r="BU270" i="24"/>
  <c r="BU118" i="24"/>
  <c r="BU147" i="24"/>
  <c r="BU103" i="24"/>
  <c r="BU158" i="24"/>
  <c r="BU243" i="24"/>
  <c r="BU177" i="24"/>
  <c r="BU212" i="24"/>
  <c r="BU146" i="24"/>
  <c r="BU111" i="24"/>
  <c r="BU121" i="24"/>
  <c r="BU109" i="24"/>
  <c r="BU217" i="24"/>
  <c r="BU130" i="24"/>
  <c r="BU232" i="24"/>
  <c r="BU153" i="24"/>
  <c r="BU37" i="24"/>
  <c r="BU85" i="24"/>
  <c r="BU170" i="24"/>
  <c r="BU137" i="24"/>
  <c r="BU209" i="24"/>
  <c r="BU38" i="24"/>
  <c r="BU49" i="24"/>
  <c r="BU69" i="24"/>
  <c r="BU302" i="24"/>
  <c r="BU274" i="24"/>
  <c r="BU114" i="24"/>
  <c r="BU263" i="24"/>
  <c r="BU106" i="24"/>
  <c r="BU273" i="24"/>
  <c r="BU248" i="24"/>
  <c r="BU220" i="24"/>
  <c r="BU313" i="24"/>
  <c r="BU241" i="24"/>
  <c r="BU290" i="24"/>
  <c r="BU174" i="24"/>
  <c r="BU186" i="24"/>
  <c r="BU308" i="24"/>
  <c r="BU312" i="24"/>
  <c r="BU256" i="24"/>
  <c r="BU229" i="24"/>
  <c r="BU226" i="24"/>
  <c r="BU193" i="24"/>
  <c r="BU126" i="24"/>
  <c r="BU224" i="24"/>
  <c r="BU98" i="24"/>
  <c r="BU235" i="24"/>
  <c r="BU51" i="24"/>
  <c r="BU55" i="24"/>
  <c r="BU240" i="24"/>
  <c r="BU71" i="24"/>
  <c r="BU239" i="24"/>
  <c r="BU234" i="24"/>
  <c r="BU203" i="24"/>
  <c r="BU194" i="24"/>
  <c r="BU86" i="24"/>
  <c r="BU198" i="24"/>
  <c r="BU231" i="24"/>
  <c r="BU325" i="24"/>
  <c r="BU74" i="24"/>
  <c r="BU162" i="24"/>
  <c r="BU316" i="24"/>
  <c r="BU163" i="24"/>
  <c r="BU324" i="24"/>
  <c r="BU294" i="24"/>
  <c r="BU260" i="24"/>
  <c r="BU142" i="24"/>
  <c r="BU223" i="24"/>
  <c r="BU110" i="24"/>
  <c r="BU251" i="24"/>
  <c r="BU244" i="24"/>
  <c r="BU196" i="24"/>
  <c r="BU56" i="24"/>
  <c r="BU210" i="24"/>
  <c r="BU60" i="24"/>
  <c r="BU131" i="24"/>
  <c r="BU190" i="24"/>
  <c r="BU185" i="24"/>
  <c r="BU227" i="24"/>
  <c r="BU101" i="24"/>
  <c r="BU213" i="24"/>
  <c r="BU201" i="24"/>
  <c r="BU219" i="24"/>
  <c r="BU77" i="24"/>
  <c r="BU39" i="24"/>
  <c r="BU333" i="24"/>
  <c r="BU282" i="24"/>
  <c r="BU237" i="24"/>
  <c r="BU66" i="24"/>
  <c r="BU178" i="24"/>
  <c r="BU52" i="24"/>
  <c r="BU95" i="24"/>
  <c r="BU247" i="24"/>
  <c r="BU255" i="24"/>
  <c r="BU216" i="24"/>
  <c r="BU79" i="24"/>
  <c r="BU277" i="24"/>
  <c r="BU150" i="24"/>
  <c r="BU129" i="24"/>
  <c r="BU93" i="24"/>
  <c r="BU236" i="24"/>
  <c r="BU94" i="24"/>
  <c r="BU180" i="24"/>
  <c r="BU233" i="24"/>
  <c r="BU102" i="24"/>
  <c r="BU122" i="24"/>
  <c r="BU87" i="24"/>
  <c r="BU228" i="24"/>
  <c r="BU215" i="24"/>
  <c r="BU59" i="24"/>
  <c r="BU63" i="24"/>
  <c r="BU166" i="24"/>
  <c r="BU225" i="24"/>
  <c r="BU154" i="24"/>
  <c r="BU145" i="24"/>
  <c r="BU242" i="24"/>
  <c r="BU64" i="24"/>
  <c r="BU264" i="24"/>
  <c r="BU267" i="24"/>
  <c r="BU182" i="24"/>
  <c r="BU78" i="24"/>
  <c r="BU211" i="24"/>
  <c r="BU40" i="24"/>
  <c r="BU202" i="24"/>
  <c r="BU169" i="24"/>
  <c r="BU138" i="24"/>
  <c r="CS97" i="24"/>
  <c r="CS81" i="24"/>
  <c r="CS65" i="24"/>
  <c r="CS115" i="24"/>
  <c r="CS307" i="24"/>
  <c r="CS155" i="24"/>
  <c r="CS45" i="24"/>
  <c r="CS329" i="24"/>
  <c r="CS122" i="24"/>
  <c r="CS193" i="24"/>
  <c r="CS46" i="24"/>
  <c r="CS103" i="24"/>
  <c r="CS36" i="24"/>
  <c r="CS35" i="24" s="1"/>
  <c r="CS113" i="24"/>
  <c r="CS228" i="24"/>
  <c r="CS70" i="24"/>
  <c r="CS55" i="24"/>
  <c r="CS255" i="24"/>
  <c r="CS197" i="24"/>
  <c r="CS51" i="24"/>
  <c r="CS139" i="24"/>
  <c r="CS37" i="24"/>
  <c r="CS138" i="24"/>
  <c r="CS283" i="24"/>
  <c r="CS86" i="24"/>
  <c r="CS123" i="24"/>
  <c r="CS277" i="24"/>
  <c r="CS318" i="24"/>
  <c r="CS71" i="24"/>
  <c r="CS39" i="24"/>
  <c r="CS289" i="24"/>
  <c r="CS154" i="24"/>
  <c r="CS328" i="24"/>
  <c r="CS291" i="24"/>
  <c r="CS203" i="24"/>
  <c r="CS189" i="24"/>
  <c r="CS305" i="24"/>
  <c r="CS59" i="24"/>
  <c r="CS205" i="24"/>
  <c r="CS303" i="24"/>
  <c r="CS170" i="24"/>
  <c r="CS102" i="24"/>
  <c r="CS150" i="24"/>
  <c r="CS166" i="24"/>
  <c r="CS177" i="24"/>
  <c r="CS201" i="24"/>
  <c r="CS293" i="24"/>
  <c r="CS40" i="24"/>
  <c r="CS73" i="24"/>
  <c r="CS78" i="24"/>
  <c r="CS111" i="24"/>
  <c r="CS141" i="24"/>
  <c r="CS146" i="24"/>
  <c r="CS165" i="24"/>
  <c r="CS179" i="24"/>
  <c r="CS181" i="24"/>
  <c r="CS236" i="24"/>
  <c r="CS38" i="24"/>
  <c r="CS47" i="24"/>
  <c r="CS66" i="24"/>
  <c r="CS82" i="24"/>
  <c r="CS137" i="24"/>
  <c r="CS153" i="24"/>
  <c r="CS43" i="24"/>
  <c r="CS48" i="24"/>
  <c r="CS297" i="24"/>
  <c r="CS89" i="24"/>
  <c r="CS94" i="24"/>
  <c r="CS117" i="24"/>
  <c r="CS157" i="24"/>
  <c r="CS162" i="24"/>
  <c r="CT10" i="24"/>
  <c r="CY38" i="24" s="1"/>
  <c r="DB38" i="24" s="1"/>
  <c r="CS52" i="24"/>
  <c r="CS74" i="24"/>
  <c r="CS90" i="24"/>
  <c r="CS106" i="24"/>
  <c r="CS267" i="24"/>
  <c r="CS142" i="24"/>
  <c r="CS114" i="24"/>
  <c r="CS121" i="24"/>
  <c r="CS320" i="24"/>
  <c r="CS334" i="24"/>
  <c r="CS269" i="24"/>
  <c r="CS95" i="24"/>
  <c r="CS202" i="24"/>
  <c r="CS263" i="24"/>
  <c r="CS174" i="24"/>
  <c r="CS169" i="24"/>
  <c r="CS321" i="24"/>
  <c r="CS44" i="24"/>
  <c r="CS105" i="24"/>
  <c r="CS110" i="24"/>
  <c r="CS133" i="24"/>
  <c r="CS273" i="24"/>
  <c r="CS131" i="24"/>
  <c r="CS163" i="24"/>
  <c r="CS220" i="24"/>
  <c r="CS259" i="24"/>
  <c r="CS87" i="24"/>
  <c r="CS98" i="24"/>
  <c r="CS63" i="24"/>
  <c r="CS130" i="24"/>
  <c r="CS149" i="24"/>
  <c r="CS126" i="24"/>
  <c r="CS212" i="24"/>
  <c r="CS270" i="24"/>
  <c r="CS182" i="24"/>
  <c r="CS260" i="24"/>
  <c r="CS285" i="24"/>
  <c r="CS308" i="24"/>
  <c r="CS282" i="24"/>
  <c r="CS290" i="24"/>
  <c r="CS298" i="24"/>
  <c r="CS313" i="24"/>
  <c r="CS326" i="24"/>
  <c r="CS319" i="24"/>
  <c r="CS299" i="24"/>
  <c r="CS79" i="24"/>
  <c r="CS56" i="24"/>
  <c r="CS60" i="24"/>
  <c r="CS158" i="24"/>
  <c r="CS206" i="24"/>
  <c r="CS295" i="24"/>
  <c r="CS248" i="24"/>
  <c r="CS264" i="24"/>
  <c r="CS274" i="24"/>
  <c r="CS312" i="24"/>
  <c r="CS316" i="24"/>
  <c r="CS324" i="24"/>
  <c r="CS333" i="24"/>
  <c r="CS171" i="24"/>
  <c r="CS247" i="24"/>
  <c r="CS252" i="24"/>
  <c r="CS301" i="24"/>
  <c r="CS302" i="24"/>
  <c r="CS317" i="24"/>
  <c r="CS118" i="24"/>
  <c r="CS173" i="24"/>
  <c r="CS244" i="24"/>
  <c r="CS278" i="24"/>
  <c r="CS294" i="24"/>
  <c r="CS327" i="24"/>
  <c r="CS325" i="24"/>
  <c r="CS195" i="24"/>
  <c r="CS147" i="24"/>
  <c r="CS134" i="24"/>
  <c r="CS287" i="24"/>
  <c r="CS198" i="24"/>
  <c r="CS332" i="24"/>
  <c r="CS190" i="24"/>
  <c r="CS315" i="24"/>
  <c r="CS187" i="24"/>
  <c r="CS251" i="24"/>
  <c r="CS311" i="24"/>
  <c r="CS256" i="24"/>
  <c r="CS125" i="24"/>
  <c r="CS281" i="24"/>
  <c r="CS286" i="24"/>
  <c r="CS226" i="24"/>
  <c r="CS101" i="24"/>
  <c r="CS148" i="24"/>
  <c r="CS292" i="24"/>
  <c r="CS58" i="24"/>
  <c r="CS284" i="24"/>
  <c r="CS266" i="24"/>
  <c r="CS192" i="24"/>
  <c r="CS199" i="24"/>
  <c r="CS300" i="24"/>
  <c r="CS250" i="24"/>
  <c r="CS143" i="24"/>
  <c r="CS91" i="24"/>
  <c r="CS168" i="24"/>
  <c r="CS268" i="24"/>
  <c r="CS258" i="24"/>
  <c r="CS235" i="24"/>
  <c r="CS240" i="24"/>
  <c r="CS104" i="24"/>
  <c r="CS75" i="24"/>
  <c r="CS280" i="24"/>
  <c r="CS249" i="24"/>
  <c r="CS132" i="24"/>
  <c r="CS239" i="24"/>
  <c r="CS232" i="24"/>
  <c r="CS127" i="24"/>
  <c r="CS54" i="24"/>
  <c r="CS172" i="24"/>
  <c r="CS191" i="24"/>
  <c r="CS128" i="24"/>
  <c r="CS92" i="24"/>
  <c r="CS85" i="24"/>
  <c r="CS218" i="24"/>
  <c r="CS50" i="24"/>
  <c r="CS225" i="24"/>
  <c r="CS144" i="24"/>
  <c r="CS57" i="24"/>
  <c r="CS323" i="24"/>
  <c r="CS216" i="24"/>
  <c r="CS41" i="24"/>
  <c r="CS100" i="24"/>
  <c r="CS136" i="24"/>
  <c r="CS223" i="24"/>
  <c r="CS42" i="24"/>
  <c r="CS185" i="24"/>
  <c r="CS183" i="24"/>
  <c r="CS213" i="24"/>
  <c r="CS116" i="24"/>
  <c r="CS237" i="24"/>
  <c r="CS262" i="24"/>
  <c r="CS200" i="24"/>
  <c r="CS109" i="24"/>
  <c r="CS184" i="24"/>
  <c r="CS306" i="24"/>
  <c r="CS304" i="24"/>
  <c r="CS253" i="24"/>
  <c r="CS271" i="24"/>
  <c r="CS188" i="24"/>
  <c r="CS145" i="24"/>
  <c r="CS72" i="24"/>
  <c r="CS229" i="24"/>
  <c r="CS160" i="24"/>
  <c r="CS93" i="24"/>
  <c r="CS167" i="24"/>
  <c r="CS275" i="24"/>
  <c r="CS243" i="24"/>
  <c r="CS140" i="24"/>
  <c r="CS112" i="24"/>
  <c r="CS230" i="24"/>
  <c r="CS175" i="24"/>
  <c r="CS107" i="24"/>
  <c r="CS108" i="24"/>
  <c r="CS83" i="24"/>
  <c r="CS214" i="24"/>
  <c r="CS241" i="24"/>
  <c r="CS209" i="24"/>
  <c r="CS69" i="24"/>
  <c r="CS99" i="24"/>
  <c r="CS242" i="24"/>
  <c r="CS210" i="24"/>
  <c r="CS119" i="24"/>
  <c r="CS276" i="24"/>
  <c r="CS246" i="24"/>
  <c r="CS227" i="24"/>
  <c r="CS64" i="24"/>
  <c r="CS272" i="24"/>
  <c r="CS129" i="24"/>
  <c r="CS176" i="24"/>
  <c r="CS310" i="24"/>
  <c r="CS265" i="24"/>
  <c r="CS196" i="24"/>
  <c r="CS161" i="24"/>
  <c r="CS335" i="24"/>
  <c r="CS245" i="24"/>
  <c r="CS233" i="24"/>
  <c r="CS152" i="24"/>
  <c r="CS164" i="24"/>
  <c r="CS238" i="24"/>
  <c r="CS151" i="24"/>
  <c r="CS207" i="24"/>
  <c r="CS53" i="24"/>
  <c r="CS194" i="24"/>
  <c r="CS96" i="24"/>
  <c r="CS88" i="24"/>
  <c r="CS296" i="24"/>
  <c r="CS156" i="24"/>
  <c r="CS221" i="24"/>
  <c r="CS211" i="24"/>
  <c r="CS234" i="24"/>
  <c r="CS331" i="24"/>
  <c r="CS208" i="24"/>
  <c r="CS77" i="24"/>
  <c r="CS231" i="24"/>
  <c r="CS257" i="24"/>
  <c r="CS180" i="24"/>
  <c r="CS76" i="24"/>
  <c r="CS261" i="24"/>
  <c r="CS222" i="24"/>
  <c r="CS288" i="24"/>
  <c r="CS279" i="24"/>
  <c r="CS124" i="24"/>
  <c r="CS314" i="24"/>
  <c r="CS254" i="24"/>
  <c r="CS178" i="24"/>
  <c r="CS204" i="24"/>
  <c r="CS186" i="24"/>
  <c r="CS159" i="24"/>
  <c r="CS62" i="24"/>
  <c r="CS120" i="24"/>
  <c r="CS80" i="24"/>
  <c r="CS217" i="24"/>
  <c r="CS330" i="24"/>
  <c r="CS215" i="24"/>
  <c r="CS309" i="24"/>
  <c r="CS49" i="24"/>
  <c r="CS219" i="24"/>
  <c r="CS322" i="24"/>
  <c r="CS67" i="24"/>
  <c r="CS84" i="24"/>
  <c r="CS61" i="24"/>
  <c r="CS135" i="24"/>
  <c r="CS224" i="24"/>
  <c r="CS68" i="24"/>
  <c r="M229" i="27"/>
  <c r="M300" i="27"/>
  <c r="M62" i="27"/>
  <c r="M94" i="27"/>
  <c r="M60" i="27"/>
  <c r="M49" i="27"/>
  <c r="M108" i="27"/>
  <c r="M58" i="27"/>
  <c r="M88" i="27"/>
  <c r="M44" i="27"/>
  <c r="M104" i="27"/>
  <c r="M52" i="27"/>
  <c r="M78" i="27"/>
  <c r="M116" i="27"/>
  <c r="M124" i="27"/>
  <c r="M132" i="27"/>
  <c r="M151" i="27"/>
  <c r="M64" i="27"/>
  <c r="M72" i="27"/>
  <c r="M45" i="27"/>
  <c r="M82" i="27"/>
  <c r="M90" i="27"/>
  <c r="M70" i="27"/>
  <c r="M106" i="27"/>
  <c r="M55" i="27"/>
  <c r="M80" i="27"/>
  <c r="M118" i="27"/>
  <c r="M126" i="27"/>
  <c r="M147" i="27"/>
  <c r="M142" i="27"/>
  <c r="M272" i="27"/>
  <c r="M140" i="27"/>
  <c r="M256" i="27"/>
  <c r="M275" i="27"/>
  <c r="M152" i="27"/>
  <c r="M241" i="27"/>
  <c r="M266" i="27"/>
  <c r="M231" i="27"/>
  <c r="M340" i="27"/>
  <c r="M332" i="27"/>
  <c r="M324" i="27"/>
  <c r="M316" i="27"/>
  <c r="M308" i="27"/>
  <c r="M249" i="27"/>
  <c r="M237" i="27"/>
  <c r="M221" i="27"/>
  <c r="M213" i="27"/>
  <c r="M205" i="27"/>
  <c r="M197" i="27"/>
  <c r="M189" i="27"/>
  <c r="M181" i="27"/>
  <c r="M173" i="27"/>
  <c r="M165" i="27"/>
  <c r="M47" i="27"/>
  <c r="M48" i="27"/>
  <c r="M92" i="27"/>
  <c r="M46" i="27"/>
  <c r="M112" i="27"/>
  <c r="M128" i="27"/>
  <c r="M68" i="27"/>
  <c r="M102" i="27"/>
  <c r="M86" i="27"/>
  <c r="M100" i="27"/>
  <c r="M76" i="27"/>
  <c r="M122" i="27"/>
  <c r="M235" i="27"/>
  <c r="M134" i="27"/>
  <c r="M259" i="27"/>
  <c r="M262" i="27"/>
  <c r="M278" i="27"/>
  <c r="M250" i="27"/>
  <c r="M336" i="27"/>
  <c r="M326" i="27"/>
  <c r="M314" i="27"/>
  <c r="M304" i="27"/>
  <c r="M252" i="27"/>
  <c r="M219" i="27"/>
  <c r="M209" i="27"/>
  <c r="M199" i="27"/>
  <c r="M187" i="27"/>
  <c r="M177" i="27"/>
  <c r="M167" i="27"/>
  <c r="M271" i="27"/>
  <c r="M245" i="27"/>
  <c r="M261" i="27"/>
  <c r="M246" i="27"/>
  <c r="M265" i="27"/>
  <c r="M279" i="27"/>
  <c r="M160" i="27"/>
  <c r="M168" i="27"/>
  <c r="M176" i="27"/>
  <c r="M184" i="27"/>
  <c r="M192" i="27"/>
  <c r="M200" i="27"/>
  <c r="M208" i="27"/>
  <c r="M216" i="27"/>
  <c r="M224" i="27"/>
  <c r="M50" i="27"/>
  <c r="M56" i="27"/>
  <c r="M51" i="27"/>
  <c r="M130" i="27"/>
  <c r="M155" i="27"/>
  <c r="M254" i="27"/>
  <c r="M338" i="27"/>
  <c r="M322" i="27"/>
  <c r="M310" i="27"/>
  <c r="M253" i="27"/>
  <c r="M217" i="27"/>
  <c r="M203" i="27"/>
  <c r="M191" i="27"/>
  <c r="M175" i="27"/>
  <c r="M161" i="27"/>
  <c r="M110" i="27"/>
  <c r="M145" i="27"/>
  <c r="M157" i="27"/>
  <c r="M277" i="27"/>
  <c r="M156" i="27"/>
  <c r="M166" i="27"/>
  <c r="M178" i="27"/>
  <c r="M188" i="27"/>
  <c r="M198" i="27"/>
  <c r="M210" i="27"/>
  <c r="M220" i="27"/>
  <c r="M258" i="27"/>
  <c r="M269" i="27"/>
  <c r="M98" i="27"/>
  <c r="M96" i="27"/>
  <c r="M120" i="27"/>
  <c r="M141" i="27"/>
  <c r="M276" i="27"/>
  <c r="M248" i="27"/>
  <c r="M149" i="27"/>
  <c r="M240" i="27"/>
  <c r="M342" i="27"/>
  <c r="M328" i="27"/>
  <c r="M312" i="27"/>
  <c r="M233" i="27"/>
  <c r="M223" i="27"/>
  <c r="M207" i="27"/>
  <c r="M193" i="27"/>
  <c r="M179" i="27"/>
  <c r="M163" i="27"/>
  <c r="M234" i="27"/>
  <c r="M264" i="27"/>
  <c r="M154" i="27"/>
  <c r="M164" i="27"/>
  <c r="M174" i="27"/>
  <c r="M186" i="27"/>
  <c r="M196" i="27"/>
  <c r="M206" i="27"/>
  <c r="M218" i="27"/>
  <c r="M242" i="27"/>
  <c r="M268" i="27"/>
  <c r="M66" i="27"/>
  <c r="M74" i="27"/>
  <c r="M334" i="27"/>
  <c r="M306" i="27"/>
  <c r="M215" i="27"/>
  <c r="M185" i="27"/>
  <c r="M159" i="27"/>
  <c r="M251" i="27"/>
  <c r="M230" i="27"/>
  <c r="M162" i="27"/>
  <c r="M182" i="27"/>
  <c r="M204" i="27"/>
  <c r="M226" i="27"/>
  <c r="M136" i="27"/>
  <c r="M273" i="27"/>
  <c r="M257" i="27"/>
  <c r="M238" i="27"/>
  <c r="M343" i="27"/>
  <c r="M318" i="27"/>
  <c r="M225" i="27"/>
  <c r="M195" i="27"/>
  <c r="M169" i="27"/>
  <c r="M263" i="27"/>
  <c r="M158" i="27"/>
  <c r="M180" i="27"/>
  <c r="M202" i="27"/>
  <c r="M222" i="27"/>
  <c r="M267" i="27"/>
  <c r="M260" i="27"/>
  <c r="M232" i="27"/>
  <c r="M302" i="27"/>
  <c r="M183" i="27"/>
  <c r="M270" i="27"/>
  <c r="M190" i="27"/>
  <c r="M84" i="27"/>
  <c r="M144" i="27"/>
  <c r="M236" i="27"/>
  <c r="M171" i="27"/>
  <c r="M194" i="27"/>
  <c r="M153" i="27"/>
  <c r="M201" i="27"/>
  <c r="M170" i="27"/>
  <c r="M211" i="27"/>
  <c r="M214" i="27"/>
  <c r="M330" i="27"/>
  <c r="N11" i="27"/>
  <c r="M320" i="27"/>
  <c r="M172" i="27"/>
  <c r="M274" i="27"/>
  <c r="M148" i="27"/>
  <c r="M212" i="27"/>
  <c r="M138" i="27"/>
  <c r="M114" i="27"/>
  <c r="M335" i="27"/>
  <c r="M311" i="27"/>
  <c r="M317" i="27"/>
  <c r="M119" i="27"/>
  <c r="M87" i="27"/>
  <c r="M54" i="27"/>
  <c r="M321" i="27"/>
  <c r="M286" i="27"/>
  <c r="M137" i="27"/>
  <c r="M105" i="27"/>
  <c r="M73" i="27"/>
  <c r="M53" i="27"/>
  <c r="M323" i="27"/>
  <c r="M297" i="27"/>
  <c r="M291" i="27"/>
  <c r="M146" i="27"/>
  <c r="M123" i="27"/>
  <c r="M91" i="27"/>
  <c r="M59" i="27"/>
  <c r="M109" i="27"/>
  <c r="M77" i="27"/>
  <c r="M319" i="27"/>
  <c r="M341" i="27"/>
  <c r="M309" i="27"/>
  <c r="M294" i="27"/>
  <c r="M281" i="27"/>
  <c r="M111" i="27"/>
  <c r="M79" i="27"/>
  <c r="M313" i="27"/>
  <c r="M296" i="27"/>
  <c r="M285" i="27"/>
  <c r="M228" i="27"/>
  <c r="M129" i="27"/>
  <c r="M97" i="27"/>
  <c r="M65" i="27"/>
  <c r="M315" i="27"/>
  <c r="M288" i="27"/>
  <c r="M244" i="27"/>
  <c r="M150" i="27"/>
  <c r="M115" i="27"/>
  <c r="M83" i="27"/>
  <c r="M227" i="27"/>
  <c r="M133" i="27"/>
  <c r="M101" i="27"/>
  <c r="M69" i="27"/>
  <c r="M293" i="27"/>
  <c r="M303" i="27"/>
  <c r="M333" i="27"/>
  <c r="M280" i="27"/>
  <c r="M75" i="27"/>
  <c r="M243" i="27"/>
  <c r="M63" i="27"/>
  <c r="M329" i="27"/>
  <c r="M81" i="27"/>
  <c r="M143" i="27"/>
  <c r="M131" i="27"/>
  <c r="M289" i="27"/>
  <c r="M103" i="27"/>
  <c r="M298" i="27"/>
  <c r="M121" i="27"/>
  <c r="M307" i="27"/>
  <c r="M292" i="27"/>
  <c r="M327" i="27"/>
  <c r="M239" i="27"/>
  <c r="M290" i="27"/>
  <c r="M95" i="27"/>
  <c r="M295" i="27"/>
  <c r="M282" i="27"/>
  <c r="M113" i="27"/>
  <c r="M287" i="27"/>
  <c r="M283" i="27"/>
  <c r="M99" i="27"/>
  <c r="M85" i="27"/>
  <c r="M135" i="27"/>
  <c r="M71" i="27"/>
  <c r="M337" i="27"/>
  <c r="M89" i="27"/>
  <c r="M339" i="27"/>
  <c r="M247" i="27"/>
  <c r="M139" i="27"/>
  <c r="M125" i="27"/>
  <c r="M61" i="27"/>
  <c r="M325" i="27"/>
  <c r="M127" i="27"/>
  <c r="M255" i="27"/>
  <c r="M331" i="27"/>
  <c r="M284" i="27"/>
  <c r="M67" i="27"/>
  <c r="M117" i="27"/>
  <c r="M301" i="27"/>
  <c r="M305" i="27"/>
  <c r="M57" i="27"/>
  <c r="M299" i="27"/>
  <c r="M107" i="27"/>
  <c r="M93" i="27"/>
  <c r="AK69" i="22"/>
  <c r="AK170" i="22"/>
  <c r="AK77" i="22"/>
  <c r="AK61" i="22"/>
  <c r="AL10" i="22"/>
  <c r="AQ38" i="22" s="1"/>
  <c r="AT38" i="22" s="1"/>
  <c r="AK37" i="22"/>
  <c r="AK40" i="22"/>
  <c r="AK87" i="22"/>
  <c r="AK102" i="22"/>
  <c r="AK91" i="22"/>
  <c r="AK151" i="22"/>
  <c r="AK39" i="22"/>
  <c r="AK59" i="22"/>
  <c r="AK75" i="22"/>
  <c r="AK114" i="22"/>
  <c r="AK134" i="22"/>
  <c r="AK43" i="22"/>
  <c r="AK54" i="22"/>
  <c r="AK50" i="22"/>
  <c r="AK70" i="22"/>
  <c r="AK126" i="22"/>
  <c r="AK138" i="22"/>
  <c r="AK72" i="22"/>
  <c r="AK47" i="22"/>
  <c r="AK53" i="22"/>
  <c r="AK74" i="22"/>
  <c r="AK98" i="22"/>
  <c r="AK118" i="22"/>
  <c r="AK123" i="22"/>
  <c r="AK82" i="22"/>
  <c r="AK107" i="22"/>
  <c r="AK66" i="22"/>
  <c r="AK80" i="22"/>
  <c r="AK62" i="22"/>
  <c r="AK143" i="22"/>
  <c r="AK63" i="22"/>
  <c r="AK79" i="22"/>
  <c r="AK49" i="22"/>
  <c r="AK48" i="22"/>
  <c r="AK52" i="22"/>
  <c r="AK64" i="22"/>
  <c r="AK95" i="22"/>
  <c r="AK67" i="22"/>
  <c r="AK106" i="22"/>
  <c r="AK58" i="22"/>
  <c r="AK71" i="22"/>
  <c r="AK130" i="22"/>
  <c r="AK90" i="22"/>
  <c r="AK135" i="22"/>
  <c r="AK44" i="22"/>
  <c r="AK122" i="22"/>
  <c r="AK154" i="22"/>
  <c r="AK46" i="22"/>
  <c r="AK78" i="22"/>
  <c r="AK42" i="22"/>
  <c r="AK110" i="22"/>
  <c r="AK45" i="22"/>
  <c r="AK38" i="22"/>
  <c r="AK331" i="22"/>
  <c r="AK99" i="22"/>
  <c r="AK139" i="22"/>
  <c r="AK147" i="22"/>
  <c r="AK155" i="22"/>
  <c r="AK316" i="22"/>
  <c r="AK228" i="22"/>
  <c r="AK160" i="22"/>
  <c r="AK203" i="22"/>
  <c r="AK210" i="22"/>
  <c r="AK115" i="22"/>
  <c r="AK272" i="22"/>
  <c r="AK335" i="22"/>
  <c r="AK288" i="22"/>
  <c r="AK103" i="22"/>
  <c r="AK119" i="22"/>
  <c r="AK111" i="22"/>
  <c r="AK176" i="22"/>
  <c r="AK218" i="22"/>
  <c r="AK232" i="22"/>
  <c r="AK163" i="22"/>
  <c r="AK202" i="22"/>
  <c r="AK191" i="22"/>
  <c r="AK245" i="22"/>
  <c r="AK195" i="22"/>
  <c r="AK146" i="22"/>
  <c r="AK201" i="22"/>
  <c r="AK220" i="22"/>
  <c r="AK271" i="22"/>
  <c r="AK162" i="22"/>
  <c r="AK224" i="22"/>
  <c r="AK179" i="22"/>
  <c r="AK190" i="22"/>
  <c r="AK206" i="22"/>
  <c r="AK237" i="22"/>
  <c r="AK257" i="22"/>
  <c r="AK294" i="22"/>
  <c r="AK283" i="22"/>
  <c r="AK285" i="22"/>
  <c r="AK311" i="22"/>
  <c r="AK323" i="22"/>
  <c r="AK320" i="22"/>
  <c r="AK332" i="22"/>
  <c r="AK56" i="22"/>
  <c r="AK214" i="22"/>
  <c r="AK131" i="22"/>
  <c r="AK127" i="22"/>
  <c r="AK178" i="22"/>
  <c r="AK241" i="22"/>
  <c r="AK208" i="22"/>
  <c r="AK226" i="22"/>
  <c r="AK266" i="22"/>
  <c r="AK222" i="22"/>
  <c r="AK289" i="22"/>
  <c r="AK198" i="22"/>
  <c r="AK211" i="22"/>
  <c r="AK219" i="22"/>
  <c r="AK227" i="22"/>
  <c r="AK254" i="22"/>
  <c r="AK261" i="22"/>
  <c r="AK280" i="22"/>
  <c r="AK304" i="22"/>
  <c r="AK305" i="22"/>
  <c r="AK319" i="22"/>
  <c r="AK313" i="22"/>
  <c r="AK328" i="22"/>
  <c r="AK216" i="22"/>
  <c r="AK142" i="22"/>
  <c r="AK230" i="22"/>
  <c r="AK249" i="22"/>
  <c r="AK192" i="22"/>
  <c r="AK293" i="22"/>
  <c r="AK207" i="22"/>
  <c r="AK301" i="22"/>
  <c r="AK296" i="22"/>
  <c r="AK246" i="22"/>
  <c r="AK262" i="22"/>
  <c r="AK235" i="22"/>
  <c r="AK269" i="22"/>
  <c r="AK300" i="22"/>
  <c r="AK306" i="22"/>
  <c r="AK327" i="22"/>
  <c r="AK186" i="22"/>
  <c r="AK238" i="22"/>
  <c r="AK223" i="22"/>
  <c r="AK284" i="22"/>
  <c r="AK265" i="22"/>
  <c r="AK297" i="22"/>
  <c r="AK315" i="22"/>
  <c r="AK36" i="22"/>
  <c r="AK83" i="22"/>
  <c r="AK150" i="22"/>
  <c r="AK88" i="22"/>
  <c r="AK242" i="22"/>
  <c r="AK183" i="22"/>
  <c r="AK171" i="22"/>
  <c r="AK253" i="22"/>
  <c r="AK215" i="22"/>
  <c r="AK279" i="22"/>
  <c r="AK307" i="22"/>
  <c r="AK187" i="22"/>
  <c r="AK197" i="22"/>
  <c r="AK182" i="22"/>
  <c r="AK258" i="22"/>
  <c r="AK231" i="22"/>
  <c r="AK286" i="22"/>
  <c r="AK309" i="22"/>
  <c r="AK168" i="22"/>
  <c r="AK292" i="22"/>
  <c r="AK212" i="22"/>
  <c r="AK234" i="22"/>
  <c r="AK243" i="22"/>
  <c r="AK277" i="22"/>
  <c r="AK250" i="22"/>
  <c r="AK324" i="22"/>
  <c r="AK314" i="22"/>
  <c r="AK312" i="22"/>
  <c r="AK281" i="22"/>
  <c r="AK260" i="22"/>
  <c r="AK239" i="22"/>
  <c r="AK148" i="22"/>
  <c r="AK322" i="22"/>
  <c r="AK302" i="22"/>
  <c r="AK81" i="22"/>
  <c r="AK276" i="22"/>
  <c r="AK108" i="22"/>
  <c r="AK295" i="22"/>
  <c r="AK236" i="22"/>
  <c r="AK204" i="22"/>
  <c r="AK240" i="22"/>
  <c r="AK124" i="22"/>
  <c r="AK68" i="22"/>
  <c r="AK85" i="22"/>
  <c r="AK299" i="22"/>
  <c r="AK209" i="22"/>
  <c r="AK326" i="22"/>
  <c r="AK164" i="22"/>
  <c r="AK101" i="22"/>
  <c r="AK264" i="22"/>
  <c r="AK200" i="22"/>
  <c r="AK252" i="22"/>
  <c r="AK325" i="22"/>
  <c r="AK165" i="22"/>
  <c r="AK76" i="22"/>
  <c r="AK153" i="22"/>
  <c r="AK96" i="22"/>
  <c r="AK329" i="22"/>
  <c r="AK185" i="22"/>
  <c r="AK104" i="22"/>
  <c r="AK173" i="22"/>
  <c r="AK136" i="22"/>
  <c r="AK256" i="22"/>
  <c r="AK180" i="22"/>
  <c r="AK263" i="22"/>
  <c r="AK84" i="22"/>
  <c r="AK117" i="22"/>
  <c r="AK334" i="22"/>
  <c r="AK213" i="22"/>
  <c r="AK166" i="22"/>
  <c r="AK65" i="22"/>
  <c r="AK157" i="22"/>
  <c r="AK275" i="22"/>
  <c r="AK291" i="22"/>
  <c r="AK298" i="22"/>
  <c r="AK255" i="22"/>
  <c r="AK251" i="22"/>
  <c r="AK86" i="22"/>
  <c r="AK330" i="22"/>
  <c r="AK333" i="22"/>
  <c r="AK247" i="22"/>
  <c r="AK233" i="22"/>
  <c r="AK152" i="22"/>
  <c r="AK105" i="22"/>
  <c r="AK189" i="22"/>
  <c r="AK60" i="22"/>
  <c r="AK184" i="22"/>
  <c r="AK149" i="22"/>
  <c r="AK145" i="22"/>
  <c r="AK193" i="22"/>
  <c r="AK73" i="22"/>
  <c r="AK100" i="22"/>
  <c r="AK141" i="22"/>
  <c r="AK93" i="22"/>
  <c r="AK321" i="22"/>
  <c r="AK290" i="22"/>
  <c r="AK188" i="22"/>
  <c r="AK55" i="22"/>
  <c r="AK92" i="22"/>
  <c r="AK248" i="22"/>
  <c r="AK310" i="22"/>
  <c r="AK144" i="22"/>
  <c r="AK109" i="22"/>
  <c r="AK137" i="22"/>
  <c r="AK121" i="22"/>
  <c r="AK172" i="22"/>
  <c r="AK259" i="22"/>
  <c r="AK303" i="22"/>
  <c r="AK140" i="22"/>
  <c r="AK94" i="22"/>
  <c r="AK205" i="22"/>
  <c r="AK129" i="22"/>
  <c r="AK112" i="22"/>
  <c r="AK177" i="22"/>
  <c r="AK57" i="22"/>
  <c r="AK51" i="22"/>
  <c r="AK229" i="22"/>
  <c r="AK125" i="22"/>
  <c r="AK174" i="22"/>
  <c r="AK175" i="22"/>
  <c r="AK318" i="22"/>
  <c r="AK159" i="22"/>
  <c r="AK278" i="22"/>
  <c r="AK268" i="22"/>
  <c r="AK317" i="22"/>
  <c r="AK308" i="22"/>
  <c r="AK270" i="22"/>
  <c r="AK217" i="22"/>
  <c r="AK196" i="22"/>
  <c r="AK89" i="22"/>
  <c r="AK274" i="22"/>
  <c r="AK133" i="22"/>
  <c r="AK120" i="22"/>
  <c r="AK167" i="22"/>
  <c r="AK41" i="22"/>
  <c r="AK194" i="22"/>
  <c r="AK116" i="22"/>
  <c r="AK244" i="22"/>
  <c r="AK282" i="22"/>
  <c r="AK161" i="22"/>
  <c r="AK169" i="22"/>
  <c r="AK181" i="22"/>
  <c r="AK132" i="22"/>
  <c r="AK287" i="22"/>
  <c r="AK158" i="22"/>
  <c r="AK113" i="22"/>
  <c r="AK221" i="22"/>
  <c r="AK199" i="22"/>
  <c r="AK156" i="22"/>
  <c r="AK128" i="22"/>
  <c r="AK267" i="22"/>
  <c r="AK225" i="22"/>
  <c r="AK273" i="22"/>
  <c r="AK97" i="22"/>
  <c r="N10" i="26"/>
  <c r="S38" i="26" s="1"/>
  <c r="V38" i="26" s="1"/>
  <c r="M62" i="26"/>
  <c r="M184" i="26"/>
  <c r="M47" i="26"/>
  <c r="M57" i="26"/>
  <c r="M178" i="26"/>
  <c r="M38" i="26"/>
  <c r="M253" i="26"/>
  <c r="M41" i="26"/>
  <c r="M49" i="26"/>
  <c r="M53" i="26"/>
  <c r="M167" i="26"/>
  <c r="M43" i="26"/>
  <c r="M142" i="26"/>
  <c r="M55" i="26"/>
  <c r="M45" i="26"/>
  <c r="M61" i="26"/>
  <c r="M158" i="26"/>
  <c r="M60" i="26"/>
  <c r="M183" i="26"/>
  <c r="M59" i="26"/>
  <c r="M51" i="26"/>
  <c r="M174" i="26"/>
  <c r="M77" i="26"/>
  <c r="M95" i="26"/>
  <c r="M109" i="26"/>
  <c r="M127" i="26"/>
  <c r="M269" i="26"/>
  <c r="M70" i="26"/>
  <c r="M78" i="26"/>
  <c r="M86" i="26"/>
  <c r="M94" i="26"/>
  <c r="M102" i="26"/>
  <c r="M110" i="26"/>
  <c r="M118" i="26"/>
  <c r="M126" i="26"/>
  <c r="M145" i="26"/>
  <c r="M163" i="26"/>
  <c r="M171" i="26"/>
  <c r="M180" i="26"/>
  <c r="M324" i="26"/>
  <c r="M139" i="26"/>
  <c r="M153" i="26"/>
  <c r="M175" i="26"/>
  <c r="M271" i="26"/>
  <c r="M303" i="26"/>
  <c r="M335" i="26"/>
  <c r="M200" i="26"/>
  <c r="M188" i="26"/>
  <c r="M176" i="26"/>
  <c r="M152" i="26"/>
  <c r="M136" i="26"/>
  <c r="M63" i="26"/>
  <c r="M79" i="26"/>
  <c r="M93" i="26"/>
  <c r="M111" i="26"/>
  <c r="M125" i="26"/>
  <c r="M149" i="26"/>
  <c r="M164" i="26"/>
  <c r="M173" i="26"/>
  <c r="M225" i="26"/>
  <c r="M265" i="26"/>
  <c r="M143" i="26"/>
  <c r="M221" i="26"/>
  <c r="M237" i="26"/>
  <c r="M317" i="26"/>
  <c r="M185" i="26"/>
  <c r="M207" i="26"/>
  <c r="M223" i="26"/>
  <c r="M239" i="26"/>
  <c r="M257" i="26"/>
  <c r="M278" i="26"/>
  <c r="M295" i="26"/>
  <c r="M316" i="26"/>
  <c r="M309" i="26"/>
  <c r="M283" i="26"/>
  <c r="M299" i="26"/>
  <c r="M315" i="26"/>
  <c r="M331" i="26"/>
  <c r="M272" i="26"/>
  <c r="M288" i="26"/>
  <c r="M304" i="26"/>
  <c r="M320" i="26"/>
  <c r="M48" i="26"/>
  <c r="M54" i="26"/>
  <c r="M137" i="26"/>
  <c r="M73" i="26"/>
  <c r="M89" i="26"/>
  <c r="M105" i="26"/>
  <c r="M123" i="26"/>
  <c r="M151" i="26"/>
  <c r="M191" i="26"/>
  <c r="M249" i="26"/>
  <c r="M68" i="26"/>
  <c r="M76" i="26"/>
  <c r="M84" i="26"/>
  <c r="M92" i="26"/>
  <c r="M100" i="26"/>
  <c r="M108" i="26"/>
  <c r="M116" i="26"/>
  <c r="M124" i="26"/>
  <c r="M161" i="26"/>
  <c r="M189" i="26"/>
  <c r="M287" i="26"/>
  <c r="M319" i="26"/>
  <c r="M50" i="26"/>
  <c r="M193" i="26"/>
  <c r="M270" i="26"/>
  <c r="M302" i="26"/>
  <c r="M334" i="26"/>
  <c r="M204" i="26"/>
  <c r="M250" i="26"/>
  <c r="M186" i="26"/>
  <c r="M156" i="26"/>
  <c r="M140" i="26"/>
  <c r="M75" i="26"/>
  <c r="M91" i="26"/>
  <c r="M107" i="26"/>
  <c r="M121" i="26"/>
  <c r="M133" i="26"/>
  <c r="M168" i="26"/>
  <c r="M217" i="26"/>
  <c r="M179" i="26"/>
  <c r="M187" i="26"/>
  <c r="M205" i="26"/>
  <c r="M219" i="26"/>
  <c r="M235" i="26"/>
  <c r="M256" i="26"/>
  <c r="M268" i="26"/>
  <c r="M294" i="26"/>
  <c r="M311" i="26"/>
  <c r="M332" i="26"/>
  <c r="M293" i="26"/>
  <c r="M263" i="26"/>
  <c r="M282" i="26"/>
  <c r="M298" i="26"/>
  <c r="M314" i="26"/>
  <c r="M330" i="26"/>
  <c r="M281" i="26"/>
  <c r="M297" i="26"/>
  <c r="M313" i="26"/>
  <c r="M329" i="26"/>
  <c r="M195" i="26"/>
  <c r="M65" i="26"/>
  <c r="M97" i="26"/>
  <c r="M135" i="26"/>
  <c r="M233" i="26"/>
  <c r="M72" i="26"/>
  <c r="M88" i="26"/>
  <c r="M104" i="26"/>
  <c r="M120" i="26"/>
  <c r="M292" i="26"/>
  <c r="M261" i="26"/>
  <c r="M308" i="26"/>
  <c r="M254" i="26"/>
  <c r="M160" i="26"/>
  <c r="M85" i="26"/>
  <c r="M117" i="26"/>
  <c r="M199" i="26"/>
  <c r="M213" i="26"/>
  <c r="M245" i="26"/>
  <c r="M211" i="26"/>
  <c r="M243" i="26"/>
  <c r="M300" i="26"/>
  <c r="M325" i="26"/>
  <c r="M275" i="26"/>
  <c r="M307" i="26"/>
  <c r="M259" i="26"/>
  <c r="M289" i="26"/>
  <c r="M321" i="26"/>
  <c r="M39" i="26"/>
  <c r="M87" i="26"/>
  <c r="M119" i="26"/>
  <c r="M209" i="26"/>
  <c r="M66" i="26"/>
  <c r="M82" i="26"/>
  <c r="M98" i="26"/>
  <c r="M114" i="26"/>
  <c r="M130" i="26"/>
  <c r="M286" i="26"/>
  <c r="M58" i="26"/>
  <c r="M266" i="26"/>
  <c r="M170" i="26"/>
  <c r="M132" i="26"/>
  <c r="M83" i="26"/>
  <c r="M115" i="26"/>
  <c r="M190" i="26"/>
  <c r="M241" i="26"/>
  <c r="M285" i="26"/>
  <c r="M231" i="26"/>
  <c r="M255" i="26"/>
  <c r="M284" i="26"/>
  <c r="M327" i="26"/>
  <c r="M277" i="26"/>
  <c r="M274" i="26"/>
  <c r="M306" i="26"/>
  <c r="M280" i="26"/>
  <c r="M312" i="26"/>
  <c r="M155" i="26"/>
  <c r="M69" i="26"/>
  <c r="M90" i="26"/>
  <c r="M122" i="26"/>
  <c r="M147" i="26"/>
  <c r="M40" i="26"/>
  <c r="M258" i="26"/>
  <c r="M148" i="26"/>
  <c r="M99" i="26"/>
  <c r="M169" i="26"/>
  <c r="M247" i="26"/>
  <c r="M310" i="26"/>
  <c r="M322" i="26"/>
  <c r="M273" i="26"/>
  <c r="M81" i="26"/>
  <c r="M333" i="26"/>
  <c r="M64" i="26"/>
  <c r="M96" i="26"/>
  <c r="M128" i="26"/>
  <c r="M262" i="26"/>
  <c r="M144" i="26"/>
  <c r="M101" i="26"/>
  <c r="M159" i="26"/>
  <c r="M229" i="26"/>
  <c r="M326" i="26"/>
  <c r="M323" i="26"/>
  <c r="M296" i="26"/>
  <c r="M106" i="26"/>
  <c r="M172" i="26"/>
  <c r="M129" i="26"/>
  <c r="M113" i="26"/>
  <c r="M80" i="26"/>
  <c r="M318" i="26"/>
  <c r="M276" i="26"/>
  <c r="M71" i="26"/>
  <c r="M196" i="26"/>
  <c r="M227" i="26"/>
  <c r="M203" i="26"/>
  <c r="M131" i="26"/>
  <c r="M301" i="26"/>
  <c r="M290" i="26"/>
  <c r="M305" i="26"/>
  <c r="M74" i="26"/>
  <c r="M291" i="26"/>
  <c r="M328" i="26"/>
  <c r="M103" i="26"/>
  <c r="M112" i="26"/>
  <c r="M192" i="26"/>
  <c r="M279" i="26"/>
  <c r="M67" i="26"/>
  <c r="M36" i="26"/>
  <c r="M215" i="26"/>
  <c r="M165" i="26"/>
  <c r="M224" i="26"/>
  <c r="M138" i="26"/>
  <c r="M246" i="26"/>
  <c r="M214" i="26"/>
  <c r="M134" i="26"/>
  <c r="M234" i="26"/>
  <c r="M251" i="26"/>
  <c r="M44" i="26"/>
  <c r="M236" i="26"/>
  <c r="M46" i="26"/>
  <c r="M202" i="26"/>
  <c r="M252" i="26"/>
  <c r="M248" i="26"/>
  <c r="M216" i="26"/>
  <c r="M238" i="26"/>
  <c r="M177" i="26"/>
  <c r="M226" i="26"/>
  <c r="M206" i="26"/>
  <c r="M141" i="26"/>
  <c r="M228" i="26"/>
  <c r="M197" i="26"/>
  <c r="M194" i="26"/>
  <c r="M56" i="26"/>
  <c r="M230" i="26"/>
  <c r="M218" i="26"/>
  <c r="M264" i="26"/>
  <c r="M181" i="26"/>
  <c r="M210" i="26"/>
  <c r="M244" i="26"/>
  <c r="M150" i="26"/>
  <c r="M146" i="26"/>
  <c r="M240" i="26"/>
  <c r="M182" i="26"/>
  <c r="M157" i="26"/>
  <c r="M260" i="26"/>
  <c r="M220" i="26"/>
  <c r="M154" i="26"/>
  <c r="M201" i="26"/>
  <c r="M232" i="26"/>
  <c r="M42" i="26"/>
  <c r="M166" i="26"/>
  <c r="M242" i="26"/>
  <c r="M198" i="26"/>
  <c r="M212" i="26"/>
  <c r="M37" i="26"/>
  <c r="M208" i="26"/>
  <c r="M222" i="26"/>
  <c r="M162" i="26"/>
  <c r="M267" i="26"/>
  <c r="M52" i="26"/>
  <c r="AK304" i="24"/>
  <c r="AK45" i="24"/>
  <c r="AK288" i="24"/>
  <c r="AK209" i="24"/>
  <c r="AK94" i="24"/>
  <c r="AL10" i="24"/>
  <c r="AQ38" i="24" s="1"/>
  <c r="AT38" i="24" s="1"/>
  <c r="AK56" i="24"/>
  <c r="AK42" i="24"/>
  <c r="AK167" i="24"/>
  <c r="AK326" i="24"/>
  <c r="AK120" i="24"/>
  <c r="AK307" i="24"/>
  <c r="AK296" i="24"/>
  <c r="AK43" i="24"/>
  <c r="AK136" i="24"/>
  <c r="AK186" i="24"/>
  <c r="AK84" i="24"/>
  <c r="AK48" i="24"/>
  <c r="AK315" i="24"/>
  <c r="AK325" i="24"/>
  <c r="AK302" i="24"/>
  <c r="AK67" i="24"/>
  <c r="AK115" i="24"/>
  <c r="AK199" i="24"/>
  <c r="AK100" i="24"/>
  <c r="AK60" i="24"/>
  <c r="AK110" i="24"/>
  <c r="AK290" i="24"/>
  <c r="AK40" i="24"/>
  <c r="AK252" i="24"/>
  <c r="AK272" i="24"/>
  <c r="AK78" i="24"/>
  <c r="AK178" i="24"/>
  <c r="AK119" i="24"/>
  <c r="AK52" i="24"/>
  <c r="AK168" i="24"/>
  <c r="AK286" i="24"/>
  <c r="AK335" i="24"/>
  <c r="AK44" i="24"/>
  <c r="AK134" i="24"/>
  <c r="AK294" i="24"/>
  <c r="AK317" i="24"/>
  <c r="AK68" i="24"/>
  <c r="AK300" i="24"/>
  <c r="AK46" i="24"/>
  <c r="AK76" i="24"/>
  <c r="AK102" i="24"/>
  <c r="AK107" i="24"/>
  <c r="AK130" i="24"/>
  <c r="AK190" i="24"/>
  <c r="AK208" i="24"/>
  <c r="AK79" i="24"/>
  <c r="AK131" i="24"/>
  <c r="AK147" i="24"/>
  <c r="AK163" i="24"/>
  <c r="AK152" i="24"/>
  <c r="AK198" i="24"/>
  <c r="AK41" i="24"/>
  <c r="AK92" i="24"/>
  <c r="AK122" i="24"/>
  <c r="AK127" i="24"/>
  <c r="AK146" i="24"/>
  <c r="AK170" i="24"/>
  <c r="AK175" i="24"/>
  <c r="AK194" i="24"/>
  <c r="AK202" i="24"/>
  <c r="AK233" i="24"/>
  <c r="AK118" i="24"/>
  <c r="AK318" i="24"/>
  <c r="AK49" i="24"/>
  <c r="AK71" i="24"/>
  <c r="AK87" i="24"/>
  <c r="AK103" i="24"/>
  <c r="AK171" i="24"/>
  <c r="AK316" i="24"/>
  <c r="AK111" i="24"/>
  <c r="AK86" i="24"/>
  <c r="AK91" i="24"/>
  <c r="AK123" i="24"/>
  <c r="AK225" i="24"/>
  <c r="AK138" i="24"/>
  <c r="AK143" i="24"/>
  <c r="AK162" i="24"/>
  <c r="AK53" i="24"/>
  <c r="AK57" i="24"/>
  <c r="AK139" i="24"/>
  <c r="AK192" i="24"/>
  <c r="AK241" i="24"/>
  <c r="AK282" i="24"/>
  <c r="AK128" i="24"/>
  <c r="AK160" i="24"/>
  <c r="AK256" i="24"/>
  <c r="AK135" i="24"/>
  <c r="AK95" i="24"/>
  <c r="AK159" i="24"/>
  <c r="AK150" i="24"/>
  <c r="AK278" i="24"/>
  <c r="AK217" i="24"/>
  <c r="AK264" i="24"/>
  <c r="AK179" i="24"/>
  <c r="AK257" i="24"/>
  <c r="AK287" i="24"/>
  <c r="AK295" i="24"/>
  <c r="AK303" i="24"/>
  <c r="AK332" i="24"/>
  <c r="AK206" i="24"/>
  <c r="AK306" i="24"/>
  <c r="AK70" i="24"/>
  <c r="AK108" i="24"/>
  <c r="AK274" i="24"/>
  <c r="AK260" i="24"/>
  <c r="AK248" i="24"/>
  <c r="AK203" i="24"/>
  <c r="AK261" i="24"/>
  <c r="AK298" i="24"/>
  <c r="AK331" i="24"/>
  <c r="AK323" i="24"/>
  <c r="AK321" i="24"/>
  <c r="AK330" i="24"/>
  <c r="AK151" i="24"/>
  <c r="AK75" i="24"/>
  <c r="AK155" i="24"/>
  <c r="AK187" i="24"/>
  <c r="AK292" i="24"/>
  <c r="AK249" i="24"/>
  <c r="AK279" i="24"/>
  <c r="AK299" i="24"/>
  <c r="AK333" i="24"/>
  <c r="AK83" i="24"/>
  <c r="AK154" i="24"/>
  <c r="AK166" i="24"/>
  <c r="AK195" i="24"/>
  <c r="AK312" i="24"/>
  <c r="AK275" i="24"/>
  <c r="AK291" i="24"/>
  <c r="AK324" i="24"/>
  <c r="AK99" i="24"/>
  <c r="AK61" i="24"/>
  <c r="AK176" i="24"/>
  <c r="AK184" i="24"/>
  <c r="AK265" i="24"/>
  <c r="AK283" i="24"/>
  <c r="AK313" i="24"/>
  <c r="AK322" i="24"/>
  <c r="AK310" i="24"/>
  <c r="AK200" i="24"/>
  <c r="AK253" i="24"/>
  <c r="AK329" i="24"/>
  <c r="AK284" i="24"/>
  <c r="AK144" i="24"/>
  <c r="AK263" i="24"/>
  <c r="AK93" i="24"/>
  <c r="AK280" i="24"/>
  <c r="AK177" i="24"/>
  <c r="AK221" i="24"/>
  <c r="AK74" i="24"/>
  <c r="AK158" i="24"/>
  <c r="AK334" i="24"/>
  <c r="AK311" i="24"/>
  <c r="AK255" i="24"/>
  <c r="AK121" i="24"/>
  <c r="AK222" i="24"/>
  <c r="AK104" i="24"/>
  <c r="AK327" i="24"/>
  <c r="AK277" i="24"/>
  <c r="AK246" i="24"/>
  <c r="AK161" i="24"/>
  <c r="AK216" i="24"/>
  <c r="AK201" i="24"/>
  <c r="AK236" i="24"/>
  <c r="AK72" i="24"/>
  <c r="AK58" i="24"/>
  <c r="AK319" i="24"/>
  <c r="AK73" i="24"/>
  <c r="AK183" i="24"/>
  <c r="AK173" i="24"/>
  <c r="AK54" i="24"/>
  <c r="AK80" i="24"/>
  <c r="AK62" i="24"/>
  <c r="AK320" i="24"/>
  <c r="AK112" i="24"/>
  <c r="AK82" i="24"/>
  <c r="AK38" i="24"/>
  <c r="AK231" i="24"/>
  <c r="AK242" i="24"/>
  <c r="AK267" i="24"/>
  <c r="AK145" i="24"/>
  <c r="AK51" i="24"/>
  <c r="AK210" i="24"/>
  <c r="AK189" i="24"/>
  <c r="AK297" i="24"/>
  <c r="AK140" i="24"/>
  <c r="AK258" i="24"/>
  <c r="AK269" i="24"/>
  <c r="AK98" i="24"/>
  <c r="AK301" i="24"/>
  <c r="AK250" i="24"/>
  <c r="AK232" i="24"/>
  <c r="AK174" i="24"/>
  <c r="AK101" i="24"/>
  <c r="AK238" i="24"/>
  <c r="AK129" i="24"/>
  <c r="AK244" i="24"/>
  <c r="AK237" i="24"/>
  <c r="AK142" i="24"/>
  <c r="AK96" i="24"/>
  <c r="AK169" i="24"/>
  <c r="AK188" i="24"/>
  <c r="AK141" i="24"/>
  <c r="AK90" i="24"/>
  <c r="AK270" i="24"/>
  <c r="AK65" i="24"/>
  <c r="AK181" i="24"/>
  <c r="AK215" i="24"/>
  <c r="AK88" i="24"/>
  <c r="AK37" i="24"/>
  <c r="AK213" i="24"/>
  <c r="AK66" i="24"/>
  <c r="AK124" i="24"/>
  <c r="AK243" i="24"/>
  <c r="AK64" i="24"/>
  <c r="AK212" i="24"/>
  <c r="AK314" i="24"/>
  <c r="AK97" i="24"/>
  <c r="AK63" i="24"/>
  <c r="AK328" i="24"/>
  <c r="AK247" i="24"/>
  <c r="AK293" i="24"/>
  <c r="AK281" i="24"/>
  <c r="AK245" i="24"/>
  <c r="AK69" i="24"/>
  <c r="AK228" i="24"/>
  <c r="AK109" i="24"/>
  <c r="AK197" i="24"/>
  <c r="AK223" i="24"/>
  <c r="AK289" i="24"/>
  <c r="AK105" i="24"/>
  <c r="AK81" i="24"/>
  <c r="AK285" i="24"/>
  <c r="AK251" i="24"/>
  <c r="AK77" i="24"/>
  <c r="AK148" i="24"/>
  <c r="AK205" i="24"/>
  <c r="AK234" i="24"/>
  <c r="AK204" i="24"/>
  <c r="AK262" i="24"/>
  <c r="AK227" i="24"/>
  <c r="AK180" i="24"/>
  <c r="AK230" i="24"/>
  <c r="AK271" i="24"/>
  <c r="AK211" i="24"/>
  <c r="AK113" i="24"/>
  <c r="AK239" i="24"/>
  <c r="AK254" i="24"/>
  <c r="AK85" i="24"/>
  <c r="AK226" i="24"/>
  <c r="AK305" i="24"/>
  <c r="AK156" i="24"/>
  <c r="AK273" i="24"/>
  <c r="AK153" i="24"/>
  <c r="AK207" i="24"/>
  <c r="AK308" i="24"/>
  <c r="AK229" i="24"/>
  <c r="AK116" i="24"/>
  <c r="AK220" i="24"/>
  <c r="AK39" i="24"/>
  <c r="AK50" i="24"/>
  <c r="AK218" i="24"/>
  <c r="AK137" i="24"/>
  <c r="AK157" i="24"/>
  <c r="AK114" i="24"/>
  <c r="AK165" i="24"/>
  <c r="AK106" i="24"/>
  <c r="AK149" i="24"/>
  <c r="AK224" i="24"/>
  <c r="AK235" i="24"/>
  <c r="AK182" i="24"/>
  <c r="AK259" i="24"/>
  <c r="AK117" i="24"/>
  <c r="AK276" i="24"/>
  <c r="AK268" i="24"/>
  <c r="AK172" i="24"/>
  <c r="AK89" i="24"/>
  <c r="AK266" i="24"/>
  <c r="AK193" i="24"/>
  <c r="AK214" i="24"/>
  <c r="AK55" i="24"/>
  <c r="AK125" i="24"/>
  <c r="AK59" i="24"/>
  <c r="AK219" i="24"/>
  <c r="AK47" i="24"/>
  <c r="AK309" i="24"/>
  <c r="AK132" i="24"/>
  <c r="AK36" i="24"/>
  <c r="AK191" i="24"/>
  <c r="AK126" i="24"/>
  <c r="AK185" i="24"/>
  <c r="AK240" i="24"/>
  <c r="AK196" i="24"/>
  <c r="AK164" i="24"/>
  <c r="AK133" i="24"/>
  <c r="A299" i="24"/>
  <c r="A295" i="24"/>
  <c r="A89" i="24"/>
  <c r="A73" i="24"/>
  <c r="A63" i="24"/>
  <c r="A37" i="24"/>
  <c r="A201" i="24"/>
  <c r="A95" i="24"/>
  <c r="A146" i="24"/>
  <c r="A78" i="24"/>
  <c r="A130" i="24"/>
  <c r="A105" i="24"/>
  <c r="A285" i="24"/>
  <c r="A51" i="24"/>
  <c r="A197" i="24"/>
  <c r="A36" i="24"/>
  <c r="A94" i="24"/>
  <c r="A283" i="24"/>
  <c r="A79" i="24"/>
  <c r="A205" i="24"/>
  <c r="A297" i="24"/>
  <c r="A236" i="24"/>
  <c r="A163" i="24"/>
  <c r="A46" i="24"/>
  <c r="A48" i="24"/>
  <c r="A245" i="24"/>
  <c r="A45" i="24"/>
  <c r="A162" i="24"/>
  <c r="A263" i="24"/>
  <c r="A111" i="24"/>
  <c r="A326" i="24"/>
  <c r="A178" i="24"/>
  <c r="A55" i="24"/>
  <c r="A328" i="24"/>
  <c r="A269" i="24"/>
  <c r="A59" i="24"/>
  <c r="A301" i="24"/>
  <c r="A90" i="24"/>
  <c r="A106" i="24"/>
  <c r="A126" i="24"/>
  <c r="A158" i="24"/>
  <c r="A289" i="24"/>
  <c r="A318" i="24"/>
  <c r="A314" i="24"/>
  <c r="A81" i="24"/>
  <c r="A86" i="24"/>
  <c r="A149" i="24"/>
  <c r="A154" i="24"/>
  <c r="A181" i="24"/>
  <c r="A74" i="24"/>
  <c r="A329" i="24"/>
  <c r="A147" i="24"/>
  <c r="A291" i="24"/>
  <c r="A174" i="24"/>
  <c r="A335" i="24"/>
  <c r="A40" i="24"/>
  <c r="A44" i="24"/>
  <c r="A71" i="24"/>
  <c r="A97" i="24"/>
  <c r="A102" i="24"/>
  <c r="A125" i="24"/>
  <c r="A165" i="24"/>
  <c r="A173" i="24"/>
  <c r="A179" i="24"/>
  <c r="A247" i="24"/>
  <c r="A38" i="24"/>
  <c r="A129" i="24"/>
  <c r="A145" i="24"/>
  <c r="B10" i="24"/>
  <c r="G38" i="24" s="1"/>
  <c r="J38" i="24" s="1"/>
  <c r="A43" i="24"/>
  <c r="A60" i="24"/>
  <c r="A66" i="24"/>
  <c r="A82" i="24"/>
  <c r="A98" i="24"/>
  <c r="A114" i="24"/>
  <c r="A150" i="24"/>
  <c r="A39" i="24"/>
  <c r="A47" i="24"/>
  <c r="A142" i="24"/>
  <c r="A185" i="24"/>
  <c r="A133" i="24"/>
  <c r="A138" i="24"/>
  <c r="A157" i="24"/>
  <c r="A189" i="24"/>
  <c r="A244" i="24"/>
  <c r="A118" i="24"/>
  <c r="A131" i="24"/>
  <c r="A305" i="24"/>
  <c r="A87" i="24"/>
  <c r="A187" i="24"/>
  <c r="A56" i="24"/>
  <c r="A134" i="24"/>
  <c r="A203" i="24"/>
  <c r="A139" i="24"/>
  <c r="A171" i="24"/>
  <c r="A267" i="24"/>
  <c r="A177" i="24"/>
  <c r="A65" i="24"/>
  <c r="A103" i="24"/>
  <c r="A281" i="24"/>
  <c r="A123" i="24"/>
  <c r="A228" i="24"/>
  <c r="A259" i="24"/>
  <c r="A190" i="24"/>
  <c r="A252" i="24"/>
  <c r="A293" i="24"/>
  <c r="A278" i="24"/>
  <c r="A282" i="24"/>
  <c r="A290" i="24"/>
  <c r="A298" i="24"/>
  <c r="A327" i="24"/>
  <c r="A110" i="24"/>
  <c r="A117" i="24"/>
  <c r="A212" i="24"/>
  <c r="A255" i="24"/>
  <c r="A155" i="24"/>
  <c r="A182" i="24"/>
  <c r="A303" i="24"/>
  <c r="A256" i="24"/>
  <c r="A270" i="24"/>
  <c r="A320" i="24"/>
  <c r="A316" i="24"/>
  <c r="A332" i="24"/>
  <c r="A113" i="24"/>
  <c r="A170" i="24"/>
  <c r="A220" i="24"/>
  <c r="A260" i="24"/>
  <c r="A321" i="24"/>
  <c r="A324" i="24"/>
  <c r="A325" i="24"/>
  <c r="A273" i="24"/>
  <c r="A248" i="24"/>
  <c r="A315" i="24"/>
  <c r="A302" i="24"/>
  <c r="A334" i="24"/>
  <c r="A317" i="24"/>
  <c r="A333" i="24"/>
  <c r="A122" i="24"/>
  <c r="A141" i="24"/>
  <c r="A52" i="24"/>
  <c r="A166" i="24"/>
  <c r="A198" i="24"/>
  <c r="A308" i="24"/>
  <c r="A161" i="24"/>
  <c r="A264" i="24"/>
  <c r="A311" i="24"/>
  <c r="A312" i="24"/>
  <c r="A251" i="24"/>
  <c r="A287" i="24"/>
  <c r="A70" i="24"/>
  <c r="A195" i="24"/>
  <c r="A206" i="24"/>
  <c r="A286" i="24"/>
  <c r="A313" i="24"/>
  <c r="A277" i="24"/>
  <c r="A274" i="24"/>
  <c r="A294" i="24"/>
  <c r="A319" i="24"/>
  <c r="A279" i="24"/>
  <c r="A221" i="24"/>
  <c r="A254" i="24"/>
  <c r="A235" i="24"/>
  <c r="A96" i="24"/>
  <c r="A275" i="24"/>
  <c r="A258" i="24"/>
  <c r="A215" i="24"/>
  <c r="A84" i="24"/>
  <c r="A76" i="24"/>
  <c r="A223" i="24"/>
  <c r="A288" i="24"/>
  <c r="A276" i="24"/>
  <c r="A266" i="24"/>
  <c r="A164" i="24"/>
  <c r="A233" i="24"/>
  <c r="A68" i="24"/>
  <c r="A271" i="24"/>
  <c r="A257" i="24"/>
  <c r="A219" i="24"/>
  <c r="A204" i="24"/>
  <c r="A88" i="24"/>
  <c r="A234" i="24"/>
  <c r="A225" i="24"/>
  <c r="A53" i="24"/>
  <c r="A183" i="24"/>
  <c r="A120" i="24"/>
  <c r="A306" i="24"/>
  <c r="A50" i="24"/>
  <c r="A202" i="24"/>
  <c r="A77" i="24"/>
  <c r="A217" i="24"/>
  <c r="A159" i="24"/>
  <c r="A116" i="24"/>
  <c r="A307" i="24"/>
  <c r="A128" i="24"/>
  <c r="A268" i="24"/>
  <c r="A265" i="24"/>
  <c r="A188" i="24"/>
  <c r="A214" i="24"/>
  <c r="A104" i="24"/>
  <c r="A72" i="24"/>
  <c r="A330" i="24"/>
  <c r="A64" i="24"/>
  <c r="A323" i="24"/>
  <c r="A99" i="24"/>
  <c r="A284" i="24"/>
  <c r="A261" i="24"/>
  <c r="A132" i="24"/>
  <c r="A83" i="24"/>
  <c r="A246" i="24"/>
  <c r="A172" i="24"/>
  <c r="A216" i="24"/>
  <c r="A186" i="24"/>
  <c r="A168" i="24"/>
  <c r="A227" i="24"/>
  <c r="A213" i="24"/>
  <c r="A240" i="24"/>
  <c r="A208" i="24"/>
  <c r="A119" i="24"/>
  <c r="A100" i="24"/>
  <c r="A57" i="24"/>
  <c r="A193" i="24"/>
  <c r="A115" i="24"/>
  <c r="A224" i="24"/>
  <c r="A136" i="24"/>
  <c r="A167" i="24"/>
  <c r="A54" i="24"/>
  <c r="A93" i="24"/>
  <c r="A41" i="24"/>
  <c r="A42" i="24"/>
  <c r="A184" i="24"/>
  <c r="A300" i="24"/>
  <c r="A241" i="24"/>
  <c r="A253" i="24"/>
  <c r="A292" i="24"/>
  <c r="A200" i="24"/>
  <c r="A176" i="24"/>
  <c r="A137" i="24"/>
  <c r="A140" i="24"/>
  <c r="A238" i="24"/>
  <c r="A242" i="24"/>
  <c r="A67" i="24"/>
  <c r="A91" i="24"/>
  <c r="A151" i="24"/>
  <c r="A272" i="24"/>
  <c r="A231" i="24"/>
  <c r="A232" i="24"/>
  <c r="A85" i="24"/>
  <c r="A237" i="24"/>
  <c r="A143" i="24"/>
  <c r="A92" i="24"/>
  <c r="A156" i="24"/>
  <c r="A62" i="24"/>
  <c r="A309" i="24"/>
  <c r="A249" i="24"/>
  <c r="A250" i="24"/>
  <c r="A112" i="24"/>
  <c r="A239" i="24"/>
  <c r="A61" i="24"/>
  <c r="A49" i="24"/>
  <c r="A75" i="24"/>
  <c r="A229" i="24"/>
  <c r="A109" i="24"/>
  <c r="A124" i="24"/>
  <c r="A210" i="24"/>
  <c r="A121" i="24"/>
  <c r="A280" i="24"/>
  <c r="A169" i="24"/>
  <c r="A296" i="24"/>
  <c r="A211" i="24"/>
  <c r="A80" i="24"/>
  <c r="A175" i="24"/>
  <c r="A262" i="24"/>
  <c r="A148" i="24"/>
  <c r="A209" i="24"/>
  <c r="A207" i="24"/>
  <c r="A160" i="24"/>
  <c r="A127" i="24"/>
  <c r="A199" i="24"/>
  <c r="A69" i="24"/>
  <c r="A226" i="24"/>
  <c r="A192" i="24"/>
  <c r="A152" i="24"/>
  <c r="A230" i="24"/>
  <c r="A144" i="24"/>
  <c r="A108" i="24"/>
  <c r="A331" i="24"/>
  <c r="A153" i="24"/>
  <c r="A322" i="24"/>
  <c r="A196" i="24"/>
  <c r="A107" i="24"/>
  <c r="A222" i="24"/>
  <c r="A218" i="24"/>
  <c r="A58" i="24"/>
  <c r="A304" i="24"/>
  <c r="A243" i="24"/>
  <c r="A101" i="24"/>
  <c r="A310" i="24"/>
  <c r="A194" i="24"/>
  <c r="A180" i="24"/>
  <c r="A135" i="24"/>
  <c r="A191" i="24"/>
  <c r="BI43" i="24"/>
  <c r="BI50" i="24"/>
  <c r="BI117" i="24"/>
  <c r="BI288" i="24"/>
  <c r="BI184" i="24"/>
  <c r="BI239" i="24"/>
  <c r="BI63" i="24"/>
  <c r="BI133" i="24"/>
  <c r="BI166" i="24"/>
  <c r="BI188" i="24"/>
  <c r="BI98" i="24"/>
  <c r="BI266" i="24"/>
  <c r="BI310" i="24"/>
  <c r="BI92" i="24"/>
  <c r="BI190" i="24"/>
  <c r="BI200" i="24"/>
  <c r="BI66" i="24"/>
  <c r="BI302" i="24"/>
  <c r="BI97" i="24"/>
  <c r="BI36" i="24"/>
  <c r="BI35" i="24" s="1"/>
  <c r="BI114" i="24"/>
  <c r="BI284" i="24"/>
  <c r="BI329" i="24"/>
  <c r="BI108" i="24"/>
  <c r="BI192" i="24"/>
  <c r="BI150" i="24"/>
  <c r="BI82" i="24"/>
  <c r="BI304" i="24"/>
  <c r="BI54" i="24"/>
  <c r="BI300" i="24"/>
  <c r="BI118" i="24"/>
  <c r="BI62" i="24"/>
  <c r="BI165" i="24"/>
  <c r="BI65" i="24"/>
  <c r="BI286" i="24"/>
  <c r="BI182" i="24"/>
  <c r="BI113" i="24"/>
  <c r="BI81" i="24"/>
  <c r="BI76" i="24"/>
  <c r="BI149" i="24"/>
  <c r="BI38" i="24"/>
  <c r="BI58" i="24"/>
  <c r="BI331" i="24"/>
  <c r="BI134" i="24"/>
  <c r="BI45" i="24"/>
  <c r="BI93" i="24"/>
  <c r="BI109" i="24"/>
  <c r="BI39" i="24"/>
  <c r="BI44" i="24"/>
  <c r="BI47" i="24"/>
  <c r="BI90" i="24"/>
  <c r="BI120" i="24"/>
  <c r="BI125" i="24"/>
  <c r="BI144" i="24"/>
  <c r="BI168" i="24"/>
  <c r="BI173" i="24"/>
  <c r="BI176" i="24"/>
  <c r="BI250" i="24"/>
  <c r="BI270" i="24"/>
  <c r="BI282" i="24"/>
  <c r="BJ10" i="24"/>
  <c r="BO38" i="24" s="1"/>
  <c r="BR38" i="24" s="1"/>
  <c r="BI145" i="24"/>
  <c r="BI258" i="24"/>
  <c r="BI68" i="24"/>
  <c r="BI73" i="24"/>
  <c r="BI106" i="24"/>
  <c r="BI136" i="24"/>
  <c r="BI141" i="24"/>
  <c r="BI160" i="24"/>
  <c r="BI181" i="24"/>
  <c r="BI161" i="24"/>
  <c r="BI46" i="24"/>
  <c r="BI69" i="24"/>
  <c r="BI85" i="24"/>
  <c r="BI101" i="24"/>
  <c r="BI115" i="24"/>
  <c r="BI121" i="24"/>
  <c r="BI332" i="24"/>
  <c r="BI100" i="24"/>
  <c r="BI105" i="24"/>
  <c r="BI128" i="24"/>
  <c r="BI208" i="24"/>
  <c r="BI215" i="24"/>
  <c r="BI169" i="24"/>
  <c r="BI129" i="24"/>
  <c r="BI148" i="24"/>
  <c r="BI152" i="24"/>
  <c r="BI157" i="24"/>
  <c r="BI37" i="24"/>
  <c r="BI132" i="24"/>
  <c r="BI164" i="24"/>
  <c r="BI298" i="24"/>
  <c r="BI294" i="24"/>
  <c r="BI142" i="24"/>
  <c r="BI174" i="24"/>
  <c r="BI280" i="24"/>
  <c r="BI74" i="24"/>
  <c r="BI204" i="24"/>
  <c r="BI116" i="24"/>
  <c r="BI321" i="24"/>
  <c r="BI55" i="24"/>
  <c r="BI59" i="24"/>
  <c r="BI223" i="24"/>
  <c r="BI254" i="24"/>
  <c r="BI193" i="24"/>
  <c r="BI276" i="24"/>
  <c r="BI290" i="24"/>
  <c r="BI255" i="24"/>
  <c r="BI273" i="24"/>
  <c r="BI285" i="24"/>
  <c r="BI293" i="24"/>
  <c r="BI301" i="24"/>
  <c r="BI323" i="24"/>
  <c r="BI330" i="24"/>
  <c r="BI320" i="24"/>
  <c r="BI244" i="24"/>
  <c r="BI89" i="24"/>
  <c r="BI177" i="24"/>
  <c r="BI51" i="24"/>
  <c r="BI137" i="24"/>
  <c r="BI153" i="24"/>
  <c r="BI180" i="24"/>
  <c r="BI126" i="24"/>
  <c r="BI231" i="24"/>
  <c r="BI262" i="24"/>
  <c r="BI185" i="24"/>
  <c r="BI259" i="24"/>
  <c r="BI308" i="24"/>
  <c r="BI312" i="24"/>
  <c r="BI319" i="24"/>
  <c r="BI292" i="24"/>
  <c r="BI77" i="24"/>
  <c r="BI246" i="24"/>
  <c r="BI201" i="24"/>
  <c r="BI267" i="24"/>
  <c r="BI263" i="24"/>
  <c r="BI311" i="24"/>
  <c r="BI324" i="24"/>
  <c r="BI316" i="24"/>
  <c r="BI327" i="24"/>
  <c r="BI307" i="24"/>
  <c r="BI206" i="24"/>
  <c r="BI158" i="24"/>
  <c r="BI209" i="24"/>
  <c r="BI251" i="24"/>
  <c r="BI315" i="24"/>
  <c r="BI305" i="24"/>
  <c r="BI84" i="24"/>
  <c r="BI42" i="24"/>
  <c r="BI272" i="24"/>
  <c r="BI297" i="24"/>
  <c r="BI322" i="24"/>
  <c r="BI296" i="24"/>
  <c r="BI247" i="24"/>
  <c r="BI314" i="24"/>
  <c r="BI198" i="24"/>
  <c r="BI281" i="24"/>
  <c r="BI277" i="24"/>
  <c r="BI289" i="24"/>
  <c r="BI328" i="24"/>
  <c r="BI191" i="24"/>
  <c r="BI178" i="24"/>
  <c r="BI309" i="24"/>
  <c r="BI67" i="24"/>
  <c r="BI139" i="24"/>
  <c r="BI210" i="24"/>
  <c r="BI287" i="24"/>
  <c r="BI252" i="24"/>
  <c r="BI291" i="24"/>
  <c r="BI279" i="24"/>
  <c r="BI135" i="24"/>
  <c r="BI325" i="24"/>
  <c r="BI260" i="24"/>
  <c r="BI175" i="24"/>
  <c r="BI218" i="24"/>
  <c r="BI189" i="24"/>
  <c r="BI211" i="24"/>
  <c r="BI171" i="24"/>
  <c r="BI227" i="24"/>
  <c r="BI230" i="24"/>
  <c r="BI242" i="24"/>
  <c r="BI80" i="24"/>
  <c r="BI147" i="24"/>
  <c r="BI154" i="24"/>
  <c r="BI61" i="24"/>
  <c r="BI269" i="24"/>
  <c r="BI237" i="24"/>
  <c r="BI110" i="24"/>
  <c r="BI196" i="24"/>
  <c r="BI187" i="24"/>
  <c r="BI220" i="24"/>
  <c r="BI53" i="24"/>
  <c r="BI194" i="24"/>
  <c r="BI221" i="24"/>
  <c r="BI334" i="24"/>
  <c r="BI159" i="24"/>
  <c r="BI64" i="24"/>
  <c r="BI111" i="24"/>
  <c r="BI203" i="24"/>
  <c r="BI179" i="24"/>
  <c r="BI41" i="24"/>
  <c r="BI124" i="24"/>
  <c r="BI70" i="24"/>
  <c r="BI163" i="24"/>
  <c r="BI140" i="24"/>
  <c r="BI283" i="24"/>
  <c r="BI274" i="24"/>
  <c r="BI264" i="24"/>
  <c r="BI240" i="24"/>
  <c r="BI103" i="24"/>
  <c r="BI232" i="24"/>
  <c r="BI249" i="24"/>
  <c r="BI143" i="24"/>
  <c r="BI122" i="24"/>
  <c r="BI183" i="24"/>
  <c r="BI202" i="24"/>
  <c r="BI205" i="24"/>
  <c r="BI71" i="24"/>
  <c r="BI170" i="24"/>
  <c r="BI229" i="24"/>
  <c r="BI49" i="24"/>
  <c r="BI243" i="24"/>
  <c r="BI138" i="24"/>
  <c r="BI57" i="24"/>
  <c r="BI146" i="24"/>
  <c r="BI226" i="24"/>
  <c r="BI195" i="24"/>
  <c r="BI94" i="24"/>
  <c r="BI48" i="24"/>
  <c r="BI131" i="24"/>
  <c r="BI333" i="24"/>
  <c r="BI278" i="24"/>
  <c r="BI261" i="24"/>
  <c r="BI88" i="24"/>
  <c r="BI326" i="24"/>
  <c r="BI253" i="24"/>
  <c r="BI199" i="24"/>
  <c r="BI72" i="24"/>
  <c r="BI162" i="24"/>
  <c r="BI317" i="24"/>
  <c r="BI275" i="24"/>
  <c r="BI225" i="24"/>
  <c r="BI186" i="24"/>
  <c r="BI295" i="24"/>
  <c r="BI224" i="24"/>
  <c r="BI99" i="24"/>
  <c r="BI245" i="24"/>
  <c r="BI299" i="24"/>
  <c r="BI167" i="24"/>
  <c r="BI306" i="24"/>
  <c r="BI265" i="24"/>
  <c r="BI222" i="24"/>
  <c r="BI104" i="24"/>
  <c r="BI107" i="24"/>
  <c r="BI214" i="24"/>
  <c r="BI155" i="24"/>
  <c r="BI151" i="24"/>
  <c r="BI40" i="24"/>
  <c r="BI112" i="24"/>
  <c r="BI238" i="24"/>
  <c r="BI271" i="24"/>
  <c r="BI303" i="24"/>
  <c r="BI216" i="24"/>
  <c r="BI241" i="24"/>
  <c r="BI318" i="24"/>
  <c r="BI248" i="24"/>
  <c r="BI60" i="24"/>
  <c r="BI207" i="24"/>
  <c r="BI79" i="24"/>
  <c r="BI119" i="24"/>
  <c r="BI91" i="24"/>
  <c r="BI268" i="24"/>
  <c r="BI228" i="24"/>
  <c r="BI130" i="24"/>
  <c r="BI197" i="24"/>
  <c r="BI236" i="24"/>
  <c r="BI86" i="24"/>
  <c r="BI235" i="24"/>
  <c r="BI87" i="24"/>
  <c r="BI123" i="24"/>
  <c r="BI52" i="24"/>
  <c r="BI95" i="24"/>
  <c r="BI313" i="24"/>
  <c r="BI75" i="24"/>
  <c r="BI256" i="24"/>
  <c r="BI172" i="24"/>
  <c r="BI56" i="24"/>
  <c r="BI156" i="24"/>
  <c r="BI219" i="24"/>
  <c r="BI102" i="24"/>
  <c r="BI234" i="24"/>
  <c r="BI127" i="24"/>
  <c r="BI257" i="24"/>
  <c r="BI217" i="24"/>
  <c r="BI233" i="24"/>
  <c r="BI83" i="24"/>
  <c r="BI212" i="24"/>
  <c r="BI213" i="24"/>
  <c r="BI96" i="24"/>
  <c r="BI78" i="24"/>
  <c r="BI335" i="24"/>
  <c r="Z10" i="22"/>
  <c r="AE38" i="22" s="1"/>
  <c r="AH38" i="22" s="1"/>
  <c r="Y45" i="22"/>
  <c r="Y57" i="22"/>
  <c r="Y71" i="22"/>
  <c r="Y123" i="22"/>
  <c r="Y46" i="22"/>
  <c r="Y50" i="22"/>
  <c r="Y44" i="22"/>
  <c r="Y53" i="22"/>
  <c r="Y75" i="22"/>
  <c r="Y51" i="22"/>
  <c r="Y47" i="22"/>
  <c r="Y65" i="22"/>
  <c r="Y72" i="22"/>
  <c r="Y87" i="22"/>
  <c r="Y67" i="22"/>
  <c r="Y80" i="22"/>
  <c r="Y64" i="22"/>
  <c r="Y39" i="22"/>
  <c r="Y83" i="22"/>
  <c r="Y54" i="22"/>
  <c r="Y37" i="22"/>
  <c r="Y41" i="22"/>
  <c r="Y127" i="22"/>
  <c r="Y91" i="22"/>
  <c r="Y59" i="22"/>
  <c r="Y40" i="22"/>
  <c r="Y73" i="22"/>
  <c r="Y55" i="22"/>
  <c r="Y43" i="22"/>
  <c r="Y63" i="22"/>
  <c r="Y107" i="22"/>
  <c r="Y103" i="22"/>
  <c r="Y79" i="22"/>
  <c r="Y38" i="22"/>
  <c r="Y119" i="22"/>
  <c r="Y111" i="22"/>
  <c r="Y36" i="22"/>
  <c r="Y299" i="22"/>
  <c r="Y116" i="22"/>
  <c r="Y155" i="22"/>
  <c r="Y223" i="22"/>
  <c r="Y49" i="22"/>
  <c r="Y112" i="22"/>
  <c r="Y205" i="22"/>
  <c r="Y211" i="22"/>
  <c r="Y225" i="22"/>
  <c r="Y250" i="22"/>
  <c r="Y317" i="22"/>
  <c r="Y324" i="22"/>
  <c r="Y92" i="22"/>
  <c r="Y140" i="22"/>
  <c r="Y148" i="22"/>
  <c r="Y156" i="22"/>
  <c r="Y163" i="22"/>
  <c r="Y194" i="22"/>
  <c r="Y60" i="22"/>
  <c r="Y144" i="22"/>
  <c r="Y188" i="22"/>
  <c r="Y286" i="22"/>
  <c r="Y84" i="22"/>
  <c r="Y100" i="22"/>
  <c r="Y115" i="22"/>
  <c r="Y136" i="22"/>
  <c r="Y152" i="22"/>
  <c r="Y213" i="22"/>
  <c r="Y128" i="22"/>
  <c r="Y217" i="22"/>
  <c r="Y108" i="22"/>
  <c r="Y235" i="22"/>
  <c r="Y284" i="22"/>
  <c r="Y78" i="22"/>
  <c r="Y99" i="22"/>
  <c r="Y204" i="22"/>
  <c r="Y104" i="22"/>
  <c r="Y169" i="22"/>
  <c r="Y207" i="22"/>
  <c r="Y195" i="22"/>
  <c r="Y180" i="22"/>
  <c r="Y184" i="22"/>
  <c r="Y280" i="22"/>
  <c r="Y289" i="22"/>
  <c r="Y70" i="22"/>
  <c r="Y147" i="22"/>
  <c r="Y132" i="22"/>
  <c r="Y209" i="22"/>
  <c r="Y229" i="22"/>
  <c r="Y164" i="22"/>
  <c r="Y183" i="22"/>
  <c r="Y247" i="22"/>
  <c r="Y301" i="22"/>
  <c r="Y272" i="22"/>
  <c r="Y287" i="22"/>
  <c r="Y278" i="22"/>
  <c r="Y266" i="22"/>
  <c r="Y276" i="22"/>
  <c r="Y302" i="22"/>
  <c r="Y328" i="22"/>
  <c r="Y312" i="22"/>
  <c r="Y334" i="22"/>
  <c r="Y325" i="22"/>
  <c r="Y297" i="22"/>
  <c r="Y131" i="22"/>
  <c r="Y95" i="22"/>
  <c r="Y151" i="22"/>
  <c r="Y161" i="22"/>
  <c r="Y139" i="22"/>
  <c r="Y48" i="22"/>
  <c r="Y81" i="22"/>
  <c r="Y172" i="22"/>
  <c r="Y233" i="22"/>
  <c r="Y259" i="22"/>
  <c r="Y187" i="22"/>
  <c r="Y215" i="22"/>
  <c r="Y270" i="22"/>
  <c r="Y212" i="22"/>
  <c r="Y220" i="22"/>
  <c r="Y228" i="22"/>
  <c r="Y246" i="22"/>
  <c r="Y273" i="22"/>
  <c r="Y314" i="22"/>
  <c r="Y321" i="22"/>
  <c r="Y333" i="22"/>
  <c r="Y68" i="22"/>
  <c r="Y135" i="22"/>
  <c r="Y263" i="22"/>
  <c r="Y320" i="22"/>
  <c r="Y203" i="22"/>
  <c r="Y254" i="22"/>
  <c r="Y281" i="22"/>
  <c r="Y232" i="22"/>
  <c r="Y243" i="22"/>
  <c r="Y267" i="22"/>
  <c r="Y227" i="22"/>
  <c r="Y242" i="22"/>
  <c r="Y199" i="22"/>
  <c r="Y244" i="22"/>
  <c r="Y285" i="22"/>
  <c r="Y329" i="22"/>
  <c r="Y335" i="22"/>
  <c r="Y298" i="22"/>
  <c r="Y89" i="22"/>
  <c r="Y76" i="22"/>
  <c r="Y239" i="22"/>
  <c r="Y294" i="22"/>
  <c r="Y290" i="22"/>
  <c r="Y221" i="22"/>
  <c r="Y143" i="22"/>
  <c r="Y177" i="22"/>
  <c r="Y120" i="22"/>
  <c r="Y171" i="22"/>
  <c r="Y219" i="22"/>
  <c r="Y238" i="22"/>
  <c r="Y236" i="22"/>
  <c r="Y191" i="22"/>
  <c r="Y231" i="22"/>
  <c r="Y208" i="22"/>
  <c r="Y255" i="22"/>
  <c r="Y306" i="22"/>
  <c r="Y262" i="22"/>
  <c r="Y295" i="22"/>
  <c r="Y310" i="22"/>
  <c r="Y316" i="22"/>
  <c r="Y96" i="22"/>
  <c r="Y62" i="22"/>
  <c r="Y198" i="22"/>
  <c r="Y251" i="22"/>
  <c r="Y305" i="22"/>
  <c r="Y224" i="22"/>
  <c r="Y332" i="22"/>
  <c r="Y179" i="22"/>
  <c r="Y196" i="22"/>
  <c r="Y124" i="22"/>
  <c r="Y202" i="22"/>
  <c r="Y216" i="22"/>
  <c r="Y258" i="22"/>
  <c r="Y277" i="22"/>
  <c r="Y308" i="22"/>
  <c r="Y307" i="22"/>
  <c r="Y85" i="22"/>
  <c r="Y237" i="22"/>
  <c r="Y327" i="22"/>
  <c r="Y214" i="22"/>
  <c r="Y193" i="22"/>
  <c r="Y167" i="22"/>
  <c r="Y241" i="22"/>
  <c r="Y313" i="22"/>
  <c r="Y230" i="22"/>
  <c r="Y166" i="22"/>
  <c r="Y74" i="22"/>
  <c r="Y42" i="22"/>
  <c r="Y249" i="22"/>
  <c r="Y157" i="22"/>
  <c r="Y61" i="22"/>
  <c r="Y137" i="22"/>
  <c r="Y234" i="22"/>
  <c r="Y170" i="22"/>
  <c r="Y165" i="22"/>
  <c r="Y190" i="22"/>
  <c r="Y118" i="22"/>
  <c r="Y129" i="22"/>
  <c r="Y122" i="22"/>
  <c r="Y102" i="22"/>
  <c r="Y69" i="22"/>
  <c r="Y125" i="22"/>
  <c r="Y269" i="22"/>
  <c r="Y146" i="22"/>
  <c r="Y109" i="22"/>
  <c r="Y126" i="22"/>
  <c r="Y110" i="22"/>
  <c r="Y222" i="22"/>
  <c r="Y261" i="22"/>
  <c r="Y153" i="22"/>
  <c r="Y168" i="22"/>
  <c r="Y326" i="22"/>
  <c r="Y274" i="22"/>
  <c r="Y330" i="22"/>
  <c r="Y275" i="22"/>
  <c r="Y292" i="22"/>
  <c r="Y97" i="22"/>
  <c r="Y315" i="22"/>
  <c r="Y182" i="22"/>
  <c r="Y260" i="22"/>
  <c r="Y268" i="22"/>
  <c r="Y93" i="22"/>
  <c r="Y162" i="22"/>
  <c r="Y58" i="22"/>
  <c r="Y331" i="22"/>
  <c r="Y311" i="22"/>
  <c r="Y293" i="22"/>
  <c r="Y271" i="22"/>
  <c r="Y319" i="22"/>
  <c r="Y174" i="22"/>
  <c r="Y130" i="22"/>
  <c r="Y105" i="22"/>
  <c r="Y226" i="22"/>
  <c r="Y283" i="22"/>
  <c r="Y257" i="22"/>
  <c r="Y98" i="22"/>
  <c r="Y82" i="22"/>
  <c r="Y189" i="22"/>
  <c r="Y173" i="22"/>
  <c r="Y138" i="22"/>
  <c r="Y106" i="22"/>
  <c r="Y56" i="22"/>
  <c r="Y160" i="22"/>
  <c r="Y66" i="22"/>
  <c r="Y245" i="22"/>
  <c r="Y117" i="22"/>
  <c r="Y185" i="22"/>
  <c r="Y256" i="22"/>
  <c r="Y121" i="22"/>
  <c r="Y296" i="22"/>
  <c r="Y265" i="22"/>
  <c r="Y197" i="22"/>
  <c r="Y90" i="22"/>
  <c r="Y200" i="22"/>
  <c r="Y141" i="22"/>
  <c r="Y150" i="22"/>
  <c r="Y186" i="22"/>
  <c r="Y88" i="22"/>
  <c r="Y133" i="22"/>
  <c r="Y175" i="22"/>
  <c r="Y149" i="22"/>
  <c r="Y113" i="22"/>
  <c r="Y206" i="22"/>
  <c r="Y52" i="22"/>
  <c r="Y178" i="22"/>
  <c r="Y176" i="22"/>
  <c r="Y304" i="22"/>
  <c r="Y279" i="22"/>
  <c r="Y134" i="22"/>
  <c r="Y159" i="22"/>
  <c r="Y309" i="22"/>
  <c r="Y218" i="22"/>
  <c r="Y322" i="22"/>
  <c r="Y86" i="22"/>
  <c r="Y303" i="22"/>
  <c r="Y253" i="22"/>
  <c r="Y77" i="22"/>
  <c r="Y142" i="22"/>
  <c r="Y300" i="22"/>
  <c r="Y291" i="22"/>
  <c r="Y210" i="22"/>
  <c r="Y192" i="22"/>
  <c r="Y145" i="22"/>
  <c r="Y114" i="22"/>
  <c r="Y181" i="22"/>
  <c r="Y201" i="22"/>
  <c r="Y154" i="22"/>
  <c r="Y94" i="22"/>
  <c r="Y323" i="22"/>
  <c r="Y101" i="22"/>
  <c r="Y240" i="22"/>
  <c r="Y252" i="22"/>
  <c r="Y264" i="22"/>
  <c r="Y248" i="22"/>
  <c r="Y288" i="22"/>
  <c r="Y282" i="22"/>
  <c r="Y318" i="22"/>
  <c r="Y158" i="22"/>
  <c r="CG208" i="22"/>
  <c r="CG73" i="22"/>
  <c r="CG57" i="22"/>
  <c r="CH10" i="22"/>
  <c r="CM38" i="22" s="1"/>
  <c r="CP38" i="22" s="1"/>
  <c r="CG65" i="22"/>
  <c r="CG228" i="22"/>
  <c r="CG49" i="22"/>
  <c r="CG66" i="22"/>
  <c r="CG83" i="22"/>
  <c r="CG102" i="22"/>
  <c r="CG38" i="22"/>
  <c r="CG42" i="22"/>
  <c r="CG91" i="22"/>
  <c r="CG114" i="22"/>
  <c r="CG130" i="22"/>
  <c r="CG58" i="22"/>
  <c r="CG71" i="22"/>
  <c r="CG94" i="22"/>
  <c r="CG118" i="22"/>
  <c r="CG40" i="22"/>
  <c r="CG48" i="22"/>
  <c r="CG75" i="22"/>
  <c r="CG142" i="22"/>
  <c r="CG45" i="22"/>
  <c r="CG39" i="22"/>
  <c r="CG43" i="22"/>
  <c r="CG54" i="22"/>
  <c r="CG70" i="22"/>
  <c r="CG79" i="22"/>
  <c r="CG53" i="22"/>
  <c r="CG67" i="22"/>
  <c r="CG98" i="22"/>
  <c r="CG103" i="22"/>
  <c r="CG47" i="22"/>
  <c r="CG150" i="22"/>
  <c r="CG62" i="22"/>
  <c r="CG78" i="22"/>
  <c r="CG139" i="22"/>
  <c r="CG44" i="22"/>
  <c r="CG63" i="22"/>
  <c r="CG76" i="22"/>
  <c r="CG106" i="22"/>
  <c r="CG214" i="22"/>
  <c r="CG59" i="22"/>
  <c r="CG119" i="22"/>
  <c r="CG110" i="22"/>
  <c r="CG134" i="22"/>
  <c r="CG50" i="22"/>
  <c r="CG126" i="22"/>
  <c r="CG220" i="22"/>
  <c r="CG37" i="22"/>
  <c r="CG86" i="22"/>
  <c r="CG60" i="22"/>
  <c r="CG181" i="22"/>
  <c r="CG147" i="22"/>
  <c r="CG46" i="22"/>
  <c r="CG155" i="22"/>
  <c r="CG74" i="22"/>
  <c r="CG68" i="22"/>
  <c r="CG52" i="22"/>
  <c r="CG122" i="22"/>
  <c r="CG87" i="22"/>
  <c r="CG292" i="22"/>
  <c r="CG199" i="22"/>
  <c r="CG127" i="22"/>
  <c r="CG135" i="22"/>
  <c r="CG143" i="22"/>
  <c r="CG151" i="22"/>
  <c r="CG166" i="22"/>
  <c r="CG275" i="22"/>
  <c r="CG316" i="22"/>
  <c r="CG92" i="22"/>
  <c r="CG123" i="22"/>
  <c r="CG36" i="22"/>
  <c r="CG335" i="22"/>
  <c r="CG224" i="22"/>
  <c r="CG115" i="22"/>
  <c r="CG183" i="22"/>
  <c r="CG197" i="22"/>
  <c r="CG99" i="22"/>
  <c r="CG172" i="22"/>
  <c r="CG198" i="22"/>
  <c r="CG222" i="22"/>
  <c r="CG230" i="22"/>
  <c r="CG164" i="22"/>
  <c r="CG206" i="22"/>
  <c r="CG283" i="22"/>
  <c r="CG131" i="22"/>
  <c r="CG84" i="22"/>
  <c r="CG323" i="22"/>
  <c r="CG239" i="22"/>
  <c r="CG266" i="22"/>
  <c r="CG186" i="22"/>
  <c r="CG201" i="22"/>
  <c r="CG234" i="22"/>
  <c r="CG284" i="22"/>
  <c r="CG246" i="22"/>
  <c r="CG253" i="22"/>
  <c r="CG281" i="22"/>
  <c r="CG279" i="22"/>
  <c r="CG305" i="22"/>
  <c r="CG307" i="22"/>
  <c r="CG315" i="22"/>
  <c r="CG328" i="22"/>
  <c r="CG306" i="22"/>
  <c r="CG158" i="22"/>
  <c r="CG327" i="22"/>
  <c r="CG154" i="22"/>
  <c r="CG210" i="22"/>
  <c r="CG290" i="22"/>
  <c r="CG226" i="22"/>
  <c r="CG167" i="22"/>
  <c r="CG187" i="22"/>
  <c r="CG241" i="22"/>
  <c r="CG245" i="22"/>
  <c r="CG190" i="22"/>
  <c r="CG304" i="22"/>
  <c r="CG194" i="22"/>
  <c r="CG207" i="22"/>
  <c r="CG215" i="22"/>
  <c r="CG223" i="22"/>
  <c r="CG231" i="22"/>
  <c r="CG247" i="22"/>
  <c r="CG268" i="22"/>
  <c r="CG272" i="22"/>
  <c r="CG276" i="22"/>
  <c r="CG301" i="22"/>
  <c r="CG309" i="22"/>
  <c r="CG324" i="22"/>
  <c r="CG107" i="22"/>
  <c r="CG218" i="22"/>
  <c r="CG257" i="22"/>
  <c r="CG146" i="22"/>
  <c r="CG193" i="22"/>
  <c r="CG254" i="22"/>
  <c r="CG250" i="22"/>
  <c r="CG289" i="22"/>
  <c r="CG227" i="22"/>
  <c r="CG298" i="22"/>
  <c r="CG95" i="22"/>
  <c r="CG138" i="22"/>
  <c r="CG159" i="22"/>
  <c r="CG175" i="22"/>
  <c r="CG237" i="22"/>
  <c r="CG242" i="22"/>
  <c r="CG273" i="22"/>
  <c r="CG293" i="22"/>
  <c r="CG267" i="22"/>
  <c r="CG111" i="22"/>
  <c r="CG216" i="22"/>
  <c r="CG238" i="22"/>
  <c r="CG287" i="22"/>
  <c r="CG202" i="22"/>
  <c r="CG211" i="22"/>
  <c r="CG249" i="22"/>
  <c r="CG258" i="22"/>
  <c r="CG265" i="22"/>
  <c r="CG331" i="22"/>
  <c r="CG313" i="22"/>
  <c r="CG332" i="22"/>
  <c r="CG288" i="22"/>
  <c r="CG280" i="22"/>
  <c r="CG297" i="22"/>
  <c r="CG319" i="22"/>
  <c r="CG320" i="22"/>
  <c r="CG212" i="22"/>
  <c r="CG262" i="22"/>
  <c r="CG300" i="22"/>
  <c r="CG174" i="22"/>
  <c r="CG232" i="22"/>
  <c r="CG191" i="22"/>
  <c r="CG182" i="22"/>
  <c r="CG219" i="22"/>
  <c r="CG261" i="22"/>
  <c r="CG311" i="22"/>
  <c r="CG269" i="22"/>
  <c r="CG225" i="22"/>
  <c r="CG333" i="22"/>
  <c r="CG176" i="22"/>
  <c r="CG233" i="22"/>
  <c r="CG260" i="22"/>
  <c r="CG278" i="22"/>
  <c r="CG82" i="22"/>
  <c r="CG109" i="22"/>
  <c r="CG51" i="22"/>
  <c r="CG195" i="22"/>
  <c r="CG165" i="22"/>
  <c r="CG105" i="22"/>
  <c r="CG317" i="22"/>
  <c r="CG274" i="22"/>
  <c r="CG330" i="22"/>
  <c r="CG286" i="22"/>
  <c r="CG205" i="22"/>
  <c r="CG192" i="22"/>
  <c r="CG184" i="22"/>
  <c r="CG85" i="22"/>
  <c r="CG149" i="22"/>
  <c r="CG124" i="22"/>
  <c r="CG81" i="22"/>
  <c r="CG163" i="22"/>
  <c r="CG326" i="22"/>
  <c r="CG188" i="22"/>
  <c r="CG285" i="22"/>
  <c r="CG160" i="22"/>
  <c r="CG299" i="22"/>
  <c r="CG270" i="22"/>
  <c r="CG243" i="22"/>
  <c r="CG41" i="22"/>
  <c r="CG89" i="22"/>
  <c r="CG117" i="22"/>
  <c r="CG302" i="22"/>
  <c r="CG240" i="22"/>
  <c r="CG177" i="22"/>
  <c r="CG132" i="22"/>
  <c r="CG55" i="22"/>
  <c r="CG329" i="22"/>
  <c r="CG314" i="22"/>
  <c r="CG291" i="22"/>
  <c r="CG200" i="22"/>
  <c r="CG204" i="22"/>
  <c r="CG93" i="22"/>
  <c r="CG334" i="22"/>
  <c r="CG156" i="22"/>
  <c r="CG294" i="22"/>
  <c r="CG229" i="22"/>
  <c r="CG162" i="22"/>
  <c r="CG178" i="22"/>
  <c r="CG141" i="22"/>
  <c r="CG96" i="22"/>
  <c r="CG171" i="22"/>
  <c r="CG133" i="22"/>
  <c r="CG121" i="22"/>
  <c r="CG180" i="22"/>
  <c r="CG282" i="22"/>
  <c r="CG308" i="22"/>
  <c r="CG252" i="22"/>
  <c r="CG303" i="22"/>
  <c r="CG248" i="22"/>
  <c r="CG161" i="22"/>
  <c r="CG209" i="22"/>
  <c r="CG77" i="22"/>
  <c r="CG153" i="22"/>
  <c r="CG264" i="22"/>
  <c r="CG318" i="22"/>
  <c r="CG312" i="22"/>
  <c r="CG221" i="22"/>
  <c r="CG255" i="22"/>
  <c r="CG168" i="22"/>
  <c r="CG72" i="22"/>
  <c r="CG104" i="22"/>
  <c r="CG152" i="22"/>
  <c r="CG80" i="22"/>
  <c r="CG97" i="22"/>
  <c r="CG185" i="22"/>
  <c r="CG116" i="22"/>
  <c r="CG213" i="22"/>
  <c r="CG137" i="22"/>
  <c r="CG144" i="22"/>
  <c r="CG56" i="22"/>
  <c r="CG100" i="22"/>
  <c r="CG108" i="22"/>
  <c r="CG157" i="22"/>
  <c r="CG277" i="22"/>
  <c r="CG169" i="22"/>
  <c r="CG235" i="22"/>
  <c r="CG64" i="22"/>
  <c r="CG148" i="22"/>
  <c r="CG129" i="22"/>
  <c r="CG136" i="22"/>
  <c r="CG125" i="22"/>
  <c r="CG128" i="22"/>
  <c r="CG295" i="22"/>
  <c r="CG217" i="22"/>
  <c r="CG203" i="22"/>
  <c r="CG296" i="22"/>
  <c r="CG251" i="22"/>
  <c r="CG196" i="22"/>
  <c r="CG259" i="22"/>
  <c r="CG173" i="22"/>
  <c r="CG113" i="22"/>
  <c r="CG120" i="22"/>
  <c r="CG69" i="22"/>
  <c r="CG170" i="22"/>
  <c r="CG101" i="22"/>
  <c r="CG322" i="22"/>
  <c r="CG179" i="22"/>
  <c r="CG61" i="22"/>
  <c r="CG244" i="22"/>
  <c r="CG140" i="22"/>
  <c r="CG325" i="22"/>
  <c r="CG236" i="22"/>
  <c r="CG88" i="22"/>
  <c r="CG310" i="22"/>
  <c r="CG90" i="22"/>
  <c r="CG189" i="22"/>
  <c r="CG271" i="22"/>
  <c r="CG112" i="22"/>
  <c r="CG321" i="22"/>
  <c r="CG256" i="22"/>
  <c r="CG145" i="22"/>
  <c r="CG263" i="22"/>
  <c r="A223" i="22"/>
  <c r="A72" i="22"/>
  <c r="A211" i="22"/>
  <c r="A165" i="22"/>
  <c r="B10" i="22"/>
  <c r="G38" i="22" s="1"/>
  <c r="J38" i="22" s="1"/>
  <c r="A80" i="22"/>
  <c r="A64" i="22"/>
  <c r="A61" i="22"/>
  <c r="A109" i="22"/>
  <c r="A133" i="22"/>
  <c r="A46" i="22"/>
  <c r="A77" i="22"/>
  <c r="A125" i="22"/>
  <c r="A149" i="22"/>
  <c r="A157" i="22"/>
  <c r="A67" i="22"/>
  <c r="A39" i="22"/>
  <c r="A85" i="22"/>
  <c r="A49" i="22"/>
  <c r="A74" i="22"/>
  <c r="A69" i="22"/>
  <c r="A90" i="22"/>
  <c r="A97" i="22"/>
  <c r="A51" i="22"/>
  <c r="A154" i="22"/>
  <c r="A66" i="22"/>
  <c r="A45" i="22"/>
  <c r="A105" i="22"/>
  <c r="A44" i="22"/>
  <c r="A37" i="22"/>
  <c r="A58" i="22"/>
  <c r="A62" i="22"/>
  <c r="A65" i="22"/>
  <c r="A78" i="22"/>
  <c r="A47" i="22"/>
  <c r="A57" i="22"/>
  <c r="A282" i="22"/>
  <c r="A229" i="22"/>
  <c r="A73" i="22"/>
  <c r="A93" i="22"/>
  <c r="A117" i="22"/>
  <c r="A209" i="22"/>
  <c r="A41" i="22"/>
  <c r="A48" i="22"/>
  <c r="A70" i="22"/>
  <c r="A86" i="22"/>
  <c r="A42" i="22"/>
  <c r="A141" i="22"/>
  <c r="A53" i="22"/>
  <c r="A59" i="22"/>
  <c r="A118" i="22"/>
  <c r="A101" i="22"/>
  <c r="A235" i="22"/>
  <c r="A138" i="22"/>
  <c r="A55" i="22"/>
  <c r="A56" i="22"/>
  <c r="A102" i="22"/>
  <c r="A121" i="22"/>
  <c r="A82" i="22"/>
  <c r="A50" i="22"/>
  <c r="A134" i="22"/>
  <c r="A244" i="22"/>
  <c r="A52" i="22"/>
  <c r="A146" i="22"/>
  <c r="A43" i="22"/>
  <c r="A75" i="22"/>
  <c r="A182" i="22"/>
  <c r="A129" i="22"/>
  <c r="A163" i="22"/>
  <c r="A142" i="22"/>
  <c r="A150" i="22"/>
  <c r="A179" i="22"/>
  <c r="A253" i="22"/>
  <c r="A270" i="22"/>
  <c r="A287" i="22"/>
  <c r="A98" i="22"/>
  <c r="A91" i="22"/>
  <c r="A261" i="22"/>
  <c r="A326" i="22"/>
  <c r="A207" i="22"/>
  <c r="A94" i="22"/>
  <c r="A221" i="22"/>
  <c r="A227" i="22"/>
  <c r="A114" i="22"/>
  <c r="A83" i="22"/>
  <c r="A322" i="22"/>
  <c r="A166" i="22"/>
  <c r="A241" i="22"/>
  <c r="A173" i="22"/>
  <c r="A335" i="22"/>
  <c r="A145" i="22"/>
  <c r="A181" i="22"/>
  <c r="A256" i="22"/>
  <c r="A174" i="22"/>
  <c r="A185" i="22"/>
  <c r="A240" i="22"/>
  <c r="A268" i="22"/>
  <c r="A289" i="22"/>
  <c r="A201" i="22"/>
  <c r="A246" i="22"/>
  <c r="A252" i="22"/>
  <c r="A278" i="22"/>
  <c r="A296" i="22"/>
  <c r="A304" i="22"/>
  <c r="A314" i="22"/>
  <c r="A331" i="22"/>
  <c r="A130" i="22"/>
  <c r="A291" i="22"/>
  <c r="A137" i="22"/>
  <c r="A269" i="22"/>
  <c r="A272" i="22"/>
  <c r="A190" i="22"/>
  <c r="A236" i="22"/>
  <c r="A213" i="22"/>
  <c r="A189" i="22"/>
  <c r="A237" i="22"/>
  <c r="A303" i="22"/>
  <c r="A249" i="22"/>
  <c r="A271" i="22"/>
  <c r="A206" i="22"/>
  <c r="A214" i="22"/>
  <c r="A222" i="22"/>
  <c r="A230" i="22"/>
  <c r="A283" i="22"/>
  <c r="A279" i="22"/>
  <c r="A275" i="22"/>
  <c r="A297" i="22"/>
  <c r="A317" i="22"/>
  <c r="A308" i="22"/>
  <c r="A316" i="22"/>
  <c r="A319" i="22"/>
  <c r="A113" i="22"/>
  <c r="A171" i="22"/>
  <c r="A110" i="22"/>
  <c r="A200" i="22"/>
  <c r="A186" i="22"/>
  <c r="A265" i="22"/>
  <c r="A198" i="22"/>
  <c r="A233" i="22"/>
  <c r="A299" i="22"/>
  <c r="A218" i="22"/>
  <c r="A245" i="22"/>
  <c r="A126" i="22"/>
  <c r="A210" i="22"/>
  <c r="A264" i="22"/>
  <c r="A318" i="22"/>
  <c r="A153" i="22"/>
  <c r="A122" i="22"/>
  <c r="A231" i="22"/>
  <c r="A215" i="22"/>
  <c r="A310" i="22"/>
  <c r="A323" i="22"/>
  <c r="A36" i="22"/>
  <c r="A225" i="22"/>
  <c r="A158" i="22"/>
  <c r="A219" i="22"/>
  <c r="A286" i="22"/>
  <c r="A217" i="22"/>
  <c r="A274" i="22"/>
  <c r="A226" i="22"/>
  <c r="A248" i="22"/>
  <c r="A288" i="22"/>
  <c r="A280" i="22"/>
  <c r="A312" i="22"/>
  <c r="A327" i="22"/>
  <c r="A260" i="22"/>
  <c r="A330" i="22"/>
  <c r="A334" i="22"/>
  <c r="A106" i="22"/>
  <c r="A238" i="22"/>
  <c r="A257" i="22"/>
  <c r="A193" i="22"/>
  <c r="A234" i="22"/>
  <c r="A292" i="22"/>
  <c r="A300" i="22"/>
  <c r="A120" i="22"/>
  <c r="A139" i="22"/>
  <c r="A294" i="22"/>
  <c r="A273" i="22"/>
  <c r="A267" i="22"/>
  <c r="A172" i="22"/>
  <c r="A160" i="22"/>
  <c r="A128" i="22"/>
  <c r="A180" i="22"/>
  <c r="A167" i="22"/>
  <c r="A60" i="22"/>
  <c r="A332" i="22"/>
  <c r="A295" i="22"/>
  <c r="A242" i="22"/>
  <c r="A254" i="22"/>
  <c r="A320" i="22"/>
  <c r="A195" i="22"/>
  <c r="A175" i="22"/>
  <c r="A135" i="22"/>
  <c r="A311" i="22"/>
  <c r="A298" i="22"/>
  <c r="A281" i="22"/>
  <c r="A220" i="22"/>
  <c r="A259" i="22"/>
  <c r="A177" i="22"/>
  <c r="A191" i="22"/>
  <c r="A152" i="22"/>
  <c r="A136" i="22"/>
  <c r="A169" i="22"/>
  <c r="A178" i="22"/>
  <c r="A68" i="22"/>
  <c r="A162" i="22"/>
  <c r="A89" i="22"/>
  <c r="A144" i="22"/>
  <c r="A305" i="22"/>
  <c r="A194" i="22"/>
  <c r="A161" i="22"/>
  <c r="A328" i="22"/>
  <c r="A301" i="22"/>
  <c r="A276" i="22"/>
  <c r="A202" i="22"/>
  <c r="A204" i="22"/>
  <c r="A92" i="22"/>
  <c r="A96" i="22"/>
  <c r="A290" i="22"/>
  <c r="A208" i="22"/>
  <c r="A250" i="22"/>
  <c r="A103" i="22"/>
  <c r="A247" i="22"/>
  <c r="A203" i="22"/>
  <c r="A127" i="22"/>
  <c r="A285" i="22"/>
  <c r="A212" i="22"/>
  <c r="A321" i="22"/>
  <c r="A196" i="22"/>
  <c r="A159" i="22"/>
  <c r="A131" i="22"/>
  <c r="A156" i="22"/>
  <c r="A81" i="22"/>
  <c r="A116" i="22"/>
  <c r="A38" i="22"/>
  <c r="A306" i="22"/>
  <c r="A88" i="22"/>
  <c r="A147" i="22"/>
  <c r="A54" i="22"/>
  <c r="A329" i="22"/>
  <c r="A251" i="22"/>
  <c r="A111" i="22"/>
  <c r="A239" i="22"/>
  <c r="A243" i="22"/>
  <c r="A205" i="22"/>
  <c r="A104" i="22"/>
  <c r="A188" i="22"/>
  <c r="A143" i="22"/>
  <c r="A216" i="22"/>
  <c r="A183" i="22"/>
  <c r="A76" i="22"/>
  <c r="A263" i="22"/>
  <c r="A197" i="22"/>
  <c r="A228" i="22"/>
  <c r="A187" i="22"/>
  <c r="A168" i="22"/>
  <c r="A40" i="22"/>
  <c r="A324" i="22"/>
  <c r="A224" i="22"/>
  <c r="A325" i="22"/>
  <c r="A99" i="22"/>
  <c r="A333" i="22"/>
  <c r="A293" i="22"/>
  <c r="A176" i="22"/>
  <c r="A309" i="22"/>
  <c r="A277" i="22"/>
  <c r="A199" i="22"/>
  <c r="A100" i="22"/>
  <c r="A124" i="22"/>
  <c r="A302" i="22"/>
  <c r="A184" i="22"/>
  <c r="A151" i="22"/>
  <c r="A107" i="22"/>
  <c r="A313" i="22"/>
  <c r="A266" i="22"/>
  <c r="A164" i="22"/>
  <c r="A63" i="22"/>
  <c r="A155" i="22"/>
  <c r="A262" i="22"/>
  <c r="A115" i="22"/>
  <c r="A140" i="22"/>
  <c r="A112" i="22"/>
  <c r="A132" i="22"/>
  <c r="A123" i="22"/>
  <c r="A258" i="22"/>
  <c r="A307" i="22"/>
  <c r="A232" i="22"/>
  <c r="A84" i="22"/>
  <c r="A315" i="22"/>
  <c r="A192" i="22"/>
  <c r="A170" i="22"/>
  <c r="A255" i="22"/>
  <c r="A71" i="22"/>
  <c r="A95" i="22"/>
  <c r="A284" i="22"/>
  <c r="A79" i="22"/>
  <c r="A87" i="22"/>
  <c r="A108" i="22"/>
  <c r="A148" i="22"/>
  <c r="A119" i="22"/>
  <c r="CG284" i="24"/>
  <c r="CG106" i="24"/>
  <c r="CG300" i="24"/>
  <c r="CG74" i="24"/>
  <c r="CG90" i="24"/>
  <c r="CG244" i="24"/>
  <c r="CG60" i="24"/>
  <c r="CG147" i="24"/>
  <c r="CG322" i="24"/>
  <c r="CG278" i="24"/>
  <c r="CH10" i="24"/>
  <c r="CM38" i="24" s="1"/>
  <c r="CP38" i="24" s="1"/>
  <c r="CG112" i="24"/>
  <c r="CG221" i="24"/>
  <c r="CG56" i="24"/>
  <c r="CG96" i="24"/>
  <c r="CG298" i="24"/>
  <c r="CG47" i="24"/>
  <c r="CG292" i="24"/>
  <c r="CG163" i="24"/>
  <c r="CG204" i="24"/>
  <c r="CG40" i="24"/>
  <c r="CG131" i="24"/>
  <c r="CG248" i="24"/>
  <c r="CG64" i="24"/>
  <c r="CG148" i="24"/>
  <c r="CG308" i="24"/>
  <c r="CG182" i="24"/>
  <c r="CG52" i="24"/>
  <c r="CG286" i="24"/>
  <c r="CG186" i="24"/>
  <c r="CG302" i="24"/>
  <c r="CG111" i="24"/>
  <c r="CG132" i="24"/>
  <c r="CG196" i="24"/>
  <c r="CG95" i="24"/>
  <c r="CG166" i="24"/>
  <c r="CG46" i="24"/>
  <c r="CG116" i="24"/>
  <c r="CG206" i="24"/>
  <c r="CG164" i="24"/>
  <c r="CG127" i="24"/>
  <c r="CG143" i="24"/>
  <c r="CG146" i="24"/>
  <c r="CG66" i="24"/>
  <c r="CG71" i="24"/>
  <c r="CG104" i="24"/>
  <c r="CG134" i="24"/>
  <c r="CG139" i="24"/>
  <c r="CG158" i="24"/>
  <c r="CG264" i="24"/>
  <c r="CG335" i="24"/>
  <c r="CG272" i="24"/>
  <c r="CG175" i="24"/>
  <c r="CG48" i="24"/>
  <c r="CG321" i="24"/>
  <c r="CG190" i="24"/>
  <c r="CG43" i="24"/>
  <c r="CG75" i="24"/>
  <c r="CG107" i="24"/>
  <c r="CG45" i="24"/>
  <c r="CG82" i="24"/>
  <c r="CG87" i="24"/>
  <c r="CG150" i="24"/>
  <c r="CG155" i="24"/>
  <c r="CG270" i="24"/>
  <c r="CG290" i="24"/>
  <c r="CG61" i="24"/>
  <c r="CG67" i="24"/>
  <c r="CG83" i="24"/>
  <c r="CG99" i="24"/>
  <c r="CG115" i="24"/>
  <c r="CG135" i="24"/>
  <c r="CG79" i="24"/>
  <c r="CG162" i="24"/>
  <c r="CG296" i="24"/>
  <c r="CG41" i="24"/>
  <c r="CG42" i="24"/>
  <c r="CG114" i="24"/>
  <c r="CG118" i="24"/>
  <c r="CG123" i="24"/>
  <c r="CG142" i="24"/>
  <c r="CG171" i="24"/>
  <c r="CG315" i="24"/>
  <c r="CG91" i="24"/>
  <c r="CG159" i="24"/>
  <c r="CG53" i="24"/>
  <c r="CG57" i="24"/>
  <c r="CG202" i="24"/>
  <c r="CG151" i="24"/>
  <c r="CG80" i="24"/>
  <c r="CG282" i="24"/>
  <c r="CG72" i="24"/>
  <c r="CG194" i="24"/>
  <c r="CG49" i="24"/>
  <c r="CG167" i="24"/>
  <c r="CG124" i="24"/>
  <c r="CG156" i="24"/>
  <c r="CG252" i="24"/>
  <c r="CG195" i="24"/>
  <c r="CG229" i="24"/>
  <c r="CG44" i="24"/>
  <c r="CG207" i="24"/>
  <c r="CG304" i="24"/>
  <c r="CG253" i="24"/>
  <c r="CG306" i="24"/>
  <c r="CG279" i="24"/>
  <c r="CG309" i="24"/>
  <c r="CG312" i="24"/>
  <c r="CG283" i="24"/>
  <c r="CG291" i="24"/>
  <c r="CG299" i="24"/>
  <c r="CG329" i="24"/>
  <c r="CG328" i="24"/>
  <c r="CG334" i="24"/>
  <c r="CG198" i="24"/>
  <c r="CG130" i="24"/>
  <c r="CG98" i="24"/>
  <c r="CG126" i="24"/>
  <c r="CG174" i="24"/>
  <c r="CG237" i="24"/>
  <c r="CG274" i="24"/>
  <c r="CG140" i="24"/>
  <c r="CG268" i="24"/>
  <c r="CG199" i="24"/>
  <c r="CG288" i="24"/>
  <c r="CG245" i="24"/>
  <c r="CG257" i="24"/>
  <c r="CG313" i="24"/>
  <c r="CG317" i="24"/>
  <c r="CG333" i="24"/>
  <c r="CG326" i="24"/>
  <c r="CG256" i="24"/>
  <c r="CG275" i="24"/>
  <c r="CG314" i="24"/>
  <c r="CG295" i="24"/>
  <c r="CG327" i="24"/>
  <c r="CG119" i="24"/>
  <c r="CG188" i="24"/>
  <c r="CG213" i="24"/>
  <c r="CG265" i="24"/>
  <c r="CG287" i="24"/>
  <c r="CG330" i="24"/>
  <c r="CG320" i="24"/>
  <c r="CG318" i="24"/>
  <c r="CG103" i="24"/>
  <c r="CG316" i="24"/>
  <c r="CG180" i="24"/>
  <c r="CG88" i="24"/>
  <c r="CG260" i="24"/>
  <c r="CG183" i="24"/>
  <c r="CG294" i="24"/>
  <c r="CG261" i="24"/>
  <c r="CG172" i="24"/>
  <c r="CG191" i="24"/>
  <c r="CG271" i="24"/>
  <c r="CG249" i="24"/>
  <c r="CG303" i="24"/>
  <c r="CG319" i="24"/>
  <c r="CG325" i="24"/>
  <c r="CG220" i="24"/>
  <c r="CG205" i="24"/>
  <c r="CG281" i="24"/>
  <c r="CG154" i="24"/>
  <c r="CG81" i="24"/>
  <c r="CG102" i="24"/>
  <c r="CG301" i="24"/>
  <c r="CG121" i="24"/>
  <c r="CG54" i="24"/>
  <c r="CG305" i="24"/>
  <c r="CG269" i="24"/>
  <c r="CG251" i="24"/>
  <c r="CG149" i="24"/>
  <c r="CG122" i="24"/>
  <c r="CG168" i="24"/>
  <c r="CG86" i="24"/>
  <c r="CG62" i="24"/>
  <c r="CG145" i="24"/>
  <c r="CG331" i="24"/>
  <c r="CG189" i="24"/>
  <c r="CG203" i="24"/>
  <c r="CG266" i="24"/>
  <c r="CG227" i="24"/>
  <c r="CG73" i="24"/>
  <c r="CG210" i="24"/>
  <c r="CG100" i="24"/>
  <c r="CG136" i="24"/>
  <c r="CG101" i="24"/>
  <c r="CG94" i="24"/>
  <c r="CG216" i="24"/>
  <c r="CG144" i="24"/>
  <c r="CG50" i="24"/>
  <c r="CG187" i="24"/>
  <c r="CG214" i="24"/>
  <c r="CG160" i="24"/>
  <c r="CG250" i="24"/>
  <c r="CG267" i="24"/>
  <c r="CG173" i="24"/>
  <c r="CG238" i="24"/>
  <c r="CG273" i="24"/>
  <c r="CG217" i="24"/>
  <c r="CG255" i="24"/>
  <c r="CG332" i="24"/>
  <c r="CG307" i="24"/>
  <c r="CG297" i="24"/>
  <c r="CG311" i="24"/>
  <c r="CG246" i="24"/>
  <c r="CG117" i="24"/>
  <c r="CG226" i="24"/>
  <c r="CG310" i="24"/>
  <c r="CG263" i="24"/>
  <c r="CG157" i="24"/>
  <c r="CG170" i="24"/>
  <c r="CG218" i="24"/>
  <c r="CG129" i="24"/>
  <c r="CG212" i="24"/>
  <c r="CG197" i="24"/>
  <c r="CG233" i="24"/>
  <c r="CG153" i="24"/>
  <c r="CG243" i="24"/>
  <c r="CG70" i="24"/>
  <c r="CG179" i="24"/>
  <c r="CG241" i="24"/>
  <c r="CG222" i="24"/>
  <c r="CG192" i="24"/>
  <c r="CG152" i="24"/>
  <c r="CG109" i="24"/>
  <c r="CG76" i="24"/>
  <c r="CG177" i="24"/>
  <c r="CG128" i="24"/>
  <c r="CG240" i="24"/>
  <c r="CG108" i="24"/>
  <c r="CG78" i="24"/>
  <c r="CG141" i="24"/>
  <c r="CG230" i="24"/>
  <c r="CG259" i="24"/>
  <c r="CG37" i="24"/>
  <c r="CG69" i="24"/>
  <c r="CG178" i="24"/>
  <c r="CG92" i="24"/>
  <c r="CG277" i="24"/>
  <c r="CG228" i="24"/>
  <c r="CG97" i="24"/>
  <c r="CG258" i="24"/>
  <c r="CG110" i="24"/>
  <c r="CG63" i="24"/>
  <c r="CG165" i="24"/>
  <c r="CG208" i="24"/>
  <c r="CG254" i="24"/>
  <c r="CG225" i="24"/>
  <c r="CG68" i="24"/>
  <c r="CG209" i="24"/>
  <c r="CG133" i="24"/>
  <c r="CG242" i="24"/>
  <c r="CG215" i="24"/>
  <c r="CG285" i="24"/>
  <c r="CG185" i="24"/>
  <c r="CG120" i="24"/>
  <c r="CG184" i="24"/>
  <c r="CG211" i="24"/>
  <c r="CG137" i="24"/>
  <c r="CG235" i="24"/>
  <c r="CG223" i="24"/>
  <c r="CG89" i="24"/>
  <c r="CG113" i="24"/>
  <c r="CG77" i="24"/>
  <c r="CG38" i="24"/>
  <c r="CG262" i="24"/>
  <c r="CG181" i="24"/>
  <c r="CG232" i="24"/>
  <c r="CG280" i="24"/>
  <c r="CG247" i="24"/>
  <c r="CG236" i="24"/>
  <c r="CG231" i="24"/>
  <c r="CG224" i="24"/>
  <c r="CG193" i="24"/>
  <c r="CG169" i="24"/>
  <c r="CG59" i="24"/>
  <c r="CG200" i="24"/>
  <c r="CG55" i="24"/>
  <c r="CG323" i="24"/>
  <c r="CG176" i="24"/>
  <c r="CG39" i="24"/>
  <c r="CG234" i="24"/>
  <c r="CG161" i="24"/>
  <c r="CG324" i="24"/>
  <c r="CG84" i="24"/>
  <c r="CG65" i="24"/>
  <c r="CG105" i="24"/>
  <c r="CG85" i="24"/>
  <c r="CG201" i="24"/>
  <c r="CG36" i="24"/>
  <c r="CG138" i="24"/>
  <c r="CG276" i="24"/>
  <c r="CG293" i="24"/>
  <c r="CG289" i="24"/>
  <c r="CG219" i="24"/>
  <c r="CG125" i="24"/>
  <c r="CG58" i="24"/>
  <c r="CG239" i="24"/>
  <c r="CG51" i="24"/>
  <c r="CG93" i="24"/>
  <c r="M243" i="22"/>
  <c r="M195" i="22"/>
  <c r="M172" i="22"/>
  <c r="M71" i="22"/>
  <c r="N10" i="22"/>
  <c r="S38" i="22" s="1"/>
  <c r="V38" i="22" s="1"/>
  <c r="M230" i="22"/>
  <c r="M63" i="22"/>
  <c r="M79" i="22"/>
  <c r="M89" i="22"/>
  <c r="M112" i="22"/>
  <c r="M140" i="22"/>
  <c r="M153" i="22"/>
  <c r="M116" i="22"/>
  <c r="M50" i="22"/>
  <c r="M69" i="22"/>
  <c r="M38" i="22"/>
  <c r="M55" i="22"/>
  <c r="M64" i="22"/>
  <c r="M80" i="22"/>
  <c r="M120" i="22"/>
  <c r="M125" i="22"/>
  <c r="M46" i="22"/>
  <c r="M92" i="22"/>
  <c r="M137" i="22"/>
  <c r="M228" i="22"/>
  <c r="M47" i="22"/>
  <c r="M60" i="22"/>
  <c r="M148" i="22"/>
  <c r="M40" i="22"/>
  <c r="M42" i="22"/>
  <c r="M49" i="22"/>
  <c r="M84" i="22"/>
  <c r="M104" i="22"/>
  <c r="M109" i="22"/>
  <c r="M234" i="22"/>
  <c r="M132" i="22"/>
  <c r="M96" i="22"/>
  <c r="M48" i="22"/>
  <c r="M73" i="22"/>
  <c r="M68" i="22"/>
  <c r="M189" i="22"/>
  <c r="M58" i="22"/>
  <c r="M41" i="22"/>
  <c r="M56" i="22"/>
  <c r="M81" i="22"/>
  <c r="M77" i="22"/>
  <c r="M108" i="22"/>
  <c r="M93" i="22"/>
  <c r="M74" i="22"/>
  <c r="M145" i="22"/>
  <c r="M232" i="22"/>
  <c r="M197" i="22"/>
  <c r="M52" i="22"/>
  <c r="M45" i="22"/>
  <c r="M170" i="22"/>
  <c r="M43" i="22"/>
  <c r="M124" i="22"/>
  <c r="M65" i="22"/>
  <c r="M61" i="22"/>
  <c r="M44" i="22"/>
  <c r="M51" i="22"/>
  <c r="M66" i="22"/>
  <c r="M76" i="22"/>
  <c r="M72" i="22"/>
  <c r="M54" i="22"/>
  <c r="M100" i="22"/>
  <c r="M128" i="22"/>
  <c r="M156" i="22"/>
  <c r="M82" i="22"/>
  <c r="M85" i="22"/>
  <c r="M141" i="22"/>
  <c r="M149" i="22"/>
  <c r="M157" i="22"/>
  <c r="M298" i="22"/>
  <c r="M105" i="22"/>
  <c r="M180" i="22"/>
  <c r="M333" i="22"/>
  <c r="M101" i="22"/>
  <c r="M277" i="22"/>
  <c r="M316" i="22"/>
  <c r="M90" i="22"/>
  <c r="M97" i="22"/>
  <c r="M162" i="22"/>
  <c r="M181" i="22"/>
  <c r="M251" i="22"/>
  <c r="M317" i="22"/>
  <c r="M329" i="22"/>
  <c r="M173" i="22"/>
  <c r="M36" i="22"/>
  <c r="M133" i="22"/>
  <c r="M152" i="22"/>
  <c r="M279" i="22"/>
  <c r="M214" i="22"/>
  <c r="M129" i="22"/>
  <c r="M220" i="22"/>
  <c r="M255" i="22"/>
  <c r="M244" i="22"/>
  <c r="M281" i="22"/>
  <c r="M294" i="22"/>
  <c r="M240" i="22"/>
  <c r="M274" i="22"/>
  <c r="M278" i="22"/>
  <c r="M259" i="22"/>
  <c r="M271" i="22"/>
  <c r="M302" i="22"/>
  <c r="M269" i="22"/>
  <c r="M321" i="22"/>
  <c r="M313" i="22"/>
  <c r="M318" i="22"/>
  <c r="M117" i="22"/>
  <c r="M144" i="22"/>
  <c r="M121" i="22"/>
  <c r="M113" i="22"/>
  <c r="M164" i="22"/>
  <c r="M210" i="22"/>
  <c r="M218" i="22"/>
  <c r="M185" i="22"/>
  <c r="M222" i="22"/>
  <c r="M235" i="22"/>
  <c r="M273" i="22"/>
  <c r="M252" i="22"/>
  <c r="M196" i="22"/>
  <c r="M208" i="22"/>
  <c r="M245" i="22"/>
  <c r="M264" i="22"/>
  <c r="M205" i="22"/>
  <c r="M213" i="22"/>
  <c r="M221" i="22"/>
  <c r="M229" i="22"/>
  <c r="M239" i="22"/>
  <c r="M256" i="22"/>
  <c r="M263" i="22"/>
  <c r="M282" i="22"/>
  <c r="M306" i="22"/>
  <c r="M307" i="22"/>
  <c r="M315" i="22"/>
  <c r="M326" i="22"/>
  <c r="M206" i="22"/>
  <c r="M226" i="22"/>
  <c r="M188" i="22"/>
  <c r="M285" i="22"/>
  <c r="M225" i="22"/>
  <c r="M199" i="22"/>
  <c r="M224" i="22"/>
  <c r="M217" i="22"/>
  <c r="M335" i="22"/>
  <c r="M212" i="22"/>
  <c r="M296" i="22"/>
  <c r="M236" i="22"/>
  <c r="M260" i="22"/>
  <c r="M270" i="22"/>
  <c r="M287" i="22"/>
  <c r="M136" i="22"/>
  <c r="M291" i="22"/>
  <c r="M178" i="22"/>
  <c r="M290" i="22"/>
  <c r="M248" i="22"/>
  <c r="M184" i="22"/>
  <c r="M233" i="22"/>
  <c r="M237" i="22"/>
  <c r="M288" i="22"/>
  <c r="M325" i="22"/>
  <c r="M334" i="22"/>
  <c r="M267" i="22"/>
  <c r="M309" i="22"/>
  <c r="M165" i="22"/>
  <c r="M192" i="22"/>
  <c r="M295" i="22"/>
  <c r="M299" i="22"/>
  <c r="M311" i="22"/>
  <c r="M322" i="22"/>
  <c r="M216" i="22"/>
  <c r="M247" i="22"/>
  <c r="M200" i="22"/>
  <c r="M209" i="22"/>
  <c r="M268" i="22"/>
  <c r="M303" i="22"/>
  <c r="M330" i="22"/>
  <c r="M242" i="22"/>
  <c r="M95" i="22"/>
  <c r="M297" i="22"/>
  <c r="M146" i="22"/>
  <c r="M304" i="22"/>
  <c r="M265" i="22"/>
  <c r="M103" i="22"/>
  <c r="M231" i="22"/>
  <c r="M275" i="22"/>
  <c r="M167" i="22"/>
  <c r="M67" i="22"/>
  <c r="M119" i="22"/>
  <c r="M154" i="22"/>
  <c r="M312" i="22"/>
  <c r="M276" i="22"/>
  <c r="M257" i="22"/>
  <c r="M158" i="22"/>
  <c r="M83" i="22"/>
  <c r="M193" i="22"/>
  <c r="M118" i="22"/>
  <c r="M187" i="22"/>
  <c r="M114" i="22"/>
  <c r="M246" i="22"/>
  <c r="M250" i="22"/>
  <c r="M227" i="22"/>
  <c r="M142" i="22"/>
  <c r="M62" i="22"/>
  <c r="M139" i="22"/>
  <c r="M169" i="22"/>
  <c r="M126" i="22"/>
  <c r="M75" i="22"/>
  <c r="M123" i="22"/>
  <c r="M204" i="22"/>
  <c r="M134" i="22"/>
  <c r="M323" i="22"/>
  <c r="M308" i="22"/>
  <c r="M223" i="22"/>
  <c r="M332" i="22"/>
  <c r="M171" i="22"/>
  <c r="M176" i="22"/>
  <c r="M135" i="22"/>
  <c r="M106" i="22"/>
  <c r="M310" i="22"/>
  <c r="M305" i="22"/>
  <c r="M219" i="22"/>
  <c r="M266" i="22"/>
  <c r="M201" i="22"/>
  <c r="M138" i="22"/>
  <c r="M86" i="22"/>
  <c r="M175" i="22"/>
  <c r="M194" i="22"/>
  <c r="M203" i="22"/>
  <c r="M107" i="22"/>
  <c r="M59" i="22"/>
  <c r="M160" i="22"/>
  <c r="M130" i="22"/>
  <c r="M87" i="22"/>
  <c r="M53" i="22"/>
  <c r="M98" i="22"/>
  <c r="M319" i="22"/>
  <c r="M207" i="22"/>
  <c r="M328" i="22"/>
  <c r="M91" i="22"/>
  <c r="M301" i="22"/>
  <c r="M249" i="22"/>
  <c r="M262" i="22"/>
  <c r="M190" i="22"/>
  <c r="M183" i="22"/>
  <c r="M110" i="22"/>
  <c r="M286" i="22"/>
  <c r="M292" i="22"/>
  <c r="M163" i="22"/>
  <c r="M159" i="22"/>
  <c r="M177" i="22"/>
  <c r="M331" i="22"/>
  <c r="M39" i="22"/>
  <c r="M94" i="22"/>
  <c r="M283" i="22"/>
  <c r="M289" i="22"/>
  <c r="M151" i="22"/>
  <c r="M70" i="22"/>
  <c r="M327" i="22"/>
  <c r="M131" i="22"/>
  <c r="M166" i="22"/>
  <c r="M284" i="22"/>
  <c r="M179" i="22"/>
  <c r="M254" i="22"/>
  <c r="M253" i="22"/>
  <c r="M161" i="22"/>
  <c r="M155" i="22"/>
  <c r="M314" i="22"/>
  <c r="M293" i="22"/>
  <c r="M174" i="22"/>
  <c r="M115" i="22"/>
  <c r="M272" i="22"/>
  <c r="M215" i="22"/>
  <c r="M258" i="22"/>
  <c r="M241" i="22"/>
  <c r="M111" i="22"/>
  <c r="M37" i="22"/>
  <c r="M324" i="22"/>
  <c r="M143" i="22"/>
  <c r="M261" i="22"/>
  <c r="M127" i="22"/>
  <c r="M182" i="22"/>
  <c r="M78" i="22"/>
  <c r="M147" i="22"/>
  <c r="M99" i="22"/>
  <c r="M88" i="22"/>
  <c r="M320" i="22"/>
  <c r="M238" i="22"/>
  <c r="M191" i="22"/>
  <c r="M202" i="22"/>
  <c r="M198" i="22"/>
  <c r="M102" i="22"/>
  <c r="M150" i="22"/>
  <c r="M186" i="22"/>
  <c r="M57" i="22"/>
  <c r="M168" i="22"/>
  <c r="M280" i="22"/>
  <c r="M300" i="22"/>
  <c r="M211" i="22"/>
  <c r="M122" i="22"/>
  <c r="A321" i="26"/>
  <c r="B10" i="26"/>
  <c r="G38" i="26" s="1"/>
  <c r="J38" i="26" s="1"/>
  <c r="A69" i="26"/>
  <c r="A85" i="26"/>
  <c r="A101" i="26"/>
  <c r="A117" i="26"/>
  <c r="A52" i="26"/>
  <c r="A59" i="26"/>
  <c r="A73" i="26"/>
  <c r="A89" i="26"/>
  <c r="A105" i="26"/>
  <c r="A121" i="26"/>
  <c r="A50" i="26"/>
  <c r="A62" i="26"/>
  <c r="A189" i="26"/>
  <c r="A41" i="26"/>
  <c r="A54" i="26"/>
  <c r="A77" i="26"/>
  <c r="A109" i="26"/>
  <c r="A43" i="26"/>
  <c r="A60" i="26"/>
  <c r="A71" i="26"/>
  <c r="A87" i="26"/>
  <c r="A103" i="26"/>
  <c r="A119" i="26"/>
  <c r="A181" i="26"/>
  <c r="A47" i="26"/>
  <c r="A81" i="26"/>
  <c r="A113" i="26"/>
  <c r="A55" i="26"/>
  <c r="A46" i="26"/>
  <c r="A75" i="26"/>
  <c r="A91" i="26"/>
  <c r="A107" i="26"/>
  <c r="A123" i="26"/>
  <c r="A56" i="26"/>
  <c r="A125" i="26"/>
  <c r="A48" i="26"/>
  <c r="A63" i="26"/>
  <c r="A95" i="26"/>
  <c r="A127" i="26"/>
  <c r="A45" i="26"/>
  <c r="A97" i="26"/>
  <c r="A40" i="26"/>
  <c r="A161" i="26"/>
  <c r="A51" i="26"/>
  <c r="A83" i="26"/>
  <c r="A115" i="26"/>
  <c r="A65" i="26"/>
  <c r="A67" i="26"/>
  <c r="A131" i="26"/>
  <c r="A44" i="26"/>
  <c r="A36" i="26"/>
  <c r="A72" i="26"/>
  <c r="A84" i="26"/>
  <c r="A100" i="26"/>
  <c r="A118" i="26"/>
  <c r="A142" i="26"/>
  <c r="A57" i="26"/>
  <c r="A224" i="26"/>
  <c r="A134" i="26"/>
  <c r="A289" i="26"/>
  <c r="A307" i="26"/>
  <c r="A275" i="26"/>
  <c r="A317" i="26"/>
  <c r="A285" i="26"/>
  <c r="A253" i="26"/>
  <c r="A295" i="26"/>
  <c r="A256" i="26"/>
  <c r="A329" i="26"/>
  <c r="A190" i="26"/>
  <c r="A76" i="26"/>
  <c r="A96" i="26"/>
  <c r="A112" i="26"/>
  <c r="A124" i="26"/>
  <c r="A199" i="26"/>
  <c r="A137" i="26"/>
  <c r="A194" i="26"/>
  <c r="A335" i="26"/>
  <c r="A155" i="26"/>
  <c r="A182" i="26"/>
  <c r="A205" i="26"/>
  <c r="A251" i="26"/>
  <c r="A168" i="26"/>
  <c r="A209" i="26"/>
  <c r="A225" i="26"/>
  <c r="A241" i="26"/>
  <c r="A265" i="26"/>
  <c r="A270" i="26"/>
  <c r="A278" i="26"/>
  <c r="A286" i="26"/>
  <c r="A294" i="26"/>
  <c r="A302" i="26"/>
  <c r="A310" i="26"/>
  <c r="A318" i="26"/>
  <c r="A326" i="26"/>
  <c r="A334" i="26"/>
  <c r="A42" i="26"/>
  <c r="A38" i="26"/>
  <c r="A111" i="26"/>
  <c r="A70" i="26"/>
  <c r="A82" i="26"/>
  <c r="A98" i="26"/>
  <c r="A116" i="26"/>
  <c r="A169" i="26"/>
  <c r="A198" i="26"/>
  <c r="A53" i="26"/>
  <c r="A216" i="26"/>
  <c r="A133" i="26"/>
  <c r="A143" i="26"/>
  <c r="A150" i="26"/>
  <c r="A171" i="26"/>
  <c r="A179" i="26"/>
  <c r="A315" i="26"/>
  <c r="A283" i="26"/>
  <c r="A325" i="26"/>
  <c r="A293" i="26"/>
  <c r="A268" i="26"/>
  <c r="A311" i="26"/>
  <c r="A257" i="26"/>
  <c r="A170" i="26"/>
  <c r="A281" i="26"/>
  <c r="A74" i="26"/>
  <c r="A94" i="26"/>
  <c r="A110" i="26"/>
  <c r="A122" i="26"/>
  <c r="A132" i="26"/>
  <c r="A151" i="26"/>
  <c r="A165" i="26"/>
  <c r="A61" i="26"/>
  <c r="A147" i="26"/>
  <c r="A193" i="26"/>
  <c r="A248" i="26"/>
  <c r="A303" i="26"/>
  <c r="A162" i="26"/>
  <c r="A220" i="26"/>
  <c r="A236" i="26"/>
  <c r="A261" i="26"/>
  <c r="A287" i="26"/>
  <c r="A172" i="26"/>
  <c r="A250" i="26"/>
  <c r="A221" i="26"/>
  <c r="A237" i="26"/>
  <c r="A276" i="26"/>
  <c r="A284" i="26"/>
  <c r="A292" i="26"/>
  <c r="A300" i="26"/>
  <c r="A308" i="26"/>
  <c r="A316" i="26"/>
  <c r="A324" i="26"/>
  <c r="A332" i="26"/>
  <c r="A93" i="26"/>
  <c r="A145" i="26"/>
  <c r="A79" i="26"/>
  <c r="A68" i="26"/>
  <c r="A92" i="26"/>
  <c r="A135" i="26"/>
  <c r="A185" i="26"/>
  <c r="A167" i="26"/>
  <c r="A299" i="26"/>
  <c r="A309" i="26"/>
  <c r="A252" i="26"/>
  <c r="A206" i="26"/>
  <c r="A174" i="26"/>
  <c r="A64" i="26"/>
  <c r="A104" i="26"/>
  <c r="A130" i="26"/>
  <c r="A164" i="26"/>
  <c r="A37" i="26"/>
  <c r="A204" i="26"/>
  <c r="A271" i="26"/>
  <c r="A195" i="26"/>
  <c r="A319" i="26"/>
  <c r="A266" i="26"/>
  <c r="A184" i="26"/>
  <c r="A217" i="26"/>
  <c r="A249" i="26"/>
  <c r="A280" i="26"/>
  <c r="A296" i="26"/>
  <c r="A312" i="26"/>
  <c r="A328" i="26"/>
  <c r="A197" i="26"/>
  <c r="A66" i="26"/>
  <c r="A90" i="26"/>
  <c r="A128" i="26"/>
  <c r="A177" i="26"/>
  <c r="A49" i="26"/>
  <c r="A163" i="26"/>
  <c r="A149" i="26"/>
  <c r="A166" i="26"/>
  <c r="A323" i="26"/>
  <c r="A333" i="26"/>
  <c r="A269" i="26"/>
  <c r="A260" i="26"/>
  <c r="A297" i="26"/>
  <c r="A102" i="26"/>
  <c r="A126" i="26"/>
  <c r="A157" i="26"/>
  <c r="A255" i="26"/>
  <c r="A305" i="26"/>
  <c r="A139" i="26"/>
  <c r="A175" i="26"/>
  <c r="A212" i="26"/>
  <c r="A244" i="26"/>
  <c r="A203" i="26"/>
  <c r="A213" i="26"/>
  <c r="A245" i="26"/>
  <c r="A274" i="26"/>
  <c r="A290" i="26"/>
  <c r="A306" i="26"/>
  <c r="A322" i="26"/>
  <c r="A129" i="26"/>
  <c r="A99" i="26"/>
  <c r="A78" i="26"/>
  <c r="A138" i="26"/>
  <c r="A240" i="26"/>
  <c r="A173" i="26"/>
  <c r="A291" i="26"/>
  <c r="A327" i="26"/>
  <c r="A114" i="26"/>
  <c r="A178" i="26"/>
  <c r="A208" i="26"/>
  <c r="A183" i="26"/>
  <c r="A228" i="26"/>
  <c r="A229" i="26"/>
  <c r="A272" i="26"/>
  <c r="A304" i="26"/>
  <c r="A80" i="26"/>
  <c r="A158" i="26"/>
  <c r="A207" i="26"/>
  <c r="A264" i="26"/>
  <c r="A279" i="26"/>
  <c r="A120" i="26"/>
  <c r="A191" i="26"/>
  <c r="A232" i="26"/>
  <c r="A146" i="26"/>
  <c r="A187" i="26"/>
  <c r="A188" i="26"/>
  <c r="A233" i="26"/>
  <c r="A282" i="26"/>
  <c r="A314" i="26"/>
  <c r="A331" i="26"/>
  <c r="A313" i="26"/>
  <c r="A141" i="26"/>
  <c r="A153" i="26"/>
  <c r="A298" i="26"/>
  <c r="A108" i="26"/>
  <c r="A186" i="26"/>
  <c r="A88" i="26"/>
  <c r="A288" i="26"/>
  <c r="A301" i="26"/>
  <c r="A148" i="26"/>
  <c r="A58" i="26"/>
  <c r="A39" i="26"/>
  <c r="A202" i="26"/>
  <c r="A277" i="26"/>
  <c r="A273" i="26"/>
  <c r="A267" i="26"/>
  <c r="A320" i="26"/>
  <c r="A86" i="26"/>
  <c r="A154" i="26"/>
  <c r="A330" i="26"/>
  <c r="A159" i="26"/>
  <c r="A106" i="26"/>
  <c r="A263" i="26"/>
  <c r="A222" i="26"/>
  <c r="A231" i="26"/>
  <c r="A227" i="26"/>
  <c r="A144" i="26"/>
  <c r="A152" i="26"/>
  <c r="A219" i="26"/>
  <c r="A262" i="26"/>
  <c r="A242" i="26"/>
  <c r="A239" i="26"/>
  <c r="A156" i="26"/>
  <c r="A136" i="26"/>
  <c r="A176" i="26"/>
  <c r="A235" i="26"/>
  <c r="A215" i="26"/>
  <c r="A234" i="26"/>
  <c r="A246" i="26"/>
  <c r="A226" i="26"/>
  <c r="A218" i="26"/>
  <c r="A223" i="26"/>
  <c r="A180" i="26"/>
  <c r="A238" i="26"/>
  <c r="A247" i="26"/>
  <c r="A230" i="26"/>
  <c r="A201" i="26"/>
  <c r="A254" i="26"/>
  <c r="A214" i="26"/>
  <c r="A259" i="26"/>
  <c r="A258" i="26"/>
  <c r="A211" i="26"/>
  <c r="A210" i="26"/>
  <c r="A160" i="26"/>
  <c r="A192" i="26"/>
  <c r="A196" i="26"/>
  <c r="A243" i="26"/>
  <c r="A140" i="26"/>
  <c r="A200" i="26"/>
  <c r="CS72" i="22"/>
  <c r="CS56" i="22"/>
  <c r="CS64" i="22"/>
  <c r="CT10" i="22"/>
  <c r="CY38" i="22" s="1"/>
  <c r="DB38" i="22" s="1"/>
  <c r="CS165" i="22"/>
  <c r="CS274" i="22"/>
  <c r="CS58" i="22"/>
  <c r="CS101" i="22"/>
  <c r="CS126" i="22"/>
  <c r="CS97" i="22"/>
  <c r="CS141" i="22"/>
  <c r="CS146" i="22"/>
  <c r="CS41" i="22"/>
  <c r="CS43" i="22"/>
  <c r="CS62" i="22"/>
  <c r="CS57" i="22"/>
  <c r="CS125" i="22"/>
  <c r="CS37" i="22"/>
  <c r="CS46" i="22"/>
  <c r="CS74" i="22"/>
  <c r="CS70" i="22"/>
  <c r="CS52" i="22"/>
  <c r="CS50" i="22"/>
  <c r="CS90" i="22"/>
  <c r="CS55" i="22"/>
  <c r="CS59" i="22"/>
  <c r="CS75" i="22"/>
  <c r="CS85" i="22"/>
  <c r="CS109" i="22"/>
  <c r="CS219" i="22"/>
  <c r="CS47" i="22"/>
  <c r="CS121" i="22"/>
  <c r="CS49" i="22"/>
  <c r="CS117" i="22"/>
  <c r="CS149" i="22"/>
  <c r="CS105" i="22"/>
  <c r="CS113" i="22"/>
  <c r="CS67" i="22"/>
  <c r="CS48" i="22"/>
  <c r="CS61" i="22"/>
  <c r="CS73" i="22"/>
  <c r="CS44" i="22"/>
  <c r="CS36" i="22"/>
  <c r="CS35" i="22" s="1"/>
  <c r="CS39" i="22"/>
  <c r="CS82" i="22"/>
  <c r="CS129" i="22"/>
  <c r="CS133" i="22"/>
  <c r="CS217" i="22"/>
  <c r="CS154" i="22"/>
  <c r="CS42" i="22"/>
  <c r="CS69" i="22"/>
  <c r="CS110" i="22"/>
  <c r="CS51" i="22"/>
  <c r="CS78" i="22"/>
  <c r="CS53" i="22"/>
  <c r="CS66" i="22"/>
  <c r="CS94" i="22"/>
  <c r="CS138" i="22"/>
  <c r="CS297" i="22"/>
  <c r="CS80" i="22"/>
  <c r="CS77" i="22"/>
  <c r="CS45" i="22"/>
  <c r="CS213" i="22"/>
  <c r="CS65" i="22"/>
  <c r="CS315" i="22"/>
  <c r="CS231" i="22"/>
  <c r="CS134" i="22"/>
  <c r="CS142" i="22"/>
  <c r="CS150" i="22"/>
  <c r="CS171" i="22"/>
  <c r="CS215" i="22"/>
  <c r="CS227" i="22"/>
  <c r="CS130" i="22"/>
  <c r="CS93" i="22"/>
  <c r="CS318" i="22"/>
  <c r="CS204" i="22"/>
  <c r="CS86" i="22"/>
  <c r="CS173" i="22"/>
  <c r="CS282" i="22"/>
  <c r="CS179" i="22"/>
  <c r="CS236" i="22"/>
  <c r="CS186" i="22"/>
  <c r="CS229" i="22"/>
  <c r="CS158" i="22"/>
  <c r="CS248" i="22"/>
  <c r="CS157" i="22"/>
  <c r="CS163" i="22"/>
  <c r="CS223" i="22"/>
  <c r="CS233" i="22"/>
  <c r="CS305" i="22"/>
  <c r="CS118" i="22"/>
  <c r="CS137" i="22"/>
  <c r="CS106" i="22"/>
  <c r="CS122" i="22"/>
  <c r="CS114" i="22"/>
  <c r="CS180" i="22"/>
  <c r="CS211" i="22"/>
  <c r="CS256" i="22"/>
  <c r="CS174" i="22"/>
  <c r="CS249" i="22"/>
  <c r="CS253" i="22"/>
  <c r="CS265" i="22"/>
  <c r="CS193" i="22"/>
  <c r="CS238" i="22"/>
  <c r="CS260" i="22"/>
  <c r="CS270" i="22"/>
  <c r="CS288" i="22"/>
  <c r="CS306" i="22"/>
  <c r="CS314" i="22"/>
  <c r="CS323" i="22"/>
  <c r="CS284" i="22"/>
  <c r="CS102" i="22"/>
  <c r="CS190" i="22"/>
  <c r="CS221" i="22"/>
  <c r="CS291" i="22"/>
  <c r="CS98" i="22"/>
  <c r="CS166" i="22"/>
  <c r="CS246" i="22"/>
  <c r="CS181" i="22"/>
  <c r="CS241" i="22"/>
  <c r="CS296" i="22"/>
  <c r="CS201" i="22"/>
  <c r="CS206" i="22"/>
  <c r="CS214" i="22"/>
  <c r="CS222" i="22"/>
  <c r="CS230" i="22"/>
  <c r="CS235" i="22"/>
  <c r="CS257" i="22"/>
  <c r="CS271" i="22"/>
  <c r="CS303" i="22"/>
  <c r="CS264" i="22"/>
  <c r="CS283" i="22"/>
  <c r="CS289" i="22"/>
  <c r="CS308" i="22"/>
  <c r="CS331" i="22"/>
  <c r="CS83" i="22"/>
  <c r="CS192" i="22"/>
  <c r="CS205" i="22"/>
  <c r="CS210" i="22"/>
  <c r="CS234" i="22"/>
  <c r="CS252" i="22"/>
  <c r="CS279" i="22"/>
  <c r="CS286" i="22"/>
  <c r="CS200" i="22"/>
  <c r="CS185" i="22"/>
  <c r="CS240" i="22"/>
  <c r="CS299" i="22"/>
  <c r="CS300" i="22"/>
  <c r="CS312" i="22"/>
  <c r="CS145" i="22"/>
  <c r="CS226" i="22"/>
  <c r="CS322" i="22"/>
  <c r="CS326" i="22"/>
  <c r="CS245" i="22"/>
  <c r="CS330" i="22"/>
  <c r="CS198" i="22"/>
  <c r="CS292" i="22"/>
  <c r="CS280" i="22"/>
  <c r="CS218" i="22"/>
  <c r="CS272" i="22"/>
  <c r="CS334" i="22"/>
  <c r="CS319" i="22"/>
  <c r="CS275" i="22"/>
  <c r="CS304" i="22"/>
  <c r="CS310" i="22"/>
  <c r="CS327" i="22"/>
  <c r="CS153" i="22"/>
  <c r="CS207" i="22"/>
  <c r="CS209" i="22"/>
  <c r="CS261" i="22"/>
  <c r="CS182" i="22"/>
  <c r="CS91" i="22"/>
  <c r="CS244" i="22"/>
  <c r="CS189" i="22"/>
  <c r="CS225" i="22"/>
  <c r="CS237" i="22"/>
  <c r="CS295" i="22"/>
  <c r="CS269" i="22"/>
  <c r="CS191" i="22"/>
  <c r="CS285" i="22"/>
  <c r="CS332" i="22"/>
  <c r="CS335" i="22"/>
  <c r="CS309" i="22"/>
  <c r="CS254" i="22"/>
  <c r="CS96" i="22"/>
  <c r="CS317" i="22"/>
  <c r="CS247" i="22"/>
  <c r="CS144" i="22"/>
  <c r="CS100" i="22"/>
  <c r="CS216" i="22"/>
  <c r="CS143" i="22"/>
  <c r="CS139" i="22"/>
  <c r="CS321" i="22"/>
  <c r="CS302" i="22"/>
  <c r="CS287" i="22"/>
  <c r="CS294" i="22"/>
  <c r="CS266" i="22"/>
  <c r="CS95" i="22"/>
  <c r="CS177" i="22"/>
  <c r="CS325" i="22"/>
  <c r="CS301" i="22"/>
  <c r="CS212" i="22"/>
  <c r="CS250" i="22"/>
  <c r="CS89" i="22"/>
  <c r="CS155" i="22"/>
  <c r="CS316" i="22"/>
  <c r="CS108" i="22"/>
  <c r="CS175" i="22"/>
  <c r="CS156" i="22"/>
  <c r="CS197" i="22"/>
  <c r="CS187" i="22"/>
  <c r="CS111" i="22"/>
  <c r="CS60" i="22"/>
  <c r="CS103" i="22"/>
  <c r="CS132" i="22"/>
  <c r="CS87" i="22"/>
  <c r="CS54" i="22"/>
  <c r="CS251" i="22"/>
  <c r="CS328" i="22"/>
  <c r="CS104" i="22"/>
  <c r="CS208" i="22"/>
  <c r="CS293" i="22"/>
  <c r="CS224" i="22"/>
  <c r="CS196" i="22"/>
  <c r="CS232" i="22"/>
  <c r="CS195" i="22"/>
  <c r="CS183" i="22"/>
  <c r="CS258" i="22"/>
  <c r="CS242" i="22"/>
  <c r="CS147" i="22"/>
  <c r="CS277" i="22"/>
  <c r="CS194" i="22"/>
  <c r="CS159" i="22"/>
  <c r="CS112" i="22"/>
  <c r="CS116" i="22"/>
  <c r="CS160" i="22"/>
  <c r="CS255" i="22"/>
  <c r="CS127" i="22"/>
  <c r="CS148" i="22"/>
  <c r="CS40" i="22"/>
  <c r="CS115" i="22"/>
  <c r="CS188" i="22"/>
  <c r="CS151" i="22"/>
  <c r="CS262" i="22"/>
  <c r="CS267" i="22"/>
  <c r="CS164" i="22"/>
  <c r="CS152" i="22"/>
  <c r="CS172" i="22"/>
  <c r="CS71" i="22"/>
  <c r="CS99" i="22"/>
  <c r="CS123" i="22"/>
  <c r="CS290" i="22"/>
  <c r="CS228" i="22"/>
  <c r="CS243" i="22"/>
  <c r="CS161" i="22"/>
  <c r="CS88" i="22"/>
  <c r="CS119" i="22"/>
  <c r="CS333" i="22"/>
  <c r="CS239" i="22"/>
  <c r="CS128" i="22"/>
  <c r="CS76" i="22"/>
  <c r="CS107" i="22"/>
  <c r="CS124" i="22"/>
  <c r="CS320" i="22"/>
  <c r="CS324" i="22"/>
  <c r="CS281" i="22"/>
  <c r="CS276" i="22"/>
  <c r="CS273" i="22"/>
  <c r="CS263" i="22"/>
  <c r="CS176" i="22"/>
  <c r="CS120" i="22"/>
  <c r="CS92" i="22"/>
  <c r="CS184" i="22"/>
  <c r="CS140" i="22"/>
  <c r="CS170" i="22"/>
  <c r="CS178" i="22"/>
  <c r="CS268" i="22"/>
  <c r="CS203" i="22"/>
  <c r="CS84" i="22"/>
  <c r="CS167" i="22"/>
  <c r="CS169" i="22"/>
  <c r="CS162" i="22"/>
  <c r="CS307" i="22"/>
  <c r="CS68" i="22"/>
  <c r="CS278" i="22"/>
  <c r="CS329" i="22"/>
  <c r="CS202" i="22"/>
  <c r="CS63" i="22"/>
  <c r="CS135" i="22"/>
  <c r="CS259" i="22"/>
  <c r="CS298" i="22"/>
  <c r="CS311" i="22"/>
  <c r="CS220" i="22"/>
  <c r="CS81" i="22"/>
  <c r="CS38" i="22"/>
  <c r="CS313" i="22"/>
  <c r="CS168" i="22"/>
  <c r="CS199" i="22"/>
  <c r="CS136" i="22"/>
  <c r="CS79" i="22"/>
  <c r="CS131" i="22"/>
  <c r="BV10" i="22"/>
  <c r="CA38" i="22" s="1"/>
  <c r="CD38" i="22" s="1"/>
  <c r="BU276" i="22"/>
  <c r="BU79" i="22"/>
  <c r="BU63" i="22"/>
  <c r="BU41" i="22"/>
  <c r="BU47" i="22"/>
  <c r="BU69" i="22"/>
  <c r="BU123" i="22"/>
  <c r="BU45" i="22"/>
  <c r="BU54" i="22"/>
  <c r="BU37" i="22"/>
  <c r="BU43" i="22"/>
  <c r="BU51" i="22"/>
  <c r="BU61" i="22"/>
  <c r="BU77" i="22"/>
  <c r="BU95" i="22"/>
  <c r="BU50" i="22"/>
  <c r="BU103" i="22"/>
  <c r="BU131" i="22"/>
  <c r="BU67" i="22"/>
  <c r="BU92" i="22"/>
  <c r="BU115" i="22"/>
  <c r="BU75" i="22"/>
  <c r="BU40" i="22"/>
  <c r="BU60" i="22"/>
  <c r="BU53" i="22"/>
  <c r="BU99" i="22"/>
  <c r="BU44" i="22"/>
  <c r="BU68" i="22"/>
  <c r="BU119" i="22"/>
  <c r="BU107" i="22"/>
  <c r="BU84" i="22"/>
  <c r="BU76" i="22"/>
  <c r="BU38" i="22"/>
  <c r="BU39" i="22"/>
  <c r="BU71" i="22"/>
  <c r="BU59" i="22"/>
  <c r="BU46" i="22"/>
  <c r="BU87" i="22"/>
  <c r="BU36" i="22"/>
  <c r="BU58" i="22"/>
  <c r="BU96" i="22"/>
  <c r="BU111" i="22"/>
  <c r="BU334" i="22"/>
  <c r="BU120" i="22"/>
  <c r="BU136" i="22"/>
  <c r="BU144" i="22"/>
  <c r="BU152" i="22"/>
  <c r="BU159" i="22"/>
  <c r="BU207" i="22"/>
  <c r="BU221" i="22"/>
  <c r="BU247" i="22"/>
  <c r="BU268" i="22"/>
  <c r="BU293" i="22"/>
  <c r="BU72" i="22"/>
  <c r="BU80" i="22"/>
  <c r="BU128" i="22"/>
  <c r="BU156" i="22"/>
  <c r="BU116" i="22"/>
  <c r="BU56" i="22"/>
  <c r="BU175" i="22"/>
  <c r="BU213" i="22"/>
  <c r="BU286" i="22"/>
  <c r="BU157" i="22"/>
  <c r="BU66" i="22"/>
  <c r="BU127" i="22"/>
  <c r="BU143" i="22"/>
  <c r="BU48" i="22"/>
  <c r="BU93" i="22"/>
  <c r="BU132" i="22"/>
  <c r="BU165" i="22"/>
  <c r="BU215" i="22"/>
  <c r="BU223" i="22"/>
  <c r="BU235" i="22"/>
  <c r="BU301" i="22"/>
  <c r="BU55" i="22"/>
  <c r="BU209" i="22"/>
  <c r="BU104" i="22"/>
  <c r="BU155" i="22"/>
  <c r="BU315" i="22"/>
  <c r="BU64" i="22"/>
  <c r="BU100" i="22"/>
  <c r="BU167" i="22"/>
  <c r="BU168" i="22"/>
  <c r="BU225" i="22"/>
  <c r="BU246" i="22"/>
  <c r="BU238" i="22"/>
  <c r="BU258" i="22"/>
  <c r="BU227" i="22"/>
  <c r="BU239" i="22"/>
  <c r="BU282" i="22"/>
  <c r="BU274" i="22"/>
  <c r="BU306" i="22"/>
  <c r="BU262" i="22"/>
  <c r="BU272" i="22"/>
  <c r="BU308" i="22"/>
  <c r="BU321" i="22"/>
  <c r="BU140" i="22"/>
  <c r="BU151" i="22"/>
  <c r="BU198" i="22"/>
  <c r="BU108" i="22"/>
  <c r="BU88" i="22"/>
  <c r="BU147" i="22"/>
  <c r="BU204" i="22"/>
  <c r="BU74" i="22"/>
  <c r="BU173" i="22"/>
  <c r="BU200" i="22"/>
  <c r="BU248" i="22"/>
  <c r="BU124" i="22"/>
  <c r="BU202" i="22"/>
  <c r="BU259" i="22"/>
  <c r="BU255" i="22"/>
  <c r="BU183" i="22"/>
  <c r="BU208" i="22"/>
  <c r="BU216" i="22"/>
  <c r="BU224" i="22"/>
  <c r="BU232" i="22"/>
  <c r="BU240" i="22"/>
  <c r="BU263" i="22"/>
  <c r="BU294" i="22"/>
  <c r="BU298" i="22"/>
  <c r="BU266" i="22"/>
  <c r="BU269" i="22"/>
  <c r="BU310" i="22"/>
  <c r="BU328" i="22"/>
  <c r="BU317" i="22"/>
  <c r="BU329" i="22"/>
  <c r="BU49" i="22"/>
  <c r="BU217" i="22"/>
  <c r="BU148" i="22"/>
  <c r="BU250" i="22"/>
  <c r="BU199" i="22"/>
  <c r="BU267" i="22"/>
  <c r="BU203" i="22"/>
  <c r="BU228" i="22"/>
  <c r="BU273" i="22"/>
  <c r="BU205" i="22"/>
  <c r="BU219" i="22"/>
  <c r="BU139" i="22"/>
  <c r="BU191" i="22"/>
  <c r="BU194" i="22"/>
  <c r="BU220" i="22"/>
  <c r="BU324" i="22"/>
  <c r="BU332" i="22"/>
  <c r="BU160" i="22"/>
  <c r="BU176" i="22"/>
  <c r="BU211" i="22"/>
  <c r="BU254" i="22"/>
  <c r="BU305" i="22"/>
  <c r="BU285" i="22"/>
  <c r="BU85" i="22"/>
  <c r="BU192" i="22"/>
  <c r="BU233" i="22"/>
  <c r="BU335" i="22"/>
  <c r="BU112" i="22"/>
  <c r="BU231" i="22"/>
  <c r="BU234" i="22"/>
  <c r="BU187" i="22"/>
  <c r="BU277" i="22"/>
  <c r="BU243" i="22"/>
  <c r="BU284" i="22"/>
  <c r="BU297" i="22"/>
  <c r="BU195" i="22"/>
  <c r="BU251" i="22"/>
  <c r="BU302" i="22"/>
  <c r="BU325" i="22"/>
  <c r="BU299" i="22"/>
  <c r="BU290" i="22"/>
  <c r="BU312" i="22"/>
  <c r="BU333" i="22"/>
  <c r="BU135" i="22"/>
  <c r="BU184" i="22"/>
  <c r="BU229" i="22"/>
  <c r="BU242" i="22"/>
  <c r="BU291" i="22"/>
  <c r="BU314" i="22"/>
  <c r="BU320" i="22"/>
  <c r="BU188" i="22"/>
  <c r="BU212" i="22"/>
  <c r="BU178" i="22"/>
  <c r="BU162" i="22"/>
  <c r="BU300" i="22"/>
  <c r="BU186" i="22"/>
  <c r="BU296" i="22"/>
  <c r="BU261" i="22"/>
  <c r="BU281" i="22"/>
  <c r="BU174" i="22"/>
  <c r="BU137" i="22"/>
  <c r="BU109" i="22"/>
  <c r="BU230" i="22"/>
  <c r="BU279" i="22"/>
  <c r="BU141" i="22"/>
  <c r="BU106" i="22"/>
  <c r="BU161" i="22"/>
  <c r="BU197" i="22"/>
  <c r="BU130" i="22"/>
  <c r="BU182" i="22"/>
  <c r="BU142" i="22"/>
  <c r="BU42" i="22"/>
  <c r="BU138" i="22"/>
  <c r="BU110" i="22"/>
  <c r="BU97" i="22"/>
  <c r="BU118" i="22"/>
  <c r="BU163" i="22"/>
  <c r="BU226" i="22"/>
  <c r="BU283" i="22"/>
  <c r="BU210" i="22"/>
  <c r="BU256" i="22"/>
  <c r="BU185" i="22"/>
  <c r="BU201" i="22"/>
  <c r="BU271" i="22"/>
  <c r="BU264" i="22"/>
  <c r="BU257" i="22"/>
  <c r="BU149" i="22"/>
  <c r="BU307" i="22"/>
  <c r="BU237" i="22"/>
  <c r="BU278" i="22"/>
  <c r="BU73" i="22"/>
  <c r="BU133" i="22"/>
  <c r="BU313" i="22"/>
  <c r="BU287" i="22"/>
  <c r="BU295" i="22"/>
  <c r="BU222" i="22"/>
  <c r="BU166" i="22"/>
  <c r="BU177" i="22"/>
  <c r="BU172" i="22"/>
  <c r="BU244" i="22"/>
  <c r="BU153" i="22"/>
  <c r="BU113" i="22"/>
  <c r="BU171" i="22"/>
  <c r="BU121" i="22"/>
  <c r="BU134" i="22"/>
  <c r="BU89" i="22"/>
  <c r="BU145" i="22"/>
  <c r="BU122" i="22"/>
  <c r="BU101" i="22"/>
  <c r="BU105" i="22"/>
  <c r="BU125" i="22"/>
  <c r="BU57" i="22"/>
  <c r="BU303" i="22"/>
  <c r="BU214" i="22"/>
  <c r="BU117" i="22"/>
  <c r="BU78" i="22"/>
  <c r="BU190" i="22"/>
  <c r="BU275" i="22"/>
  <c r="BU252" i="22"/>
  <c r="BU280" i="22"/>
  <c r="BU289" i="22"/>
  <c r="BU196" i="22"/>
  <c r="BU90" i="22"/>
  <c r="BU253" i="22"/>
  <c r="BU150" i="22"/>
  <c r="BU126" i="22"/>
  <c r="BU158" i="22"/>
  <c r="BU304" i="22"/>
  <c r="BU65" i="22"/>
  <c r="BU164" i="22"/>
  <c r="BU91" i="22"/>
  <c r="BU236" i="22"/>
  <c r="BU265" i="22"/>
  <c r="BU327" i="22"/>
  <c r="BU311" i="22"/>
  <c r="BU270" i="22"/>
  <c r="BU318" i="22"/>
  <c r="BU181" i="22"/>
  <c r="BU129" i="22"/>
  <c r="BU326" i="22"/>
  <c r="BU249" i="22"/>
  <c r="BU260" i="22"/>
  <c r="BU169" i="22"/>
  <c r="BU81" i="22"/>
  <c r="BU102" i="22"/>
  <c r="BU189" i="22"/>
  <c r="BU52" i="22"/>
  <c r="BU154" i="22"/>
  <c r="BU114" i="22"/>
  <c r="BU245" i="22"/>
  <c r="BU288" i="22"/>
  <c r="BU82" i="22"/>
  <c r="BU316" i="22"/>
  <c r="BU241" i="22"/>
  <c r="BU170" i="22"/>
  <c r="BU322" i="22"/>
  <c r="BU193" i="22"/>
  <c r="BU86" i="22"/>
  <c r="BU206" i="22"/>
  <c r="BU98" i="22"/>
  <c r="BU331" i="22"/>
  <c r="BU180" i="22"/>
  <c r="BU62" i="22"/>
  <c r="BU146" i="22"/>
  <c r="BU94" i="22"/>
  <c r="BU292" i="22"/>
  <c r="BU218" i="22"/>
  <c r="BU179" i="22"/>
  <c r="BU309" i="22"/>
  <c r="BU70" i="22"/>
  <c r="BU330" i="22"/>
  <c r="BU323" i="22"/>
  <c r="BU83" i="22"/>
  <c r="BU319" i="22"/>
  <c r="BI214" i="22"/>
  <c r="BI168" i="22"/>
  <c r="BI67" i="22"/>
  <c r="BI176" i="22"/>
  <c r="BI59" i="22"/>
  <c r="BI269" i="22"/>
  <c r="BI75" i="22"/>
  <c r="BI42" i="22"/>
  <c r="BI49" i="22"/>
  <c r="BI52" i="22"/>
  <c r="BI73" i="22"/>
  <c r="BI136" i="22"/>
  <c r="BI144" i="22"/>
  <c r="BI76" i="22"/>
  <c r="BI80" i="22"/>
  <c r="BI206" i="22"/>
  <c r="BI41" i="22"/>
  <c r="BI50" i="22"/>
  <c r="BI55" i="22"/>
  <c r="BI85" i="22"/>
  <c r="BI108" i="22"/>
  <c r="BI61" i="22"/>
  <c r="BI100" i="22"/>
  <c r="BI157" i="22"/>
  <c r="BI77" i="22"/>
  <c r="BI141" i="22"/>
  <c r="BI149" i="22"/>
  <c r="BI104" i="22"/>
  <c r="BI116" i="22"/>
  <c r="BI47" i="22"/>
  <c r="BI45" i="22"/>
  <c r="BI65" i="22"/>
  <c r="BI72" i="22"/>
  <c r="BI69" i="22"/>
  <c r="BI38" i="22"/>
  <c r="BI166" i="22"/>
  <c r="BI40" i="22"/>
  <c r="BI44" i="22"/>
  <c r="BI51" i="22"/>
  <c r="BI56" i="22"/>
  <c r="BI68" i="22"/>
  <c r="BI193" i="22"/>
  <c r="BI128" i="22"/>
  <c r="BI132" i="22"/>
  <c r="BI185" i="22"/>
  <c r="BI48" i="22"/>
  <c r="BI152" i="22"/>
  <c r="BI124" i="22"/>
  <c r="BI93" i="22"/>
  <c r="BI120" i="22"/>
  <c r="BI243" i="22"/>
  <c r="BI43" i="22"/>
  <c r="BI64" i="22"/>
  <c r="BI36" i="22"/>
  <c r="BI35" i="22" s="1"/>
  <c r="BI46" i="22"/>
  <c r="BI88" i="22"/>
  <c r="BI121" i="22"/>
  <c r="BI60" i="22"/>
  <c r="BI57" i="22"/>
  <c r="BI112" i="22"/>
  <c r="BI105" i="22"/>
  <c r="BI89" i="22"/>
  <c r="BI54" i="22"/>
  <c r="BI70" i="22"/>
  <c r="BI96" i="22"/>
  <c r="BI62" i="22"/>
  <c r="BI113" i="22"/>
  <c r="BI137" i="22"/>
  <c r="BI145" i="22"/>
  <c r="BI153" i="22"/>
  <c r="BI117" i="22"/>
  <c r="BI133" i="22"/>
  <c r="BI174" i="22"/>
  <c r="BI250" i="22"/>
  <c r="BI109" i="22"/>
  <c r="BI224" i="22"/>
  <c r="BI230" i="22"/>
  <c r="BI240" i="22"/>
  <c r="BI129" i="22"/>
  <c r="BI264" i="22"/>
  <c r="BI294" i="22"/>
  <c r="BI86" i="22"/>
  <c r="BI125" i="22"/>
  <c r="BI158" i="22"/>
  <c r="BI212" i="22"/>
  <c r="BI226" i="22"/>
  <c r="BI241" i="22"/>
  <c r="BI256" i="22"/>
  <c r="BI177" i="22"/>
  <c r="BI208" i="22"/>
  <c r="BI216" i="22"/>
  <c r="BI329" i="22"/>
  <c r="BI148" i="22"/>
  <c r="BI234" i="22"/>
  <c r="BJ10" i="22"/>
  <c r="BO38" i="22" s="1"/>
  <c r="BR38" i="22" s="1"/>
  <c r="BI232" i="22"/>
  <c r="BI169" i="22"/>
  <c r="BI189" i="22"/>
  <c r="BI244" i="22"/>
  <c r="BI251" i="22"/>
  <c r="BI188" i="22"/>
  <c r="BI192" i="22"/>
  <c r="BI220" i="22"/>
  <c r="BI247" i="22"/>
  <c r="BI204" i="22"/>
  <c r="BI235" i="22"/>
  <c r="BI255" i="22"/>
  <c r="BI281" i="22"/>
  <c r="BI302" i="22"/>
  <c r="BI316" i="22"/>
  <c r="BI309" i="22"/>
  <c r="BI140" i="22"/>
  <c r="BI101" i="22"/>
  <c r="BI210" i="22"/>
  <c r="BI161" i="22"/>
  <c r="BI218" i="22"/>
  <c r="BI292" i="22"/>
  <c r="BI209" i="22"/>
  <c r="BI217" i="22"/>
  <c r="BI225" i="22"/>
  <c r="BI233" i="22"/>
  <c r="BI248" i="22"/>
  <c r="BI252" i="22"/>
  <c r="BI287" i="22"/>
  <c r="BI282" i="22"/>
  <c r="BI259" i="22"/>
  <c r="BI278" i="22"/>
  <c r="BI298" i="22"/>
  <c r="BI303" i="22"/>
  <c r="BI306" i="22"/>
  <c r="BI333" i="22"/>
  <c r="BI311" i="22"/>
  <c r="BI321" i="22"/>
  <c r="BI334" i="22"/>
  <c r="BI322" i="22"/>
  <c r="BI78" i="22"/>
  <c r="BI81" i="22"/>
  <c r="BI156" i="22"/>
  <c r="BI160" i="22"/>
  <c r="BI203" i="22"/>
  <c r="BI181" i="22"/>
  <c r="BI222" i="22"/>
  <c r="BI239" i="22"/>
  <c r="BI184" i="22"/>
  <c r="BI196" i="22"/>
  <c r="BI221" i="22"/>
  <c r="BI201" i="22"/>
  <c r="BI213" i="22"/>
  <c r="BI283" i="22"/>
  <c r="BI307" i="22"/>
  <c r="BI195" i="22"/>
  <c r="BI286" i="22"/>
  <c r="BI270" i="22"/>
  <c r="BI260" i="22"/>
  <c r="BI205" i="22"/>
  <c r="BI249" i="22"/>
  <c r="BI285" i="22"/>
  <c r="BI325" i="22"/>
  <c r="BI229" i="22"/>
  <c r="BI275" i="22"/>
  <c r="BI317" i="22"/>
  <c r="BI315" i="22"/>
  <c r="BI318" i="22"/>
  <c r="BI263" i="22"/>
  <c r="BI326" i="22"/>
  <c r="BI97" i="22"/>
  <c r="BI180" i="22"/>
  <c r="BI236" i="22"/>
  <c r="BI277" i="22"/>
  <c r="BI267" i="22"/>
  <c r="BI330" i="22"/>
  <c r="BI228" i="22"/>
  <c r="BI94" i="22"/>
  <c r="BI295" i="22"/>
  <c r="BI299" i="22"/>
  <c r="BI313" i="22"/>
  <c r="BI268" i="22"/>
  <c r="BI183" i="22"/>
  <c r="BI320" i="22"/>
  <c r="BI300" i="22"/>
  <c r="BI279" i="22"/>
  <c r="BI272" i="22"/>
  <c r="BI95" i="22"/>
  <c r="BI102" i="22"/>
  <c r="BI280" i="22"/>
  <c r="BI211" i="22"/>
  <c r="BI254" i="22"/>
  <c r="BI262" i="22"/>
  <c r="BI257" i="22"/>
  <c r="BI83" i="22"/>
  <c r="BI308" i="22"/>
  <c r="BI314" i="22"/>
  <c r="BI296" i="22"/>
  <c r="BI223" i="22"/>
  <c r="BI190" i="22"/>
  <c r="BI258" i="22"/>
  <c r="BI179" i="22"/>
  <c r="BI92" i="22"/>
  <c r="BI103" i="22"/>
  <c r="BI135" i="22"/>
  <c r="BI110" i="22"/>
  <c r="BI84" i="22"/>
  <c r="BI147" i="22"/>
  <c r="BI90" i="22"/>
  <c r="BI39" i="22"/>
  <c r="BI312" i="22"/>
  <c r="BI293" i="22"/>
  <c r="BI310" i="22"/>
  <c r="BI266" i="22"/>
  <c r="BI173" i="22"/>
  <c r="BI305" i="22"/>
  <c r="BI122" i="22"/>
  <c r="BI99" i="22"/>
  <c r="BI126" i="22"/>
  <c r="BI289" i="22"/>
  <c r="BI227" i="22"/>
  <c r="BI79" i="22"/>
  <c r="BI273" i="22"/>
  <c r="BI170" i="22"/>
  <c r="BI66" i="22"/>
  <c r="BI98" i="22"/>
  <c r="BI319" i="22"/>
  <c r="BI301" i="22"/>
  <c r="BI242" i="22"/>
  <c r="BI215" i="22"/>
  <c r="BI274" i="22"/>
  <c r="BI163" i="22"/>
  <c r="BI139" i="22"/>
  <c r="BI191" i="22"/>
  <c r="BI324" i="22"/>
  <c r="BI74" i="22"/>
  <c r="BI91" i="22"/>
  <c r="BI328" i="22"/>
  <c r="BI130" i="22"/>
  <c r="BI107" i="22"/>
  <c r="BI199" i="22"/>
  <c r="BI131" i="22"/>
  <c r="BI323" i="22"/>
  <c r="BI118" i="22"/>
  <c r="BI219" i="22"/>
  <c r="BI238" i="22"/>
  <c r="BI194" i="22"/>
  <c r="BI200" i="22"/>
  <c r="BI178" i="22"/>
  <c r="BI63" i="22"/>
  <c r="BI207" i="22"/>
  <c r="BI198" i="22"/>
  <c r="BI237" i="22"/>
  <c r="BI134" i="22"/>
  <c r="BI265" i="22"/>
  <c r="BI58" i="22"/>
  <c r="BI146" i="22"/>
  <c r="BI151" i="22"/>
  <c r="BI111" i="22"/>
  <c r="BI335" i="22"/>
  <c r="BI154" i="22"/>
  <c r="BI332" i="22"/>
  <c r="BI304" i="22"/>
  <c r="BI53" i="22"/>
  <c r="BI182" i="22"/>
  <c r="BI331" i="22"/>
  <c r="BI284" i="22"/>
  <c r="BI159" i="22"/>
  <c r="BI106" i="22"/>
  <c r="BI291" i="22"/>
  <c r="BI82" i="22"/>
  <c r="BI327" i="22"/>
  <c r="BI297" i="22"/>
  <c r="BI172" i="22"/>
  <c r="BI253" i="22"/>
  <c r="BI167" i="22"/>
  <c r="BI123" i="22"/>
  <c r="BI87" i="22"/>
  <c r="BI276" i="22"/>
  <c r="BI175" i="22"/>
  <c r="BI119" i="22"/>
  <c r="BI271" i="22"/>
  <c r="BI197" i="22"/>
  <c r="BI162" i="22"/>
  <c r="BI231" i="22"/>
  <c r="BI171" i="22"/>
  <c r="BI115" i="22"/>
  <c r="BI155" i="22"/>
  <c r="BI127" i="22"/>
  <c r="BI164" i="22"/>
  <c r="BI142" i="22"/>
  <c r="BI114" i="22"/>
  <c r="BI261" i="22"/>
  <c r="BI288" i="22"/>
  <c r="BI187" i="22"/>
  <c r="BI143" i="22"/>
  <c r="BI37" i="22"/>
  <c r="BI245" i="22"/>
  <c r="BI202" i="22"/>
  <c r="BI150" i="22"/>
  <c r="BI246" i="22"/>
  <c r="BI186" i="22"/>
  <c r="BI165" i="22"/>
  <c r="BI71" i="22"/>
  <c r="BI290" i="22"/>
  <c r="BI138" i="22"/>
  <c r="M47" i="24"/>
  <c r="M290" i="24"/>
  <c r="M80" i="24"/>
  <c r="M112" i="24"/>
  <c r="M64" i="24"/>
  <c r="M58" i="24"/>
  <c r="M70" i="24"/>
  <c r="M44" i="24"/>
  <c r="M96" i="24"/>
  <c r="M154" i="24"/>
  <c r="M204" i="24"/>
  <c r="M304" i="24"/>
  <c r="M101" i="24"/>
  <c r="M138" i="24"/>
  <c r="M169" i="24"/>
  <c r="N10" i="24"/>
  <c r="S38" i="24" s="1"/>
  <c r="V38" i="24" s="1"/>
  <c r="M102" i="24"/>
  <c r="M243" i="24"/>
  <c r="M69" i="24"/>
  <c r="M208" i="24"/>
  <c r="M54" i="24"/>
  <c r="M85" i="24"/>
  <c r="M333" i="24"/>
  <c r="M137" i="24"/>
  <c r="M122" i="24"/>
  <c r="M50" i="24"/>
  <c r="M292" i="24"/>
  <c r="M62" i="24"/>
  <c r="M38" i="24"/>
  <c r="M288" i="24"/>
  <c r="M37" i="24"/>
  <c r="M286" i="24"/>
  <c r="M121" i="24"/>
  <c r="M86" i="24"/>
  <c r="M117" i="24"/>
  <c r="M136" i="24"/>
  <c r="M168" i="24"/>
  <c r="M88" i="24"/>
  <c r="M93" i="24"/>
  <c r="M156" i="24"/>
  <c r="M161" i="24"/>
  <c r="M186" i="24"/>
  <c r="M113" i="24"/>
  <c r="M120" i="24"/>
  <c r="M302" i="24"/>
  <c r="M211" i="24"/>
  <c r="M81" i="24"/>
  <c r="M133" i="24"/>
  <c r="M165" i="24"/>
  <c r="M78" i="24"/>
  <c r="M104" i="24"/>
  <c r="M109" i="24"/>
  <c r="M116" i="24"/>
  <c r="M132" i="24"/>
  <c r="M219" i="24"/>
  <c r="M97" i="24"/>
  <c r="M152" i="24"/>
  <c r="M192" i="24"/>
  <c r="M262" i="24"/>
  <c r="M272" i="24"/>
  <c r="M51" i="24"/>
  <c r="M73" i="24"/>
  <c r="M89" i="24"/>
  <c r="M105" i="24"/>
  <c r="M316" i="24"/>
  <c r="M157" i="24"/>
  <c r="M178" i="24"/>
  <c r="M45" i="24"/>
  <c r="M36" i="24"/>
  <c r="M72" i="24"/>
  <c r="M77" i="24"/>
  <c r="M110" i="24"/>
  <c r="M177" i="24"/>
  <c r="M194" i="24"/>
  <c r="M65" i="24"/>
  <c r="M296" i="24"/>
  <c r="M59" i="24"/>
  <c r="M246" i="24"/>
  <c r="M298" i="24"/>
  <c r="M141" i="24"/>
  <c r="M153" i="24"/>
  <c r="M124" i="24"/>
  <c r="M129" i="24"/>
  <c r="M148" i="24"/>
  <c r="M172" i="24"/>
  <c r="M188" i="24"/>
  <c r="M254" i="24"/>
  <c r="M149" i="24"/>
  <c r="M325" i="24"/>
  <c r="M42" i="24"/>
  <c r="M173" i="24"/>
  <c r="M146" i="24"/>
  <c r="M235" i="24"/>
  <c r="M185" i="24"/>
  <c r="M43" i="24"/>
  <c r="M140" i="24"/>
  <c r="M180" i="24"/>
  <c r="M250" i="24"/>
  <c r="M276" i="24"/>
  <c r="M197" i="24"/>
  <c r="M259" i="24"/>
  <c r="M300" i="24"/>
  <c r="M314" i="24"/>
  <c r="M289" i="24"/>
  <c r="M297" i="24"/>
  <c r="M305" i="24"/>
  <c r="M318" i="24"/>
  <c r="M334" i="24"/>
  <c r="M324" i="24"/>
  <c r="M227" i="24"/>
  <c r="M258" i="24"/>
  <c r="M273" i="24"/>
  <c r="M189" i="24"/>
  <c r="M282" i="24"/>
  <c r="M247" i="24"/>
  <c r="M263" i="24"/>
  <c r="M284" i="24"/>
  <c r="M312" i="24"/>
  <c r="M307" i="24"/>
  <c r="M317" i="24"/>
  <c r="M328" i="24"/>
  <c r="M320" i="24"/>
  <c r="M323" i="24"/>
  <c r="M46" i="24"/>
  <c r="M94" i="24"/>
  <c r="M196" i="24"/>
  <c r="M125" i="24"/>
  <c r="M162" i="24"/>
  <c r="M306" i="24"/>
  <c r="M285" i="24"/>
  <c r="M315" i="24"/>
  <c r="M331" i="24"/>
  <c r="M332" i="24"/>
  <c r="M55" i="24"/>
  <c r="M335" i="24"/>
  <c r="M130" i="24"/>
  <c r="M266" i="24"/>
  <c r="M181" i="24"/>
  <c r="M280" i="24"/>
  <c r="M294" i="24"/>
  <c r="M255" i="24"/>
  <c r="M39" i="24"/>
  <c r="M184" i="24"/>
  <c r="M164" i="24"/>
  <c r="M269" i="24"/>
  <c r="M251" i="24"/>
  <c r="M277" i="24"/>
  <c r="M319" i="24"/>
  <c r="M281" i="24"/>
  <c r="M170" i="24"/>
  <c r="M301" i="24"/>
  <c r="M326" i="24"/>
  <c r="M145" i="24"/>
  <c r="M202" i="24"/>
  <c r="M293" i="24"/>
  <c r="M205" i="24"/>
  <c r="M327" i="24"/>
  <c r="M309" i="24"/>
  <c r="M163" i="24"/>
  <c r="M244" i="24"/>
  <c r="M111" i="24"/>
  <c r="M299" i="24"/>
  <c r="M207" i="24"/>
  <c r="M265" i="24"/>
  <c r="M270" i="24"/>
  <c r="M191" i="24"/>
  <c r="M223" i="24"/>
  <c r="M295" i="24"/>
  <c r="M268" i="24"/>
  <c r="M221" i="24"/>
  <c r="M264" i="24"/>
  <c r="M147" i="24"/>
  <c r="M176" i="24"/>
  <c r="M135" i="24"/>
  <c r="M187" i="24"/>
  <c r="M216" i="24"/>
  <c r="M206" i="24"/>
  <c r="M183" i="24"/>
  <c r="M63" i="24"/>
  <c r="M199" i="24"/>
  <c r="M233" i="24"/>
  <c r="M92" i="24"/>
  <c r="M57" i="24"/>
  <c r="M66" i="24"/>
  <c r="M159" i="24"/>
  <c r="M245" i="24"/>
  <c r="M99" i="24"/>
  <c r="M68" i="24"/>
  <c r="M198" i="24"/>
  <c r="M134" i="24"/>
  <c r="M231" i="24"/>
  <c r="M98" i="24"/>
  <c r="M238" i="24"/>
  <c r="M225" i="24"/>
  <c r="M260" i="24"/>
  <c r="M127" i="24"/>
  <c r="M131" i="24"/>
  <c r="M329" i="24"/>
  <c r="M144" i="24"/>
  <c r="M283" i="24"/>
  <c r="M91" i="24"/>
  <c r="M67" i="24"/>
  <c r="M287" i="24"/>
  <c r="M278" i="24"/>
  <c r="M218" i="24"/>
  <c r="M203" i="24"/>
  <c r="M87" i="24"/>
  <c r="M75" i="24"/>
  <c r="M322" i="24"/>
  <c r="M253" i="24"/>
  <c r="M241" i="24"/>
  <c r="M49" i="24"/>
  <c r="M155" i="24"/>
  <c r="M158" i="24"/>
  <c r="M311" i="24"/>
  <c r="M60" i="24"/>
  <c r="M215" i="24"/>
  <c r="M229" i="24"/>
  <c r="M61" i="24"/>
  <c r="M114" i="24"/>
  <c r="M167" i="24"/>
  <c r="M52" i="24"/>
  <c r="M200" i="24"/>
  <c r="M115" i="24"/>
  <c r="M100" i="24"/>
  <c r="M119" i="24"/>
  <c r="M249" i="24"/>
  <c r="M79" i="24"/>
  <c r="M103" i="24"/>
  <c r="M182" i="24"/>
  <c r="M106" i="24"/>
  <c r="M275" i="24"/>
  <c r="M256" i="24"/>
  <c r="M171" i="24"/>
  <c r="M90" i="24"/>
  <c r="M267" i="24"/>
  <c r="M226" i="24"/>
  <c r="M107" i="24"/>
  <c r="M41" i="24"/>
  <c r="M126" i="24"/>
  <c r="M195" i="24"/>
  <c r="M143" i="24"/>
  <c r="M291" i="24"/>
  <c r="M252" i="24"/>
  <c r="M108" i="24"/>
  <c r="M193" i="24"/>
  <c r="M271" i="24"/>
  <c r="M82" i="24"/>
  <c r="M53" i="24"/>
  <c r="M174" i="24"/>
  <c r="M84" i="24"/>
  <c r="M190" i="24"/>
  <c r="M217" i="24"/>
  <c r="M261" i="24"/>
  <c r="M213" i="24"/>
  <c r="M279" i="24"/>
  <c r="M248" i="24"/>
  <c r="M175" i="24"/>
  <c r="M232" i="24"/>
  <c r="M230" i="24"/>
  <c r="M210" i="24"/>
  <c r="M321" i="24"/>
  <c r="M303" i="24"/>
  <c r="M160" i="24"/>
  <c r="M330" i="24"/>
  <c r="M179" i="24"/>
  <c r="M128" i="24"/>
  <c r="M234" i="24"/>
  <c r="M212" i="24"/>
  <c r="M76" i="24"/>
  <c r="M48" i="24"/>
  <c r="M142" i="24"/>
  <c r="M74" i="24"/>
  <c r="M201" i="24"/>
  <c r="M209" i="24"/>
  <c r="M166" i="24"/>
  <c r="M222" i="24"/>
  <c r="M83" i="24"/>
  <c r="M240" i="24"/>
  <c r="M239" i="24"/>
  <c r="M237" i="24"/>
  <c r="M150" i="24"/>
  <c r="M228" i="24"/>
  <c r="M71" i="24"/>
  <c r="M313" i="24"/>
  <c r="M139" i="24"/>
  <c r="M224" i="24"/>
  <c r="M274" i="24"/>
  <c r="M220" i="24"/>
  <c r="M214" i="24"/>
  <c r="M151" i="24"/>
  <c r="M236" i="24"/>
  <c r="M310" i="24"/>
  <c r="M242" i="24"/>
  <c r="M308" i="24"/>
  <c r="M257" i="24"/>
  <c r="M123" i="24"/>
  <c r="M95" i="24"/>
  <c r="M56" i="24"/>
  <c r="M118" i="24"/>
  <c r="M40" i="24"/>
  <c r="Y295" i="24"/>
  <c r="Y57" i="24"/>
  <c r="Y53" i="24"/>
  <c r="Y44" i="24"/>
  <c r="Y49" i="24"/>
  <c r="Y61" i="24"/>
  <c r="Y335" i="24"/>
  <c r="Y191" i="24"/>
  <c r="Y305" i="24"/>
  <c r="Y43" i="24"/>
  <c r="Y109" i="24"/>
  <c r="Y144" i="24"/>
  <c r="Y192" i="24"/>
  <c r="Y159" i="24"/>
  <c r="Y172" i="24"/>
  <c r="Y199" i="24"/>
  <c r="Y303" i="24"/>
  <c r="Y179" i="24"/>
  <c r="Y317" i="24"/>
  <c r="Y63" i="24"/>
  <c r="Y93" i="24"/>
  <c r="Y36" i="24"/>
  <c r="Y175" i="24"/>
  <c r="Y69" i="24"/>
  <c r="Y95" i="24"/>
  <c r="Y100" i="24"/>
  <c r="Y123" i="24"/>
  <c r="Y163" i="24"/>
  <c r="Y171" i="24"/>
  <c r="Y76" i="24"/>
  <c r="Y289" i="24"/>
  <c r="Y293" i="24"/>
  <c r="Z10" i="24"/>
  <c r="AE38" i="24" s="1"/>
  <c r="AH38" i="24" s="1"/>
  <c r="Y54" i="24"/>
  <c r="Y87" i="24"/>
  <c r="Y129" i="24"/>
  <c r="Y177" i="24"/>
  <c r="Y287" i="24"/>
  <c r="Y85" i="24"/>
  <c r="Y111" i="24"/>
  <c r="Y120" i="24"/>
  <c r="Y139" i="24"/>
  <c r="Y168" i="24"/>
  <c r="Y183" i="24"/>
  <c r="Y201" i="24"/>
  <c r="Y203" i="24"/>
  <c r="Y261" i="24"/>
  <c r="Y281" i="24"/>
  <c r="Y41" i="24"/>
  <c r="Y103" i="24"/>
  <c r="Y299" i="24"/>
  <c r="Y318" i="24"/>
  <c r="Y45" i="24"/>
  <c r="Y58" i="24"/>
  <c r="Y80" i="24"/>
  <c r="Y96" i="24"/>
  <c r="Y112" i="24"/>
  <c r="Y253" i="24"/>
  <c r="Y164" i="24"/>
  <c r="Y185" i="24"/>
  <c r="Y71" i="24"/>
  <c r="Y47" i="24"/>
  <c r="Y147" i="24"/>
  <c r="Y152" i="24"/>
  <c r="Y275" i="24"/>
  <c r="Y77" i="24"/>
  <c r="Y145" i="24"/>
  <c r="Y161" i="24"/>
  <c r="Y176" i="24"/>
  <c r="Y218" i="24"/>
  <c r="Y127" i="24"/>
  <c r="Y143" i="24"/>
  <c r="Y332" i="24"/>
  <c r="Y50" i="24"/>
  <c r="Y88" i="24"/>
  <c r="Y68" i="24"/>
  <c r="Y101" i="24"/>
  <c r="Y226" i="24"/>
  <c r="Y92" i="24"/>
  <c r="Y128" i="24"/>
  <c r="Y267" i="24"/>
  <c r="Y121" i="24"/>
  <c r="Y153" i="24"/>
  <c r="Y249" i="24"/>
  <c r="Y306" i="24"/>
  <c r="Y104" i="24"/>
  <c r="Y84" i="24"/>
  <c r="Y46" i="24"/>
  <c r="Y132" i="24"/>
  <c r="Y148" i="24"/>
  <c r="Y234" i="24"/>
  <c r="Y137" i="24"/>
  <c r="Y210" i="24"/>
  <c r="Y204" i="24"/>
  <c r="Y283" i="24"/>
  <c r="Y250" i="24"/>
  <c r="Y266" i="24"/>
  <c r="Y276" i="24"/>
  <c r="Y288" i="24"/>
  <c r="Y296" i="24"/>
  <c r="Y304" i="24"/>
  <c r="Y310" i="24"/>
  <c r="Y325" i="24"/>
  <c r="Y331" i="24"/>
  <c r="Y160" i="24"/>
  <c r="Y319" i="24"/>
  <c r="Y136" i="24"/>
  <c r="Y155" i="24"/>
  <c r="Y187" i="24"/>
  <c r="Y140" i="24"/>
  <c r="Y62" i="24"/>
  <c r="Y115" i="24"/>
  <c r="Y116" i="24"/>
  <c r="Y169" i="24"/>
  <c r="Y242" i="24"/>
  <c r="Y196" i="24"/>
  <c r="Y245" i="24"/>
  <c r="Y254" i="24"/>
  <c r="Y291" i="24"/>
  <c r="Y280" i="24"/>
  <c r="Y309" i="24"/>
  <c r="Y314" i="24"/>
  <c r="Y334" i="24"/>
  <c r="Y326" i="24"/>
  <c r="Y330" i="24"/>
  <c r="Y323" i="24"/>
  <c r="Y131" i="24"/>
  <c r="Y156" i="24"/>
  <c r="Y265" i="24"/>
  <c r="Y180" i="24"/>
  <c r="Y279" i="24"/>
  <c r="Y268" i="24"/>
  <c r="Y292" i="24"/>
  <c r="Y297" i="24"/>
  <c r="Y42" i="24"/>
  <c r="Y79" i="24"/>
  <c r="Y195" i="24"/>
  <c r="Y313" i="24"/>
  <c r="Y72" i="24"/>
  <c r="Y64" i="24"/>
  <c r="Y257" i="24"/>
  <c r="Y188" i="24"/>
  <c r="Y262" i="24"/>
  <c r="Y284" i="24"/>
  <c r="Y311" i="24"/>
  <c r="Y327" i="24"/>
  <c r="Y193" i="24"/>
  <c r="Y108" i="24"/>
  <c r="Y124" i="24"/>
  <c r="Y301" i="24"/>
  <c r="Y258" i="24"/>
  <c r="Y285" i="24"/>
  <c r="Y273" i="24"/>
  <c r="Y209" i="24"/>
  <c r="Y246" i="24"/>
  <c r="Y300" i="24"/>
  <c r="Y324" i="24"/>
  <c r="Y322" i="24"/>
  <c r="Y333" i="24"/>
  <c r="Y182" i="24"/>
  <c r="Y271" i="24"/>
  <c r="Y228" i="24"/>
  <c r="Y247" i="24"/>
  <c r="Y315" i="24"/>
  <c r="Y110" i="24"/>
  <c r="Y135" i="24"/>
  <c r="Y212" i="24"/>
  <c r="Y75" i="24"/>
  <c r="Y302" i="24"/>
  <c r="Y248" i="24"/>
  <c r="Y178" i="24"/>
  <c r="Y230" i="24"/>
  <c r="Y151" i="24"/>
  <c r="Y189" i="24"/>
  <c r="Y134" i="24"/>
  <c r="Y59" i="24"/>
  <c r="Y272" i="24"/>
  <c r="Y233" i="24"/>
  <c r="Y229" i="24"/>
  <c r="Y119" i="24"/>
  <c r="Y222" i="24"/>
  <c r="Y130" i="24"/>
  <c r="Y102" i="24"/>
  <c r="Y239" i="24"/>
  <c r="Y83" i="24"/>
  <c r="Y81" i="24"/>
  <c r="Y197" i="24"/>
  <c r="Y142" i="24"/>
  <c r="Y91" i="24"/>
  <c r="Y86" i="24"/>
  <c r="Y278" i="24"/>
  <c r="Y217" i="24"/>
  <c r="Y202" i="24"/>
  <c r="Y256" i="24"/>
  <c r="Y282" i="24"/>
  <c r="Y78" i="24"/>
  <c r="Y89" i="24"/>
  <c r="Y298" i="24"/>
  <c r="Y251" i="24"/>
  <c r="Y216" i="24"/>
  <c r="Y294" i="24"/>
  <c r="Y146" i="24"/>
  <c r="Y219" i="24"/>
  <c r="Y55" i="24"/>
  <c r="Y244" i="24"/>
  <c r="Y208" i="24"/>
  <c r="Y270" i="24"/>
  <c r="Y260" i="24"/>
  <c r="Y186" i="24"/>
  <c r="Y200" i="24"/>
  <c r="Y241" i="24"/>
  <c r="Y70" i="24"/>
  <c r="Y141" i="24"/>
  <c r="Y99" i="24"/>
  <c r="Y243" i="24"/>
  <c r="Y38" i="24"/>
  <c r="Y48" i="24"/>
  <c r="Y173" i="24"/>
  <c r="Y158" i="24"/>
  <c r="Y235" i="24"/>
  <c r="Y312" i="24"/>
  <c r="Y170" i="24"/>
  <c r="Y286" i="24"/>
  <c r="Y51" i="24"/>
  <c r="Y213" i="24"/>
  <c r="Y231" i="24"/>
  <c r="Y223" i="24"/>
  <c r="Y149" i="24"/>
  <c r="Y194" i="24"/>
  <c r="Y321" i="24"/>
  <c r="Y138" i="24"/>
  <c r="Y277" i="24"/>
  <c r="Y67" i="24"/>
  <c r="Y221" i="24"/>
  <c r="Y225" i="24"/>
  <c r="Y133" i="24"/>
  <c r="Y65" i="24"/>
  <c r="Y117" i="24"/>
  <c r="Y52" i="24"/>
  <c r="Y214" i="24"/>
  <c r="Y238" i="24"/>
  <c r="Y328" i="24"/>
  <c r="Y264" i="24"/>
  <c r="Y82" i="24"/>
  <c r="Y154" i="24"/>
  <c r="Y60" i="24"/>
  <c r="Y237" i="24"/>
  <c r="Y126" i="24"/>
  <c r="Y205" i="24"/>
  <c r="Y198" i="24"/>
  <c r="Y269" i="24"/>
  <c r="Y74" i="24"/>
  <c r="Y157" i="24"/>
  <c r="Y290" i="24"/>
  <c r="Y252" i="24"/>
  <c r="Y113" i="24"/>
  <c r="Y150" i="24"/>
  <c r="Y97" i="24"/>
  <c r="Y211" i="24"/>
  <c r="Y106" i="24"/>
  <c r="Y122" i="24"/>
  <c r="Y56" i="24"/>
  <c r="Y227" i="24"/>
  <c r="Y181" i="24"/>
  <c r="Y114" i="24"/>
  <c r="Y236" i="24"/>
  <c r="Y174" i="24"/>
  <c r="Y90" i="24"/>
  <c r="Y39" i="24"/>
  <c r="Y232" i="24"/>
  <c r="Y105" i="24"/>
  <c r="Y73" i="24"/>
  <c r="Y118" i="24"/>
  <c r="Y165" i="24"/>
  <c r="Y190" i="24"/>
  <c r="Y207" i="24"/>
  <c r="Y206" i="24"/>
  <c r="Y307" i="24"/>
  <c r="Y167" i="24"/>
  <c r="Y259" i="24"/>
  <c r="Y224" i="24"/>
  <c r="Y94" i="24"/>
  <c r="Y316" i="24"/>
  <c r="Y162" i="24"/>
  <c r="Y40" i="24"/>
  <c r="Y66" i="24"/>
  <c r="Y220" i="24"/>
  <c r="Y308" i="24"/>
  <c r="Y329" i="24"/>
  <c r="Y37" i="24"/>
  <c r="Y98" i="24"/>
  <c r="Y263" i="24"/>
  <c r="Y274" i="24"/>
  <c r="Y255" i="24"/>
  <c r="Y215" i="24"/>
  <c r="Y184" i="24"/>
  <c r="Y240" i="24"/>
  <c r="Y320" i="24"/>
  <c r="Y166" i="24"/>
  <c r="Y107" i="24"/>
  <c r="Y125" i="24"/>
  <c r="AW68" i="22"/>
  <c r="AW76" i="22"/>
  <c r="AW161" i="22"/>
  <c r="AW169" i="22"/>
  <c r="AW60" i="22"/>
  <c r="AX10" i="22"/>
  <c r="BC38" i="22" s="1"/>
  <c r="BF38" i="22" s="1"/>
  <c r="AW98" i="22"/>
  <c r="AW58" i="22"/>
  <c r="AW61" i="22"/>
  <c r="AW65" i="22"/>
  <c r="AW71" i="22"/>
  <c r="AW37" i="22"/>
  <c r="AW248" i="22"/>
  <c r="AW113" i="22"/>
  <c r="AW137" i="22"/>
  <c r="AW36" i="22"/>
  <c r="AW35" i="22" s="1"/>
  <c r="AW47" i="22"/>
  <c r="AW45" i="22"/>
  <c r="AW57" i="22"/>
  <c r="AW70" i="22"/>
  <c r="AW79" i="22"/>
  <c r="AW74" i="22"/>
  <c r="AW114" i="22"/>
  <c r="AW145" i="22"/>
  <c r="AW62" i="22"/>
  <c r="AW43" i="22"/>
  <c r="AW77" i="22"/>
  <c r="AW86" i="22"/>
  <c r="AW153" i="22"/>
  <c r="AW227" i="22"/>
  <c r="AW50" i="22"/>
  <c r="AW55" i="22"/>
  <c r="AW63" i="22"/>
  <c r="AW81" i="22"/>
  <c r="AW121" i="22"/>
  <c r="AW129" i="22"/>
  <c r="AW159" i="22"/>
  <c r="AW94" i="22"/>
  <c r="AW117" i="22"/>
  <c r="AW142" i="22"/>
  <c r="AW42" i="22"/>
  <c r="AW89" i="22"/>
  <c r="AW39" i="22"/>
  <c r="AW48" i="22"/>
  <c r="AW82" i="22"/>
  <c r="AW125" i="22"/>
  <c r="AW78" i="22"/>
  <c r="AW96" i="22"/>
  <c r="AW249" i="22"/>
  <c r="AW41" i="22"/>
  <c r="AW97" i="22"/>
  <c r="AW150" i="22"/>
  <c r="AW69" i="22"/>
  <c r="AW73" i="22"/>
  <c r="AW51" i="22"/>
  <c r="AW44" i="22"/>
  <c r="AW49" i="22"/>
  <c r="AW46" i="22"/>
  <c r="AW53" i="22"/>
  <c r="AW66" i="22"/>
  <c r="AW101" i="22"/>
  <c r="AW130" i="22"/>
  <c r="AW52" i="22"/>
  <c r="AW109" i="22"/>
  <c r="AW105" i="22"/>
  <c r="AW126" i="22"/>
  <c r="AW219" i="22"/>
  <c r="AW231" i="22"/>
  <c r="AW315" i="22"/>
  <c r="AW106" i="22"/>
  <c r="AW138" i="22"/>
  <c r="AW146" i="22"/>
  <c r="AW154" i="22"/>
  <c r="AW175" i="22"/>
  <c r="AW278" i="22"/>
  <c r="AW186" i="22"/>
  <c r="AW102" i="22"/>
  <c r="AW133" i="22"/>
  <c r="AW334" i="22"/>
  <c r="AW191" i="22"/>
  <c r="AW122" i="22"/>
  <c r="AW177" i="22"/>
  <c r="AW207" i="22"/>
  <c r="AW252" i="22"/>
  <c r="AW316" i="22"/>
  <c r="AW118" i="22"/>
  <c r="AW170" i="22"/>
  <c r="AW209" i="22"/>
  <c r="AW237" i="22"/>
  <c r="AW110" i="22"/>
  <c r="AW90" i="22"/>
  <c r="AW141" i="22"/>
  <c r="AW87" i="22"/>
  <c r="AW217" i="22"/>
  <c r="AW318" i="22"/>
  <c r="AW215" i="22"/>
  <c r="AW233" i="22"/>
  <c r="AW261" i="22"/>
  <c r="AW181" i="22"/>
  <c r="AW213" i="22"/>
  <c r="AW270" i="22"/>
  <c r="AW296" i="22"/>
  <c r="AW197" i="22"/>
  <c r="AW244" i="22"/>
  <c r="AW265" i="22"/>
  <c r="AW268" i="22"/>
  <c r="AW264" i="22"/>
  <c r="AW274" i="22"/>
  <c r="AW292" i="22"/>
  <c r="AW299" i="22"/>
  <c r="AW310" i="22"/>
  <c r="AW330" i="22"/>
  <c r="AW327" i="22"/>
  <c r="AW225" i="22"/>
  <c r="AW279" i="22"/>
  <c r="AW190" i="22"/>
  <c r="AW257" i="22"/>
  <c r="AW162" i="22"/>
  <c r="AW182" i="22"/>
  <c r="AW185" i="22"/>
  <c r="AW194" i="22"/>
  <c r="AW229" i="22"/>
  <c r="AW240" i="22"/>
  <c r="AW210" i="22"/>
  <c r="AW218" i="22"/>
  <c r="AW226" i="22"/>
  <c r="AW234" i="22"/>
  <c r="AW241" i="22"/>
  <c r="AW275" i="22"/>
  <c r="AW271" i="22"/>
  <c r="AW286" i="22"/>
  <c r="AW293" i="22"/>
  <c r="AW300" i="22"/>
  <c r="AW326" i="22"/>
  <c r="AW312" i="22"/>
  <c r="AW149" i="22"/>
  <c r="AW167" i="22"/>
  <c r="AW196" i="22"/>
  <c r="AW221" i="22"/>
  <c r="AW236" i="22"/>
  <c r="AW245" i="22"/>
  <c r="AW214" i="22"/>
  <c r="AW314" i="22"/>
  <c r="AW319" i="22"/>
  <c r="AW223" i="22"/>
  <c r="AW178" i="22"/>
  <c r="AW211" i="22"/>
  <c r="AW206" i="22"/>
  <c r="AW253" i="22"/>
  <c r="AW323" i="22"/>
  <c r="AW295" i="22"/>
  <c r="AW284" i="22"/>
  <c r="AW230" i="22"/>
  <c r="AW303" i="22"/>
  <c r="AW331" i="22"/>
  <c r="AW205" i="22"/>
  <c r="AW80" i="22"/>
  <c r="AW222" i="22"/>
  <c r="AW308" i="22"/>
  <c r="AW242" i="22"/>
  <c r="AW256" i="22"/>
  <c r="AW322" i="22"/>
  <c r="AW287" i="22"/>
  <c r="AW158" i="22"/>
  <c r="AW134" i="22"/>
  <c r="AW204" i="22"/>
  <c r="AW317" i="22"/>
  <c r="AW189" i="22"/>
  <c r="AW276" i="22"/>
  <c r="AW260" i="22"/>
  <c r="AW304" i="22"/>
  <c r="AW202" i="22"/>
  <c r="AW288" i="22"/>
  <c r="AW328" i="22"/>
  <c r="AW254" i="22"/>
  <c r="AW85" i="22"/>
  <c r="AW212" i="22"/>
  <c r="AW228" i="22"/>
  <c r="AW195" i="22"/>
  <c r="AW282" i="22"/>
  <c r="AW155" i="22"/>
  <c r="AW297" i="22"/>
  <c r="AW335" i="22"/>
  <c r="AW160" i="22"/>
  <c r="AW180" i="22"/>
  <c r="AW250" i="22"/>
  <c r="AW75" i="22"/>
  <c r="AW151" i="22"/>
  <c r="AW200" i="22"/>
  <c r="AW307" i="22"/>
  <c r="AW289" i="22"/>
  <c r="AW305" i="22"/>
  <c r="AW216" i="22"/>
  <c r="AW199" i="22"/>
  <c r="AW251" i="22"/>
  <c r="AW91" i="22"/>
  <c r="AW116" i="22"/>
  <c r="AW148" i="22"/>
  <c r="AW104" i="22"/>
  <c r="AW262" i="22"/>
  <c r="AW269" i="22"/>
  <c r="AW168" i="22"/>
  <c r="AW333" i="22"/>
  <c r="AW156" i="22"/>
  <c r="AW273" i="22"/>
  <c r="AW201" i="22"/>
  <c r="AW311" i="22"/>
  <c r="AW176" i="22"/>
  <c r="AW163" i="22"/>
  <c r="AW72" i="22"/>
  <c r="AW135" i="22"/>
  <c r="AW40" i="22"/>
  <c r="AW301" i="22"/>
  <c r="AW285" i="22"/>
  <c r="AW266" i="22"/>
  <c r="AW188" i="22"/>
  <c r="AW173" i="22"/>
  <c r="AW115" i="22"/>
  <c r="AW59" i="22"/>
  <c r="AW147" i="22"/>
  <c r="AW324" i="22"/>
  <c r="AW294" i="22"/>
  <c r="AW277" i="22"/>
  <c r="AW208" i="22"/>
  <c r="AW203" i="22"/>
  <c r="AW259" i="22"/>
  <c r="AW187" i="22"/>
  <c r="AW99" i="22"/>
  <c r="AW67" i="22"/>
  <c r="AW165" i="22"/>
  <c r="AW152" i="22"/>
  <c r="AW120" i="22"/>
  <c r="AW174" i="22"/>
  <c r="AW95" i="22"/>
  <c r="AW140" i="22"/>
  <c r="AW83" i="22"/>
  <c r="AW320" i="22"/>
  <c r="AW128" i="22"/>
  <c r="AW325" i="22"/>
  <c r="AW258" i="22"/>
  <c r="AW290" i="22"/>
  <c r="AW239" i="22"/>
  <c r="AW329" i="22"/>
  <c r="AW246" i="22"/>
  <c r="AW123" i="22"/>
  <c r="AW291" i="22"/>
  <c r="AW306" i="22"/>
  <c r="AW243" i="22"/>
  <c r="AW198" i="22"/>
  <c r="AW281" i="22"/>
  <c r="AW255" i="22"/>
  <c r="AW332" i="22"/>
  <c r="AW172" i="22"/>
  <c r="AW107" i="22"/>
  <c r="AW84" i="22"/>
  <c r="AW144" i="22"/>
  <c r="AW184" i="22"/>
  <c r="AW64" i="22"/>
  <c r="AW111" i="22"/>
  <c r="AW92" i="22"/>
  <c r="AW267" i="22"/>
  <c r="AW93" i="22"/>
  <c r="AW302" i="22"/>
  <c r="AW112" i="22"/>
  <c r="AW309" i="22"/>
  <c r="AW235" i="22"/>
  <c r="AW136" i="22"/>
  <c r="AW108" i="22"/>
  <c r="AW272" i="22"/>
  <c r="AW88" i="22"/>
  <c r="AW56" i="22"/>
  <c r="AW166" i="22"/>
  <c r="AW232" i="22"/>
  <c r="AW103" i="22"/>
  <c r="AW143" i="22"/>
  <c r="AW38" i="22"/>
  <c r="AW220" i="22"/>
  <c r="AW280" i="22"/>
  <c r="AW164" i="22"/>
  <c r="AW119" i="22"/>
  <c r="AW224" i="22"/>
  <c r="AW321" i="22"/>
  <c r="AW283" i="22"/>
  <c r="AW131" i="22"/>
  <c r="AW238" i="22"/>
  <c r="AW298" i="22"/>
  <c r="AW183" i="22"/>
  <c r="AW139" i="22"/>
  <c r="AW100" i="22"/>
  <c r="AW179" i="22"/>
  <c r="AW247" i="22"/>
  <c r="AW171" i="22"/>
  <c r="AW157" i="22"/>
  <c r="AW313" i="22"/>
  <c r="AW192" i="22"/>
  <c r="AW263" i="22"/>
  <c r="AW132" i="22"/>
  <c r="AW193" i="22"/>
  <c r="AW54" i="22"/>
  <c r="AW124" i="22"/>
  <c r="AW127" i="22"/>
  <c r="A199" i="27"/>
  <c r="A191" i="27"/>
  <c r="B11" i="27"/>
  <c r="A159" i="27"/>
  <c r="A146" i="27"/>
  <c r="A167" i="27"/>
  <c r="A223" i="27"/>
  <c r="A219" i="27"/>
  <c r="A173" i="27"/>
  <c r="A75" i="27"/>
  <c r="A94" i="27"/>
  <c r="A117" i="27"/>
  <c r="A125" i="27"/>
  <c r="A133" i="27"/>
  <c r="A155" i="27"/>
  <c r="A268" i="27"/>
  <c r="A224" i="27"/>
  <c r="A150" i="27"/>
  <c r="A77" i="27"/>
  <c r="A113" i="27"/>
  <c r="A123" i="27"/>
  <c r="A135" i="27"/>
  <c r="A165" i="27"/>
  <c r="A49" i="27"/>
  <c r="A83" i="27"/>
  <c r="A91" i="27"/>
  <c r="A139" i="27"/>
  <c r="A56" i="27"/>
  <c r="A97" i="27"/>
  <c r="A105" i="27"/>
  <c r="A147" i="27"/>
  <c r="A181" i="27"/>
  <c r="A213" i="27"/>
  <c r="A61" i="27"/>
  <c r="A69" i="27"/>
  <c r="A157" i="27"/>
  <c r="A189" i="27"/>
  <c r="A237" i="27"/>
  <c r="A313" i="27"/>
  <c r="A275" i="27"/>
  <c r="A257" i="27"/>
  <c r="A163" i="27"/>
  <c r="A47" i="27"/>
  <c r="A79" i="27"/>
  <c r="A115" i="27"/>
  <c r="A127" i="27"/>
  <c r="A140" i="27"/>
  <c r="A187" i="27"/>
  <c r="A57" i="27"/>
  <c r="A85" i="27"/>
  <c r="A93" i="27"/>
  <c r="A195" i="27"/>
  <c r="A71" i="27"/>
  <c r="A99" i="27"/>
  <c r="A107" i="27"/>
  <c r="A171" i="27"/>
  <c r="A203" i="27"/>
  <c r="A295" i="27"/>
  <c r="A63" i="27"/>
  <c r="A74" i="27"/>
  <c r="A179" i="27"/>
  <c r="A211" i="27"/>
  <c r="A256" i="27"/>
  <c r="A296" i="27"/>
  <c r="A44" i="27"/>
  <c r="A236" i="27"/>
  <c r="A255" i="27"/>
  <c r="A280" i="27"/>
  <c r="A142" i="27"/>
  <c r="A240" i="27"/>
  <c r="A341" i="27"/>
  <c r="A325" i="27"/>
  <c r="A289" i="27"/>
  <c r="A144" i="27"/>
  <c r="A151" i="27"/>
  <c r="A162" i="27"/>
  <c r="A168" i="27"/>
  <c r="A55" i="27"/>
  <c r="A119" i="27"/>
  <c r="A153" i="27"/>
  <c r="A87" i="27"/>
  <c r="A200" i="27"/>
  <c r="A73" i="27"/>
  <c r="A109" i="27"/>
  <c r="A207" i="27"/>
  <c r="A65" i="27"/>
  <c r="A183" i="27"/>
  <c r="A111" i="27"/>
  <c r="A131" i="27"/>
  <c r="A215" i="27"/>
  <c r="A197" i="27"/>
  <c r="A70" i="27"/>
  <c r="A137" i="27"/>
  <c r="A45" i="27"/>
  <c r="A103" i="27"/>
  <c r="A176" i="27"/>
  <c r="A51" i="27"/>
  <c r="A110" i="27"/>
  <c r="A221" i="27"/>
  <c r="A259" i="27"/>
  <c r="A241" i="27"/>
  <c r="A343" i="27"/>
  <c r="A152" i="27"/>
  <c r="A308" i="27"/>
  <c r="A329" i="27"/>
  <c r="A281" i="27"/>
  <c r="A161" i="27"/>
  <c r="A178" i="27"/>
  <c r="A194" i="27"/>
  <c r="A210" i="27"/>
  <c r="A226" i="27"/>
  <c r="A232" i="27"/>
  <c r="A121" i="27"/>
  <c r="A89" i="27"/>
  <c r="A136" i="27"/>
  <c r="A67" i="27"/>
  <c r="A264" i="27"/>
  <c r="A243" i="27"/>
  <c r="A270" i="27"/>
  <c r="A340" i="27"/>
  <c r="A317" i="27"/>
  <c r="A185" i="27"/>
  <c r="A202" i="27"/>
  <c r="A225" i="27"/>
  <c r="A287" i="27"/>
  <c r="A324" i="27"/>
  <c r="A231" i="27"/>
  <c r="A244" i="27"/>
  <c r="A293" i="27"/>
  <c r="A312" i="27"/>
  <c r="A300" i="27"/>
  <c r="A81" i="27"/>
  <c r="A59" i="27"/>
  <c r="A101" i="27"/>
  <c r="A316" i="27"/>
  <c r="A216" i="27"/>
  <c r="A260" i="27"/>
  <c r="A332" i="27"/>
  <c r="A53" i="27"/>
  <c r="A305" i="27"/>
  <c r="A321" i="27"/>
  <c r="A141" i="27"/>
  <c r="A154" i="27"/>
  <c r="A177" i="27"/>
  <c r="A201" i="27"/>
  <c r="A218" i="27"/>
  <c r="A239" i="27"/>
  <c r="A263" i="27"/>
  <c r="A235" i="27"/>
  <c r="A251" i="27"/>
  <c r="A228" i="27"/>
  <c r="A285" i="27"/>
  <c r="A309" i="27"/>
  <c r="A336" i="27"/>
  <c r="A286" i="27"/>
  <c r="A96" i="27"/>
  <c r="A175" i="27"/>
  <c r="A252" i="27"/>
  <c r="A148" i="27"/>
  <c r="A276" i="27"/>
  <c r="A170" i="27"/>
  <c r="A217" i="27"/>
  <c r="A249" i="27"/>
  <c r="A320" i="27"/>
  <c r="A160" i="27"/>
  <c r="A82" i="27"/>
  <c r="A184" i="27"/>
  <c r="A227" i="27"/>
  <c r="A272" i="27"/>
  <c r="A297" i="27"/>
  <c r="A169" i="27"/>
  <c r="A209" i="27"/>
  <c r="A248" i="27"/>
  <c r="A247" i="27"/>
  <c r="A304" i="27"/>
  <c r="A294" i="27"/>
  <c r="A284" i="27"/>
  <c r="A60" i="27"/>
  <c r="A205" i="27"/>
  <c r="A208" i="27"/>
  <c r="A193" i="27"/>
  <c r="A253" i="27"/>
  <c r="A288" i="27"/>
  <c r="A328" i="27"/>
  <c r="A342" i="27"/>
  <c r="A129" i="27"/>
  <c r="A192" i="27"/>
  <c r="A95" i="27"/>
  <c r="A279" i="27"/>
  <c r="A143" i="27"/>
  <c r="A301" i="27"/>
  <c r="A337" i="27"/>
  <c r="A186" i="27"/>
  <c r="A333" i="27"/>
  <c r="A292" i="27"/>
  <c r="A233" i="27"/>
  <c r="A246" i="27"/>
  <c r="A78" i="27"/>
  <c r="A206" i="27"/>
  <c r="A222" i="27"/>
  <c r="A278" i="27"/>
  <c r="A86" i="27"/>
  <c r="A156" i="27"/>
  <c r="A339" i="27"/>
  <c r="A291" i="27"/>
  <c r="A319" i="27"/>
  <c r="A250" i="27"/>
  <c r="A331" i="27"/>
  <c r="A310" i="27"/>
  <c r="A132" i="27"/>
  <c r="A299" i="27"/>
  <c r="A84" i="27"/>
  <c r="A330" i="27"/>
  <c r="A267" i="27"/>
  <c r="A120" i="27"/>
  <c r="A298" i="27"/>
  <c r="A234" i="27"/>
  <c r="A242" i="27"/>
  <c r="A114" i="27"/>
  <c r="A258" i="27"/>
  <c r="A128" i="27"/>
  <c r="A318" i="27"/>
  <c r="A145" i="27"/>
  <c r="A50" i="27"/>
  <c r="A88" i="27"/>
  <c r="A134" i="27"/>
  <c r="A149" i="27"/>
  <c r="A52" i="27"/>
  <c r="A230" i="27"/>
  <c r="A64" i="27"/>
  <c r="A323" i="27"/>
  <c r="A214" i="27"/>
  <c r="A196" i="27"/>
  <c r="A54" i="27"/>
  <c r="A274" i="27"/>
  <c r="A315" i="27"/>
  <c r="A116" i="27"/>
  <c r="A334" i="27"/>
  <c r="A62" i="27"/>
  <c r="A314" i="27"/>
  <c r="A238" i="27"/>
  <c r="A102" i="27"/>
  <c r="A326" i="27"/>
  <c r="A338" i="27"/>
  <c r="A254" i="27"/>
  <c r="A46" i="27"/>
  <c r="A92" i="27"/>
  <c r="A182" i="27"/>
  <c r="A112" i="27"/>
  <c r="A66" i="27"/>
  <c r="A262" i="27"/>
  <c r="A118" i="27"/>
  <c r="A335" i="27"/>
  <c r="A273" i="27"/>
  <c r="A277" i="27"/>
  <c r="A282" i="27"/>
  <c r="A261" i="27"/>
  <c r="A68" i="27"/>
  <c r="A174" i="27"/>
  <c r="A80" i="27"/>
  <c r="A198" i="27"/>
  <c r="A212" i="27"/>
  <c r="A126" i="27"/>
  <c r="A245" i="27"/>
  <c r="A229" i="27"/>
  <c r="A188" i="27"/>
  <c r="A283" i="27"/>
  <c r="A271" i="27"/>
  <c r="A76" i="27"/>
  <c r="A327" i="27"/>
  <c r="A58" i="27"/>
  <c r="A306" i="27"/>
  <c r="A302" i="27"/>
  <c r="A130" i="27"/>
  <c r="A303" i="27"/>
  <c r="A180" i="27"/>
  <c r="A108" i="27"/>
  <c r="A124" i="27"/>
  <c r="A164" i="27"/>
  <c r="A166" i="27"/>
  <c r="A204" i="27"/>
  <c r="A122" i="27"/>
  <c r="A190" i="27"/>
  <c r="A311" i="27"/>
  <c r="A72" i="27"/>
  <c r="A90" i="27"/>
  <c r="A100" i="27"/>
  <c r="A106" i="27"/>
  <c r="A266" i="27"/>
  <c r="A265" i="27"/>
  <c r="A172" i="27"/>
  <c r="A104" i="27"/>
  <c r="A138" i="27"/>
  <c r="A290" i="27"/>
  <c r="A220" i="27"/>
  <c r="A307" i="27"/>
  <c r="A158" i="27"/>
  <c r="A269" i="27"/>
  <c r="A98" i="27"/>
  <c r="A322" i="27"/>
  <c r="A48" i="27"/>
  <c r="X173" i="19"/>
  <c r="S71" i="23"/>
  <c r="S72" i="23" s="1"/>
  <c r="S73" i="23" s="1"/>
  <c r="S74" i="23" s="1"/>
  <c r="S75" i="23" s="1"/>
  <c r="S76" i="23" s="1"/>
  <c r="S77" i="23" s="1"/>
  <c r="S78" i="23" s="1"/>
  <c r="S79" i="23" s="1"/>
  <c r="S80" i="23" s="1"/>
  <c r="S81" i="23" s="1"/>
  <c r="S82" i="23" s="1"/>
  <c r="S83" i="23" s="1"/>
  <c r="S84" i="23" s="1"/>
  <c r="S85" i="23" s="1"/>
  <c r="S86" i="23" s="1"/>
  <c r="S87" i="23" s="1"/>
  <c r="S88" i="23" s="1"/>
  <c r="S89" i="23" s="1"/>
  <c r="S90" i="23" s="1"/>
  <c r="S91" i="23" s="1"/>
  <c r="S92" i="23" s="1"/>
  <c r="S93" i="23" s="1"/>
  <c r="S94" i="23" s="1"/>
  <c r="S95" i="23" s="1"/>
  <c r="S96" i="23" s="1"/>
  <c r="S97" i="23" s="1"/>
  <c r="S98" i="23" s="1"/>
  <c r="S99" i="23" s="1"/>
  <c r="S100" i="23" s="1"/>
  <c r="S101" i="23" s="1"/>
  <c r="S102" i="23" s="1"/>
  <c r="S103" i="23" s="1"/>
  <c r="S104" i="23" s="1"/>
  <c r="S105" i="23" s="1"/>
  <c r="S106" i="23" s="1"/>
  <c r="S107" i="23" s="1"/>
  <c r="S108" i="23" s="1"/>
  <c r="S109" i="23" s="1"/>
  <c r="S110" i="23" s="1"/>
  <c r="AL12" i="24" l="1"/>
  <c r="AL12" i="22"/>
  <c r="AX12" i="24"/>
  <c r="AX12" i="22"/>
  <c r="B13" i="27"/>
  <c r="BV12" i="24"/>
  <c r="BV12" i="22"/>
  <c r="CT12" i="24"/>
  <c r="CT12" i="22"/>
  <c r="N12" i="26"/>
  <c r="N13" i="27"/>
  <c r="N12" i="24"/>
  <c r="N12" i="22"/>
  <c r="B12" i="24"/>
  <c r="B12" i="22"/>
  <c r="BJ12" i="24"/>
  <c r="BJ12" i="22"/>
  <c r="B12" i="26"/>
  <c r="CH12" i="22"/>
  <c r="CH12" i="24"/>
  <c r="Z12" i="24"/>
  <c r="Z12" i="22"/>
  <c r="BJ14" i="24" l="1"/>
  <c r="BN10" i="24" s="1"/>
  <c r="N14" i="24"/>
  <c r="R15" i="24" s="1"/>
  <c r="CT14" i="24"/>
  <c r="CX13" i="24" s="1"/>
  <c r="AX14" i="22"/>
  <c r="BB13" i="22" s="1"/>
  <c r="CH14" i="22"/>
  <c r="CL12" i="22" s="1"/>
  <c r="B14" i="22"/>
  <c r="AD9" i="22" s="1"/>
  <c r="N15" i="27"/>
  <c r="R15" i="27" s="1"/>
  <c r="BV14" i="22"/>
  <c r="BZ15" i="22" s="1"/>
  <c r="AX14" i="24"/>
  <c r="BB11" i="24" s="1"/>
  <c r="Z14" i="22"/>
  <c r="B14" i="26"/>
  <c r="F16" i="26" s="1"/>
  <c r="B14" i="24"/>
  <c r="F11" i="24" s="1"/>
  <c r="N14" i="26"/>
  <c r="R13" i="26" s="1"/>
  <c r="BV14" i="24"/>
  <c r="BZ15" i="24" s="1"/>
  <c r="AL14" i="22"/>
  <c r="AP13" i="22" s="1"/>
  <c r="CH14" i="24"/>
  <c r="CL9" i="24" s="1"/>
  <c r="Z14" i="24"/>
  <c r="BJ14" i="22"/>
  <c r="BN13" i="22" s="1"/>
  <c r="N14" i="22"/>
  <c r="R15" i="22" s="1"/>
  <c r="CT14" i="22"/>
  <c r="CX11" i="22" s="1"/>
  <c r="B15" i="27"/>
  <c r="F23" i="27" s="1"/>
  <c r="G23" i="27" s="1"/>
  <c r="AL14" i="24"/>
  <c r="AP8" i="24" s="1"/>
  <c r="AD10" i="22" l="1"/>
  <c r="F14" i="22"/>
  <c r="F12" i="22"/>
  <c r="AD13" i="22"/>
  <c r="AD14" i="22"/>
  <c r="CL14" i="22"/>
  <c r="BZ12" i="24"/>
  <c r="CL11" i="24"/>
  <c r="BZ14" i="24"/>
  <c r="AP12" i="22"/>
  <c r="BZ13" i="24"/>
  <c r="AP8" i="22"/>
  <c r="CL13" i="24"/>
  <c r="AP16" i="22"/>
  <c r="BZ9" i="24"/>
  <c r="AD15" i="22"/>
  <c r="F13" i="22"/>
  <c r="R13" i="24"/>
  <c r="CX12" i="24"/>
  <c r="F21" i="27"/>
  <c r="G21" i="27" s="1"/>
  <c r="AP14" i="22"/>
  <c r="BB8" i="22"/>
  <c r="CX14" i="24"/>
  <c r="BN11" i="24"/>
  <c r="AP15" i="22"/>
  <c r="AP11" i="22"/>
  <c r="BB9" i="24"/>
  <c r="CL15" i="22"/>
  <c r="BB11" i="22"/>
  <c r="CX8" i="24"/>
  <c r="CX9" i="24"/>
  <c r="CX10" i="24"/>
  <c r="CX11" i="24"/>
  <c r="BB10" i="22"/>
  <c r="AP14" i="24"/>
  <c r="AP13" i="24"/>
  <c r="AP9" i="22"/>
  <c r="AP10" i="22"/>
  <c r="BZ10" i="22"/>
  <c r="BZ10" i="24"/>
  <c r="BZ13" i="22"/>
  <c r="BZ14" i="22"/>
  <c r="BZ9" i="22"/>
  <c r="AD9" i="24"/>
  <c r="AD15" i="24"/>
  <c r="AD10" i="24"/>
  <c r="AD14" i="24"/>
  <c r="F8" i="24"/>
  <c r="AD8" i="24"/>
  <c r="F16" i="24"/>
  <c r="AD11" i="22"/>
  <c r="AD8" i="22"/>
  <c r="F16" i="22"/>
  <c r="R14" i="24"/>
  <c r="BN8" i="24"/>
  <c r="BN14" i="24"/>
  <c r="F15" i="26"/>
  <c r="R23" i="27"/>
  <c r="S23" i="27" s="1"/>
  <c r="R8" i="24"/>
  <c r="CX10" i="22"/>
  <c r="BN10" i="22"/>
  <c r="AD13" i="24"/>
  <c r="AD16" i="24"/>
  <c r="F10" i="24"/>
  <c r="F14" i="24"/>
  <c r="F12" i="26"/>
  <c r="F10" i="26"/>
  <c r="BB13" i="24"/>
  <c r="R21" i="27"/>
  <c r="S21" i="27" s="1"/>
  <c r="F11" i="22"/>
  <c r="F9" i="22"/>
  <c r="BB9" i="22"/>
  <c r="R16" i="24"/>
  <c r="BN12" i="24"/>
  <c r="BN9" i="24"/>
  <c r="R17" i="27"/>
  <c r="S17" i="27" s="1"/>
  <c r="F12" i="24"/>
  <c r="F15" i="24"/>
  <c r="F13" i="26"/>
  <c r="BB12" i="24"/>
  <c r="CX9" i="22"/>
  <c r="BN12" i="22"/>
  <c r="AD12" i="24"/>
  <c r="AD11" i="24"/>
  <c r="CL10" i="24"/>
  <c r="BZ8" i="24"/>
  <c r="BZ11" i="24"/>
  <c r="F9" i="24"/>
  <c r="F13" i="24"/>
  <c r="F14" i="26"/>
  <c r="F8" i="26"/>
  <c r="BB14" i="24"/>
  <c r="BZ11" i="22"/>
  <c r="BZ16" i="22"/>
  <c r="R16" i="27"/>
  <c r="S16" i="27" s="1"/>
  <c r="R9" i="24"/>
  <c r="R10" i="24"/>
  <c r="F19" i="27"/>
  <c r="G19" i="27" s="1"/>
  <c r="F15" i="27"/>
  <c r="F20" i="27"/>
  <c r="G20" i="27" s="1"/>
  <c r="F17" i="27"/>
  <c r="G17" i="27" s="1"/>
  <c r="F16" i="27"/>
  <c r="G16" i="27" s="1"/>
  <c r="F18" i="27"/>
  <c r="G18" i="27" s="1"/>
  <c r="F22" i="27"/>
  <c r="G22" i="27" s="1"/>
  <c r="R10" i="26"/>
  <c r="AP9" i="24"/>
  <c r="AP12" i="24"/>
  <c r="CX12" i="22"/>
  <c r="CL16" i="24"/>
  <c r="CL12" i="24"/>
  <c r="R12" i="26"/>
  <c r="R9" i="26"/>
  <c r="S15" i="27"/>
  <c r="E33" i="23"/>
  <c r="CL8" i="22"/>
  <c r="CL16" i="22"/>
  <c r="E32" i="25"/>
  <c r="N32" i="25" s="1"/>
  <c r="AP11" i="24"/>
  <c r="AP16" i="24"/>
  <c r="CX13" i="22"/>
  <c r="R10" i="22"/>
  <c r="R13" i="22"/>
  <c r="R16" i="22"/>
  <c r="BN11" i="22"/>
  <c r="CL8" i="24"/>
  <c r="CL15" i="24"/>
  <c r="BZ16" i="24"/>
  <c r="R8" i="26"/>
  <c r="R16" i="26"/>
  <c r="F11" i="26"/>
  <c r="F9" i="26"/>
  <c r="AD12" i="22"/>
  <c r="AD16" i="22"/>
  <c r="BB8" i="24"/>
  <c r="BB10" i="24"/>
  <c r="BZ12" i="22"/>
  <c r="BZ8" i="22"/>
  <c r="R19" i="27"/>
  <c r="S19" i="27" s="1"/>
  <c r="R18" i="27"/>
  <c r="S18" i="27" s="1"/>
  <c r="F10" i="22"/>
  <c r="F8" i="22"/>
  <c r="F15" i="22"/>
  <c r="CL10" i="22"/>
  <c r="CL9" i="22"/>
  <c r="BB12" i="22"/>
  <c r="BB14" i="22"/>
  <c r="R11" i="24"/>
  <c r="R12" i="24"/>
  <c r="BN13" i="24"/>
  <c r="R14" i="22"/>
  <c r="R9" i="22"/>
  <c r="R12" i="22"/>
  <c r="BN8" i="22"/>
  <c r="R11" i="26"/>
  <c r="AP10" i="24"/>
  <c r="AP15" i="24"/>
  <c r="CX8" i="22"/>
  <c r="CX14" i="22"/>
  <c r="R8" i="22"/>
  <c r="R11" i="22"/>
  <c r="BN14" i="22"/>
  <c r="BN9" i="22"/>
  <c r="CL14" i="24"/>
  <c r="R15" i="26"/>
  <c r="R14" i="26"/>
  <c r="R20" i="27"/>
  <c r="S20" i="27" s="1"/>
  <c r="R22" i="27"/>
  <c r="S22" i="27" s="1"/>
  <c r="CL13" i="22"/>
  <c r="CL11" i="22"/>
  <c r="G22" i="5"/>
  <c r="M21" i="5"/>
  <c r="Q15" i="17" s="1"/>
  <c r="M22" i="5"/>
  <c r="Q16" i="17" s="1"/>
  <c r="M20" i="5"/>
  <c r="Q14" i="17" s="1"/>
  <c r="K16" i="17" l="1"/>
  <c r="G15" i="27"/>
  <c r="F33" i="23"/>
  <c r="O33" i="23"/>
  <c r="AI67" i="20"/>
  <c r="C19" i="17"/>
  <c r="B19" i="17"/>
  <c r="Y67" i="20"/>
  <c r="T67" i="20"/>
  <c r="S3" i="27" l="1"/>
  <c r="AH48" i="21" s="1"/>
  <c r="H24" i="5"/>
  <c r="L17" i="17" s="1"/>
  <c r="H26" i="5"/>
  <c r="L19" i="17" s="1"/>
  <c r="H25" i="5"/>
  <c r="L18" i="17" s="1"/>
  <c r="AI42" i="20"/>
  <c r="AI60" i="20" s="1"/>
  <c r="AD42" i="20"/>
  <c r="AD60" i="20" s="1"/>
  <c r="Y42" i="20"/>
  <c r="Y60" i="20" s="1"/>
  <c r="T42" i="20"/>
  <c r="T60" i="20" s="1"/>
  <c r="O42" i="20"/>
  <c r="O60" i="20" s="1"/>
  <c r="J42" i="20"/>
  <c r="J60" i="20" s="1"/>
  <c r="AH36" i="20"/>
  <c r="AI57" i="20" s="1"/>
  <c r="AC36" i="20"/>
  <c r="AD57" i="20" s="1"/>
  <c r="X36" i="20"/>
  <c r="Y57" i="20" s="1"/>
  <c r="S36" i="20"/>
  <c r="T57" i="20" s="1"/>
  <c r="N36" i="20"/>
  <c r="O57" i="20" s="1"/>
  <c r="I36" i="20"/>
  <c r="J57" i="20" s="1"/>
  <c r="I106" i="20"/>
  <c r="G8" i="20" s="1"/>
  <c r="I105" i="20"/>
  <c r="G7" i="20" s="1"/>
  <c r="I104" i="20"/>
  <c r="G6" i="20" s="1"/>
  <c r="I103" i="20"/>
  <c r="G5" i="20" s="1"/>
  <c r="P91" i="20"/>
  <c r="AJ67" i="20"/>
  <c r="E22" i="5" s="1"/>
  <c r="I16" i="17" s="1"/>
  <c r="AD67" i="20"/>
  <c r="AE67" i="20" s="1"/>
  <c r="E26" i="5" s="1"/>
  <c r="I19" i="17" s="1"/>
  <c r="Z67" i="20"/>
  <c r="E25" i="5" s="1"/>
  <c r="I18" i="17" s="1"/>
  <c r="U67" i="20"/>
  <c r="E24" i="5" s="1"/>
  <c r="O67" i="20"/>
  <c r="P67" i="20" s="1"/>
  <c r="E21" i="5" s="1"/>
  <c r="I15" i="17" s="1"/>
  <c r="J67" i="20"/>
  <c r="K67" i="20" s="1"/>
  <c r="E20" i="5" s="1"/>
  <c r="AI46" i="20"/>
  <c r="AD46" i="20"/>
  <c r="Y46" i="20"/>
  <c r="T46" i="20"/>
  <c r="T32" i="20"/>
  <c r="R32" i="20"/>
  <c r="O32" i="20"/>
  <c r="M32" i="20"/>
  <c r="P24" i="20"/>
  <c r="S24" i="20" s="1"/>
  <c r="P23" i="20"/>
  <c r="S23" i="20" s="1"/>
  <c r="H21" i="5" l="1"/>
  <c r="L15" i="17" s="1"/>
  <c r="H22" i="5"/>
  <c r="L16" i="17" s="1"/>
  <c r="H20" i="5"/>
  <c r="L14" i="17" s="1"/>
  <c r="AI70" i="20"/>
  <c r="Y70" i="20"/>
  <c r="O70" i="20"/>
  <c r="AD70" i="20"/>
  <c r="T70" i="20"/>
  <c r="J70" i="20"/>
  <c r="J69" i="20"/>
  <c r="Y69" i="20"/>
  <c r="O69" i="20"/>
  <c r="AD69" i="20"/>
  <c r="AI69" i="20"/>
  <c r="T69" i="20"/>
  <c r="AD71" i="20"/>
  <c r="AE71" i="20" s="1"/>
  <c r="T71" i="20"/>
  <c r="U71" i="20" s="1"/>
  <c r="J71" i="20"/>
  <c r="K71" i="20" s="1"/>
  <c r="AI71" i="20"/>
  <c r="AJ71" i="20" s="1"/>
  <c r="Y71" i="20"/>
  <c r="Z71" i="20" s="1"/>
  <c r="O71" i="20"/>
  <c r="P71" i="20" s="1"/>
  <c r="AD68" i="20"/>
  <c r="AE68" i="20" s="1"/>
  <c r="T68" i="20"/>
  <c r="U68" i="20" s="1"/>
  <c r="J68" i="20"/>
  <c r="AI68" i="20"/>
  <c r="AJ68" i="20" s="1"/>
  <c r="Y68" i="20"/>
  <c r="Z68" i="20" s="1"/>
  <c r="O68" i="20"/>
  <c r="B118" i="5" l="1"/>
  <c r="B117" i="5"/>
  <c r="C117" i="5"/>
  <c r="C118" i="5"/>
  <c r="AE77" i="14"/>
  <c r="AX42" i="14" l="1"/>
  <c r="AS42" i="14"/>
  <c r="AN42" i="14"/>
  <c r="AI42" i="14"/>
  <c r="AD42" i="14"/>
  <c r="Y42" i="14"/>
  <c r="T42" i="14"/>
  <c r="O42" i="14"/>
  <c r="J42" i="14"/>
  <c r="J56" i="14" s="1"/>
  <c r="U127" i="19" l="1"/>
  <c r="U128" i="19"/>
  <c r="U129" i="19"/>
  <c r="U130" i="19"/>
  <c r="U131" i="19"/>
  <c r="U132" i="19"/>
  <c r="U133" i="19"/>
  <c r="U134" i="19"/>
  <c r="U135" i="19"/>
  <c r="U126" i="19"/>
  <c r="U115" i="19"/>
  <c r="U116" i="19"/>
  <c r="U117" i="19"/>
  <c r="U118" i="19"/>
  <c r="U119" i="19"/>
  <c r="U120" i="19"/>
  <c r="U121" i="19"/>
  <c r="U122" i="19"/>
  <c r="U123" i="19"/>
  <c r="U114" i="19"/>
  <c r="U103" i="19"/>
  <c r="U104" i="19"/>
  <c r="U105" i="19"/>
  <c r="U106" i="19"/>
  <c r="U107" i="19"/>
  <c r="U108" i="19"/>
  <c r="U109" i="19"/>
  <c r="U110" i="19"/>
  <c r="U111" i="19"/>
  <c r="U102" i="19"/>
  <c r="G15" i="6" l="1"/>
  <c r="F15" i="6"/>
  <c r="G14" i="6"/>
  <c r="F14" i="6"/>
  <c r="G13" i="6"/>
  <c r="F13" i="6"/>
  <c r="G12" i="6"/>
  <c r="W137" i="19" l="1"/>
  <c r="W136" i="19"/>
  <c r="W125" i="19"/>
  <c r="W124" i="19"/>
  <c r="W113" i="19"/>
  <c r="W112" i="19"/>
  <c r="AC137" i="19"/>
  <c r="AB137" i="19"/>
  <c r="AA137" i="19"/>
  <c r="Z137" i="19"/>
  <c r="Y137" i="19"/>
  <c r="AC136" i="19"/>
  <c r="AB136" i="19"/>
  <c r="AA136" i="19"/>
  <c r="Z136" i="19"/>
  <c r="Y136" i="19"/>
  <c r="AC135" i="19"/>
  <c r="AB135" i="19"/>
  <c r="AA135" i="19"/>
  <c r="Z135" i="19"/>
  <c r="Y135" i="19"/>
  <c r="AC134" i="19"/>
  <c r="AB134" i="19"/>
  <c r="AA134" i="19"/>
  <c r="Z134" i="19"/>
  <c r="Y134" i="19"/>
  <c r="AC125" i="19"/>
  <c r="AB125" i="19"/>
  <c r="AA125" i="19"/>
  <c r="Z125" i="19"/>
  <c r="Y125" i="19"/>
  <c r="AC124" i="19"/>
  <c r="AB124" i="19"/>
  <c r="AA124" i="19"/>
  <c r="Z124" i="19"/>
  <c r="Y124" i="19"/>
  <c r="AC123" i="19"/>
  <c r="AB123" i="19"/>
  <c r="AA123" i="19"/>
  <c r="Z123" i="19"/>
  <c r="Y123" i="19"/>
  <c r="AC122" i="19"/>
  <c r="AB122" i="19"/>
  <c r="AA122" i="19"/>
  <c r="Z122" i="19"/>
  <c r="Y122" i="19"/>
  <c r="Z113" i="19"/>
  <c r="AA113" i="19"/>
  <c r="AB113" i="19"/>
  <c r="AC113" i="19"/>
  <c r="Y113" i="19"/>
  <c r="Z112" i="19"/>
  <c r="AA112" i="19"/>
  <c r="AB112" i="19"/>
  <c r="AC112" i="19"/>
  <c r="Y112" i="19"/>
  <c r="V136" i="19" l="1"/>
  <c r="U136" i="19"/>
  <c r="T136" i="19"/>
  <c r="V124" i="19"/>
  <c r="U124" i="19"/>
  <c r="T124" i="19"/>
  <c r="W195" i="19"/>
  <c r="U113" i="19"/>
  <c r="V113" i="19"/>
  <c r="S113" i="19"/>
  <c r="T113" i="19"/>
  <c r="V125" i="19"/>
  <c r="U125" i="19"/>
  <c r="T125" i="19"/>
  <c r="S125" i="19"/>
  <c r="V137" i="19"/>
  <c r="U137" i="19"/>
  <c r="T137" i="19"/>
  <c r="S137" i="19"/>
  <c r="Z111" i="19" l="1"/>
  <c r="AA111" i="19"/>
  <c r="AB111" i="19"/>
  <c r="AC111" i="19"/>
  <c r="Y111" i="19"/>
  <c r="Z110" i="19"/>
  <c r="S136" i="19" s="1"/>
  <c r="AA110" i="19"/>
  <c r="T112" i="19" s="1"/>
  <c r="AB110" i="19"/>
  <c r="U112" i="19" s="1"/>
  <c r="AC110" i="19"/>
  <c r="V112" i="19" s="1"/>
  <c r="Y110" i="19"/>
  <c r="Q97" i="19"/>
  <c r="Q98" i="19"/>
  <c r="R98" i="19" s="1"/>
  <c r="Q113" i="19" s="1"/>
  <c r="R97" i="19" l="1"/>
  <c r="Q112" i="19" s="1"/>
  <c r="T97" i="19"/>
  <c r="Q136" i="19" s="1"/>
  <c r="S112" i="19"/>
  <c r="S124" i="19"/>
  <c r="S98" i="19"/>
  <c r="Q125" i="19" s="1"/>
  <c r="T98" i="19"/>
  <c r="Q137" i="19" s="1"/>
  <c r="S97" i="19"/>
  <c r="Q124" i="19" s="1"/>
  <c r="H49" i="6"/>
  <c r="H50" i="6"/>
  <c r="H51" i="6"/>
  <c r="H52" i="6"/>
  <c r="H53" i="6"/>
  <c r="H54" i="6"/>
  <c r="H55" i="6"/>
  <c r="H56" i="6"/>
  <c r="H57" i="6"/>
  <c r="H48" i="6"/>
  <c r="H26" i="6"/>
  <c r="H27" i="6"/>
  <c r="H28" i="6"/>
  <c r="H29" i="6"/>
  <c r="H30" i="6"/>
  <c r="H31" i="6"/>
  <c r="H32" i="6"/>
  <c r="H33" i="6"/>
  <c r="H34" i="6"/>
  <c r="H25" i="6"/>
  <c r="AB19" i="5" l="1"/>
  <c r="AB20" i="5" s="1"/>
  <c r="C139" i="5"/>
  <c r="B139" i="5"/>
  <c r="B129" i="5"/>
  <c r="B130" i="5" l="1"/>
  <c r="C130" i="5"/>
  <c r="B131" i="5"/>
  <c r="C131" i="5"/>
  <c r="B132" i="5"/>
  <c r="C132" i="5"/>
  <c r="B133" i="5"/>
  <c r="C133" i="5"/>
  <c r="B134" i="5"/>
  <c r="C134" i="5"/>
  <c r="B135" i="5"/>
  <c r="C135" i="5"/>
  <c r="B136" i="5"/>
  <c r="C136" i="5"/>
  <c r="C129" i="5"/>
  <c r="B110" i="5"/>
  <c r="C110" i="5"/>
  <c r="B111" i="5"/>
  <c r="C111" i="5"/>
  <c r="B112" i="5"/>
  <c r="C112" i="5"/>
  <c r="B113" i="5"/>
  <c r="C113" i="5"/>
  <c r="B114" i="5"/>
  <c r="C114" i="5"/>
  <c r="B115" i="5"/>
  <c r="B116" i="5"/>
  <c r="C109" i="5"/>
  <c r="B109" i="5"/>
  <c r="B33" i="2"/>
  <c r="B48" i="37" l="1"/>
  <c r="B119" i="5"/>
  <c r="H14" i="12"/>
  <c r="M48" i="37" l="1"/>
  <c r="O48" i="37" s="1"/>
  <c r="F48" i="37"/>
  <c r="G48" i="37"/>
  <c r="H48" i="37"/>
  <c r="E48" i="37"/>
  <c r="V193" i="19"/>
  <c r="U193" i="19"/>
  <c r="T193" i="19"/>
  <c r="S193" i="19"/>
  <c r="R193" i="19"/>
  <c r="I48" i="37" l="1"/>
  <c r="Q88" i="19"/>
  <c r="Q89" i="19"/>
  <c r="Q90" i="19"/>
  <c r="Q91" i="19"/>
  <c r="Q92" i="19"/>
  <c r="Q93" i="19"/>
  <c r="Q94" i="19"/>
  <c r="Q95" i="19"/>
  <c r="Q96" i="19"/>
  <c r="Q87" i="19"/>
  <c r="J90" i="18"/>
  <c r="I90" i="18"/>
  <c r="H90" i="18"/>
  <c r="G90" i="18"/>
  <c r="F90" i="18"/>
  <c r="E90" i="18"/>
  <c r="D90" i="18"/>
  <c r="B9" i="6"/>
  <c r="B8" i="6"/>
  <c r="A8" i="6"/>
  <c r="A9" i="6"/>
  <c r="V48" i="37" l="1"/>
  <c r="W48" i="37" s="1"/>
  <c r="X48" i="37" s="1"/>
  <c r="H13" i="12"/>
  <c r="H8" i="12"/>
  <c r="H9" i="12"/>
  <c r="H10" i="12"/>
  <c r="H11" i="12"/>
  <c r="H12" i="12"/>
  <c r="H7" i="12"/>
  <c r="J4" i="12" l="1"/>
  <c r="G4" i="12"/>
  <c r="C4" i="12"/>
  <c r="T49" i="6" l="1"/>
  <c r="T50" i="6"/>
  <c r="T51" i="6"/>
  <c r="T52" i="6"/>
  <c r="T53" i="6"/>
  <c r="T54" i="6"/>
  <c r="T55" i="6"/>
  <c r="T56" i="6"/>
  <c r="T57" i="6"/>
  <c r="T48" i="6"/>
  <c r="T26" i="6"/>
  <c r="T27" i="6"/>
  <c r="T28" i="6"/>
  <c r="T29" i="6"/>
  <c r="T30" i="6"/>
  <c r="T31" i="6"/>
  <c r="T32" i="6"/>
  <c r="T33" i="6"/>
  <c r="T34" i="6"/>
  <c r="T25" i="6"/>
  <c r="B34" i="2" l="1"/>
  <c r="B120" i="5" l="1"/>
  <c r="B49" i="37"/>
  <c r="D13" i="12"/>
  <c r="D12" i="12"/>
  <c r="D11" i="12"/>
  <c r="D10" i="12"/>
  <c r="D9" i="12"/>
  <c r="D8" i="12"/>
  <c r="O195" i="16"/>
  <c r="J195" i="16"/>
  <c r="AD96" i="16"/>
  <c r="Q148" i="16"/>
  <c r="P148" i="16"/>
  <c r="O148" i="16"/>
  <c r="F148" i="16"/>
  <c r="W143" i="16"/>
  <c r="AE136" i="16"/>
  <c r="AG140" i="16" s="1"/>
  <c r="P135" i="16"/>
  <c r="AG132" i="16"/>
  <c r="AE132" i="16"/>
  <c r="T131" i="16"/>
  <c r="AC96" i="16" s="1"/>
  <c r="AG129" i="16"/>
  <c r="AE129" i="16"/>
  <c r="Q129" i="16"/>
  <c r="P129" i="16"/>
  <c r="O129" i="16"/>
  <c r="F129" i="16"/>
  <c r="Y128" i="16"/>
  <c r="Y127" i="16"/>
  <c r="AG113" i="16"/>
  <c r="AE113" i="16"/>
  <c r="V110" i="16"/>
  <c r="AG115" i="16" s="1"/>
  <c r="V109" i="16"/>
  <c r="AD97" i="16"/>
  <c r="AC97" i="16"/>
  <c r="V56" i="16"/>
  <c r="U56" i="16"/>
  <c r="T56" i="16"/>
  <c r="V55" i="16"/>
  <c r="U55" i="16"/>
  <c r="T55" i="16"/>
  <c r="V54" i="16"/>
  <c r="U54" i="16"/>
  <c r="T54" i="16"/>
  <c r="V53" i="16"/>
  <c r="U53" i="16"/>
  <c r="T53" i="16"/>
  <c r="V52" i="16"/>
  <c r="U52" i="16"/>
  <c r="T52" i="16"/>
  <c r="V51" i="16"/>
  <c r="U51" i="16"/>
  <c r="T51" i="16"/>
  <c r="H51" i="16"/>
  <c r="V50" i="16"/>
  <c r="U50" i="16"/>
  <c r="T50" i="16"/>
  <c r="H50" i="16"/>
  <c r="V49" i="16"/>
  <c r="U49" i="16"/>
  <c r="T49" i="16"/>
  <c r="H49" i="16"/>
  <c r="V48" i="16"/>
  <c r="U48" i="16"/>
  <c r="T48" i="16"/>
  <c r="H48" i="16"/>
  <c r="V47" i="16"/>
  <c r="U47" i="16"/>
  <c r="T47" i="16"/>
  <c r="H47" i="16"/>
  <c r="V46" i="16"/>
  <c r="U46" i="16"/>
  <c r="T46" i="16"/>
  <c r="H46" i="16"/>
  <c r="V45" i="16"/>
  <c r="U45" i="16"/>
  <c r="T45" i="16"/>
  <c r="H45" i="16"/>
  <c r="H44" i="16"/>
  <c r="I44" i="16" s="1"/>
  <c r="H43" i="16"/>
  <c r="H42" i="16"/>
  <c r="H33" i="16"/>
  <c r="H32" i="16"/>
  <c r="H31" i="16"/>
  <c r="H30" i="16"/>
  <c r="H29" i="16"/>
  <c r="H28" i="16"/>
  <c r="H27" i="16"/>
  <c r="I27" i="16" s="1"/>
  <c r="H26" i="16"/>
  <c r="H25" i="16"/>
  <c r="H24" i="16"/>
  <c r="H44" i="10"/>
  <c r="G44" i="10"/>
  <c r="F44" i="10"/>
  <c r="C44" i="10"/>
  <c r="H21" i="10"/>
  <c r="G21" i="10"/>
  <c r="F21" i="10"/>
  <c r="C21" i="10"/>
  <c r="X195" i="19"/>
  <c r="V195" i="19"/>
  <c r="U195" i="19"/>
  <c r="T195" i="19"/>
  <c r="S195" i="19"/>
  <c r="R195" i="19"/>
  <c r="K195" i="19"/>
  <c r="X194" i="19"/>
  <c r="V194" i="19"/>
  <c r="U194" i="19"/>
  <c r="T194" i="19"/>
  <c r="S194" i="19"/>
  <c r="R194" i="19"/>
  <c r="K194" i="19"/>
  <c r="X193" i="19"/>
  <c r="K193" i="19"/>
  <c r="AF192" i="19"/>
  <c r="AE192" i="19"/>
  <c r="X192" i="19"/>
  <c r="V192" i="19"/>
  <c r="U192" i="19"/>
  <c r="T192" i="19"/>
  <c r="S192" i="19"/>
  <c r="R192" i="19"/>
  <c r="K192" i="19"/>
  <c r="AF191" i="19"/>
  <c r="AE191" i="19"/>
  <c r="X191" i="19"/>
  <c r="V191" i="19"/>
  <c r="U191" i="19"/>
  <c r="T191" i="19"/>
  <c r="S191" i="19"/>
  <c r="R191" i="19"/>
  <c r="K191" i="19"/>
  <c r="AF190" i="19"/>
  <c r="AE190" i="19"/>
  <c r="X190" i="19"/>
  <c r="V190" i="19"/>
  <c r="U190" i="19"/>
  <c r="T190" i="19"/>
  <c r="S190" i="19"/>
  <c r="R190" i="19"/>
  <c r="K190" i="19"/>
  <c r="AF189" i="19"/>
  <c r="AE189" i="19"/>
  <c r="X189" i="19"/>
  <c r="V189" i="19"/>
  <c r="U189" i="19"/>
  <c r="T189" i="19"/>
  <c r="S189" i="19"/>
  <c r="R189" i="19"/>
  <c r="K189" i="19"/>
  <c r="AF188" i="19"/>
  <c r="AE188" i="19"/>
  <c r="X188" i="19"/>
  <c r="V188" i="19"/>
  <c r="U188" i="19"/>
  <c r="T188" i="19"/>
  <c r="S188" i="19"/>
  <c r="R188" i="19"/>
  <c r="K188" i="19"/>
  <c r="AF187" i="19"/>
  <c r="AE187" i="19"/>
  <c r="X187" i="19"/>
  <c r="V187" i="19"/>
  <c r="U187" i="19"/>
  <c r="T187" i="19"/>
  <c r="S187" i="19"/>
  <c r="R187" i="19"/>
  <c r="K187" i="19"/>
  <c r="AF186" i="19"/>
  <c r="AE186" i="19"/>
  <c r="X186" i="19"/>
  <c r="V186" i="19"/>
  <c r="U186" i="19"/>
  <c r="T186" i="19"/>
  <c r="S186" i="19"/>
  <c r="R186" i="19"/>
  <c r="K186" i="19"/>
  <c r="AF185" i="19"/>
  <c r="AE185" i="19"/>
  <c r="X185" i="19"/>
  <c r="V185" i="19"/>
  <c r="U185" i="19"/>
  <c r="T185" i="19"/>
  <c r="S185" i="19"/>
  <c r="R185" i="19"/>
  <c r="K185" i="19"/>
  <c r="AF184" i="19"/>
  <c r="AE184" i="19"/>
  <c r="X184" i="19"/>
  <c r="V184" i="19"/>
  <c r="U184" i="19"/>
  <c r="T184" i="19"/>
  <c r="S184" i="19"/>
  <c r="R184" i="19"/>
  <c r="K184" i="19"/>
  <c r="C55" i="19"/>
  <c r="C54" i="19"/>
  <c r="C53" i="19"/>
  <c r="C52" i="19"/>
  <c r="C51" i="19"/>
  <c r="C50" i="19"/>
  <c r="F40" i="19"/>
  <c r="D40" i="19"/>
  <c r="B40" i="19"/>
  <c r="K39" i="19"/>
  <c r="B39" i="19"/>
  <c r="G39" i="19" s="1"/>
  <c r="J38" i="19"/>
  <c r="Z78" i="19" s="1"/>
  <c r="I38" i="19"/>
  <c r="H38" i="19"/>
  <c r="X78" i="19" s="1"/>
  <c r="AA78" i="19" s="1"/>
  <c r="D38" i="19"/>
  <c r="J37" i="19"/>
  <c r="Z77" i="19" s="1"/>
  <c r="I37" i="19"/>
  <c r="H37" i="19"/>
  <c r="X77" i="19" s="1"/>
  <c r="D37" i="19"/>
  <c r="Q77" i="19" s="1"/>
  <c r="J36" i="19"/>
  <c r="Z76" i="19" s="1"/>
  <c r="I36" i="19"/>
  <c r="H36" i="19"/>
  <c r="V76" i="19" s="1"/>
  <c r="D36" i="19"/>
  <c r="J35" i="19"/>
  <c r="Z75" i="19" s="1"/>
  <c r="I35" i="19"/>
  <c r="H35" i="19"/>
  <c r="D35" i="19"/>
  <c r="J34" i="19"/>
  <c r="Z74" i="19" s="1"/>
  <c r="I34" i="19"/>
  <c r="H34" i="19"/>
  <c r="X74" i="19" s="1"/>
  <c r="AA74" i="19" s="1"/>
  <c r="D34" i="19"/>
  <c r="J33" i="19"/>
  <c r="Z73" i="19" s="1"/>
  <c r="I33" i="19"/>
  <c r="H33" i="19"/>
  <c r="X73" i="19" s="1"/>
  <c r="D33" i="19"/>
  <c r="J32" i="19"/>
  <c r="Z72" i="19" s="1"/>
  <c r="I32" i="19"/>
  <c r="H32" i="19"/>
  <c r="D32" i="19"/>
  <c r="J31" i="19"/>
  <c r="Z71" i="19" s="1"/>
  <c r="I31" i="19"/>
  <c r="H31" i="19"/>
  <c r="D31" i="19"/>
  <c r="J30" i="19"/>
  <c r="Z70" i="19" s="1"/>
  <c r="I30" i="19"/>
  <c r="H30" i="19"/>
  <c r="D30" i="19"/>
  <c r="J29" i="19"/>
  <c r="Z69" i="19" s="1"/>
  <c r="I29" i="19"/>
  <c r="H29" i="19"/>
  <c r="X69" i="19" s="1"/>
  <c r="D29" i="19"/>
  <c r="J19" i="19"/>
  <c r="Z63" i="19" s="1"/>
  <c r="I19" i="19"/>
  <c r="H19" i="19"/>
  <c r="X63" i="19" s="1"/>
  <c r="D19" i="19"/>
  <c r="J18" i="19"/>
  <c r="Z62" i="19" s="1"/>
  <c r="I18" i="19"/>
  <c r="H18" i="19"/>
  <c r="X62" i="19" s="1"/>
  <c r="D18" i="19"/>
  <c r="J17" i="19"/>
  <c r="Z61" i="19" s="1"/>
  <c r="I17" i="19"/>
  <c r="H17" i="19"/>
  <c r="V61" i="19" s="1"/>
  <c r="D17" i="19"/>
  <c r="J16" i="19"/>
  <c r="Z60" i="19" s="1"/>
  <c r="I16" i="19"/>
  <c r="H16" i="19"/>
  <c r="D16" i="19"/>
  <c r="J15" i="19"/>
  <c r="Z59" i="19" s="1"/>
  <c r="I15" i="19"/>
  <c r="H15" i="19"/>
  <c r="X59" i="19" s="1"/>
  <c r="AA59" i="19" s="1"/>
  <c r="D15" i="19"/>
  <c r="J14" i="19"/>
  <c r="Z58" i="19" s="1"/>
  <c r="I14" i="19"/>
  <c r="H14" i="19"/>
  <c r="X58" i="19" s="1"/>
  <c r="D14" i="19"/>
  <c r="J13" i="19"/>
  <c r="Z57" i="19" s="1"/>
  <c r="I13" i="19"/>
  <c r="H13" i="19"/>
  <c r="D13" i="19"/>
  <c r="J12" i="19"/>
  <c r="Z56" i="19" s="1"/>
  <c r="I12" i="19"/>
  <c r="H12" i="19"/>
  <c r="D12" i="19"/>
  <c r="J11" i="19"/>
  <c r="Z55" i="19" s="1"/>
  <c r="I11" i="19"/>
  <c r="H11" i="19"/>
  <c r="X55" i="19" s="1"/>
  <c r="AA55" i="19" s="1"/>
  <c r="D11" i="19"/>
  <c r="J10" i="19"/>
  <c r="Z54" i="19" s="1"/>
  <c r="I10" i="19"/>
  <c r="H10" i="19"/>
  <c r="D10" i="19"/>
  <c r="AE203" i="6"/>
  <c r="AE202" i="6"/>
  <c r="AE201" i="6"/>
  <c r="AE200" i="6"/>
  <c r="AE199" i="6"/>
  <c r="AE198" i="6"/>
  <c r="AE197" i="6"/>
  <c r="AE196" i="6"/>
  <c r="AE195" i="6"/>
  <c r="AE194" i="6"/>
  <c r="AE193" i="6"/>
  <c r="AE192" i="6"/>
  <c r="AE191" i="6"/>
  <c r="AE190" i="6"/>
  <c r="AE189" i="6"/>
  <c r="AE188" i="6"/>
  <c r="AE187" i="6"/>
  <c r="AE186" i="6"/>
  <c r="AE185" i="6"/>
  <c r="AE184" i="6"/>
  <c r="AE183" i="6"/>
  <c r="AE182" i="6"/>
  <c r="AE181" i="6"/>
  <c r="AE180" i="6"/>
  <c r="AE179" i="6"/>
  <c r="AE178" i="6"/>
  <c r="AE177" i="6"/>
  <c r="AE176" i="6"/>
  <c r="AE175" i="6"/>
  <c r="AE174" i="6"/>
  <c r="AE173" i="6"/>
  <c r="AE172" i="6"/>
  <c r="AE171" i="6"/>
  <c r="AE170" i="6"/>
  <c r="AE169" i="6"/>
  <c r="AE168" i="6"/>
  <c r="AE167" i="6"/>
  <c r="AE166" i="6"/>
  <c r="AE165" i="6"/>
  <c r="AE164" i="6"/>
  <c r="AE163" i="6"/>
  <c r="AE162" i="6"/>
  <c r="AE161" i="6"/>
  <c r="AE160" i="6"/>
  <c r="AE159" i="6"/>
  <c r="AE158" i="6"/>
  <c r="AE157" i="6"/>
  <c r="AE156" i="6"/>
  <c r="AE155" i="6"/>
  <c r="AE154" i="6"/>
  <c r="AE153" i="6"/>
  <c r="AE152" i="6"/>
  <c r="V114" i="2" s="1"/>
  <c r="AE151" i="6"/>
  <c r="V113" i="2" s="1"/>
  <c r="AE150" i="6"/>
  <c r="V112" i="2" s="1"/>
  <c r="AE149" i="6"/>
  <c r="V111" i="2" s="1"/>
  <c r="AE148" i="6"/>
  <c r="V110" i="2" s="1"/>
  <c r="AE147" i="6"/>
  <c r="V109" i="2" s="1"/>
  <c r="AE146" i="6"/>
  <c r="V108" i="2" s="1"/>
  <c r="AE145" i="6"/>
  <c r="V107" i="2" s="1"/>
  <c r="AE144" i="6"/>
  <c r="V106" i="2" s="1"/>
  <c r="AE143" i="6"/>
  <c r="V105" i="2" s="1"/>
  <c r="AE142" i="6"/>
  <c r="V104" i="2" s="1"/>
  <c r="AE141" i="6"/>
  <c r="V103" i="2" s="1"/>
  <c r="AE140" i="6"/>
  <c r="V102" i="2" s="1"/>
  <c r="AE139" i="6"/>
  <c r="V101" i="2" s="1"/>
  <c r="AE138" i="6"/>
  <c r="V100" i="2" s="1"/>
  <c r="AE137" i="6"/>
  <c r="V99" i="2" s="1"/>
  <c r="AE136" i="6"/>
  <c r="V98" i="2" s="1"/>
  <c r="AE135" i="6"/>
  <c r="V97" i="2" s="1"/>
  <c r="AE134" i="6"/>
  <c r="V96" i="2" s="1"/>
  <c r="AE133" i="6"/>
  <c r="V95" i="2" s="1"/>
  <c r="AE132" i="6"/>
  <c r="V94" i="2" s="1"/>
  <c r="AE131" i="6"/>
  <c r="V93" i="2" s="1"/>
  <c r="AE130" i="6"/>
  <c r="V92" i="2" s="1"/>
  <c r="AE129" i="6"/>
  <c r="V91" i="2" s="1"/>
  <c r="AE128" i="6"/>
  <c r="V90" i="2" s="1"/>
  <c r="AE127" i="6"/>
  <c r="V89" i="2" s="1"/>
  <c r="AE126" i="6"/>
  <c r="V88" i="2" s="1"/>
  <c r="AE125" i="6"/>
  <c r="V87" i="2" s="1"/>
  <c r="AE124" i="6"/>
  <c r="V86" i="2" s="1"/>
  <c r="AE123" i="6"/>
  <c r="AE122" i="6"/>
  <c r="V84" i="2" s="1"/>
  <c r="AE121" i="6"/>
  <c r="V83" i="2" s="1"/>
  <c r="AE120" i="6"/>
  <c r="V82" i="2" s="1"/>
  <c r="AE119" i="6"/>
  <c r="V81" i="2" s="1"/>
  <c r="AE118" i="6"/>
  <c r="V80" i="2" s="1"/>
  <c r="AE117" i="6"/>
  <c r="V79" i="2" s="1"/>
  <c r="AE116" i="6"/>
  <c r="V78" i="2" s="1"/>
  <c r="AE115" i="6"/>
  <c r="V77" i="2" s="1"/>
  <c r="AE114" i="6"/>
  <c r="V76" i="2" s="1"/>
  <c r="AE113" i="6"/>
  <c r="V75" i="2" s="1"/>
  <c r="AE112" i="6"/>
  <c r="V74" i="2" s="1"/>
  <c r="AE111" i="6"/>
  <c r="V73" i="2" s="1"/>
  <c r="AE110" i="6"/>
  <c r="V72" i="2" s="1"/>
  <c r="AE109" i="6"/>
  <c r="V71" i="2" s="1"/>
  <c r="AE108" i="6"/>
  <c r="V70" i="2" s="1"/>
  <c r="AE107" i="6"/>
  <c r="V69" i="2" s="1"/>
  <c r="AE106" i="6"/>
  <c r="V68" i="2" s="1"/>
  <c r="AE105" i="6"/>
  <c r="V67" i="2" s="1"/>
  <c r="AE104" i="6"/>
  <c r="V66" i="2" s="1"/>
  <c r="AE103" i="6"/>
  <c r="V65" i="2" s="1"/>
  <c r="D91" i="6"/>
  <c r="AE101" i="6"/>
  <c r="V63" i="2" s="1"/>
  <c r="D90" i="6"/>
  <c r="D88" i="6"/>
  <c r="D87" i="6"/>
  <c r="D86" i="6"/>
  <c r="D85" i="6"/>
  <c r="D84" i="6"/>
  <c r="D82" i="6"/>
  <c r="D81" i="6"/>
  <c r="D79" i="6"/>
  <c r="D78" i="6"/>
  <c r="D77" i="6"/>
  <c r="D76" i="6"/>
  <c r="D75" i="6"/>
  <c r="D74" i="6"/>
  <c r="D73" i="6"/>
  <c r="D72" i="6"/>
  <c r="I110" i="6" s="1"/>
  <c r="D71" i="6"/>
  <c r="D70" i="6"/>
  <c r="D69" i="6"/>
  <c r="N147" i="16"/>
  <c r="S57" i="6"/>
  <c r="P57" i="6"/>
  <c r="M57" i="6"/>
  <c r="L57" i="6"/>
  <c r="N146" i="16"/>
  <c r="S56" i="6"/>
  <c r="P56" i="6"/>
  <c r="M56" i="6"/>
  <c r="L56" i="6"/>
  <c r="N145" i="16"/>
  <c r="S55" i="6"/>
  <c r="P55" i="6"/>
  <c r="M55" i="6"/>
  <c r="L55" i="6"/>
  <c r="N144" i="16"/>
  <c r="S54" i="6"/>
  <c r="P54" i="6"/>
  <c r="M54" i="6"/>
  <c r="L54" i="6"/>
  <c r="N143" i="16"/>
  <c r="S53" i="6"/>
  <c r="P53" i="6"/>
  <c r="M53" i="6"/>
  <c r="L53" i="6"/>
  <c r="N142" i="16"/>
  <c r="S52" i="6"/>
  <c r="P52" i="6"/>
  <c r="M52" i="6"/>
  <c r="L52" i="6"/>
  <c r="N141" i="16"/>
  <c r="S51" i="6"/>
  <c r="P51" i="6"/>
  <c r="M51" i="6"/>
  <c r="L51" i="6"/>
  <c r="N140" i="16"/>
  <c r="S50" i="6"/>
  <c r="P50" i="6"/>
  <c r="L50" i="6"/>
  <c r="N139" i="16"/>
  <c r="S49" i="6"/>
  <c r="P49" i="6"/>
  <c r="M49" i="6"/>
  <c r="L49" i="6"/>
  <c r="N138" i="16"/>
  <c r="S48" i="6"/>
  <c r="P48" i="6"/>
  <c r="M48" i="6"/>
  <c r="L48" i="6"/>
  <c r="S34" i="6"/>
  <c r="V34" i="6" s="1"/>
  <c r="P34" i="6"/>
  <c r="M34" i="6"/>
  <c r="L34" i="6"/>
  <c r="B34" i="6"/>
  <c r="S33" i="6"/>
  <c r="V33" i="6" s="1"/>
  <c r="P33" i="6"/>
  <c r="M33" i="6"/>
  <c r="L33" i="6"/>
  <c r="B33" i="6"/>
  <c r="S32" i="6"/>
  <c r="P32" i="6"/>
  <c r="M32" i="6"/>
  <c r="L32" i="6"/>
  <c r="B32" i="6"/>
  <c r="S31" i="6"/>
  <c r="P31" i="6"/>
  <c r="M31" i="6"/>
  <c r="L31" i="6"/>
  <c r="B31" i="6"/>
  <c r="S30" i="6"/>
  <c r="P30" i="6"/>
  <c r="M30" i="6"/>
  <c r="L30" i="6"/>
  <c r="B30" i="6"/>
  <c r="S29" i="6"/>
  <c r="P29" i="6"/>
  <c r="M29" i="6"/>
  <c r="L29" i="6"/>
  <c r="B29" i="6"/>
  <c r="S28" i="6"/>
  <c r="P28" i="6"/>
  <c r="M28" i="6"/>
  <c r="L28" i="6"/>
  <c r="B28" i="6"/>
  <c r="I113" i="6" s="1"/>
  <c r="S27" i="6"/>
  <c r="P27" i="6"/>
  <c r="M27" i="6"/>
  <c r="L27" i="6"/>
  <c r="B27" i="6"/>
  <c r="I112" i="6" s="1"/>
  <c r="S26" i="6"/>
  <c r="P26" i="6"/>
  <c r="M26" i="6"/>
  <c r="L26" i="6"/>
  <c r="B26" i="6"/>
  <c r="S25" i="6"/>
  <c r="P25" i="6"/>
  <c r="L25" i="6"/>
  <c r="S19" i="6"/>
  <c r="S18" i="6"/>
  <c r="I102" i="14"/>
  <c r="G8" i="14" s="1"/>
  <c r="AD67" i="14" s="1"/>
  <c r="I101" i="14"/>
  <c r="T66" i="14" s="1"/>
  <c r="I100" i="14"/>
  <c r="AX65" i="14" s="1"/>
  <c r="I99" i="14"/>
  <c r="AS64" i="14" s="1"/>
  <c r="AY87" i="14"/>
  <c r="AE87" i="14"/>
  <c r="Z87" i="14"/>
  <c r="AX63" i="14"/>
  <c r="AY63" i="14" s="1"/>
  <c r="E18" i="5" s="1"/>
  <c r="AS63" i="14"/>
  <c r="AT63" i="14" s="1"/>
  <c r="E17" i="5" s="1"/>
  <c r="AN63" i="14"/>
  <c r="AO63" i="14" s="1"/>
  <c r="E16" i="5" s="1"/>
  <c r="AI63" i="14"/>
  <c r="AJ63" i="14" s="1"/>
  <c r="E15" i="5" s="1"/>
  <c r="AD63" i="14"/>
  <c r="AE63" i="14" s="1"/>
  <c r="E14" i="5" s="1"/>
  <c r="Y63" i="14"/>
  <c r="Z63" i="14" s="1"/>
  <c r="E13" i="5" s="1"/>
  <c r="U63" i="14"/>
  <c r="P63" i="14"/>
  <c r="K63" i="14"/>
  <c r="AS56" i="14"/>
  <c r="AN56" i="14"/>
  <c r="AI56" i="14"/>
  <c r="AN57" i="14" s="1"/>
  <c r="AO57" i="14" s="1"/>
  <c r="Y56" i="14"/>
  <c r="T56" i="14"/>
  <c r="O56" i="14"/>
  <c r="R32" i="14"/>
  <c r="M32" i="14"/>
  <c r="P24" i="14"/>
  <c r="S24" i="14" s="1"/>
  <c r="P23" i="14"/>
  <c r="S23" i="14" s="1"/>
  <c r="C24" i="17"/>
  <c r="B24" i="17"/>
  <c r="A24" i="17"/>
  <c r="P49" i="16" s="1"/>
  <c r="C23" i="17"/>
  <c r="B23" i="17"/>
  <c r="A23" i="17"/>
  <c r="P48" i="16" s="1"/>
  <c r="C22" i="17"/>
  <c r="B22" i="17"/>
  <c r="A22" i="17"/>
  <c r="K167" i="19" s="1"/>
  <c r="X167" i="19" s="1"/>
  <c r="C21" i="17"/>
  <c r="B21" i="17"/>
  <c r="A21" i="17"/>
  <c r="P46" i="16" s="1"/>
  <c r="C20" i="17"/>
  <c r="B20" i="17"/>
  <c r="A20" i="17"/>
  <c r="P45" i="16" s="1"/>
  <c r="C18" i="17"/>
  <c r="B18" i="17"/>
  <c r="A18" i="17"/>
  <c r="P43" i="16" s="1"/>
  <c r="K17" i="17"/>
  <c r="I17" i="17"/>
  <c r="C17" i="17"/>
  <c r="B17" i="17"/>
  <c r="A17" i="17"/>
  <c r="G15" i="17"/>
  <c r="C15" i="17"/>
  <c r="D23" i="2" s="1"/>
  <c r="B15" i="17"/>
  <c r="A15" i="17"/>
  <c r="P40" i="16" s="1"/>
  <c r="I14" i="17"/>
  <c r="G14" i="17"/>
  <c r="F14" i="17"/>
  <c r="C14" i="17"/>
  <c r="D22" i="2" s="1"/>
  <c r="B14" i="17"/>
  <c r="A14" i="17"/>
  <c r="P39" i="16" s="1"/>
  <c r="G13" i="17"/>
  <c r="F13" i="17"/>
  <c r="C13" i="17"/>
  <c r="D21" i="2" s="1"/>
  <c r="A13" i="17"/>
  <c r="P38" i="16" s="1"/>
  <c r="G12" i="17"/>
  <c r="F12" i="17"/>
  <c r="C12" i="17"/>
  <c r="A12" i="17"/>
  <c r="K157" i="19" s="1"/>
  <c r="X157" i="19" s="1"/>
  <c r="G11" i="17"/>
  <c r="F11" i="17"/>
  <c r="C11" i="17"/>
  <c r="A11" i="17"/>
  <c r="P36" i="16" s="1"/>
  <c r="G10" i="17"/>
  <c r="F10" i="17"/>
  <c r="C10" i="17"/>
  <c r="A10" i="17"/>
  <c r="P35" i="16" s="1"/>
  <c r="G9" i="17"/>
  <c r="F9" i="17"/>
  <c r="C9" i="17"/>
  <c r="A9" i="17"/>
  <c r="P34" i="16" s="1"/>
  <c r="G8" i="17"/>
  <c r="F8" i="17"/>
  <c r="C8" i="17"/>
  <c r="A8" i="17"/>
  <c r="K153" i="19" s="1"/>
  <c r="X153" i="19" s="1"/>
  <c r="G7" i="17"/>
  <c r="F7" i="17"/>
  <c r="C7" i="17"/>
  <c r="A7" i="17"/>
  <c r="P32" i="16" s="1"/>
  <c r="G6" i="17"/>
  <c r="F6" i="17"/>
  <c r="C6" i="17"/>
  <c r="A6" i="17"/>
  <c r="G5" i="17"/>
  <c r="F5" i="17"/>
  <c r="C5" i="17"/>
  <c r="A5" i="17"/>
  <c r="L4" i="17"/>
  <c r="K4" i="17"/>
  <c r="J4" i="17"/>
  <c r="I4" i="17"/>
  <c r="D4" i="17"/>
  <c r="B4" i="17"/>
  <c r="H94" i="5"/>
  <c r="G94" i="5"/>
  <c r="F89" i="5"/>
  <c r="H89" i="5" s="1"/>
  <c r="I89" i="5" s="1"/>
  <c r="J89" i="5" s="1"/>
  <c r="K89" i="5" s="1"/>
  <c r="F88" i="5"/>
  <c r="H88" i="5" s="1"/>
  <c r="I88" i="5" s="1"/>
  <c r="J88" i="5" s="1"/>
  <c r="K88" i="5" s="1"/>
  <c r="F87" i="5"/>
  <c r="H87" i="5" s="1"/>
  <c r="I87" i="5" s="1"/>
  <c r="J87" i="5" s="1"/>
  <c r="K87" i="5" s="1"/>
  <c r="F85" i="5"/>
  <c r="H85" i="5" s="1"/>
  <c r="I85" i="5" s="1"/>
  <c r="J85" i="5" s="1"/>
  <c r="K85" i="5" s="1"/>
  <c r="E84" i="5"/>
  <c r="B94" i="5" s="1"/>
  <c r="B84" i="5"/>
  <c r="F83" i="5"/>
  <c r="H83" i="5" s="1"/>
  <c r="I83" i="5" s="1"/>
  <c r="J83" i="5" s="1"/>
  <c r="K83" i="5" s="1"/>
  <c r="F82" i="5"/>
  <c r="H82" i="5" s="1"/>
  <c r="I82" i="5" s="1"/>
  <c r="J82" i="5" s="1"/>
  <c r="K82" i="5" s="1"/>
  <c r="F81" i="5"/>
  <c r="H81" i="5" s="1"/>
  <c r="I81" i="5" s="1"/>
  <c r="J81" i="5" s="1"/>
  <c r="K81" i="5" s="1"/>
  <c r="F80" i="5"/>
  <c r="H80" i="5" s="1"/>
  <c r="I80" i="5" s="1"/>
  <c r="J80" i="5" s="1"/>
  <c r="K80" i="5" s="1"/>
  <c r="F79" i="5"/>
  <c r="G79" i="5" s="1"/>
  <c r="Q47" i="5"/>
  <c r="M18" i="5"/>
  <c r="Q13" i="17" s="1"/>
  <c r="M17" i="5"/>
  <c r="Q12" i="17" s="1"/>
  <c r="M16" i="5"/>
  <c r="Q11" i="17" s="1"/>
  <c r="M15" i="5"/>
  <c r="Q10" i="17" s="1"/>
  <c r="M14" i="5"/>
  <c r="Q9" i="17" s="1"/>
  <c r="M13" i="5"/>
  <c r="Q8" i="17" s="1"/>
  <c r="M12" i="5"/>
  <c r="Q7" i="17" s="1"/>
  <c r="M11" i="5"/>
  <c r="Q6" i="17" s="1"/>
  <c r="M10" i="5"/>
  <c r="Q5" i="17" s="1"/>
  <c r="C53" i="18"/>
  <c r="C52" i="18"/>
  <c r="C51" i="18"/>
  <c r="C50" i="18"/>
  <c r="C49" i="18"/>
  <c r="C48" i="18"/>
  <c r="C42" i="18"/>
  <c r="C41" i="18"/>
  <c r="C40" i="18"/>
  <c r="C39" i="18"/>
  <c r="C38" i="18"/>
  <c r="C37" i="18"/>
  <c r="J27" i="18"/>
  <c r="I27" i="18"/>
  <c r="J26" i="18"/>
  <c r="I26" i="18"/>
  <c r="J25" i="18"/>
  <c r="I25" i="18"/>
  <c r="J24" i="18"/>
  <c r="I24" i="18"/>
  <c r="J23" i="18"/>
  <c r="I23" i="18"/>
  <c r="J22" i="18"/>
  <c r="I22" i="18"/>
  <c r="J21" i="18"/>
  <c r="I21" i="18"/>
  <c r="J20" i="18"/>
  <c r="I20" i="18"/>
  <c r="J19" i="18"/>
  <c r="I19" i="18"/>
  <c r="J18" i="18"/>
  <c r="I18" i="18"/>
  <c r="J17" i="18"/>
  <c r="I17" i="18"/>
  <c r="J16" i="18"/>
  <c r="I16" i="18"/>
  <c r="K9" i="18"/>
  <c r="J9" i="18"/>
  <c r="I9" i="18"/>
  <c r="J40" i="4"/>
  <c r="N40" i="4" s="1"/>
  <c r="J39" i="4"/>
  <c r="N39" i="4" s="1"/>
  <c r="J38" i="4"/>
  <c r="N38" i="4" s="1"/>
  <c r="J37" i="4"/>
  <c r="N37" i="4" s="1"/>
  <c r="J36" i="4"/>
  <c r="J35" i="4"/>
  <c r="J34" i="4"/>
  <c r="J33" i="4"/>
  <c r="J32" i="4"/>
  <c r="J31" i="4"/>
  <c r="D25" i="4"/>
  <c r="H20" i="4"/>
  <c r="L20" i="4" s="1"/>
  <c r="B20" i="4"/>
  <c r="B27" i="39" s="1"/>
  <c r="H19" i="4"/>
  <c r="L19" i="4" s="1"/>
  <c r="B19" i="4"/>
  <c r="B26" i="39" s="1"/>
  <c r="H18" i="4"/>
  <c r="B18" i="4"/>
  <c r="B25" i="39" s="1"/>
  <c r="H17" i="4"/>
  <c r="B17" i="4"/>
  <c r="B24" i="39" s="1"/>
  <c r="H16" i="4"/>
  <c r="B16" i="4"/>
  <c r="B23" i="39" s="1"/>
  <c r="H15" i="4"/>
  <c r="B15" i="4"/>
  <c r="H14" i="4"/>
  <c r="B14" i="4"/>
  <c r="B27" i="16" s="1"/>
  <c r="H13" i="4"/>
  <c r="B13" i="4"/>
  <c r="B26" i="16" s="1"/>
  <c r="H12" i="4"/>
  <c r="B12" i="4"/>
  <c r="B25" i="16" s="1"/>
  <c r="H11" i="4"/>
  <c r="B11" i="4"/>
  <c r="B24" i="16" s="1"/>
  <c r="D6" i="4"/>
  <c r="V85" i="2"/>
  <c r="Y63" i="2"/>
  <c r="Z63" i="2"/>
  <c r="S74" i="2"/>
  <c r="F40" i="4" s="1"/>
  <c r="S73" i="2"/>
  <c r="F39" i="4" s="1"/>
  <c r="S72" i="2"/>
  <c r="F38" i="4" s="1"/>
  <c r="S71" i="2"/>
  <c r="S70" i="2"/>
  <c r="S69" i="2"/>
  <c r="S68" i="2"/>
  <c r="S67" i="2"/>
  <c r="S66" i="2"/>
  <c r="S65" i="2"/>
  <c r="B42" i="2"/>
  <c r="B41" i="2"/>
  <c r="B40" i="2"/>
  <c r="B39" i="2"/>
  <c r="B38" i="2"/>
  <c r="B36" i="2"/>
  <c r="B35" i="2"/>
  <c r="C42" i="2"/>
  <c r="C30" i="6"/>
  <c r="E11" i="5" l="1"/>
  <c r="E12" i="5"/>
  <c r="D18" i="2"/>
  <c r="F22" i="39" s="1"/>
  <c r="Y62" i="19"/>
  <c r="AA62" i="19"/>
  <c r="Y63" i="19"/>
  <c r="AA63" i="19"/>
  <c r="Y77" i="19"/>
  <c r="AA77" i="19"/>
  <c r="B22" i="39"/>
  <c r="B28" i="16"/>
  <c r="M49" i="37"/>
  <c r="O49" i="37" s="1"/>
  <c r="G49" i="37"/>
  <c r="F49" i="37"/>
  <c r="Q174" i="19"/>
  <c r="M174" i="19"/>
  <c r="P174" i="19"/>
  <c r="O174" i="19"/>
  <c r="N174" i="19"/>
  <c r="B57" i="37"/>
  <c r="E49" i="37"/>
  <c r="H49" i="37"/>
  <c r="E121" i="16"/>
  <c r="D20" i="40"/>
  <c r="D20" i="39"/>
  <c r="E125" i="16"/>
  <c r="D24" i="40"/>
  <c r="D24" i="39"/>
  <c r="E142" i="16"/>
  <c r="D39" i="40"/>
  <c r="D41" i="39"/>
  <c r="E144" i="16"/>
  <c r="D41" i="40"/>
  <c r="D43" i="39"/>
  <c r="E146" i="16"/>
  <c r="D43" i="40"/>
  <c r="D45" i="39"/>
  <c r="E120" i="16"/>
  <c r="D19" i="40"/>
  <c r="D19" i="39"/>
  <c r="E124" i="16"/>
  <c r="D23" i="40"/>
  <c r="D23" i="39"/>
  <c r="E128" i="16"/>
  <c r="D27" i="40"/>
  <c r="D27" i="39"/>
  <c r="E123" i="16"/>
  <c r="D22" i="40"/>
  <c r="D22" i="39"/>
  <c r="E127" i="16"/>
  <c r="D26" i="40"/>
  <c r="D26" i="39"/>
  <c r="E143" i="16"/>
  <c r="D40" i="40"/>
  <c r="D42" i="39"/>
  <c r="E147" i="16"/>
  <c r="D44" i="40"/>
  <c r="D46" i="39"/>
  <c r="E122" i="16"/>
  <c r="D21" i="40"/>
  <c r="D21" i="39"/>
  <c r="E126" i="16"/>
  <c r="D25" i="40"/>
  <c r="D25" i="39"/>
  <c r="E119" i="16"/>
  <c r="D18" i="40"/>
  <c r="D18" i="39"/>
  <c r="B52" i="37"/>
  <c r="H37" i="2"/>
  <c r="E145" i="16"/>
  <c r="D42" i="40"/>
  <c r="D44" i="39"/>
  <c r="B51" i="37"/>
  <c r="H36" i="2"/>
  <c r="AD36" i="2" s="1"/>
  <c r="C119" i="16"/>
  <c r="B18" i="40"/>
  <c r="B18" i="39"/>
  <c r="E141" i="16"/>
  <c r="D38" i="40"/>
  <c r="D40" i="39"/>
  <c r="E140" i="16"/>
  <c r="D37" i="40"/>
  <c r="D39" i="39"/>
  <c r="E139" i="16"/>
  <c r="D36" i="40"/>
  <c r="D38" i="39"/>
  <c r="E138" i="16"/>
  <c r="D35" i="40"/>
  <c r="D37" i="39"/>
  <c r="B21" i="40"/>
  <c r="B21" i="39"/>
  <c r="B20" i="40"/>
  <c r="B20" i="39"/>
  <c r="B19" i="40"/>
  <c r="B19" i="39"/>
  <c r="F25" i="39"/>
  <c r="F27" i="39"/>
  <c r="F26" i="39"/>
  <c r="B126" i="5"/>
  <c r="B55" i="37"/>
  <c r="B123" i="5"/>
  <c r="B127" i="5"/>
  <c r="B56" i="37"/>
  <c r="B124" i="5"/>
  <c r="B53" i="37"/>
  <c r="B121" i="5"/>
  <c r="B50" i="37"/>
  <c r="B125" i="5"/>
  <c r="B54" i="37"/>
  <c r="V32" i="6"/>
  <c r="V72" i="19"/>
  <c r="I143" i="6"/>
  <c r="I119" i="6"/>
  <c r="E34" i="6"/>
  <c r="I118" i="6"/>
  <c r="I117" i="6"/>
  <c r="I116" i="6"/>
  <c r="I115" i="6"/>
  <c r="I114" i="6"/>
  <c r="I111" i="6"/>
  <c r="E31" i="6"/>
  <c r="E28" i="6"/>
  <c r="E25" i="6"/>
  <c r="E29" i="6"/>
  <c r="E27" i="6"/>
  <c r="E32" i="6"/>
  <c r="E26" i="6"/>
  <c r="E30" i="6"/>
  <c r="E33" i="6"/>
  <c r="D17" i="2"/>
  <c r="D20" i="2"/>
  <c r="D16" i="2"/>
  <c r="D19" i="2"/>
  <c r="M160" i="19"/>
  <c r="M159" i="19"/>
  <c r="P164" i="19"/>
  <c r="P161" i="19"/>
  <c r="M161" i="19"/>
  <c r="Q164" i="19"/>
  <c r="Q161" i="19"/>
  <c r="N164" i="19"/>
  <c r="M164" i="19"/>
  <c r="O161" i="19"/>
  <c r="O164" i="19"/>
  <c r="M162" i="19"/>
  <c r="M163" i="19" s="1"/>
  <c r="N161" i="19"/>
  <c r="AA161" i="19" s="1"/>
  <c r="J19" i="4"/>
  <c r="R10" i="18"/>
  <c r="AA10" i="18" s="1"/>
  <c r="L12" i="4" s="1"/>
  <c r="K16" i="4"/>
  <c r="R18" i="18"/>
  <c r="AA18" i="18" s="1"/>
  <c r="B122" i="5"/>
  <c r="R12" i="18"/>
  <c r="AA12" i="18" s="1"/>
  <c r="L14" i="4" s="1"/>
  <c r="AI132" i="16"/>
  <c r="H155" i="16" s="1"/>
  <c r="R172" i="19"/>
  <c r="M172" i="19"/>
  <c r="AA172" i="19" s="1"/>
  <c r="S172" i="19"/>
  <c r="N169" i="19"/>
  <c r="Q169" i="19"/>
  <c r="M169" i="19"/>
  <c r="P169" i="19"/>
  <c r="O169" i="19"/>
  <c r="AG139" i="16"/>
  <c r="I155" i="16"/>
  <c r="AE115" i="16"/>
  <c r="AE116" i="16" s="1"/>
  <c r="Y129" i="16"/>
  <c r="H42" i="2"/>
  <c r="AD42" i="2" s="1"/>
  <c r="C128" i="5"/>
  <c r="I11" i="4"/>
  <c r="J11" i="4"/>
  <c r="D14" i="2"/>
  <c r="D15" i="2"/>
  <c r="G128" i="16"/>
  <c r="M31" i="4"/>
  <c r="L31" i="4"/>
  <c r="L33" i="4"/>
  <c r="L35" i="4"/>
  <c r="L37" i="4"/>
  <c r="K37" i="4"/>
  <c r="Q39" i="4"/>
  <c r="K39" i="4"/>
  <c r="L39" i="4"/>
  <c r="L32" i="4"/>
  <c r="K32" i="4"/>
  <c r="K34" i="4"/>
  <c r="L34" i="4"/>
  <c r="L36" i="4"/>
  <c r="K36" i="4"/>
  <c r="K38" i="4"/>
  <c r="L38" i="4"/>
  <c r="L40" i="4"/>
  <c r="K40" i="4"/>
  <c r="G126" i="16"/>
  <c r="G127" i="16"/>
  <c r="B30" i="12"/>
  <c r="H79" i="5"/>
  <c r="I79" i="5" s="1"/>
  <c r="J79" i="5" s="1"/>
  <c r="K79" i="5" s="1"/>
  <c r="K84" i="5" s="1"/>
  <c r="H10" i="5"/>
  <c r="L5" i="17" s="1"/>
  <c r="E10" i="5"/>
  <c r="I5" i="17" s="1"/>
  <c r="I12" i="17"/>
  <c r="I9" i="17"/>
  <c r="I6" i="17"/>
  <c r="I10" i="17"/>
  <c r="I8" i="17"/>
  <c r="I13" i="17"/>
  <c r="I7" i="17"/>
  <c r="I11" i="17"/>
  <c r="H98" i="5"/>
  <c r="G80" i="5"/>
  <c r="G83" i="5"/>
  <c r="G85" i="5"/>
  <c r="G88" i="5"/>
  <c r="V13" i="18"/>
  <c r="U14" i="18"/>
  <c r="X13" i="18"/>
  <c r="W16" i="18"/>
  <c r="W15" i="18"/>
  <c r="X15" i="18"/>
  <c r="X16" i="18"/>
  <c r="X12" i="18"/>
  <c r="W12" i="18"/>
  <c r="W13" i="18"/>
  <c r="W14" i="18"/>
  <c r="P43" i="18"/>
  <c r="S43" i="18"/>
  <c r="N43" i="18"/>
  <c r="V43" i="18"/>
  <c r="T43" i="18"/>
  <c r="O43" i="18"/>
  <c r="W43" i="18"/>
  <c r="R43" i="18"/>
  <c r="Q43" i="18"/>
  <c r="U13" i="18"/>
  <c r="V12" i="18"/>
  <c r="R171" i="19"/>
  <c r="M171" i="19"/>
  <c r="S171" i="19"/>
  <c r="V15" i="18"/>
  <c r="U12" i="18"/>
  <c r="U16" i="18"/>
  <c r="V16" i="18"/>
  <c r="U15" i="18"/>
  <c r="G81" i="5"/>
  <c r="G82" i="5"/>
  <c r="G87" i="5"/>
  <c r="G89" i="5"/>
  <c r="F84" i="5"/>
  <c r="B98" i="5" s="1"/>
  <c r="J92" i="6"/>
  <c r="M92" i="6" s="1"/>
  <c r="Y64" i="14"/>
  <c r="D94" i="5"/>
  <c r="E94" i="5" s="1"/>
  <c r="G98" i="5"/>
  <c r="C31" i="6"/>
  <c r="Q31" i="6" s="1"/>
  <c r="C115" i="5"/>
  <c r="C44" i="5" s="1"/>
  <c r="C32" i="6"/>
  <c r="Q32" i="6" s="1"/>
  <c r="C116" i="5"/>
  <c r="B51" i="6"/>
  <c r="I125" i="6" s="1"/>
  <c r="B33" i="4"/>
  <c r="B44" i="16" s="1"/>
  <c r="U49" i="6"/>
  <c r="V49" i="6" s="1"/>
  <c r="U53" i="6"/>
  <c r="V53" i="6" s="1"/>
  <c r="U57" i="6"/>
  <c r="V57" i="6"/>
  <c r="U54" i="6"/>
  <c r="V54" i="6" s="1"/>
  <c r="Y78" i="19"/>
  <c r="U51" i="6"/>
  <c r="V51" i="6" s="1"/>
  <c r="U55" i="6"/>
  <c r="V55" i="6"/>
  <c r="U52" i="6"/>
  <c r="V52" i="6" s="1"/>
  <c r="U56" i="6"/>
  <c r="V56" i="6"/>
  <c r="U48" i="6"/>
  <c r="V48" i="6" s="1"/>
  <c r="H13" i="5"/>
  <c r="L8" i="17" s="1"/>
  <c r="H18" i="5"/>
  <c r="L13" i="17" s="1"/>
  <c r="H12" i="5"/>
  <c r="L7" i="17" s="1"/>
  <c r="H14" i="5"/>
  <c r="L9" i="17" s="1"/>
  <c r="H11" i="5"/>
  <c r="L6" i="17" s="1"/>
  <c r="H15" i="5"/>
  <c r="L10" i="17" s="1"/>
  <c r="H16" i="5"/>
  <c r="L11" i="17" s="1"/>
  <c r="U32" i="6"/>
  <c r="N25" i="6"/>
  <c r="U25" i="6"/>
  <c r="V25" i="6" s="1"/>
  <c r="N29" i="6"/>
  <c r="N33" i="6"/>
  <c r="U33" i="6"/>
  <c r="N26" i="6"/>
  <c r="U26" i="6"/>
  <c r="V26" i="6" s="1"/>
  <c r="N30" i="6"/>
  <c r="U30" i="6"/>
  <c r="V30" i="6" s="1"/>
  <c r="N34" i="6"/>
  <c r="U34" i="6"/>
  <c r="N28" i="6"/>
  <c r="N32" i="6"/>
  <c r="U29" i="6"/>
  <c r="V29" i="6" s="1"/>
  <c r="N27" i="6"/>
  <c r="N31" i="6"/>
  <c r="K43" i="16"/>
  <c r="AG116" i="16"/>
  <c r="K24" i="16"/>
  <c r="K32" i="16"/>
  <c r="K25" i="16"/>
  <c r="K29" i="16"/>
  <c r="J45" i="16"/>
  <c r="K46" i="16"/>
  <c r="K48" i="16"/>
  <c r="J49" i="16"/>
  <c r="K51" i="16"/>
  <c r="Q30" i="6"/>
  <c r="B39" i="4"/>
  <c r="B45" i="39" s="1"/>
  <c r="B40" i="4"/>
  <c r="B46" i="39" s="1"/>
  <c r="B56" i="6"/>
  <c r="B57" i="6"/>
  <c r="F26" i="6"/>
  <c r="H14" i="17"/>
  <c r="U27" i="6"/>
  <c r="V27" i="6" s="1"/>
  <c r="U31" i="6"/>
  <c r="V31" i="6" s="1"/>
  <c r="F33" i="6"/>
  <c r="F34" i="6"/>
  <c r="U28" i="6"/>
  <c r="V28" i="6" s="1"/>
  <c r="F32" i="6"/>
  <c r="U50" i="6"/>
  <c r="V50" i="6" s="1"/>
  <c r="T19" i="5"/>
  <c r="T20" i="5" s="1"/>
  <c r="X19" i="5"/>
  <c r="X20" i="5" s="1"/>
  <c r="R19" i="5"/>
  <c r="R20" i="5" s="1"/>
  <c r="Z19" i="5"/>
  <c r="Z20" i="5" s="1"/>
  <c r="V19" i="5"/>
  <c r="V20" i="5" s="1"/>
  <c r="K168" i="19"/>
  <c r="X168" i="19" s="1"/>
  <c r="L16" i="18"/>
  <c r="L20" i="18"/>
  <c r="L24" i="18"/>
  <c r="T65" i="14"/>
  <c r="K152" i="19"/>
  <c r="X152" i="19" s="1"/>
  <c r="K158" i="19"/>
  <c r="X158" i="19" s="1"/>
  <c r="K163" i="19"/>
  <c r="X163" i="19" s="1"/>
  <c r="AN65" i="14"/>
  <c r="C26" i="6"/>
  <c r="C28" i="6"/>
  <c r="Q28" i="6" s="1"/>
  <c r="AS65" i="14"/>
  <c r="K150" i="19"/>
  <c r="X150" i="19" s="1"/>
  <c r="K160" i="19"/>
  <c r="X160" i="19" s="1"/>
  <c r="P30" i="16"/>
  <c r="C13" i="4"/>
  <c r="C26" i="16" s="1"/>
  <c r="C29" i="6"/>
  <c r="Q29" i="6" s="1"/>
  <c r="L19" i="18"/>
  <c r="L23" i="18"/>
  <c r="K33" i="4" s="1"/>
  <c r="L27" i="18"/>
  <c r="Y65" i="14"/>
  <c r="K154" i="19"/>
  <c r="X154" i="19" s="1"/>
  <c r="B36" i="4"/>
  <c r="B42" i="39" s="1"/>
  <c r="P42" i="16"/>
  <c r="K162" i="19"/>
  <c r="X162" i="19" s="1"/>
  <c r="P47" i="16"/>
  <c r="P31" i="16"/>
  <c r="K151" i="19"/>
  <c r="X151" i="19" s="1"/>
  <c r="J67" i="14"/>
  <c r="AN64" i="14"/>
  <c r="T64" i="14"/>
  <c r="AD64" i="14"/>
  <c r="AI64" i="14"/>
  <c r="O64" i="14"/>
  <c r="AX64" i="14"/>
  <c r="J64" i="14"/>
  <c r="P37" i="16"/>
  <c r="L18" i="18"/>
  <c r="L22" i="18"/>
  <c r="L26" i="18"/>
  <c r="K156" i="19"/>
  <c r="X156" i="19" s="1"/>
  <c r="K166" i="19"/>
  <c r="X166" i="19" s="1"/>
  <c r="AS67" i="14"/>
  <c r="Y67" i="14"/>
  <c r="O67" i="14"/>
  <c r="AN67" i="14"/>
  <c r="T67" i="14"/>
  <c r="AI67" i="14"/>
  <c r="L17" i="18"/>
  <c r="L21" i="18"/>
  <c r="L25" i="18"/>
  <c r="I15" i="4" s="1"/>
  <c r="AS66" i="14"/>
  <c r="Y66" i="14"/>
  <c r="AI66" i="14"/>
  <c r="AX66" i="14"/>
  <c r="AD66" i="14"/>
  <c r="J66" i="14"/>
  <c r="O66" i="14"/>
  <c r="AN66" i="14"/>
  <c r="AX67" i="14"/>
  <c r="P33" i="16"/>
  <c r="C11" i="4"/>
  <c r="C24" i="16" s="1"/>
  <c r="O65" i="14"/>
  <c r="AI65" i="14"/>
  <c r="K155" i="19"/>
  <c r="X155" i="19" s="1"/>
  <c r="K159" i="19"/>
  <c r="X159" i="19" s="1"/>
  <c r="K165" i="19"/>
  <c r="X165" i="19" s="1"/>
  <c r="K169" i="19"/>
  <c r="X169" i="19" s="1"/>
  <c r="J65" i="14"/>
  <c r="AD65" i="14"/>
  <c r="K45" i="16"/>
  <c r="C16" i="4"/>
  <c r="C23" i="39" s="1"/>
  <c r="C17" i="4"/>
  <c r="C24" i="39" s="1"/>
  <c r="W185" i="19"/>
  <c r="V57" i="19" s="1"/>
  <c r="O152" i="19"/>
  <c r="G43" i="18"/>
  <c r="N152" i="19"/>
  <c r="O157" i="19"/>
  <c r="Q158" i="19"/>
  <c r="R167" i="19"/>
  <c r="M151" i="19"/>
  <c r="P157" i="19"/>
  <c r="W193" i="19"/>
  <c r="Q150" i="19"/>
  <c r="M154" i="19"/>
  <c r="N155" i="19"/>
  <c r="N160" i="19"/>
  <c r="N165" i="19"/>
  <c r="W191" i="19"/>
  <c r="W187" i="19"/>
  <c r="P154" i="19"/>
  <c r="Q155" i="19"/>
  <c r="O160" i="19"/>
  <c r="Q165" i="19"/>
  <c r="R74" i="2"/>
  <c r="L43" i="18"/>
  <c r="C33" i="6"/>
  <c r="C19" i="4"/>
  <c r="C26" i="39" s="1"/>
  <c r="I26" i="39" s="1"/>
  <c r="C34" i="6"/>
  <c r="C20" i="4"/>
  <c r="C27" i="39" s="1"/>
  <c r="I27" i="39" s="1"/>
  <c r="H39" i="2"/>
  <c r="F43" i="18"/>
  <c r="J43" i="18"/>
  <c r="C43" i="18"/>
  <c r="I43" i="18"/>
  <c r="D43" i="18"/>
  <c r="H43" i="18"/>
  <c r="M43" i="18"/>
  <c r="W192" i="19"/>
  <c r="W190" i="19"/>
  <c r="V70" i="19" s="1"/>
  <c r="W188" i="19"/>
  <c r="W186" i="19"/>
  <c r="W184" i="19"/>
  <c r="V71" i="19" s="1"/>
  <c r="S168" i="19"/>
  <c r="M167" i="19"/>
  <c r="Q166" i="19"/>
  <c r="M166" i="19"/>
  <c r="P165" i="19"/>
  <c r="N162" i="19"/>
  <c r="N163" i="19" s="1"/>
  <c r="Q160" i="19"/>
  <c r="P159" i="19"/>
  <c r="O158" i="19"/>
  <c r="N157" i="19"/>
  <c r="Q156" i="19"/>
  <c r="M156" i="19"/>
  <c r="P155" i="19"/>
  <c r="O154" i="19"/>
  <c r="N153" i="19"/>
  <c r="Q152" i="19"/>
  <c r="M152" i="19"/>
  <c r="P151" i="19"/>
  <c r="O150" i="19"/>
  <c r="R168" i="19"/>
  <c r="P166" i="19"/>
  <c r="O165" i="19"/>
  <c r="Q162" i="19"/>
  <c r="Q163" i="19" s="1"/>
  <c r="P160" i="19"/>
  <c r="O159" i="19"/>
  <c r="N158" i="19"/>
  <c r="Q157" i="19"/>
  <c r="M157" i="19"/>
  <c r="P156" i="19"/>
  <c r="O155" i="19"/>
  <c r="N154" i="19"/>
  <c r="Q153" i="19"/>
  <c r="M153" i="19"/>
  <c r="P152" i="19"/>
  <c r="O151" i="19"/>
  <c r="N150" i="19"/>
  <c r="C56" i="19"/>
  <c r="M150" i="19"/>
  <c r="N151" i="19"/>
  <c r="O153" i="19"/>
  <c r="Q154" i="19"/>
  <c r="N156" i="19"/>
  <c r="M158" i="19"/>
  <c r="N159" i="19"/>
  <c r="O162" i="19"/>
  <c r="O163" i="19" s="1"/>
  <c r="N166" i="19"/>
  <c r="S167" i="19"/>
  <c r="W189" i="19"/>
  <c r="E43" i="18"/>
  <c r="P150" i="19"/>
  <c r="Q151" i="19"/>
  <c r="P153" i="19"/>
  <c r="M155" i="19"/>
  <c r="O156" i="19"/>
  <c r="P158" i="19"/>
  <c r="Q159" i="19"/>
  <c r="P162" i="19"/>
  <c r="P163" i="19" s="1"/>
  <c r="M165" i="19"/>
  <c r="O166" i="19"/>
  <c r="M168" i="19"/>
  <c r="B19" i="10"/>
  <c r="J43" i="16"/>
  <c r="J44" i="16"/>
  <c r="K44" i="16"/>
  <c r="L44" i="16" s="1"/>
  <c r="I43" i="16"/>
  <c r="AJ108" i="6"/>
  <c r="J27" i="16"/>
  <c r="I29" i="16"/>
  <c r="Q40" i="4"/>
  <c r="AJ110" i="6"/>
  <c r="AK110" i="6"/>
  <c r="V63" i="19"/>
  <c r="K27" i="16"/>
  <c r="L27" i="16" s="1"/>
  <c r="J29" i="16"/>
  <c r="AK108" i="6"/>
  <c r="AJ109" i="6"/>
  <c r="AK107" i="6"/>
  <c r="AK109" i="6"/>
  <c r="C127" i="16"/>
  <c r="B52" i="6"/>
  <c r="H5" i="17"/>
  <c r="H8" i="17"/>
  <c r="H9" i="17"/>
  <c r="H12" i="17"/>
  <c r="H6" i="17"/>
  <c r="H13" i="17"/>
  <c r="H10" i="17"/>
  <c r="H11" i="17"/>
  <c r="H15" i="17"/>
  <c r="H7" i="17"/>
  <c r="X54" i="19"/>
  <c r="AA54" i="19" s="1"/>
  <c r="K13" i="4"/>
  <c r="R11" i="18"/>
  <c r="AA11" i="18" s="1"/>
  <c r="L13" i="4" s="1"/>
  <c r="V78" i="19"/>
  <c r="B14" i="10"/>
  <c r="V77" i="19"/>
  <c r="I48" i="16"/>
  <c r="K12" i="4"/>
  <c r="J13" i="4"/>
  <c r="K18" i="4"/>
  <c r="F29" i="6"/>
  <c r="B18" i="19"/>
  <c r="F18" i="19" s="1"/>
  <c r="V55" i="19"/>
  <c r="J46" i="16"/>
  <c r="J48" i="16"/>
  <c r="R25" i="18"/>
  <c r="AA25" i="18" s="1"/>
  <c r="M34" i="4"/>
  <c r="I14" i="4"/>
  <c r="K20" i="4"/>
  <c r="M35" i="4"/>
  <c r="M38" i="4"/>
  <c r="R29" i="18"/>
  <c r="AA29" i="18" s="1"/>
  <c r="K31" i="16"/>
  <c r="J31" i="16"/>
  <c r="K33" i="16"/>
  <c r="J33" i="16"/>
  <c r="J14" i="4"/>
  <c r="K17" i="4"/>
  <c r="I18" i="4"/>
  <c r="B31" i="12"/>
  <c r="C128" i="16"/>
  <c r="B33" i="16"/>
  <c r="B19" i="19"/>
  <c r="F19" i="19" s="1"/>
  <c r="B20" i="10"/>
  <c r="R22" i="18"/>
  <c r="AA22" i="18" s="1"/>
  <c r="R31" i="18"/>
  <c r="AA31" i="18" s="1"/>
  <c r="M40" i="4"/>
  <c r="F27" i="6"/>
  <c r="D26" i="16" s="1"/>
  <c r="Q76" i="19"/>
  <c r="AB78" i="19"/>
  <c r="K38" i="19" s="1"/>
  <c r="V59" i="19"/>
  <c r="J25" i="16"/>
  <c r="I25" i="16"/>
  <c r="I31" i="16"/>
  <c r="I33" i="16"/>
  <c r="M39" i="4"/>
  <c r="R30" i="18"/>
  <c r="AA30" i="18" s="1"/>
  <c r="R26" i="18"/>
  <c r="AA26" i="18" s="1"/>
  <c r="B15" i="19"/>
  <c r="F15" i="19" s="1"/>
  <c r="Q63" i="19"/>
  <c r="J17" i="4"/>
  <c r="P60" i="6"/>
  <c r="K14" i="4"/>
  <c r="R14" i="18"/>
  <c r="AA14" i="18" s="1"/>
  <c r="L16" i="4" s="1"/>
  <c r="J18" i="4"/>
  <c r="R16" i="18"/>
  <c r="AA16" i="18" s="1"/>
  <c r="L18" i="4" s="1"/>
  <c r="Q78" i="19"/>
  <c r="X75" i="19"/>
  <c r="AA75" i="19" s="1"/>
  <c r="B32" i="16"/>
  <c r="J47" i="16"/>
  <c r="K47" i="16"/>
  <c r="K50" i="16"/>
  <c r="J50" i="16"/>
  <c r="I50" i="16"/>
  <c r="J51" i="16"/>
  <c r="I51" i="16"/>
  <c r="V58" i="19"/>
  <c r="V62" i="19"/>
  <c r="I46" i="16"/>
  <c r="K49" i="16"/>
  <c r="F25" i="6"/>
  <c r="D24" i="16" s="1"/>
  <c r="B31" i="4"/>
  <c r="B42" i="16" s="1"/>
  <c r="C120" i="16"/>
  <c r="B23" i="12"/>
  <c r="B12" i="10"/>
  <c r="B11" i="19"/>
  <c r="F11" i="19" s="1"/>
  <c r="F31" i="6"/>
  <c r="B29" i="12"/>
  <c r="B18" i="10"/>
  <c r="B31" i="16"/>
  <c r="B17" i="19"/>
  <c r="F17" i="19" s="1"/>
  <c r="C126" i="16"/>
  <c r="B26" i="12"/>
  <c r="C123" i="16"/>
  <c r="B14" i="19"/>
  <c r="F14" i="19" s="1"/>
  <c r="B15" i="10"/>
  <c r="B13" i="10"/>
  <c r="B24" i="12"/>
  <c r="B12" i="19"/>
  <c r="F12" i="19" s="1"/>
  <c r="C121" i="16"/>
  <c r="F28" i="6"/>
  <c r="D27" i="16" s="1"/>
  <c r="F30" i="6"/>
  <c r="C18" i="4"/>
  <c r="B32" i="4"/>
  <c r="B43" i="16" s="1"/>
  <c r="H38" i="2"/>
  <c r="H40" i="2"/>
  <c r="B35" i="4"/>
  <c r="B38" i="4"/>
  <c r="B44" i="39" s="1"/>
  <c r="B48" i="6"/>
  <c r="I122" i="6" s="1"/>
  <c r="B49" i="6"/>
  <c r="B53" i="6"/>
  <c r="B11" i="10"/>
  <c r="B22" i="12"/>
  <c r="D22" i="12" s="1"/>
  <c r="B25" i="12"/>
  <c r="C122" i="16"/>
  <c r="B13" i="19"/>
  <c r="F13" i="19" s="1"/>
  <c r="B34" i="4"/>
  <c r="B45" i="16" s="1"/>
  <c r="B55" i="6"/>
  <c r="B50" i="6"/>
  <c r="I124" i="6" s="1"/>
  <c r="B54" i="6"/>
  <c r="C124" i="16"/>
  <c r="B29" i="16"/>
  <c r="B27" i="12"/>
  <c r="B16" i="10"/>
  <c r="B17" i="10"/>
  <c r="C125" i="16"/>
  <c r="B30" i="16"/>
  <c r="B28" i="12"/>
  <c r="B16" i="19"/>
  <c r="F16" i="19" s="1"/>
  <c r="B37" i="4"/>
  <c r="B43" i="39" s="1"/>
  <c r="B10" i="19"/>
  <c r="F10" i="19" s="1"/>
  <c r="R28" i="18"/>
  <c r="AA28" i="18" s="1"/>
  <c r="M37" i="4"/>
  <c r="X70" i="19"/>
  <c r="R24" i="18"/>
  <c r="M33" i="4"/>
  <c r="K42" i="16"/>
  <c r="J42" i="16"/>
  <c r="I42" i="16"/>
  <c r="M32" i="4"/>
  <c r="M36" i="4"/>
  <c r="Q38" i="4"/>
  <c r="R23" i="18"/>
  <c r="AA23" i="18" s="1"/>
  <c r="R27" i="18"/>
  <c r="AA27" i="18" s="1"/>
  <c r="AB77" i="19"/>
  <c r="K37" i="19" s="1"/>
  <c r="X71" i="19"/>
  <c r="AA71" i="19" s="1"/>
  <c r="X72" i="19"/>
  <c r="AA72" i="19" s="1"/>
  <c r="V74" i="19"/>
  <c r="X76" i="19"/>
  <c r="I45" i="16"/>
  <c r="I47" i="16"/>
  <c r="I49" i="16"/>
  <c r="N126" i="16"/>
  <c r="I19" i="4"/>
  <c r="O19" i="4"/>
  <c r="R13" i="18"/>
  <c r="AA13" i="18" s="1"/>
  <c r="N124" i="16"/>
  <c r="N122" i="16"/>
  <c r="N123" i="16"/>
  <c r="I12" i="4"/>
  <c r="J15" i="4"/>
  <c r="K11" i="4"/>
  <c r="J12" i="4"/>
  <c r="I13" i="4"/>
  <c r="K15" i="4"/>
  <c r="J16" i="4"/>
  <c r="I17" i="4"/>
  <c r="K19" i="4"/>
  <c r="J20" i="4"/>
  <c r="R15" i="18"/>
  <c r="AA15" i="18" s="1"/>
  <c r="L17" i="4" s="1"/>
  <c r="I26" i="16"/>
  <c r="J26" i="16"/>
  <c r="K26" i="16"/>
  <c r="N127" i="16"/>
  <c r="N128" i="16"/>
  <c r="R9" i="18"/>
  <c r="AA9" i="18" s="1"/>
  <c r="N119" i="16"/>
  <c r="N120" i="16"/>
  <c r="R17" i="18"/>
  <c r="AA17" i="18" s="1"/>
  <c r="N125" i="16"/>
  <c r="I16" i="4"/>
  <c r="I20" i="4"/>
  <c r="O20" i="4" s="1"/>
  <c r="N121" i="16"/>
  <c r="P37" i="6"/>
  <c r="I28" i="16"/>
  <c r="J28" i="16"/>
  <c r="K28" i="16"/>
  <c r="V56" i="19"/>
  <c r="X56" i="19"/>
  <c r="AA56" i="19" s="1"/>
  <c r="V60" i="19"/>
  <c r="X60" i="19"/>
  <c r="AA60" i="19" s="1"/>
  <c r="AB62" i="19"/>
  <c r="K18" i="19" s="1"/>
  <c r="X57" i="19"/>
  <c r="AA57" i="19" s="1"/>
  <c r="X61" i="19"/>
  <c r="AA61" i="19" s="1"/>
  <c r="I30" i="16"/>
  <c r="J30" i="16"/>
  <c r="AB63" i="19"/>
  <c r="K19" i="19" s="1"/>
  <c r="I24" i="16"/>
  <c r="J24" i="16"/>
  <c r="K30" i="16"/>
  <c r="I32" i="16"/>
  <c r="J32" i="16"/>
  <c r="L15" i="4" l="1"/>
  <c r="Y76" i="19"/>
  <c r="AA76" i="19"/>
  <c r="AB174" i="19"/>
  <c r="F28" i="12"/>
  <c r="E28" i="12"/>
  <c r="D28" i="12"/>
  <c r="E29" i="12"/>
  <c r="F29" i="12"/>
  <c r="D29" i="12"/>
  <c r="E23" i="12"/>
  <c r="F23" i="12"/>
  <c r="D23" i="12"/>
  <c r="E31" i="12"/>
  <c r="F31" i="12"/>
  <c r="D31" i="12"/>
  <c r="D27" i="12"/>
  <c r="E27" i="12"/>
  <c r="F27" i="12"/>
  <c r="F30" i="12"/>
  <c r="E30" i="12"/>
  <c r="D30" i="12"/>
  <c r="D25" i="12"/>
  <c r="F25" i="12"/>
  <c r="E25" i="12"/>
  <c r="E24" i="12"/>
  <c r="F24" i="12"/>
  <c r="D24" i="12"/>
  <c r="D25" i="16"/>
  <c r="D26" i="12"/>
  <c r="F26" i="12"/>
  <c r="E26" i="12"/>
  <c r="N42" i="2"/>
  <c r="S63" i="19"/>
  <c r="T63" i="19"/>
  <c r="E26" i="16"/>
  <c r="S61" i="19"/>
  <c r="T61" i="19" s="1"/>
  <c r="N36" i="4"/>
  <c r="AK106" i="6"/>
  <c r="S59" i="19"/>
  <c r="T59" i="19" s="1"/>
  <c r="S58" i="19"/>
  <c r="T58" i="19" s="1"/>
  <c r="S56" i="19"/>
  <c r="S55" i="19"/>
  <c r="S54" i="19"/>
  <c r="S57" i="19"/>
  <c r="G29" i="12"/>
  <c r="G30" i="12"/>
  <c r="G27" i="12"/>
  <c r="G31" i="12"/>
  <c r="G25" i="12"/>
  <c r="G24" i="12"/>
  <c r="G28" i="12"/>
  <c r="G23" i="12"/>
  <c r="F22" i="12"/>
  <c r="G22" i="12"/>
  <c r="E22" i="12"/>
  <c r="G26" i="12"/>
  <c r="AD39" i="2"/>
  <c r="N39" i="2"/>
  <c r="D28" i="16"/>
  <c r="E24" i="16"/>
  <c r="B41" i="39"/>
  <c r="B46" i="16"/>
  <c r="N34" i="4"/>
  <c r="Q34" i="4" s="1"/>
  <c r="M57" i="37"/>
  <c r="O57" i="37" s="1"/>
  <c r="G57" i="37"/>
  <c r="F57" i="37"/>
  <c r="M50" i="37"/>
  <c r="O50" i="37" s="1"/>
  <c r="F50" i="37"/>
  <c r="G50" i="37"/>
  <c r="M51" i="37"/>
  <c r="O51" i="37" s="1"/>
  <c r="G51" i="37"/>
  <c r="F51" i="37"/>
  <c r="M55" i="37"/>
  <c r="O55" i="37" s="1"/>
  <c r="F55" i="37"/>
  <c r="G55" i="37"/>
  <c r="M54" i="37"/>
  <c r="O54" i="37" s="1"/>
  <c r="G54" i="37"/>
  <c r="F54" i="37"/>
  <c r="M53" i="37"/>
  <c r="O53" i="37" s="1"/>
  <c r="F53" i="37"/>
  <c r="G53" i="37"/>
  <c r="M56" i="37"/>
  <c r="O56" i="37" s="1"/>
  <c r="F56" i="37"/>
  <c r="G56" i="37"/>
  <c r="M52" i="37"/>
  <c r="O52" i="37" s="1"/>
  <c r="F52" i="37"/>
  <c r="G52" i="37"/>
  <c r="I49" i="37"/>
  <c r="AD40" i="2"/>
  <c r="D10" i="2"/>
  <c r="B19" i="37" s="1"/>
  <c r="O35" i="37" s="1"/>
  <c r="O37" i="37" s="1"/>
  <c r="C54" i="37"/>
  <c r="S60" i="19"/>
  <c r="T60" i="19" s="1"/>
  <c r="S62" i="19"/>
  <c r="T62" i="19" s="1"/>
  <c r="L11" i="4"/>
  <c r="AA174" i="19"/>
  <c r="AC174" i="19"/>
  <c r="N32" i="4"/>
  <c r="Q32" i="4" s="1"/>
  <c r="AD174" i="19"/>
  <c r="C40" i="5"/>
  <c r="L40" i="5" s="1"/>
  <c r="E28" i="17" s="1"/>
  <c r="H54" i="37"/>
  <c r="E54" i="37"/>
  <c r="E51" i="37"/>
  <c r="H51" i="37"/>
  <c r="H57" i="37"/>
  <c r="E57" i="37"/>
  <c r="H55" i="37"/>
  <c r="E55" i="37"/>
  <c r="C43" i="5"/>
  <c r="W135" i="34" s="1"/>
  <c r="H50" i="37"/>
  <c r="E50" i="37"/>
  <c r="H56" i="37"/>
  <c r="E56" i="37"/>
  <c r="E53" i="37"/>
  <c r="H53" i="37"/>
  <c r="N38" i="2" s="1"/>
  <c r="E52" i="37"/>
  <c r="H52" i="37"/>
  <c r="N37" i="2" s="1"/>
  <c r="C21" i="5"/>
  <c r="C29" i="12"/>
  <c r="C25" i="39"/>
  <c r="I25" i="39" s="1"/>
  <c r="H25" i="40" s="1"/>
  <c r="C42" i="5"/>
  <c r="L42" i="5" s="1"/>
  <c r="E30" i="17" s="1"/>
  <c r="C52" i="37"/>
  <c r="AD37" i="2"/>
  <c r="C53" i="37"/>
  <c r="AD38" i="2"/>
  <c r="B35" i="40"/>
  <c r="B37" i="39"/>
  <c r="B38" i="40"/>
  <c r="B40" i="39"/>
  <c r="C20" i="40"/>
  <c r="C20" i="39"/>
  <c r="B39" i="12"/>
  <c r="B37" i="40"/>
  <c r="B39" i="39"/>
  <c r="B38" i="12"/>
  <c r="B36" i="40"/>
  <c r="B38" i="39"/>
  <c r="F18" i="39"/>
  <c r="G125" i="16"/>
  <c r="I24" i="39"/>
  <c r="F24" i="39"/>
  <c r="F21" i="39"/>
  <c r="G124" i="16"/>
  <c r="I23" i="39"/>
  <c r="F23" i="39"/>
  <c r="H26" i="40"/>
  <c r="K26" i="39"/>
  <c r="C18" i="40"/>
  <c r="C18" i="39"/>
  <c r="I18" i="39" s="1"/>
  <c r="F19" i="39"/>
  <c r="I20" i="39"/>
  <c r="F20" i="39"/>
  <c r="H27" i="40"/>
  <c r="K27" i="39"/>
  <c r="C57" i="37"/>
  <c r="C55" i="37"/>
  <c r="I36" i="2"/>
  <c r="C51" i="37"/>
  <c r="K31" i="4"/>
  <c r="K35" i="4"/>
  <c r="N35" i="4"/>
  <c r="N31" i="4"/>
  <c r="S136" i="34"/>
  <c r="T136" i="34" s="1"/>
  <c r="U136" i="34" s="1"/>
  <c r="W136" i="34"/>
  <c r="L44" i="5"/>
  <c r="E32" i="17" s="1"/>
  <c r="C41" i="5"/>
  <c r="W133" i="34" s="1"/>
  <c r="O18" i="4"/>
  <c r="AA24" i="18"/>
  <c r="N33" i="4" s="1"/>
  <c r="Q33" i="4" s="1"/>
  <c r="AK101" i="6"/>
  <c r="G95" i="5"/>
  <c r="G97" i="5" s="1"/>
  <c r="G34" i="6"/>
  <c r="I34" i="6" s="1"/>
  <c r="J34" i="6" s="1"/>
  <c r="I131" i="6"/>
  <c r="E57" i="6"/>
  <c r="I130" i="6"/>
  <c r="I129" i="6"/>
  <c r="I128" i="6"/>
  <c r="I127" i="6"/>
  <c r="I126" i="6"/>
  <c r="I123" i="6"/>
  <c r="E53" i="6"/>
  <c r="E54" i="6"/>
  <c r="E49" i="6"/>
  <c r="E50" i="6"/>
  <c r="E48" i="6"/>
  <c r="E55" i="6"/>
  <c r="E52" i="6"/>
  <c r="E51" i="6"/>
  <c r="E56" i="6"/>
  <c r="Q34" i="6"/>
  <c r="P23" i="2"/>
  <c r="D20" i="4" s="1"/>
  <c r="AB164" i="19"/>
  <c r="AD161" i="19"/>
  <c r="AC164" i="19"/>
  <c r="C14" i="5"/>
  <c r="V75" i="19"/>
  <c r="Q37" i="4"/>
  <c r="Q36" i="4"/>
  <c r="AK102" i="6"/>
  <c r="O16" i="4"/>
  <c r="AJ102" i="6"/>
  <c r="C16" i="5"/>
  <c r="AA164" i="19"/>
  <c r="AC161" i="19"/>
  <c r="AB161" i="19"/>
  <c r="AD164" i="19"/>
  <c r="D31" i="16"/>
  <c r="C29" i="5"/>
  <c r="I10" i="47" s="1"/>
  <c r="D30" i="16"/>
  <c r="D33" i="16"/>
  <c r="D29" i="16"/>
  <c r="D32" i="16"/>
  <c r="C39" i="5"/>
  <c r="W131" i="34" s="1"/>
  <c r="C13" i="5"/>
  <c r="C32" i="5"/>
  <c r="C20" i="5"/>
  <c r="C12" i="5"/>
  <c r="C15" i="5"/>
  <c r="W201" i="19"/>
  <c r="C31" i="5"/>
  <c r="C24" i="5"/>
  <c r="S118" i="34" s="1"/>
  <c r="T118" i="34" s="1"/>
  <c r="U118" i="34" s="1"/>
  <c r="C25" i="5"/>
  <c r="X40" i="20" s="1"/>
  <c r="X60" i="20" s="1"/>
  <c r="C11" i="5"/>
  <c r="C26" i="5"/>
  <c r="S120" i="34" s="1"/>
  <c r="T120" i="34" s="1"/>
  <c r="U120" i="34" s="1"/>
  <c r="C34" i="4"/>
  <c r="C45" i="16" s="1"/>
  <c r="C51" i="6"/>
  <c r="C17" i="5"/>
  <c r="C28" i="5"/>
  <c r="C33" i="5"/>
  <c r="X10" i="47" s="1"/>
  <c r="Z10" i="47" s="1"/>
  <c r="Z12" i="47" s="1"/>
  <c r="C38" i="5"/>
  <c r="L38" i="5" s="1"/>
  <c r="P26" i="17" s="1"/>
  <c r="C22" i="5"/>
  <c r="S116" i="34" s="1"/>
  <c r="T116" i="34" s="1"/>
  <c r="U116" i="34" s="1"/>
  <c r="C10" i="5"/>
  <c r="C18" i="5"/>
  <c r="AK104" i="6"/>
  <c r="AA169" i="19"/>
  <c r="AE117" i="16"/>
  <c r="AE120" i="16"/>
  <c r="AE121" i="16" s="1"/>
  <c r="W60" i="19"/>
  <c r="Y60" i="19" s="1"/>
  <c r="AB60" i="19" s="1"/>
  <c r="O60" i="19"/>
  <c r="C16" i="19"/>
  <c r="N60" i="19" s="1"/>
  <c r="O62" i="19"/>
  <c r="C18" i="19"/>
  <c r="N62" i="19" s="1"/>
  <c r="W62" i="19"/>
  <c r="W58" i="19"/>
  <c r="C14" i="19"/>
  <c r="N58" i="19" s="1"/>
  <c r="O58" i="19"/>
  <c r="W61" i="19"/>
  <c r="Y61" i="19" s="1"/>
  <c r="AB61" i="19" s="1"/>
  <c r="K17" i="19" s="1"/>
  <c r="O61" i="19"/>
  <c r="C17" i="19"/>
  <c r="N61" i="19" s="1"/>
  <c r="M59" i="19"/>
  <c r="W59" i="19"/>
  <c r="Y59" i="19" s="1"/>
  <c r="AB59" i="19" s="1"/>
  <c r="K15" i="19" s="1"/>
  <c r="O59" i="19"/>
  <c r="C15" i="19"/>
  <c r="N59" i="19" s="1"/>
  <c r="W63" i="19"/>
  <c r="O63" i="19"/>
  <c r="P63" i="19" s="1"/>
  <c r="C19" i="19"/>
  <c r="N63" i="19" s="1"/>
  <c r="W55" i="19"/>
  <c r="Y55" i="19" s="1"/>
  <c r="AB55" i="19" s="1"/>
  <c r="K11" i="19" s="1"/>
  <c r="C11" i="19"/>
  <c r="N55" i="19" s="1"/>
  <c r="O55" i="19"/>
  <c r="W57" i="19"/>
  <c r="Y57" i="19" s="1"/>
  <c r="AB57" i="19" s="1"/>
  <c r="K13" i="19" s="1"/>
  <c r="C13" i="19"/>
  <c r="N57" i="19" s="1"/>
  <c r="O57" i="19"/>
  <c r="W56" i="19"/>
  <c r="C12" i="19"/>
  <c r="N56" i="19" s="1"/>
  <c r="O56" i="19"/>
  <c r="C10" i="19"/>
  <c r="W54" i="19"/>
  <c r="O54" i="19"/>
  <c r="AK103" i="6"/>
  <c r="I40" i="2"/>
  <c r="C38" i="4"/>
  <c r="C55" i="6"/>
  <c r="I38" i="2"/>
  <c r="C36" i="4"/>
  <c r="C42" i="12" s="1"/>
  <c r="C53" i="6"/>
  <c r="I39" i="2"/>
  <c r="C37" i="4"/>
  <c r="C54" i="6"/>
  <c r="C127" i="5"/>
  <c r="H41" i="2"/>
  <c r="I42" i="2"/>
  <c r="C57" i="6"/>
  <c r="Q57" i="6" s="1"/>
  <c r="C40" i="4"/>
  <c r="C46" i="12" s="1"/>
  <c r="B51" i="16"/>
  <c r="H95" i="5"/>
  <c r="H97" i="5" s="1"/>
  <c r="P22" i="2"/>
  <c r="D19" i="4" s="1"/>
  <c r="Q33" i="6"/>
  <c r="I84" i="5"/>
  <c r="J84" i="5"/>
  <c r="B95" i="5" s="1"/>
  <c r="B97" i="5" s="1"/>
  <c r="H84" i="5"/>
  <c r="G84" i="5"/>
  <c r="O15" i="4"/>
  <c r="O14" i="4"/>
  <c r="AJ107" i="6"/>
  <c r="O17" i="4"/>
  <c r="AJ106" i="6"/>
  <c r="AJ105" i="6"/>
  <c r="AJ104" i="6"/>
  <c r="AJ103" i="6"/>
  <c r="B44" i="12"/>
  <c r="B43" i="12"/>
  <c r="K44" i="5"/>
  <c r="O32" i="17" s="1"/>
  <c r="B41" i="12"/>
  <c r="AF171" i="19"/>
  <c r="AE171" i="19"/>
  <c r="W200" i="19"/>
  <c r="W199" i="19"/>
  <c r="V73" i="19"/>
  <c r="W198" i="19"/>
  <c r="W194" i="19" s="1"/>
  <c r="AJ101" i="6"/>
  <c r="AA166" i="19"/>
  <c r="F51" i="6"/>
  <c r="D45" i="16" s="1"/>
  <c r="B40" i="12"/>
  <c r="C124" i="5"/>
  <c r="J46" i="14"/>
  <c r="B36" i="10"/>
  <c r="D36" i="10" s="1"/>
  <c r="N51" i="6"/>
  <c r="B31" i="19"/>
  <c r="F31" i="19" s="1"/>
  <c r="C140" i="16"/>
  <c r="C126" i="5"/>
  <c r="C34" i="5" s="1"/>
  <c r="S128" i="34" s="1"/>
  <c r="C125" i="5"/>
  <c r="G123" i="16"/>
  <c r="G119" i="16"/>
  <c r="G120" i="16"/>
  <c r="G121" i="16"/>
  <c r="G122" i="16"/>
  <c r="O12" i="4"/>
  <c r="AK105" i="6"/>
  <c r="V69" i="19"/>
  <c r="L48" i="16"/>
  <c r="L25" i="16"/>
  <c r="L43" i="16"/>
  <c r="L29" i="16"/>
  <c r="L32" i="16"/>
  <c r="AG120" i="16"/>
  <c r="AG121" i="16" s="1"/>
  <c r="AI121" i="16" s="1"/>
  <c r="AG117" i="16"/>
  <c r="L46" i="16"/>
  <c r="L24" i="16"/>
  <c r="L51" i="16"/>
  <c r="B45" i="12"/>
  <c r="B46" i="12"/>
  <c r="C147" i="16"/>
  <c r="F56" i="6"/>
  <c r="F57" i="6"/>
  <c r="B43" i="10"/>
  <c r="D43" i="10" s="1"/>
  <c r="B38" i="19"/>
  <c r="F38" i="19" s="1"/>
  <c r="N56" i="6"/>
  <c r="N57" i="6"/>
  <c r="B47" i="16"/>
  <c r="B50" i="16"/>
  <c r="C146" i="16"/>
  <c r="B37" i="19"/>
  <c r="F37" i="19" s="1"/>
  <c r="B42" i="10"/>
  <c r="D42" i="10" s="1"/>
  <c r="B34" i="19"/>
  <c r="F34" i="19" s="1"/>
  <c r="C138" i="16"/>
  <c r="B37" i="12"/>
  <c r="C143" i="16"/>
  <c r="B42" i="12"/>
  <c r="D119" i="16"/>
  <c r="J119" i="16" s="1"/>
  <c r="L119" i="16" s="1"/>
  <c r="C22" i="12"/>
  <c r="C30" i="16"/>
  <c r="C28" i="12"/>
  <c r="C33" i="16"/>
  <c r="E33" i="16" s="1"/>
  <c r="C31" i="12"/>
  <c r="AD150" i="19"/>
  <c r="D127" i="16"/>
  <c r="J127" i="16" s="1"/>
  <c r="L127" i="16" s="1"/>
  <c r="C30" i="12"/>
  <c r="C29" i="16"/>
  <c r="C27" i="12"/>
  <c r="C24" i="12"/>
  <c r="N49" i="6"/>
  <c r="N52" i="6"/>
  <c r="Q26" i="6"/>
  <c r="C15" i="4"/>
  <c r="C34" i="2"/>
  <c r="H34" i="2" s="1"/>
  <c r="D121" i="16"/>
  <c r="J121" i="16" s="1"/>
  <c r="L121" i="16" s="1"/>
  <c r="C35" i="2"/>
  <c r="C14" i="4"/>
  <c r="C27" i="16" s="1"/>
  <c r="E27" i="16" s="1"/>
  <c r="C27" i="6"/>
  <c r="C12" i="4"/>
  <c r="C25" i="16" s="1"/>
  <c r="E25" i="16" s="1"/>
  <c r="C33" i="2"/>
  <c r="H33" i="2" s="1"/>
  <c r="N33" i="2" s="1"/>
  <c r="B39" i="10"/>
  <c r="D39" i="10" s="1"/>
  <c r="L45" i="16"/>
  <c r="V58" i="6"/>
  <c r="C25" i="6"/>
  <c r="AD155" i="19"/>
  <c r="AB172" i="19"/>
  <c r="AB152" i="19"/>
  <c r="D124" i="16"/>
  <c r="J124" i="16" s="1"/>
  <c r="L124" i="16" s="1"/>
  <c r="AD159" i="19"/>
  <c r="AF167" i="19"/>
  <c r="AA153" i="19"/>
  <c r="AB160" i="19"/>
  <c r="AB153" i="19"/>
  <c r="AD153" i="19"/>
  <c r="AC157" i="19"/>
  <c r="AE167" i="19"/>
  <c r="AA165" i="19"/>
  <c r="D125" i="16"/>
  <c r="J125" i="16" s="1"/>
  <c r="L125" i="16" s="1"/>
  <c r="AC153" i="19"/>
  <c r="AC172" i="19"/>
  <c r="AC154" i="19"/>
  <c r="AD158" i="19"/>
  <c r="AA151" i="19"/>
  <c r="AB151" i="19"/>
  <c r="AA154" i="19"/>
  <c r="AD157" i="19"/>
  <c r="AD172" i="19"/>
  <c r="AD152" i="19"/>
  <c r="AC159" i="19"/>
  <c r="R71" i="2"/>
  <c r="AC152" i="19"/>
  <c r="C32" i="16"/>
  <c r="AD154" i="19"/>
  <c r="AB154" i="19"/>
  <c r="AA155" i="19"/>
  <c r="AB157" i="19"/>
  <c r="AD151" i="19"/>
  <c r="AF168" i="19"/>
  <c r="AB156" i="19"/>
  <c r="AC150" i="19"/>
  <c r="AB159" i="19"/>
  <c r="AC151" i="19"/>
  <c r="AE168" i="19"/>
  <c r="AA159" i="19"/>
  <c r="AA156" i="19"/>
  <c r="AA158" i="19"/>
  <c r="AD156" i="19"/>
  <c r="D128" i="16"/>
  <c r="J128" i="16" s="1"/>
  <c r="L128" i="16" s="1"/>
  <c r="AB163" i="19"/>
  <c r="AB162" i="19"/>
  <c r="AC156" i="19"/>
  <c r="AB165" i="19"/>
  <c r="AA157" i="19"/>
  <c r="AD160" i="19"/>
  <c r="AD166" i="19"/>
  <c r="AD165" i="19"/>
  <c r="AA160" i="19"/>
  <c r="R73" i="2"/>
  <c r="AA152" i="19"/>
  <c r="AC165" i="19"/>
  <c r="AC162" i="19"/>
  <c r="AC163" i="19"/>
  <c r="AB155" i="19"/>
  <c r="AD163" i="19"/>
  <c r="AD162" i="19"/>
  <c r="AB150" i="19"/>
  <c r="AB166" i="19"/>
  <c r="AC158" i="19"/>
  <c r="AA150" i="19"/>
  <c r="AC160" i="19"/>
  <c r="AC166" i="19"/>
  <c r="AC155" i="19"/>
  <c r="AB158" i="19"/>
  <c r="AA163" i="19"/>
  <c r="AA162" i="19"/>
  <c r="F52" i="6"/>
  <c r="L33" i="16"/>
  <c r="V35" i="6"/>
  <c r="L47" i="16"/>
  <c r="L50" i="16"/>
  <c r="O13" i="4"/>
  <c r="L26" i="16"/>
  <c r="B29" i="19"/>
  <c r="F29" i="19" s="1"/>
  <c r="L28" i="16"/>
  <c r="L49" i="16"/>
  <c r="L31" i="16"/>
  <c r="M62" i="19"/>
  <c r="M63" i="19"/>
  <c r="B34" i="10"/>
  <c r="D34" i="10" s="1"/>
  <c r="C145" i="16"/>
  <c r="B49" i="16"/>
  <c r="B41" i="10"/>
  <c r="D41" i="10" s="1"/>
  <c r="B36" i="19"/>
  <c r="F36" i="19" s="1"/>
  <c r="M55" i="19"/>
  <c r="B48" i="16"/>
  <c r="B40" i="10"/>
  <c r="D40" i="10" s="1"/>
  <c r="C144" i="16"/>
  <c r="B35" i="19"/>
  <c r="F35" i="19" s="1"/>
  <c r="M58" i="19"/>
  <c r="Y58" i="19"/>
  <c r="M54" i="19"/>
  <c r="F54" i="6"/>
  <c r="C141" i="16"/>
  <c r="B37" i="10"/>
  <c r="D37" i="10" s="1"/>
  <c r="B32" i="19"/>
  <c r="F32" i="19" s="1"/>
  <c r="S72" i="19" s="1"/>
  <c r="N53" i="6"/>
  <c r="F53" i="6"/>
  <c r="B38" i="10"/>
  <c r="D38" i="10" s="1"/>
  <c r="B33" i="19"/>
  <c r="F33" i="19" s="1"/>
  <c r="C142" i="16"/>
  <c r="C31" i="16"/>
  <c r="D126" i="16"/>
  <c r="J126" i="16" s="1"/>
  <c r="L126" i="16" s="1"/>
  <c r="Y56" i="19"/>
  <c r="AB56" i="19" s="1"/>
  <c r="K12" i="19" s="1"/>
  <c r="M56" i="19"/>
  <c r="M61" i="19"/>
  <c r="F48" i="6"/>
  <c r="D42" i="16" s="1"/>
  <c r="R70" i="2"/>
  <c r="B35" i="10"/>
  <c r="D35" i="10" s="1"/>
  <c r="C139" i="16"/>
  <c r="B30" i="19"/>
  <c r="F30" i="19" s="1"/>
  <c r="N48" i="6"/>
  <c r="N54" i="6"/>
  <c r="M60" i="19"/>
  <c r="F50" i="6"/>
  <c r="D44" i="16" s="1"/>
  <c r="F55" i="6"/>
  <c r="N55" i="6"/>
  <c r="M57" i="19"/>
  <c r="F49" i="6"/>
  <c r="D43" i="16" s="1"/>
  <c r="R72" i="2"/>
  <c r="L42" i="16"/>
  <c r="AB76" i="19"/>
  <c r="K36" i="19" s="1"/>
  <c r="L30" i="16"/>
  <c r="N35" i="6"/>
  <c r="D10" i="47" l="1"/>
  <c r="I69" i="34"/>
  <c r="J69" i="34" s="1"/>
  <c r="G31" i="5" s="1"/>
  <c r="K22" i="17" s="1"/>
  <c r="N10" i="47"/>
  <c r="P10" i="47" s="1"/>
  <c r="P12" i="47" s="1"/>
  <c r="K10" i="47"/>
  <c r="K11" i="47"/>
  <c r="S10" i="47"/>
  <c r="U10" i="47" s="1"/>
  <c r="U12" i="47" s="1"/>
  <c r="I77" i="34"/>
  <c r="I86" i="34"/>
  <c r="J86" i="34" s="1"/>
  <c r="G33" i="5" s="1"/>
  <c r="W112" i="34"/>
  <c r="X112" i="34" s="1"/>
  <c r="Y112" i="34" s="1"/>
  <c r="AW66" i="14" s="1"/>
  <c r="M26" i="34"/>
  <c r="L14" i="34"/>
  <c r="M14" i="34"/>
  <c r="G18" i="5" s="1"/>
  <c r="L26" i="34"/>
  <c r="L6" i="34"/>
  <c r="L18" i="34"/>
  <c r="M18" i="34"/>
  <c r="M6" i="34"/>
  <c r="G10" i="5" s="1"/>
  <c r="W114" i="34"/>
  <c r="X114" i="34" s="1"/>
  <c r="Y114" i="34" s="1"/>
  <c r="H42" i="34"/>
  <c r="I42" i="34" s="1"/>
  <c r="I68" i="20" s="1"/>
  <c r="W123" i="34"/>
  <c r="X123" i="34" s="1"/>
  <c r="Y123" i="34" s="1"/>
  <c r="I20" i="47" s="1"/>
  <c r="K20" i="47" s="1"/>
  <c r="H54" i="34"/>
  <c r="I54" i="34" s="1"/>
  <c r="L20" i="34"/>
  <c r="M20" i="34"/>
  <c r="L8" i="34"/>
  <c r="M8" i="34"/>
  <c r="G12" i="5" s="1"/>
  <c r="C15" i="33"/>
  <c r="D15" i="33" s="1"/>
  <c r="H24" i="21" s="1"/>
  <c r="S24" i="21" s="1"/>
  <c r="B12" i="25" s="1"/>
  <c r="O12" i="25" s="1"/>
  <c r="M13" i="34"/>
  <c r="G17" i="5" s="1"/>
  <c r="L13" i="34"/>
  <c r="C11" i="33"/>
  <c r="D11" i="33" s="1"/>
  <c r="H20" i="21" s="1"/>
  <c r="S20" i="21" s="1"/>
  <c r="B8" i="25" s="1"/>
  <c r="O8" i="25" s="1"/>
  <c r="M19" i="34"/>
  <c r="L7" i="34"/>
  <c r="M7" i="34"/>
  <c r="G11" i="5" s="1"/>
  <c r="L19" i="34"/>
  <c r="C17" i="33"/>
  <c r="D17" i="33" s="1"/>
  <c r="H26" i="21" s="1"/>
  <c r="S26" i="21" s="1"/>
  <c r="B14" i="25" s="1"/>
  <c r="O14" i="25" s="1"/>
  <c r="L10" i="34"/>
  <c r="L22" i="34"/>
  <c r="M10" i="34"/>
  <c r="G14" i="5" s="1"/>
  <c r="M22" i="34"/>
  <c r="W109" i="34"/>
  <c r="X109" i="34" s="1"/>
  <c r="Y109" i="34" s="1"/>
  <c r="M23" i="34"/>
  <c r="L11" i="34"/>
  <c r="M11" i="34"/>
  <c r="G15" i="5" s="1"/>
  <c r="L23" i="34"/>
  <c r="M21" i="34"/>
  <c r="M9" i="34"/>
  <c r="G13" i="5" s="1"/>
  <c r="L21" i="34"/>
  <c r="L9" i="34"/>
  <c r="W110" i="34"/>
  <c r="X110" i="34" s="1"/>
  <c r="Y110" i="34" s="1"/>
  <c r="L24" i="34"/>
  <c r="M24" i="34"/>
  <c r="L12" i="34"/>
  <c r="M12" i="34"/>
  <c r="G16" i="5" s="1"/>
  <c r="AA58" i="19"/>
  <c r="AB58" i="19" s="1"/>
  <c r="K14" i="19" s="1"/>
  <c r="S69" i="20"/>
  <c r="U69" i="20" s="1"/>
  <c r="AC69" i="20"/>
  <c r="AE69" i="20" s="1"/>
  <c r="AH69" i="20"/>
  <c r="AJ69" i="20" s="1"/>
  <c r="I40" i="14"/>
  <c r="I56" i="14" s="1"/>
  <c r="K56" i="14" s="1"/>
  <c r="K58" i="14" s="1"/>
  <c r="X136" i="34"/>
  <c r="Y136" i="34" s="1"/>
  <c r="X131" i="34"/>
  <c r="Y131" i="34" s="1"/>
  <c r="X135" i="34"/>
  <c r="Y135" i="34" s="1"/>
  <c r="X133" i="34"/>
  <c r="Y133" i="34" s="1"/>
  <c r="C43" i="39"/>
  <c r="C43" i="12"/>
  <c r="C44" i="39"/>
  <c r="C44" i="12"/>
  <c r="G19" i="19"/>
  <c r="Q35" i="4"/>
  <c r="S74" i="19"/>
  <c r="S69" i="19"/>
  <c r="T69" i="19" s="1"/>
  <c r="S73" i="19"/>
  <c r="T73" i="19" s="1"/>
  <c r="S71" i="19"/>
  <c r="S70" i="19"/>
  <c r="T70" i="19" s="1"/>
  <c r="V49" i="37"/>
  <c r="W49" i="37" s="1"/>
  <c r="X49" i="37" s="1"/>
  <c r="F42" i="12"/>
  <c r="D42" i="12"/>
  <c r="G42" i="12"/>
  <c r="E42" i="12"/>
  <c r="G39" i="12"/>
  <c r="E39" i="12"/>
  <c r="F39" i="12"/>
  <c r="D39" i="12"/>
  <c r="G46" i="12"/>
  <c r="E46" i="12"/>
  <c r="F46" i="12"/>
  <c r="D46" i="12"/>
  <c r="G40" i="12"/>
  <c r="E40" i="12"/>
  <c r="D40" i="12"/>
  <c r="F40" i="12"/>
  <c r="G43" i="12"/>
  <c r="E43" i="12"/>
  <c r="F43" i="12"/>
  <c r="D43" i="12"/>
  <c r="E38" i="12"/>
  <c r="F38" i="12"/>
  <c r="D38" i="12"/>
  <c r="G38" i="12"/>
  <c r="G37" i="12"/>
  <c r="E37" i="12"/>
  <c r="F37" i="12"/>
  <c r="D37" i="12"/>
  <c r="F45" i="12"/>
  <c r="D45" i="12"/>
  <c r="G45" i="12"/>
  <c r="E45" i="12"/>
  <c r="G44" i="12"/>
  <c r="E44" i="12"/>
  <c r="F44" i="12"/>
  <c r="D44" i="12"/>
  <c r="F41" i="12"/>
  <c r="D41" i="12"/>
  <c r="G41" i="12"/>
  <c r="E41" i="12"/>
  <c r="D46" i="16"/>
  <c r="C22" i="39"/>
  <c r="I22" i="39" s="1"/>
  <c r="H22" i="40" s="1"/>
  <c r="N22" i="40" s="1"/>
  <c r="C28" i="16"/>
  <c r="E28" i="16" s="1"/>
  <c r="C19" i="6"/>
  <c r="P38" i="6" s="1"/>
  <c r="C17" i="39"/>
  <c r="N29" i="39" s="1"/>
  <c r="N30" i="39" s="1"/>
  <c r="Q59" i="39" s="1"/>
  <c r="AD41" i="2"/>
  <c r="J27" i="37"/>
  <c r="K31" i="37"/>
  <c r="J34" i="37"/>
  <c r="J26" i="37"/>
  <c r="J28" i="37"/>
  <c r="K32" i="37"/>
  <c r="K34" i="37"/>
  <c r="K29" i="37"/>
  <c r="J33" i="37"/>
  <c r="K30" i="37"/>
  <c r="K33" i="37"/>
  <c r="J29" i="37"/>
  <c r="J31" i="37"/>
  <c r="J32" i="37"/>
  <c r="J30" i="37"/>
  <c r="K26" i="37"/>
  <c r="K27" i="37"/>
  <c r="K25" i="37"/>
  <c r="K28" i="37"/>
  <c r="J25" i="37"/>
  <c r="K25" i="39"/>
  <c r="K40" i="5"/>
  <c r="O28" i="17" s="1"/>
  <c r="I52" i="37"/>
  <c r="V52" i="37" s="1"/>
  <c r="I50" i="37"/>
  <c r="W132" i="34"/>
  <c r="S132" i="34"/>
  <c r="T132" i="34" s="1"/>
  <c r="U132" i="34" s="1"/>
  <c r="I53" i="37"/>
  <c r="V53" i="37" s="1"/>
  <c r="I51" i="37"/>
  <c r="S76" i="19"/>
  <c r="T76" i="19" s="1"/>
  <c r="S77" i="19"/>
  <c r="T77" i="19" s="1"/>
  <c r="S75" i="19"/>
  <c r="T75" i="19" s="1"/>
  <c r="S78" i="19"/>
  <c r="T78" i="19" s="1"/>
  <c r="G38" i="19" s="1"/>
  <c r="I54" i="37"/>
  <c r="V54" i="37" s="1"/>
  <c r="I56" i="37"/>
  <c r="V56" i="37" s="1"/>
  <c r="I57" i="37"/>
  <c r="V57" i="37" s="1"/>
  <c r="I55" i="37"/>
  <c r="V55" i="37" s="1"/>
  <c r="S115" i="34"/>
  <c r="T115" i="34" s="1"/>
  <c r="U115" i="34" s="1"/>
  <c r="K42" i="5"/>
  <c r="O30" i="17" s="1"/>
  <c r="S135" i="34"/>
  <c r="T135" i="34" s="1"/>
  <c r="U135" i="34" s="1"/>
  <c r="C31" i="33"/>
  <c r="D31" i="33" s="1"/>
  <c r="H40" i="21" s="1"/>
  <c r="S40" i="21" s="1"/>
  <c r="B28" i="25" s="1"/>
  <c r="O28" i="25" s="1"/>
  <c r="W115" i="34"/>
  <c r="K43" i="5"/>
  <c r="O31" i="17" s="1"/>
  <c r="L43" i="5"/>
  <c r="E31" i="17" s="1"/>
  <c r="N40" i="20"/>
  <c r="N60" i="20" s="1"/>
  <c r="S134" i="34"/>
  <c r="T134" i="34" s="1"/>
  <c r="U134" i="34" s="1"/>
  <c r="W134" i="34"/>
  <c r="C51" i="16"/>
  <c r="C46" i="39"/>
  <c r="X37" i="37"/>
  <c r="B23" i="38" s="1"/>
  <c r="B24" i="38" s="1"/>
  <c r="BS23" i="38" s="1"/>
  <c r="T35" i="37"/>
  <c r="T37" i="37" s="1"/>
  <c r="C42" i="39"/>
  <c r="I42" i="39" s="1"/>
  <c r="C48" i="37"/>
  <c r="AD33" i="2"/>
  <c r="C49" i="37"/>
  <c r="AD34" i="2"/>
  <c r="C21" i="40"/>
  <c r="C21" i="39"/>
  <c r="I21" i="39" s="1"/>
  <c r="H21" i="40" s="1"/>
  <c r="C38" i="40"/>
  <c r="C40" i="39"/>
  <c r="I40" i="39" s="1"/>
  <c r="C19" i="40"/>
  <c r="C19" i="39"/>
  <c r="I19" i="39" s="1"/>
  <c r="H19" i="40" s="1"/>
  <c r="H18" i="40"/>
  <c r="K18" i="39"/>
  <c r="O27" i="40"/>
  <c r="N27" i="40"/>
  <c r="O25" i="40"/>
  <c r="N25" i="40"/>
  <c r="H23" i="40"/>
  <c r="K23" i="39"/>
  <c r="F40" i="39"/>
  <c r="I44" i="39"/>
  <c r="F44" i="39"/>
  <c r="H24" i="40"/>
  <c r="K24" i="39"/>
  <c r="I43" i="39"/>
  <c r="F43" i="39"/>
  <c r="G147" i="16"/>
  <c r="F46" i="39"/>
  <c r="I46" i="39"/>
  <c r="F42" i="39"/>
  <c r="H20" i="40"/>
  <c r="K20" i="39"/>
  <c r="N26" i="40"/>
  <c r="O26" i="40"/>
  <c r="H35" i="2"/>
  <c r="M50" i="6"/>
  <c r="L41" i="5"/>
  <c r="E29" i="17" s="1"/>
  <c r="C56" i="37"/>
  <c r="Q31" i="4"/>
  <c r="S133" i="34"/>
  <c r="T133" i="34" s="1"/>
  <c r="U133" i="34" s="1"/>
  <c r="K41" i="5"/>
  <c r="O29" i="17" s="1"/>
  <c r="P32" i="17"/>
  <c r="X34" i="6"/>
  <c r="W125" i="34"/>
  <c r="C33" i="33"/>
  <c r="D33" i="33" s="1"/>
  <c r="H46" i="21" s="1"/>
  <c r="W108" i="34"/>
  <c r="AC40" i="14"/>
  <c r="AC56" i="14" s="1"/>
  <c r="S108" i="34"/>
  <c r="T108" i="34" s="1"/>
  <c r="U108" i="34" s="1"/>
  <c r="B9" i="17"/>
  <c r="C21" i="33"/>
  <c r="D21" i="33" s="1"/>
  <c r="H30" i="21" s="1"/>
  <c r="S30" i="21" s="1"/>
  <c r="S110" i="34"/>
  <c r="T110" i="34" s="1"/>
  <c r="U110" i="34" s="1"/>
  <c r="AM40" i="14"/>
  <c r="AM56" i="14" s="1"/>
  <c r="B11" i="17"/>
  <c r="X40" i="14"/>
  <c r="X56" i="14" s="1"/>
  <c r="W126" i="34"/>
  <c r="S107" i="34"/>
  <c r="T107" i="34" s="1"/>
  <c r="U107" i="34" s="1"/>
  <c r="W107" i="34"/>
  <c r="S109" i="34"/>
  <c r="T109" i="34" s="1"/>
  <c r="U109" i="34" s="1"/>
  <c r="W106" i="34"/>
  <c r="H91" i="6"/>
  <c r="F27" i="17" s="1"/>
  <c r="S131" i="34"/>
  <c r="T131" i="34" s="1"/>
  <c r="U131" i="34" s="1"/>
  <c r="I91" i="6"/>
  <c r="G27" i="17" s="1"/>
  <c r="C23" i="33"/>
  <c r="D23" i="33" s="1"/>
  <c r="H32" i="21" s="1"/>
  <c r="S32" i="21" s="1"/>
  <c r="K39" i="5"/>
  <c r="O27" i="17" s="1"/>
  <c r="S40" i="14"/>
  <c r="S56" i="14" s="1"/>
  <c r="S106" i="34"/>
  <c r="T106" i="34" s="1"/>
  <c r="U106" i="34" s="1"/>
  <c r="L39" i="5"/>
  <c r="E27" i="17" s="1"/>
  <c r="B7" i="17"/>
  <c r="D48" i="16"/>
  <c r="D47" i="16"/>
  <c r="D51" i="16"/>
  <c r="S123" i="34"/>
  <c r="T123" i="34" s="1"/>
  <c r="U123" i="34" s="1"/>
  <c r="I19" i="47" s="1"/>
  <c r="K19" i="47" s="1"/>
  <c r="D50" i="16"/>
  <c r="H87" i="6"/>
  <c r="F23" i="17" s="1"/>
  <c r="H118" i="6" s="1"/>
  <c r="G33" i="6" s="1"/>
  <c r="I33" i="6" s="1"/>
  <c r="S126" i="34"/>
  <c r="T126" i="34" s="1"/>
  <c r="U126" i="34" s="1"/>
  <c r="S19" i="47" s="1"/>
  <c r="U19" i="47" s="1"/>
  <c r="D49" i="16"/>
  <c r="I87" i="6"/>
  <c r="G23" i="17" s="1"/>
  <c r="AH40" i="14"/>
  <c r="AH56" i="14" s="1"/>
  <c r="B8" i="17"/>
  <c r="C25" i="33"/>
  <c r="D25" i="33" s="1"/>
  <c r="H34" i="21" s="1"/>
  <c r="S34" i="21" s="1"/>
  <c r="B22" i="25" s="1"/>
  <c r="O22" i="25" s="1"/>
  <c r="C29" i="33"/>
  <c r="D29" i="33" s="1"/>
  <c r="H38" i="21" s="1"/>
  <c r="S38" i="21" s="1"/>
  <c r="E26" i="23" s="1"/>
  <c r="S114" i="34"/>
  <c r="T114" i="34" s="1"/>
  <c r="U114" i="34" s="1"/>
  <c r="C19" i="33"/>
  <c r="D19" i="33" s="1"/>
  <c r="H28" i="21" s="1"/>
  <c r="S28" i="21" s="1"/>
  <c r="B16" i="23" s="1"/>
  <c r="P16" i="23" s="1"/>
  <c r="B10" i="17"/>
  <c r="I40" i="20"/>
  <c r="I60" i="20" s="1"/>
  <c r="B13" i="17"/>
  <c r="S125" i="34"/>
  <c r="T125" i="34" s="1"/>
  <c r="U125" i="34" s="1"/>
  <c r="N19" i="47" s="1"/>
  <c r="P19" i="47" s="1"/>
  <c r="H88" i="6"/>
  <c r="F24" i="17" s="1"/>
  <c r="H119" i="6" s="1"/>
  <c r="I86" i="6"/>
  <c r="G22" i="17" s="1"/>
  <c r="B5" i="17"/>
  <c r="W122" i="34"/>
  <c r="W104" i="34"/>
  <c r="AC40" i="20"/>
  <c r="AC60" i="20" s="1"/>
  <c r="W120" i="34"/>
  <c r="S112" i="34"/>
  <c r="T112" i="34" s="1"/>
  <c r="U112" i="34" s="1"/>
  <c r="AW65" i="14" s="1"/>
  <c r="S104" i="34"/>
  <c r="T104" i="34" s="1"/>
  <c r="U104" i="34" s="1"/>
  <c r="H86" i="6"/>
  <c r="F22" i="17" s="1"/>
  <c r="S122" i="34"/>
  <c r="T122" i="34" s="1"/>
  <c r="U122" i="34" s="1"/>
  <c r="D19" i="47" s="1"/>
  <c r="F19" i="47" s="1"/>
  <c r="C13" i="33"/>
  <c r="D13" i="33" s="1"/>
  <c r="H22" i="21" s="1"/>
  <c r="S22" i="21" s="1"/>
  <c r="N89" i="19"/>
  <c r="N90" i="19" s="1"/>
  <c r="M89" i="19"/>
  <c r="M90" i="19" s="1"/>
  <c r="S111" i="34"/>
  <c r="T111" i="34" s="1"/>
  <c r="U111" i="34" s="1"/>
  <c r="W105" i="34"/>
  <c r="W116" i="34"/>
  <c r="B6" i="17"/>
  <c r="W111" i="34"/>
  <c r="AH40" i="20"/>
  <c r="AH60" i="20" s="1"/>
  <c r="N40" i="14"/>
  <c r="N56" i="14" s="1"/>
  <c r="S105" i="34"/>
  <c r="T105" i="34" s="1"/>
  <c r="U105" i="34" s="1"/>
  <c r="AR40" i="14"/>
  <c r="AR56" i="14" s="1"/>
  <c r="H90" i="6"/>
  <c r="F26" i="17" s="1"/>
  <c r="I88" i="6"/>
  <c r="G24" i="17" s="1"/>
  <c r="S130" i="34"/>
  <c r="T130" i="34" s="1"/>
  <c r="U130" i="34" s="1"/>
  <c r="S40" i="20"/>
  <c r="S60" i="20" s="1"/>
  <c r="S127" i="34"/>
  <c r="T127" i="34" s="1"/>
  <c r="U127" i="34" s="1"/>
  <c r="X19" i="47" s="1"/>
  <c r="Z19" i="47" s="1"/>
  <c r="K38" i="5"/>
  <c r="O26" i="17" s="1"/>
  <c r="I82" i="6"/>
  <c r="G18" i="17" s="1"/>
  <c r="W118" i="34"/>
  <c r="W119" i="34"/>
  <c r="C27" i="33"/>
  <c r="D27" i="33" s="1"/>
  <c r="H36" i="21" s="1"/>
  <c r="S36" i="21" s="1"/>
  <c r="E24" i="23" s="1"/>
  <c r="W130" i="34"/>
  <c r="I90" i="6"/>
  <c r="G26" i="17" s="1"/>
  <c r="Z60" i="20"/>
  <c r="Z62" i="20" s="1"/>
  <c r="H82" i="6"/>
  <c r="F18" i="17" s="1"/>
  <c r="W127" i="34"/>
  <c r="S119" i="34"/>
  <c r="T119" i="34" s="1"/>
  <c r="U119" i="34" s="1"/>
  <c r="R60" i="19"/>
  <c r="R75" i="19"/>
  <c r="O75" i="19"/>
  <c r="W75" i="19"/>
  <c r="Y75" i="19" s="1"/>
  <c r="AB75" i="19" s="1"/>
  <c r="K35" i="19" s="1"/>
  <c r="C35" i="19"/>
  <c r="N75" i="19" s="1"/>
  <c r="W78" i="19"/>
  <c r="R78" i="19"/>
  <c r="O78" i="19"/>
  <c r="P78" i="19" s="1"/>
  <c r="C38" i="19"/>
  <c r="N78" i="19" s="1"/>
  <c r="R63" i="19"/>
  <c r="W76" i="19"/>
  <c r="R61" i="19"/>
  <c r="R76" i="19"/>
  <c r="O76" i="19"/>
  <c r="P76" i="19" s="1"/>
  <c r="C36" i="19"/>
  <c r="N76" i="19" s="1"/>
  <c r="R74" i="19"/>
  <c r="O74" i="19"/>
  <c r="C34" i="19"/>
  <c r="N74" i="19" s="1"/>
  <c r="W74" i="19"/>
  <c r="Y74" i="19" s="1"/>
  <c r="AB74" i="19" s="1"/>
  <c r="K34" i="19" s="1"/>
  <c r="R59" i="19"/>
  <c r="R73" i="19"/>
  <c r="O73" i="19"/>
  <c r="C33" i="19"/>
  <c r="N73" i="19" s="1"/>
  <c r="W73" i="19"/>
  <c r="Y73" i="19" s="1"/>
  <c r="R58" i="19"/>
  <c r="R77" i="19"/>
  <c r="O77" i="19"/>
  <c r="P77" i="19" s="1"/>
  <c r="C37" i="19"/>
  <c r="N77" i="19" s="1"/>
  <c r="W77" i="19"/>
  <c r="R62" i="19"/>
  <c r="R69" i="19"/>
  <c r="W69" i="19"/>
  <c r="R54" i="19"/>
  <c r="C29" i="19"/>
  <c r="O69" i="19"/>
  <c r="R71" i="19"/>
  <c r="R56" i="19"/>
  <c r="C31" i="19"/>
  <c r="N71" i="19" s="1"/>
  <c r="W71" i="19"/>
  <c r="Y71" i="19" s="1"/>
  <c r="AB71" i="19" s="1"/>
  <c r="K31" i="19" s="1"/>
  <c r="O71" i="19"/>
  <c r="P71" i="19" s="1"/>
  <c r="O70" i="19"/>
  <c r="R55" i="19"/>
  <c r="C30" i="19"/>
  <c r="N70" i="19" s="1"/>
  <c r="W70" i="19"/>
  <c r="Y70" i="19" s="1"/>
  <c r="AA70" i="19" s="1"/>
  <c r="R70" i="19"/>
  <c r="R57" i="19"/>
  <c r="C32" i="19"/>
  <c r="N72" i="19" s="1"/>
  <c r="W72" i="19"/>
  <c r="Y72" i="19" s="1"/>
  <c r="AB72" i="19" s="1"/>
  <c r="K32" i="19" s="1"/>
  <c r="O72" i="19"/>
  <c r="R72" i="19"/>
  <c r="P28" i="17"/>
  <c r="P30" i="17"/>
  <c r="E26" i="17"/>
  <c r="K34" i="5"/>
  <c r="O25" i="17" s="1"/>
  <c r="L34" i="5"/>
  <c r="I37" i="2"/>
  <c r="C35" i="4"/>
  <c r="C41" i="12" s="1"/>
  <c r="C52" i="6"/>
  <c r="I41" i="2"/>
  <c r="C39" i="4"/>
  <c r="C45" i="12" s="1"/>
  <c r="C56" i="6"/>
  <c r="I33" i="2"/>
  <c r="C31" i="4"/>
  <c r="C42" i="16" s="1"/>
  <c r="C48" i="6"/>
  <c r="C49" i="6"/>
  <c r="C32" i="4"/>
  <c r="C43" i="16" s="1"/>
  <c r="I34" i="2"/>
  <c r="H89" i="6"/>
  <c r="F25" i="17" s="1"/>
  <c r="I89" i="6"/>
  <c r="G25" i="17" s="1"/>
  <c r="E19" i="19"/>
  <c r="L19" i="19" s="1"/>
  <c r="G33" i="16" s="1"/>
  <c r="H17" i="17"/>
  <c r="H20" i="17"/>
  <c r="H21" i="17"/>
  <c r="B8" i="23"/>
  <c r="P8" i="23" s="1"/>
  <c r="E8" i="23"/>
  <c r="W128" i="34"/>
  <c r="T128" i="34"/>
  <c r="U128" i="34" s="1"/>
  <c r="AW40" i="14"/>
  <c r="AW56" i="14" s="1"/>
  <c r="D95" i="5"/>
  <c r="E95" i="5" s="1"/>
  <c r="E97" i="5" s="1"/>
  <c r="B12" i="17"/>
  <c r="Q53" i="6"/>
  <c r="Q55" i="6"/>
  <c r="C48" i="16"/>
  <c r="O11" i="4"/>
  <c r="Y54" i="19"/>
  <c r="Q27" i="6"/>
  <c r="AD46" i="14"/>
  <c r="C123" i="5"/>
  <c r="C121" i="5"/>
  <c r="D141" i="16"/>
  <c r="J141" i="16" s="1"/>
  <c r="C122" i="5"/>
  <c r="M71" i="19"/>
  <c r="C119" i="5"/>
  <c r="Q54" i="6"/>
  <c r="C120" i="5"/>
  <c r="M78" i="19"/>
  <c r="G145" i="16"/>
  <c r="G143" i="16"/>
  <c r="AI122" i="16"/>
  <c r="L155" i="16"/>
  <c r="P61" i="19"/>
  <c r="Q61" i="19"/>
  <c r="P60" i="19"/>
  <c r="Q60" i="19"/>
  <c r="P62" i="19"/>
  <c r="Q62" i="19"/>
  <c r="E32" i="16"/>
  <c r="E31" i="16"/>
  <c r="E30" i="16"/>
  <c r="P59" i="19"/>
  <c r="M74" i="19"/>
  <c r="M77" i="19"/>
  <c r="D147" i="16"/>
  <c r="J147" i="16" s="1"/>
  <c r="L147" i="16" s="1"/>
  <c r="R66" i="2"/>
  <c r="C23" i="12"/>
  <c r="D122" i="16"/>
  <c r="J122" i="16" s="1"/>
  <c r="L122" i="16" s="1"/>
  <c r="C25" i="12"/>
  <c r="D123" i="16"/>
  <c r="J123" i="16" s="1"/>
  <c r="L123" i="16" s="1"/>
  <c r="C26" i="12"/>
  <c r="E29" i="16"/>
  <c r="Q25" i="6"/>
  <c r="D120" i="16"/>
  <c r="J120" i="16" s="1"/>
  <c r="L120" i="16" s="1"/>
  <c r="R65" i="2"/>
  <c r="R67" i="2"/>
  <c r="R69" i="2"/>
  <c r="R68" i="2"/>
  <c r="D5" i="10"/>
  <c r="K11" i="10" s="1"/>
  <c r="H53" i="12" s="1"/>
  <c r="E6" i="4"/>
  <c r="O87" i="19"/>
  <c r="O88" i="19"/>
  <c r="Q54" i="19" s="1"/>
  <c r="E10" i="19" s="1"/>
  <c r="N97" i="19"/>
  <c r="M96" i="19"/>
  <c r="M88" i="19"/>
  <c r="Q59" i="19" s="1"/>
  <c r="N88" i="19"/>
  <c r="M97" i="19"/>
  <c r="N96" i="19"/>
  <c r="L34" i="16"/>
  <c r="P56" i="19"/>
  <c r="T56" i="19" s="1"/>
  <c r="P54" i="19"/>
  <c r="T54" i="19" s="1"/>
  <c r="P58" i="19"/>
  <c r="P55" i="19"/>
  <c r="T55" i="19" s="1"/>
  <c r="Q55" i="19"/>
  <c r="E11" i="19" s="1"/>
  <c r="P57" i="19"/>
  <c r="M69" i="19"/>
  <c r="L52" i="16"/>
  <c r="U63" i="19"/>
  <c r="AC63" i="19" s="1"/>
  <c r="N54" i="19"/>
  <c r="M70" i="19"/>
  <c r="M72" i="19"/>
  <c r="M75" i="19"/>
  <c r="M76" i="19"/>
  <c r="M73" i="19"/>
  <c r="D143" i="16"/>
  <c r="J143" i="16" s="1"/>
  <c r="C47" i="16"/>
  <c r="D44" i="10"/>
  <c r="K55" i="12" s="1"/>
  <c r="K16" i="19"/>
  <c r="J77" i="34" l="1"/>
  <c r="N18" i="47"/>
  <c r="P18" i="47" s="1"/>
  <c r="F11" i="47"/>
  <c r="D32" i="47"/>
  <c r="F32" i="47" s="1"/>
  <c r="I28" i="5" s="1"/>
  <c r="M20" i="17" s="1"/>
  <c r="F10" i="47"/>
  <c r="K12" i="47"/>
  <c r="F28" i="5"/>
  <c r="X18" i="47"/>
  <c r="Z18" i="47" s="1"/>
  <c r="K24" i="17"/>
  <c r="I18" i="47"/>
  <c r="K18" i="47" s="1"/>
  <c r="G29" i="5"/>
  <c r="K21" i="17" s="1"/>
  <c r="E8" i="25"/>
  <c r="N8" i="25" s="1"/>
  <c r="E12" i="23"/>
  <c r="S83" i="20"/>
  <c r="U83" i="20" s="1"/>
  <c r="S82" i="20"/>
  <c r="U82" i="20" s="1"/>
  <c r="N83" i="20"/>
  <c r="P83" i="20" s="1"/>
  <c r="N82" i="20"/>
  <c r="P82" i="20" s="1"/>
  <c r="AC83" i="20"/>
  <c r="AE83" i="20" s="1"/>
  <c r="AC82" i="20"/>
  <c r="AE82" i="20" s="1"/>
  <c r="K61" i="20"/>
  <c r="I83" i="20"/>
  <c r="K83" i="20" s="1"/>
  <c r="I82" i="20"/>
  <c r="K82" i="20" s="1"/>
  <c r="AH83" i="20"/>
  <c r="AJ83" i="20" s="1"/>
  <c r="AH82" i="20"/>
  <c r="AJ82" i="20" s="1"/>
  <c r="Z78" i="14"/>
  <c r="Z79" i="14"/>
  <c r="U79" i="14"/>
  <c r="U78" i="14"/>
  <c r="AY78" i="14"/>
  <c r="AY79" i="14"/>
  <c r="AT79" i="14"/>
  <c r="AT78" i="14"/>
  <c r="AJ79" i="14"/>
  <c r="AJ78" i="14"/>
  <c r="AO78" i="14"/>
  <c r="AO79" i="14"/>
  <c r="K79" i="14"/>
  <c r="K78" i="14"/>
  <c r="AE79" i="14"/>
  <c r="AE78" i="14"/>
  <c r="P78" i="14"/>
  <c r="P79" i="14"/>
  <c r="E12" i="25"/>
  <c r="N12" i="25" s="1"/>
  <c r="E14" i="25"/>
  <c r="N14" i="25" s="1"/>
  <c r="E14" i="23"/>
  <c r="B12" i="23"/>
  <c r="P12" i="23" s="1"/>
  <c r="O12" i="23" s="1"/>
  <c r="AH24" i="21" s="1"/>
  <c r="I14" i="33" s="1"/>
  <c r="B14" i="23"/>
  <c r="P14" i="23" s="1"/>
  <c r="AR64" i="14"/>
  <c r="AM64" i="14"/>
  <c r="N64" i="14"/>
  <c r="N67" i="14" s="1"/>
  <c r="AW64" i="14"/>
  <c r="AH64" i="14"/>
  <c r="X64" i="14"/>
  <c r="AC64" i="14"/>
  <c r="S64" i="14"/>
  <c r="S67" i="14" s="1"/>
  <c r="I64" i="14"/>
  <c r="AA73" i="19"/>
  <c r="AB73" i="19" s="1"/>
  <c r="K33" i="19" s="1"/>
  <c r="X69" i="20"/>
  <c r="Z69" i="20" s="1"/>
  <c r="N69" i="20"/>
  <c r="P69" i="20" s="1"/>
  <c r="I69" i="20"/>
  <c r="K69" i="20" s="1"/>
  <c r="I70" i="20"/>
  <c r="K70" i="20" s="1"/>
  <c r="S65" i="14"/>
  <c r="U65" i="14" s="1"/>
  <c r="X65" i="14"/>
  <c r="Z65" i="14" s="1"/>
  <c r="N65" i="14"/>
  <c r="P65" i="14" s="1"/>
  <c r="AH65" i="14"/>
  <c r="AJ65" i="14" s="1"/>
  <c r="AR65" i="14"/>
  <c r="AT65" i="14" s="1"/>
  <c r="AM65" i="14"/>
  <c r="AO65" i="14" s="1"/>
  <c r="AC65" i="14"/>
  <c r="AE65" i="14" s="1"/>
  <c r="AM66" i="14"/>
  <c r="AO66" i="14" s="1"/>
  <c r="AH66" i="14"/>
  <c r="AJ66" i="14" s="1"/>
  <c r="I65" i="14"/>
  <c r="K65" i="14" s="1"/>
  <c r="X128" i="34"/>
  <c r="Y128" i="34" s="1"/>
  <c r="X126" i="34"/>
  <c r="Y126" i="34" s="1"/>
  <c r="S20" i="47" s="1"/>
  <c r="U20" i="47" s="1"/>
  <c r="X111" i="34"/>
  <c r="Y111" i="34" s="1"/>
  <c r="X108" i="34"/>
  <c r="Y108" i="34" s="1"/>
  <c r="X122" i="34"/>
  <c r="Y122" i="34" s="1"/>
  <c r="X125" i="34"/>
  <c r="Y125" i="34" s="1"/>
  <c r="N20" i="47" s="1"/>
  <c r="P20" i="47" s="1"/>
  <c r="X115" i="34"/>
  <c r="Y115" i="34" s="1"/>
  <c r="X127" i="34"/>
  <c r="Y127" i="34" s="1"/>
  <c r="X20" i="47" s="1"/>
  <c r="Z20" i="47" s="1"/>
  <c r="X130" i="34"/>
  <c r="Y130" i="34" s="1"/>
  <c r="X119" i="34"/>
  <c r="Y119" i="34" s="1"/>
  <c r="X106" i="34"/>
  <c r="Y106" i="34" s="1"/>
  <c r="X107" i="34"/>
  <c r="Y107" i="34" s="1"/>
  <c r="X132" i="34"/>
  <c r="Y132" i="34" s="1"/>
  <c r="X105" i="34"/>
  <c r="Y105" i="34" s="1"/>
  <c r="X104" i="34"/>
  <c r="Y104" i="34" s="1"/>
  <c r="X118" i="34"/>
  <c r="Y118" i="34" s="1"/>
  <c r="X116" i="34"/>
  <c r="Y116" i="34" s="1"/>
  <c r="X120" i="34"/>
  <c r="Y120" i="34" s="1"/>
  <c r="X134" i="34"/>
  <c r="Y134" i="34" s="1"/>
  <c r="AB70" i="19"/>
  <c r="K30" i="19" s="1"/>
  <c r="Q41" i="4"/>
  <c r="T57" i="19"/>
  <c r="T71" i="19"/>
  <c r="AJ30" i="38"/>
  <c r="AS23" i="38" s="1"/>
  <c r="BR23" i="38"/>
  <c r="AY23" i="38" s="1"/>
  <c r="W54" i="37"/>
  <c r="W53" i="37"/>
  <c r="V50" i="37"/>
  <c r="W50" i="37" s="1"/>
  <c r="X50" i="37" s="1"/>
  <c r="W56" i="37"/>
  <c r="W55" i="37"/>
  <c r="W52" i="37"/>
  <c r="O22" i="40"/>
  <c r="V51" i="37"/>
  <c r="W51" i="37" s="1"/>
  <c r="X51" i="37" s="1"/>
  <c r="K22" i="39"/>
  <c r="Q72" i="39"/>
  <c r="M29" i="39"/>
  <c r="M30" i="39" s="1"/>
  <c r="Q30" i="39" s="1"/>
  <c r="Q58" i="39" s="1"/>
  <c r="O29" i="39"/>
  <c r="O30" i="39" s="1"/>
  <c r="Q63" i="39" s="1"/>
  <c r="C41" i="39"/>
  <c r="I41" i="39" s="1"/>
  <c r="C46" i="16"/>
  <c r="E46" i="16" s="1"/>
  <c r="F23" i="38"/>
  <c r="F24" i="38" s="1"/>
  <c r="BM23" i="38" s="1"/>
  <c r="H24" i="17"/>
  <c r="C23" i="38"/>
  <c r="H115" i="6"/>
  <c r="G37" i="19"/>
  <c r="G18" i="19"/>
  <c r="G17" i="19"/>
  <c r="G36" i="19"/>
  <c r="H129" i="6"/>
  <c r="G55" i="6" s="1"/>
  <c r="I55" i="6" s="1"/>
  <c r="G16" i="19"/>
  <c r="B25" i="38"/>
  <c r="P31" i="17"/>
  <c r="E51" i="16"/>
  <c r="U55" i="19"/>
  <c r="AC55" i="19" s="1"/>
  <c r="C33" i="4"/>
  <c r="B28" i="23"/>
  <c r="P28" i="23" s="1"/>
  <c r="I35" i="2"/>
  <c r="F39" i="39" s="1"/>
  <c r="D28" i="2"/>
  <c r="B42" i="37" s="1"/>
  <c r="G15" i="19"/>
  <c r="E28" i="23"/>
  <c r="P61" i="20"/>
  <c r="E28" i="25"/>
  <c r="N28" i="25" s="1"/>
  <c r="P60" i="20"/>
  <c r="C45" i="39"/>
  <c r="I45" i="39" s="1"/>
  <c r="K35" i="37"/>
  <c r="K37" i="37" s="1"/>
  <c r="J35" i="37"/>
  <c r="C50" i="6"/>
  <c r="H124" i="6" s="1"/>
  <c r="G50" i="6" s="1"/>
  <c r="I50" i="6" s="1"/>
  <c r="C50" i="37"/>
  <c r="AD35" i="2"/>
  <c r="AD43" i="2" s="1"/>
  <c r="I28" i="39"/>
  <c r="I29" i="39" s="1"/>
  <c r="U54" i="19"/>
  <c r="K21" i="39"/>
  <c r="K19" i="39"/>
  <c r="C36" i="40"/>
  <c r="C38" i="39"/>
  <c r="I38" i="39" s="1"/>
  <c r="H44" i="40"/>
  <c r="K46" i="39"/>
  <c r="H41" i="40"/>
  <c r="K43" i="39"/>
  <c r="Q43" i="39" s="1"/>
  <c r="H42" i="40"/>
  <c r="K44" i="39"/>
  <c r="Q44" i="39" s="1"/>
  <c r="D117" i="16"/>
  <c r="P130" i="16" s="1"/>
  <c r="P131" i="16" s="1"/>
  <c r="AC95" i="16" s="1"/>
  <c r="C17" i="40"/>
  <c r="I29" i="40" s="1"/>
  <c r="F38" i="39"/>
  <c r="O23" i="40"/>
  <c r="N23" i="40"/>
  <c r="O19" i="40"/>
  <c r="N19" i="40"/>
  <c r="O21" i="40"/>
  <c r="N21" i="40"/>
  <c r="C35" i="40"/>
  <c r="C37" i="39"/>
  <c r="I37" i="39" s="1"/>
  <c r="G146" i="16"/>
  <c r="F45" i="39"/>
  <c r="F41" i="39"/>
  <c r="N24" i="40"/>
  <c r="O24" i="40"/>
  <c r="F37" i="39"/>
  <c r="N20" i="40"/>
  <c r="O20" i="40"/>
  <c r="H30" i="40"/>
  <c r="H40" i="40"/>
  <c r="K42" i="39"/>
  <c r="Q42" i="39" s="1"/>
  <c r="H38" i="40"/>
  <c r="K40" i="39"/>
  <c r="Q40" i="39" s="1"/>
  <c r="O18" i="40"/>
  <c r="N18" i="40"/>
  <c r="H28" i="40"/>
  <c r="N50" i="6"/>
  <c r="N58" i="6" s="1"/>
  <c r="P29" i="17"/>
  <c r="H126" i="6"/>
  <c r="G52" i="6" s="1"/>
  <c r="I52" i="6" s="1"/>
  <c r="H111" i="6"/>
  <c r="H127" i="6"/>
  <c r="H117" i="6"/>
  <c r="G32" i="6" s="1"/>
  <c r="I32" i="6" s="1"/>
  <c r="J32" i="6" s="1"/>
  <c r="X32" i="6" s="1"/>
  <c r="H114" i="6"/>
  <c r="J33" i="6"/>
  <c r="X33" i="6" s="1"/>
  <c r="H116" i="6"/>
  <c r="H128" i="6"/>
  <c r="G54" i="6" s="1"/>
  <c r="I54" i="6" s="1"/>
  <c r="D97" i="5"/>
  <c r="H123" i="6"/>
  <c r="G49" i="6" s="1"/>
  <c r="I49" i="6" s="1"/>
  <c r="H131" i="6"/>
  <c r="G57" i="6" s="1"/>
  <c r="I57" i="6" s="1"/>
  <c r="J57" i="6" s="1"/>
  <c r="X57" i="6" s="1"/>
  <c r="H130" i="6"/>
  <c r="G56" i="6" s="1"/>
  <c r="I56" i="6" s="1"/>
  <c r="H113" i="6"/>
  <c r="H125" i="6"/>
  <c r="G51" i="6" s="1"/>
  <c r="I51" i="6" s="1"/>
  <c r="H112" i="6"/>
  <c r="H110" i="6"/>
  <c r="B31" i="23"/>
  <c r="P31" i="23" s="1"/>
  <c r="B30" i="25"/>
  <c r="O30" i="25" s="1"/>
  <c r="E31" i="23"/>
  <c r="E30" i="25"/>
  <c r="B18" i="25"/>
  <c r="O18" i="25" s="1"/>
  <c r="E18" i="25"/>
  <c r="B18" i="23"/>
  <c r="P18" i="23" s="1"/>
  <c r="E18" i="23"/>
  <c r="AE56" i="14"/>
  <c r="AE58" i="14" s="1"/>
  <c r="AO56" i="14"/>
  <c r="AO58" i="14" s="1"/>
  <c r="Z56" i="14"/>
  <c r="Z58" i="14" s="1"/>
  <c r="E20" i="25"/>
  <c r="B20" i="25"/>
  <c r="O20" i="25" s="1"/>
  <c r="E20" i="23"/>
  <c r="B20" i="23"/>
  <c r="P20" i="23" s="1"/>
  <c r="H27" i="17"/>
  <c r="AJ56" i="14"/>
  <c r="AJ58" i="14" s="1"/>
  <c r="H23" i="17"/>
  <c r="U56" i="14"/>
  <c r="U58" i="14" s="1"/>
  <c r="B26" i="23"/>
  <c r="P26" i="23" s="1"/>
  <c r="O26" i="23" s="1"/>
  <c r="P27" i="17"/>
  <c r="B26" i="25"/>
  <c r="O26" i="25" s="1"/>
  <c r="B22" i="23"/>
  <c r="P22" i="23" s="1"/>
  <c r="B16" i="25"/>
  <c r="O16" i="25" s="1"/>
  <c r="E26" i="25"/>
  <c r="E16" i="23"/>
  <c r="O16" i="23" s="1"/>
  <c r="E22" i="25"/>
  <c r="N22" i="25" s="1"/>
  <c r="E16" i="25"/>
  <c r="E22" i="23"/>
  <c r="K60" i="20"/>
  <c r="H25" i="17"/>
  <c r="E25" i="17"/>
  <c r="P25" i="17"/>
  <c r="H26" i="17"/>
  <c r="P56" i="14"/>
  <c r="P58" i="14" s="1"/>
  <c r="H22" i="17"/>
  <c r="I25" i="5"/>
  <c r="M18" i="17" s="1"/>
  <c r="AE60" i="20"/>
  <c r="AE62" i="20" s="1"/>
  <c r="B10" i="25"/>
  <c r="O10" i="25" s="1"/>
  <c r="B10" i="23"/>
  <c r="P10" i="23" s="1"/>
  <c r="B24" i="25"/>
  <c r="O24" i="25" s="1"/>
  <c r="E10" i="25"/>
  <c r="E10" i="23"/>
  <c r="E24" i="25"/>
  <c r="B24" i="23"/>
  <c r="P24" i="23" s="1"/>
  <c r="O24" i="23" s="1"/>
  <c r="H18" i="17"/>
  <c r="AJ60" i="20"/>
  <c r="AJ62" i="20" s="1"/>
  <c r="AT56" i="14"/>
  <c r="AT58" i="14" s="1"/>
  <c r="U60" i="20"/>
  <c r="U62" i="20" s="1"/>
  <c r="Q71" i="19"/>
  <c r="E31" i="19" s="1"/>
  <c r="G142" i="16"/>
  <c r="H122" i="6"/>
  <c r="Q48" i="6"/>
  <c r="E38" i="19"/>
  <c r="L38" i="19" s="1"/>
  <c r="G51" i="16" s="1"/>
  <c r="C50" i="16"/>
  <c r="E50" i="16" s="1"/>
  <c r="O8" i="23"/>
  <c r="AH20" i="21" s="1"/>
  <c r="I8" i="33" s="1"/>
  <c r="K6" i="17" s="1"/>
  <c r="AY66" i="14"/>
  <c r="AY65" i="14"/>
  <c r="U62" i="19"/>
  <c r="AC62" i="19" s="1"/>
  <c r="AY56" i="14"/>
  <c r="AY58" i="14" s="1"/>
  <c r="E18" i="19"/>
  <c r="L18" i="19" s="1"/>
  <c r="G32" i="16" s="1"/>
  <c r="D146" i="16"/>
  <c r="J146" i="16" s="1"/>
  <c r="L146" i="16" s="1"/>
  <c r="Q56" i="6"/>
  <c r="Q52" i="6"/>
  <c r="P74" i="19"/>
  <c r="T74" i="19" s="1"/>
  <c r="Q74" i="19"/>
  <c r="P75" i="19"/>
  <c r="Q75" i="19"/>
  <c r="U61" i="19"/>
  <c r="AC61" i="19" s="1"/>
  <c r="E17" i="19"/>
  <c r="U60" i="19"/>
  <c r="AC60" i="19" s="1"/>
  <c r="D144" i="16"/>
  <c r="J144" i="16" s="1"/>
  <c r="L144" i="16" s="1"/>
  <c r="E48" i="16"/>
  <c r="E16" i="19"/>
  <c r="Q49" i="6"/>
  <c r="C37" i="12"/>
  <c r="C49" i="16"/>
  <c r="E49" i="16" s="1"/>
  <c r="D145" i="16"/>
  <c r="J145" i="16" s="1"/>
  <c r="L145" i="16" s="1"/>
  <c r="D139" i="16"/>
  <c r="J139" i="16" s="1"/>
  <c r="L139" i="16" s="1"/>
  <c r="S139" i="16" s="1"/>
  <c r="T46" i="14"/>
  <c r="O46" i="14"/>
  <c r="Y46" i="14"/>
  <c r="AN46" i="14"/>
  <c r="AS46" i="14"/>
  <c r="AI46" i="14"/>
  <c r="U78" i="19"/>
  <c r="AC78" i="19" s="1"/>
  <c r="G138" i="16"/>
  <c r="E47" i="16"/>
  <c r="Q57" i="19"/>
  <c r="E13" i="19" s="1"/>
  <c r="Y69" i="19"/>
  <c r="E37" i="19"/>
  <c r="E36" i="19"/>
  <c r="G144" i="16"/>
  <c r="E15" i="19"/>
  <c r="U59" i="19"/>
  <c r="AC59" i="19" s="1"/>
  <c r="U77" i="19"/>
  <c r="AC77" i="19" s="1"/>
  <c r="D142" i="16"/>
  <c r="J142" i="16" s="1"/>
  <c r="L142" i="16" s="1"/>
  <c r="S142" i="16" s="1"/>
  <c r="Q58" i="19"/>
  <c r="E45" i="16"/>
  <c r="C40" i="12"/>
  <c r="J129" i="16"/>
  <c r="Q56" i="19"/>
  <c r="E12" i="19" s="1"/>
  <c r="L129" i="16"/>
  <c r="Q35" i="6"/>
  <c r="T101" i="6" s="1"/>
  <c r="S103" i="6" s="1"/>
  <c r="D21" i="16"/>
  <c r="K12" i="10"/>
  <c r="I53" i="12" s="1"/>
  <c r="K18" i="10"/>
  <c r="J53" i="12" s="1"/>
  <c r="P73" i="19"/>
  <c r="Q73" i="19"/>
  <c r="P72" i="19"/>
  <c r="T72" i="19" s="1"/>
  <c r="Q72" i="19"/>
  <c r="E32" i="19" s="1"/>
  <c r="P70" i="19"/>
  <c r="Q70" i="19"/>
  <c r="P69" i="19"/>
  <c r="Q69" i="19"/>
  <c r="E29" i="19" s="1"/>
  <c r="E34" i="16"/>
  <c r="G141" i="16"/>
  <c r="G139" i="16"/>
  <c r="N69" i="19"/>
  <c r="L143" i="16"/>
  <c r="S143" i="16" s="1"/>
  <c r="U76" i="19"/>
  <c r="AC76" i="19" s="1"/>
  <c r="L141" i="16"/>
  <c r="S141" i="16" s="1"/>
  <c r="L16" i="19" l="1"/>
  <c r="G30" i="16" s="1"/>
  <c r="O14" i="23"/>
  <c r="AH26" i="21" s="1"/>
  <c r="I11" i="33" s="1"/>
  <c r="P39" i="47"/>
  <c r="P43" i="47" s="1"/>
  <c r="P46" i="47" s="1"/>
  <c r="J28" i="5"/>
  <c r="K62" i="20"/>
  <c r="AT64" i="14"/>
  <c r="G32" i="5"/>
  <c r="K23" i="17" s="1"/>
  <c r="S18" i="47"/>
  <c r="U18" i="47" s="1"/>
  <c r="U39" i="47" s="1"/>
  <c r="U43" i="47" s="1"/>
  <c r="U46" i="47" s="1"/>
  <c r="F12" i="47"/>
  <c r="F39" i="47"/>
  <c r="F33" i="5"/>
  <c r="J33" i="5" s="1"/>
  <c r="J20" i="17"/>
  <c r="L28" i="5"/>
  <c r="K39" i="47"/>
  <c r="K43" i="47" s="1"/>
  <c r="K46" i="47" s="1"/>
  <c r="F29" i="5"/>
  <c r="J29" i="5" s="1"/>
  <c r="F31" i="5"/>
  <c r="J31" i="5" s="1"/>
  <c r="Z39" i="47"/>
  <c r="I10" i="5"/>
  <c r="M5" i="17" s="1"/>
  <c r="S70" i="20"/>
  <c r="U70" i="20" s="1"/>
  <c r="U89" i="20" s="1"/>
  <c r="AC70" i="20"/>
  <c r="AE70" i="20" s="1"/>
  <c r="AE89" i="20" s="1"/>
  <c r="X70" i="20"/>
  <c r="Z70" i="20" s="1"/>
  <c r="Z89" i="20" s="1"/>
  <c r="N70" i="20"/>
  <c r="P70" i="20" s="1"/>
  <c r="AH70" i="20"/>
  <c r="AJ70" i="20" s="1"/>
  <c r="AJ89" i="20" s="1"/>
  <c r="X66" i="14"/>
  <c r="Z66" i="14" s="1"/>
  <c r="AC66" i="14"/>
  <c r="AE66" i="14" s="1"/>
  <c r="S66" i="14"/>
  <c r="U66" i="14" s="1"/>
  <c r="AR66" i="14"/>
  <c r="AT66" i="14" s="1"/>
  <c r="N66" i="14"/>
  <c r="P66" i="14" s="1"/>
  <c r="I66" i="14"/>
  <c r="K66" i="14" s="1"/>
  <c r="AA69" i="19"/>
  <c r="AB69" i="19" s="1"/>
  <c r="K29" i="19" s="1"/>
  <c r="N40" i="2"/>
  <c r="N41" i="2"/>
  <c r="X56" i="37"/>
  <c r="W57" i="37"/>
  <c r="X57" i="37" s="1"/>
  <c r="L37" i="19"/>
  <c r="G50" i="16" s="1"/>
  <c r="L36" i="19"/>
  <c r="G49" i="16" s="1"/>
  <c r="O58" i="37"/>
  <c r="O60" i="37" s="1"/>
  <c r="F98" i="38" s="1"/>
  <c r="K49" i="37"/>
  <c r="K53" i="37"/>
  <c r="K57" i="37"/>
  <c r="J51" i="37"/>
  <c r="J55" i="37"/>
  <c r="J50" i="37"/>
  <c r="K50" i="37"/>
  <c r="K54" i="37"/>
  <c r="K48" i="37"/>
  <c r="J52" i="37"/>
  <c r="J56" i="37"/>
  <c r="K52" i="37"/>
  <c r="J54" i="37"/>
  <c r="K51" i="37"/>
  <c r="K55" i="37"/>
  <c r="J49" i="37"/>
  <c r="J53" i="37"/>
  <c r="J57" i="37"/>
  <c r="K56" i="37"/>
  <c r="B26" i="38"/>
  <c r="BR24" i="38"/>
  <c r="BS24" i="38"/>
  <c r="C24" i="38"/>
  <c r="C25" i="38" s="1"/>
  <c r="C26" i="38" s="1"/>
  <c r="C27" i="38" s="1"/>
  <c r="C28" i="38" s="1"/>
  <c r="C29" i="38" s="1"/>
  <c r="C30" i="38" s="1"/>
  <c r="C31" i="38" s="1"/>
  <c r="C32" i="38" s="1"/>
  <c r="C33" i="38" s="1"/>
  <c r="C34" i="38" s="1"/>
  <c r="C35" i="38" s="1"/>
  <c r="C36" i="38" s="1"/>
  <c r="C37" i="38" s="1"/>
  <c r="C38" i="38" s="1"/>
  <c r="C39" i="38" s="1"/>
  <c r="C40" i="38" s="1"/>
  <c r="C41" i="38" s="1"/>
  <c r="C42" i="38" s="1"/>
  <c r="C43" i="38" s="1"/>
  <c r="C44" i="38" s="1"/>
  <c r="C45" i="38" s="1"/>
  <c r="C46" i="38" s="1"/>
  <c r="C47" i="38" s="1"/>
  <c r="C48" i="38" s="1"/>
  <c r="C49" i="38" s="1"/>
  <c r="C50" i="38" s="1"/>
  <c r="C51" i="38" s="1"/>
  <c r="C52" i="38" s="1"/>
  <c r="C53" i="38" s="1"/>
  <c r="C54" i="38" s="1"/>
  <c r="C55" i="38" s="1"/>
  <c r="C56" i="38" s="1"/>
  <c r="C57" i="38" s="1"/>
  <c r="C58" i="38" s="1"/>
  <c r="C59" i="38" s="1"/>
  <c r="C60" i="38" s="1"/>
  <c r="C61" i="38" s="1"/>
  <c r="C62" i="38" s="1"/>
  <c r="C63" i="38" s="1"/>
  <c r="C64" i="38" s="1"/>
  <c r="C65" i="38" s="1"/>
  <c r="C66" i="38" s="1"/>
  <c r="C67" i="38" s="1"/>
  <c r="C68" i="38" s="1"/>
  <c r="C69" i="38" s="1"/>
  <c r="C70" i="38" s="1"/>
  <c r="C71" i="38" s="1"/>
  <c r="C72" i="38" s="1"/>
  <c r="AZ23" i="38"/>
  <c r="BG23" i="38"/>
  <c r="BJ14" i="38" s="1"/>
  <c r="Q75" i="39"/>
  <c r="Q76" i="39" s="1"/>
  <c r="Q78" i="39" s="1"/>
  <c r="I17" i="2"/>
  <c r="P17" i="2" s="1"/>
  <c r="D14" i="4" s="1"/>
  <c r="I15" i="2"/>
  <c r="P15" i="2" s="1"/>
  <c r="D12" i="4" s="1"/>
  <c r="J48" i="37"/>
  <c r="C37" i="40"/>
  <c r="C44" i="16"/>
  <c r="E44" i="16" s="1"/>
  <c r="H24" i="38"/>
  <c r="D23" i="38"/>
  <c r="E23" i="38"/>
  <c r="N36" i="2"/>
  <c r="N35" i="2"/>
  <c r="N34" i="2"/>
  <c r="I21" i="2"/>
  <c r="P21" i="2" s="1"/>
  <c r="D18" i="4" s="1"/>
  <c r="I20" i="2"/>
  <c r="P20" i="2" s="1"/>
  <c r="D17" i="4" s="1"/>
  <c r="X55" i="37"/>
  <c r="X54" i="37"/>
  <c r="X52" i="37"/>
  <c r="X53" i="37"/>
  <c r="P62" i="20"/>
  <c r="L17" i="19"/>
  <c r="G31" i="16" s="1"/>
  <c r="G35" i="19"/>
  <c r="I19" i="2"/>
  <c r="P19" i="2" s="1"/>
  <c r="D16" i="4" s="1"/>
  <c r="I18" i="2"/>
  <c r="P18" i="2" s="1"/>
  <c r="D15" i="4" s="1"/>
  <c r="F25" i="38"/>
  <c r="BM24" i="38" s="1"/>
  <c r="G14" i="19"/>
  <c r="G140" i="16"/>
  <c r="G11" i="19"/>
  <c r="L11" i="19" s="1"/>
  <c r="G25" i="16" s="1"/>
  <c r="H29" i="40"/>
  <c r="C39" i="39"/>
  <c r="I39" i="39" s="1"/>
  <c r="C39" i="12"/>
  <c r="O28" i="23"/>
  <c r="AH40" i="21" s="1"/>
  <c r="I18" i="33" s="1"/>
  <c r="G21" i="5" s="1"/>
  <c r="O46" i="20" s="1"/>
  <c r="C36" i="39"/>
  <c r="M50" i="39" s="1"/>
  <c r="AF44" i="2"/>
  <c r="L15" i="19"/>
  <c r="G29" i="16" s="1"/>
  <c r="I21" i="5"/>
  <c r="M15" i="17" s="1"/>
  <c r="G10" i="19"/>
  <c r="O130" i="16"/>
  <c r="O131" i="16" s="1"/>
  <c r="S131" i="16" s="1"/>
  <c r="AC94" i="16" s="1"/>
  <c r="Q50" i="6"/>
  <c r="K28" i="39"/>
  <c r="K29" i="39" s="1"/>
  <c r="K30" i="39" s="1"/>
  <c r="Q57" i="39" s="1"/>
  <c r="L130" i="16"/>
  <c r="L131" i="16" s="1"/>
  <c r="AC93" i="16" s="1"/>
  <c r="Q130" i="16"/>
  <c r="Q131" i="16" s="1"/>
  <c r="AC99" i="16" s="1"/>
  <c r="Q173" i="16"/>
  <c r="J130" i="16"/>
  <c r="H35" i="40"/>
  <c r="K37" i="39"/>
  <c r="Q37" i="39" s="1"/>
  <c r="O38" i="40"/>
  <c r="N38" i="40"/>
  <c r="O40" i="40"/>
  <c r="N40" i="40"/>
  <c r="H39" i="40"/>
  <c r="K41" i="39"/>
  <c r="Q41" i="39" s="1"/>
  <c r="H36" i="40"/>
  <c r="K38" i="39"/>
  <c r="Q38" i="39" s="1"/>
  <c r="O42" i="40"/>
  <c r="N42" i="40"/>
  <c r="O44" i="40"/>
  <c r="N44" i="40"/>
  <c r="T58" i="37"/>
  <c r="T60" i="37" s="1"/>
  <c r="N28" i="40"/>
  <c r="N29" i="40" s="1"/>
  <c r="O28" i="40"/>
  <c r="O29" i="40" s="1"/>
  <c r="H43" i="40"/>
  <c r="K45" i="39"/>
  <c r="N41" i="40"/>
  <c r="O41" i="40"/>
  <c r="G33" i="19"/>
  <c r="U74" i="19"/>
  <c r="AC74" i="19" s="1"/>
  <c r="G31" i="6"/>
  <c r="I31" i="6" s="1"/>
  <c r="J31" i="6" s="1"/>
  <c r="X31" i="6" s="1"/>
  <c r="G30" i="6"/>
  <c r="I30" i="6" s="1"/>
  <c r="J30" i="6" s="1"/>
  <c r="X30" i="6" s="1"/>
  <c r="G53" i="6"/>
  <c r="I53" i="6" s="1"/>
  <c r="J53" i="6" s="1"/>
  <c r="X53" i="6" s="1"/>
  <c r="G29" i="6"/>
  <c r="I29" i="6" s="1"/>
  <c r="J29" i="6" s="1"/>
  <c r="X29" i="6" s="1"/>
  <c r="G48" i="6"/>
  <c r="I48" i="6" s="1"/>
  <c r="J48" i="6" s="1"/>
  <c r="X48" i="6" s="1"/>
  <c r="G25" i="6"/>
  <c r="I25" i="6" s="1"/>
  <c r="J25" i="6" s="1"/>
  <c r="G27" i="6"/>
  <c r="I27" i="6" s="1"/>
  <c r="J27" i="6" s="1"/>
  <c r="X27" i="6" s="1"/>
  <c r="G26" i="6"/>
  <c r="I26" i="6" s="1"/>
  <c r="J26" i="6" s="1"/>
  <c r="X26" i="6" s="1"/>
  <c r="G28" i="6"/>
  <c r="I28" i="6" s="1"/>
  <c r="J28" i="6" s="1"/>
  <c r="X28" i="6" s="1"/>
  <c r="P14" i="2"/>
  <c r="P16" i="2"/>
  <c r="D13" i="4" s="1"/>
  <c r="O31" i="23"/>
  <c r="F31" i="23"/>
  <c r="E2" i="27" s="1"/>
  <c r="AH46" i="21" s="1"/>
  <c r="N30" i="25"/>
  <c r="I16" i="5"/>
  <c r="M11" i="17" s="1"/>
  <c r="N18" i="25"/>
  <c r="O18" i="23"/>
  <c r="AH30" i="21" s="1"/>
  <c r="I13" i="33" s="1"/>
  <c r="AO64" i="14" s="1"/>
  <c r="I14" i="5"/>
  <c r="M9" i="17" s="1"/>
  <c r="I12" i="5"/>
  <c r="M7" i="17" s="1"/>
  <c r="O22" i="23"/>
  <c r="AH34" i="21" s="1"/>
  <c r="I10" i="33" s="1"/>
  <c r="K8" i="17" s="1"/>
  <c r="E35" i="19"/>
  <c r="N26" i="25"/>
  <c r="I13" i="5"/>
  <c r="M8" i="17" s="1"/>
  <c r="I15" i="5"/>
  <c r="M10" i="17" s="1"/>
  <c r="N20" i="25"/>
  <c r="O20" i="23"/>
  <c r="AH32" i="21" s="1"/>
  <c r="I9" i="33" s="1"/>
  <c r="K7" i="17" s="1"/>
  <c r="N16" i="25"/>
  <c r="I20" i="5"/>
  <c r="M14" i="17" s="1"/>
  <c r="U71" i="19"/>
  <c r="AC71" i="19" s="1"/>
  <c r="G30" i="19"/>
  <c r="O10" i="23"/>
  <c r="AH22" i="21" s="1"/>
  <c r="I7" i="33" s="1"/>
  <c r="I67" i="14" s="1"/>
  <c r="K67" i="14" s="1"/>
  <c r="I26" i="5"/>
  <c r="M19" i="17" s="1"/>
  <c r="I11" i="5"/>
  <c r="M6" i="17" s="1"/>
  <c r="N10" i="25"/>
  <c r="I17" i="5"/>
  <c r="M12" i="17" s="1"/>
  <c r="K9" i="17"/>
  <c r="N24" i="25"/>
  <c r="I22" i="5"/>
  <c r="I24" i="5"/>
  <c r="M17" i="17" s="1"/>
  <c r="AH28" i="21"/>
  <c r="I12" i="33" s="1"/>
  <c r="AJ64" i="14" s="1"/>
  <c r="AH36" i="21"/>
  <c r="I15" i="33" s="1"/>
  <c r="AW67" i="14" s="1"/>
  <c r="AY67" i="14" s="1"/>
  <c r="Q51" i="6"/>
  <c r="K12" i="17"/>
  <c r="AE64" i="14"/>
  <c r="AC67" i="14"/>
  <c r="AE67" i="14" s="1"/>
  <c r="P64" i="14"/>
  <c r="AH38" i="21"/>
  <c r="AR67" i="14"/>
  <c r="AT67" i="14" s="1"/>
  <c r="J52" i="6"/>
  <c r="X52" i="6" s="1"/>
  <c r="I18" i="5"/>
  <c r="M13" i="17" s="1"/>
  <c r="AX46" i="14"/>
  <c r="U75" i="19"/>
  <c r="AC75" i="19" s="1"/>
  <c r="J56" i="6"/>
  <c r="X56" i="6" s="1"/>
  <c r="G34" i="19"/>
  <c r="E34" i="19"/>
  <c r="J55" i="6"/>
  <c r="X55" i="6" s="1"/>
  <c r="S144" i="16"/>
  <c r="J54" i="6"/>
  <c r="X54" i="6" s="1"/>
  <c r="J49" i="6"/>
  <c r="X49" i="6" s="1"/>
  <c r="D140" i="16"/>
  <c r="J140" i="16" s="1"/>
  <c r="L140" i="16" s="1"/>
  <c r="S140" i="16" s="1"/>
  <c r="E42" i="16"/>
  <c r="D138" i="16"/>
  <c r="J138" i="16" s="1"/>
  <c r="L138" i="16" s="1"/>
  <c r="C38" i="12"/>
  <c r="E43" i="16"/>
  <c r="S145" i="16"/>
  <c r="U57" i="19"/>
  <c r="AC57" i="19" s="1"/>
  <c r="G13" i="19"/>
  <c r="L13" i="19" s="1"/>
  <c r="G27" i="16" s="1"/>
  <c r="Q9" i="16"/>
  <c r="R11" i="16"/>
  <c r="Q11" i="16"/>
  <c r="G31" i="19"/>
  <c r="L31" i="19" s="1"/>
  <c r="G44" i="16" s="1"/>
  <c r="G12" i="19"/>
  <c r="L12" i="19" s="1"/>
  <c r="G26" i="16" s="1"/>
  <c r="U58" i="19"/>
  <c r="AC58" i="19" s="1"/>
  <c r="E14" i="19"/>
  <c r="U56" i="19"/>
  <c r="AC56" i="19" s="1"/>
  <c r="U72" i="19"/>
  <c r="AC72" i="19" s="1"/>
  <c r="E33" i="19"/>
  <c r="L35" i="16"/>
  <c r="L36" i="16" s="1"/>
  <c r="J51" i="6"/>
  <c r="E35" i="16"/>
  <c r="E36" i="16" s="1"/>
  <c r="U73" i="19"/>
  <c r="AC73" i="19" s="1"/>
  <c r="U70" i="19"/>
  <c r="AC70" i="19" s="1"/>
  <c r="G32" i="19"/>
  <c r="L32" i="19" s="1"/>
  <c r="G45" i="16" s="1"/>
  <c r="E30" i="19"/>
  <c r="G29" i="19"/>
  <c r="U69" i="19"/>
  <c r="J50" i="6"/>
  <c r="P45" i="47" l="1"/>
  <c r="F32" i="5"/>
  <c r="J32" i="5" s="1"/>
  <c r="K45" i="47"/>
  <c r="U45" i="47"/>
  <c r="D20" i="17"/>
  <c r="N20" i="17"/>
  <c r="K28" i="5"/>
  <c r="O20" i="17" s="1"/>
  <c r="F43" i="47"/>
  <c r="F46" i="47" s="1"/>
  <c r="F45" i="47"/>
  <c r="J23" i="17"/>
  <c r="J22" i="17"/>
  <c r="L31" i="5"/>
  <c r="J21" i="17"/>
  <c r="L29" i="5"/>
  <c r="P20" i="17"/>
  <c r="E20" i="17"/>
  <c r="J24" i="17"/>
  <c r="L33" i="5"/>
  <c r="AT85" i="14"/>
  <c r="Z43" i="47"/>
  <c r="Z46" i="47" s="1"/>
  <c r="Z45" i="47"/>
  <c r="F25" i="5"/>
  <c r="L25" i="5"/>
  <c r="E18" i="17" s="1"/>
  <c r="Z93" i="20"/>
  <c r="Z96" i="20" s="1"/>
  <c r="Y44" i="20" s="1"/>
  <c r="F26" i="5"/>
  <c r="J19" i="17" s="1"/>
  <c r="L26" i="5"/>
  <c r="E19" i="17" s="1"/>
  <c r="AE93" i="20"/>
  <c r="AE96" i="20" s="1"/>
  <c r="AD44" i="20" s="1"/>
  <c r="F24" i="5"/>
  <c r="J17" i="17" s="1"/>
  <c r="L24" i="5"/>
  <c r="E17" i="17" s="1"/>
  <c r="U93" i="20"/>
  <c r="U96" i="20" s="1"/>
  <c r="T44" i="20" s="1"/>
  <c r="F22" i="5"/>
  <c r="J16" i="17" s="1"/>
  <c r="AJ93" i="20"/>
  <c r="AJ96" i="20" s="1"/>
  <c r="AI44" i="20" s="1"/>
  <c r="L22" i="5"/>
  <c r="E16" i="17" s="1"/>
  <c r="F17" i="5"/>
  <c r="J17" i="5" s="1"/>
  <c r="N12" i="17" s="1"/>
  <c r="P18" i="17"/>
  <c r="AC69" i="19"/>
  <c r="L29" i="19"/>
  <c r="G42" i="16" s="1"/>
  <c r="F99" i="38"/>
  <c r="AD18" i="38"/>
  <c r="BM99" i="38"/>
  <c r="M51" i="40"/>
  <c r="M55" i="40" s="1"/>
  <c r="BG24" i="38"/>
  <c r="BH24" i="38" s="1"/>
  <c r="AO25" i="38"/>
  <c r="AC5" i="37" s="1"/>
  <c r="Z21" i="12" s="1"/>
  <c r="BA23" i="38"/>
  <c r="J24" i="38"/>
  <c r="BK23" i="38"/>
  <c r="BD23" i="38"/>
  <c r="BH23" i="38"/>
  <c r="AJ24" i="38"/>
  <c r="AO24" i="38" s="1"/>
  <c r="I24" i="38"/>
  <c r="H25" i="38"/>
  <c r="AZ24" i="38"/>
  <c r="B27" i="38"/>
  <c r="BR25" i="38"/>
  <c r="BS25" i="38"/>
  <c r="L14" i="19"/>
  <c r="G28" i="16" s="1"/>
  <c r="L35" i="19"/>
  <c r="G48" i="16" s="1"/>
  <c r="E24" i="38"/>
  <c r="D24" i="38"/>
  <c r="X59" i="37"/>
  <c r="B98" i="38" s="1"/>
  <c r="B99" i="38" s="1"/>
  <c r="B100" i="38" s="1"/>
  <c r="B101" i="38" s="1"/>
  <c r="B102" i="38" s="1"/>
  <c r="B103" i="38" s="1"/>
  <c r="B104" i="38" s="1"/>
  <c r="B105" i="38" s="1"/>
  <c r="B106" i="38" s="1"/>
  <c r="B107" i="38" s="1"/>
  <c r="B108" i="38" s="1"/>
  <c r="B109" i="38" s="1"/>
  <c r="B110" i="38" s="1"/>
  <c r="B111" i="38" s="1"/>
  <c r="B112" i="38" s="1"/>
  <c r="B113" i="38" s="1"/>
  <c r="B114" i="38" s="1"/>
  <c r="B115" i="38" s="1"/>
  <c r="B116" i="38" s="1"/>
  <c r="B117" i="38" s="1"/>
  <c r="B118" i="38" s="1"/>
  <c r="B119" i="38" s="1"/>
  <c r="B120" i="38" s="1"/>
  <c r="B121" i="38" s="1"/>
  <c r="B122" i="38" s="1"/>
  <c r="B123" i="38" s="1"/>
  <c r="B124" i="38" s="1"/>
  <c r="B125" i="38" s="1"/>
  <c r="B126" i="38" s="1"/>
  <c r="B127" i="38" s="1"/>
  <c r="B128" i="38" s="1"/>
  <c r="B129" i="38" s="1"/>
  <c r="B130" i="38" s="1"/>
  <c r="B131" i="38" s="1"/>
  <c r="B132" i="38" s="1"/>
  <c r="B133" i="38" s="1"/>
  <c r="B134" i="38" s="1"/>
  <c r="B135" i="38" s="1"/>
  <c r="B136" i="38" s="1"/>
  <c r="B137" i="38" s="1"/>
  <c r="B138" i="38" s="1"/>
  <c r="B139" i="38" s="1"/>
  <c r="B140" i="38" s="1"/>
  <c r="B141" i="38" s="1"/>
  <c r="B142" i="38" s="1"/>
  <c r="B143" i="38" s="1"/>
  <c r="B144" i="38" s="1"/>
  <c r="B145" i="38" s="1"/>
  <c r="B146" i="38" s="1"/>
  <c r="B147" i="38" s="1"/>
  <c r="B148" i="38" s="1"/>
  <c r="C98" i="38"/>
  <c r="F26" i="38"/>
  <c r="BM25" i="38" s="1"/>
  <c r="P68" i="20"/>
  <c r="F21" i="5" s="1"/>
  <c r="H37" i="40"/>
  <c r="N37" i="40" s="1"/>
  <c r="I47" i="39"/>
  <c r="I48" i="39" s="1"/>
  <c r="L78" i="39" s="1"/>
  <c r="K39" i="39"/>
  <c r="Q39" i="39" s="1"/>
  <c r="K15" i="17"/>
  <c r="X50" i="6"/>
  <c r="Q58" i="6"/>
  <c r="AB41" i="39"/>
  <c r="AC41" i="39" s="1"/>
  <c r="R71" i="39"/>
  <c r="N50" i="39"/>
  <c r="O48" i="39"/>
  <c r="O49" i="39" s="1"/>
  <c r="R63" i="39" s="1"/>
  <c r="N48" i="39"/>
  <c r="N49" i="39" s="1"/>
  <c r="AB42" i="39"/>
  <c r="AC42" i="39" s="1"/>
  <c r="M48" i="39"/>
  <c r="M49" i="39" s="1"/>
  <c r="Q49" i="39" s="1"/>
  <c r="R58" i="39" s="1"/>
  <c r="Q176" i="16"/>
  <c r="Q177" i="16" s="1"/>
  <c r="Q179" i="16" s="1"/>
  <c r="L33" i="19"/>
  <c r="G46" i="16" s="1"/>
  <c r="K58" i="37"/>
  <c r="K60" i="37" s="1"/>
  <c r="J58" i="37"/>
  <c r="J60" i="37" s="1"/>
  <c r="N39" i="40"/>
  <c r="O39" i="40"/>
  <c r="N43" i="40"/>
  <c r="O43" i="40"/>
  <c r="N31" i="40"/>
  <c r="O30" i="40"/>
  <c r="P29" i="40"/>
  <c r="O36" i="40"/>
  <c r="N36" i="40"/>
  <c r="O35" i="40"/>
  <c r="N35" i="40"/>
  <c r="X25" i="6"/>
  <c r="AE6" i="6" s="1"/>
  <c r="S101" i="6" s="1"/>
  <c r="T103" i="6" s="1"/>
  <c r="AA103" i="6" s="1"/>
  <c r="AG103" i="6" s="1"/>
  <c r="J35" i="6"/>
  <c r="D11" i="4"/>
  <c r="D21" i="4" s="1"/>
  <c r="P24" i="2"/>
  <c r="X67" i="14"/>
  <c r="Z67" i="14" s="1"/>
  <c r="L30" i="19"/>
  <c r="G43" i="16" s="1"/>
  <c r="AE95" i="20"/>
  <c r="M16" i="17"/>
  <c r="AJ95" i="20"/>
  <c r="K10" i="17"/>
  <c r="AH67" i="14"/>
  <c r="AJ67" i="14" s="1"/>
  <c r="L15" i="5" s="1"/>
  <c r="E10" i="17" s="1"/>
  <c r="I17" i="33"/>
  <c r="G20" i="5" s="1"/>
  <c r="AY64" i="14"/>
  <c r="L18" i="5" s="1"/>
  <c r="K13" i="17"/>
  <c r="K11" i="17"/>
  <c r="AM67" i="14"/>
  <c r="AO67" i="14" s="1"/>
  <c r="F16" i="5" s="1"/>
  <c r="N11" i="17" s="1"/>
  <c r="X51" i="6"/>
  <c r="P67" i="14"/>
  <c r="L11" i="5" s="1"/>
  <c r="P6" i="17" s="1"/>
  <c r="AE85" i="14"/>
  <c r="F14" i="5"/>
  <c r="L14" i="5"/>
  <c r="U64" i="14"/>
  <c r="L17" i="5"/>
  <c r="AT91" i="14"/>
  <c r="K5" i="17"/>
  <c r="K64" i="14"/>
  <c r="L34" i="19"/>
  <c r="G47" i="16" s="1"/>
  <c r="J148" i="16"/>
  <c r="E52" i="16"/>
  <c r="S11" i="16"/>
  <c r="J58" i="6"/>
  <c r="L148" i="16"/>
  <c r="S138" i="16"/>
  <c r="L32" i="5" l="1"/>
  <c r="E23" i="17" s="1"/>
  <c r="D22" i="17"/>
  <c r="N22" i="17"/>
  <c r="K31" i="5"/>
  <c r="O22" i="17" s="1"/>
  <c r="E24" i="17"/>
  <c r="P24" i="17"/>
  <c r="P22" i="17"/>
  <c r="E22" i="17"/>
  <c r="D24" i="17"/>
  <c r="N24" i="17"/>
  <c r="K33" i="5"/>
  <c r="O24" i="17" s="1"/>
  <c r="K29" i="5"/>
  <c r="O21" i="17" s="1"/>
  <c r="D21" i="17"/>
  <c r="N21" i="17"/>
  <c r="E21" i="17"/>
  <c r="P21" i="17"/>
  <c r="D23" i="17"/>
  <c r="N23" i="17"/>
  <c r="K32" i="5"/>
  <c r="O23" i="17" s="1"/>
  <c r="AJ85" i="14"/>
  <c r="AJ91" i="14" s="1"/>
  <c r="AO85" i="14"/>
  <c r="U95" i="20"/>
  <c r="F10" i="5"/>
  <c r="J5" i="17" s="1"/>
  <c r="K85" i="14"/>
  <c r="K89" i="14" s="1"/>
  <c r="K92" i="14" s="1"/>
  <c r="J44" i="14" s="1"/>
  <c r="P85" i="14"/>
  <c r="P89" i="14" s="1"/>
  <c r="P92" i="14" s="1"/>
  <c r="O44" i="14" s="1"/>
  <c r="J26" i="5"/>
  <c r="N19" i="17" s="1"/>
  <c r="J24" i="5"/>
  <c r="K24" i="5" s="1"/>
  <c r="O17" i="17" s="1"/>
  <c r="Z95" i="20"/>
  <c r="P19" i="17"/>
  <c r="P17" i="17"/>
  <c r="J18" i="17"/>
  <c r="J25" i="5"/>
  <c r="J12" i="17"/>
  <c r="J22" i="5"/>
  <c r="N16" i="17" s="1"/>
  <c r="P16" i="17"/>
  <c r="M52" i="40"/>
  <c r="M53" i="40" s="1"/>
  <c r="C99" i="38"/>
  <c r="C100" i="38" s="1"/>
  <c r="C101" i="38" s="1"/>
  <c r="C102" i="38" s="1"/>
  <c r="C103" i="38" s="1"/>
  <c r="C104" i="38" s="1"/>
  <c r="C105" i="38" s="1"/>
  <c r="C106" i="38" s="1"/>
  <c r="C107" i="38" s="1"/>
  <c r="C108" i="38" s="1"/>
  <c r="C109" i="38" s="1"/>
  <c r="C110" i="38" s="1"/>
  <c r="C111" i="38" s="1"/>
  <c r="C112" i="38" s="1"/>
  <c r="C113" i="38" s="1"/>
  <c r="C114" i="38" s="1"/>
  <c r="C115" i="38" s="1"/>
  <c r="C116" i="38" s="1"/>
  <c r="C117" i="38" s="1"/>
  <c r="C118" i="38" s="1"/>
  <c r="C119" i="38" s="1"/>
  <c r="C120" i="38" s="1"/>
  <c r="C121" i="38" s="1"/>
  <c r="C122" i="38" s="1"/>
  <c r="C123" i="38" s="1"/>
  <c r="C124" i="38" s="1"/>
  <c r="C125" i="38" s="1"/>
  <c r="C126" i="38" s="1"/>
  <c r="C127" i="38" s="1"/>
  <c r="C128" i="38" s="1"/>
  <c r="C129" i="38" s="1"/>
  <c r="C130" i="38" s="1"/>
  <c r="C131" i="38" s="1"/>
  <c r="C132" i="38" s="1"/>
  <c r="C133" i="38" s="1"/>
  <c r="C134" i="38" s="1"/>
  <c r="C135" i="38" s="1"/>
  <c r="C136" i="38" s="1"/>
  <c r="C137" i="38" s="1"/>
  <c r="C138" i="38" s="1"/>
  <c r="C139" i="38" s="1"/>
  <c r="C140" i="38" s="1"/>
  <c r="C141" i="38" s="1"/>
  <c r="C142" i="38" s="1"/>
  <c r="C143" i="38" s="1"/>
  <c r="C144" i="38" s="1"/>
  <c r="C145" i="38" s="1"/>
  <c r="C146" i="38" s="1"/>
  <c r="C147" i="38" s="1"/>
  <c r="C148" i="38" s="1"/>
  <c r="H99" i="38"/>
  <c r="F100" i="38"/>
  <c r="BM100" i="38" s="1"/>
  <c r="J25" i="38"/>
  <c r="AZ99" i="38"/>
  <c r="BG99" i="38"/>
  <c r="BA24" i="38"/>
  <c r="BD24" i="38"/>
  <c r="BE24" i="38" s="1"/>
  <c r="BE23" i="38"/>
  <c r="BK24" i="38"/>
  <c r="BL24" i="38" s="1"/>
  <c r="BL23" i="38"/>
  <c r="BJ16" i="38"/>
  <c r="I25" i="38"/>
  <c r="B28" i="38"/>
  <c r="BR26" i="38"/>
  <c r="BS26" i="38"/>
  <c r="H26" i="38"/>
  <c r="AZ25" i="38"/>
  <c r="BA25" i="38" s="1"/>
  <c r="BG25" i="38"/>
  <c r="BH25" i="38" s="1"/>
  <c r="AK30" i="38"/>
  <c r="D25" i="38"/>
  <c r="D26" i="38" s="1"/>
  <c r="D27" i="38" s="1"/>
  <c r="D28" i="38" s="1"/>
  <c r="D29" i="38" s="1"/>
  <c r="D30" i="38" s="1"/>
  <c r="D31" i="38" s="1"/>
  <c r="D32" i="38" s="1"/>
  <c r="D33" i="38" s="1"/>
  <c r="D34" i="38" s="1"/>
  <c r="D35" i="38" s="1"/>
  <c r="D36" i="38" s="1"/>
  <c r="D37" i="38" s="1"/>
  <c r="D38" i="38" s="1"/>
  <c r="D39" i="38" s="1"/>
  <c r="D40" i="38" s="1"/>
  <c r="D41" i="38" s="1"/>
  <c r="D42" i="38" s="1"/>
  <c r="D43" i="38" s="1"/>
  <c r="D44" i="38" s="1"/>
  <c r="D45" i="38" s="1"/>
  <c r="D46" i="38" s="1"/>
  <c r="D47" i="38" s="1"/>
  <c r="D48" i="38" s="1"/>
  <c r="D49" i="38" s="1"/>
  <c r="D50" i="38" s="1"/>
  <c r="D51" i="38" s="1"/>
  <c r="D52" i="38" s="1"/>
  <c r="D53" i="38" s="1"/>
  <c r="D54" i="38" s="1"/>
  <c r="D55" i="38" s="1"/>
  <c r="D56" i="38" s="1"/>
  <c r="D57" i="38" s="1"/>
  <c r="D58" i="38" s="1"/>
  <c r="D59" i="38" s="1"/>
  <c r="D60" i="38" s="1"/>
  <c r="D61" i="38" s="1"/>
  <c r="D62" i="38" s="1"/>
  <c r="D63" i="38" s="1"/>
  <c r="D64" i="38" s="1"/>
  <c r="D65" i="38" s="1"/>
  <c r="D66" i="38" s="1"/>
  <c r="D67" i="38" s="1"/>
  <c r="D68" i="38" s="1"/>
  <c r="D69" i="38" s="1"/>
  <c r="D70" i="38" s="1"/>
  <c r="D71" i="38" s="1"/>
  <c r="D72" i="38" s="1"/>
  <c r="AJ23" i="38"/>
  <c r="AO23" i="38" s="1"/>
  <c r="AJ22" i="38"/>
  <c r="E25" i="38"/>
  <c r="E26" i="38" s="1"/>
  <c r="E27" i="38" s="1"/>
  <c r="E28" i="38" s="1"/>
  <c r="E29" i="38" s="1"/>
  <c r="E30" i="38" s="1"/>
  <c r="E31" i="38" s="1"/>
  <c r="E32" i="38" s="1"/>
  <c r="E33" i="38" s="1"/>
  <c r="E34" i="38" s="1"/>
  <c r="E35" i="38" s="1"/>
  <c r="E36" i="38" s="1"/>
  <c r="E37" i="38" s="1"/>
  <c r="E38" i="38" s="1"/>
  <c r="E39" i="38" s="1"/>
  <c r="E40" i="38" s="1"/>
  <c r="E41" i="38" s="1"/>
  <c r="E42" i="38" s="1"/>
  <c r="E43" i="38" s="1"/>
  <c r="E44" i="38" s="1"/>
  <c r="E45" i="38" s="1"/>
  <c r="E46" i="38" s="1"/>
  <c r="E47" i="38" s="1"/>
  <c r="E48" i="38" s="1"/>
  <c r="E49" i="38" s="1"/>
  <c r="E50" i="38" s="1"/>
  <c r="E51" i="38" s="1"/>
  <c r="E52" i="38" s="1"/>
  <c r="E53" i="38" s="1"/>
  <c r="E54" i="38" s="1"/>
  <c r="E55" i="38" s="1"/>
  <c r="E56" i="38" s="1"/>
  <c r="E57" i="38" s="1"/>
  <c r="E58" i="38" s="1"/>
  <c r="E59" i="38" s="1"/>
  <c r="E60" i="38" s="1"/>
  <c r="E61" i="38" s="1"/>
  <c r="E62" i="38" s="1"/>
  <c r="E63" i="38" s="1"/>
  <c r="E64" i="38" s="1"/>
  <c r="E65" i="38" s="1"/>
  <c r="E66" i="38" s="1"/>
  <c r="E67" i="38" s="1"/>
  <c r="E68" i="38" s="1"/>
  <c r="E69" i="38" s="1"/>
  <c r="E70" i="38" s="1"/>
  <c r="E71" i="38" s="1"/>
  <c r="E72" i="38" s="1"/>
  <c r="D98" i="38"/>
  <c r="E98" i="38"/>
  <c r="F27" i="16"/>
  <c r="O37" i="40"/>
  <c r="O45" i="40" s="1"/>
  <c r="H45" i="40"/>
  <c r="P89" i="20"/>
  <c r="P93" i="20" s="1"/>
  <c r="P96" i="20" s="1"/>
  <c r="O44" i="20" s="1"/>
  <c r="L21" i="5"/>
  <c r="P15" i="17" s="1"/>
  <c r="F27" i="38"/>
  <c r="BM26" i="38" s="1"/>
  <c r="K47" i="39"/>
  <c r="K48" i="39" s="1"/>
  <c r="K49" i="39" s="1"/>
  <c r="R57" i="39" s="1"/>
  <c r="R75" i="39"/>
  <c r="R76" i="39" s="1"/>
  <c r="L38" i="42" s="1"/>
  <c r="L39" i="42" s="1"/>
  <c r="U41" i="39"/>
  <c r="R72" i="39"/>
  <c r="R59" i="39"/>
  <c r="M51" i="39"/>
  <c r="N45" i="40"/>
  <c r="Z64" i="14"/>
  <c r="L13" i="5" s="1"/>
  <c r="AG6" i="6"/>
  <c r="Z26" i="6" s="1"/>
  <c r="AA26" i="6" s="1"/>
  <c r="AF6" i="6"/>
  <c r="S104" i="6"/>
  <c r="T104" i="6" s="1"/>
  <c r="S105" i="6" s="1"/>
  <c r="T105" i="6" s="1"/>
  <c r="AA105" i="6" s="1"/>
  <c r="F31" i="16"/>
  <c r="F49" i="16"/>
  <c r="F18" i="5"/>
  <c r="N13" i="17" s="1"/>
  <c r="P10" i="17"/>
  <c r="F15" i="5"/>
  <c r="J15" i="5" s="1"/>
  <c r="N10" i="17" s="1"/>
  <c r="K14" i="17"/>
  <c r="F26" i="16" s="1"/>
  <c r="AY85" i="14"/>
  <c r="AY91" i="14" s="1"/>
  <c r="J11" i="17"/>
  <c r="AO89" i="14"/>
  <c r="AO92" i="14" s="1"/>
  <c r="AN44" i="14" s="1"/>
  <c r="L16" i="5"/>
  <c r="P11" i="17" s="1"/>
  <c r="AE7" i="6"/>
  <c r="U67" i="14"/>
  <c r="F12" i="5" s="1"/>
  <c r="E6" i="17"/>
  <c r="F11" i="5"/>
  <c r="J11" i="5" s="1"/>
  <c r="N6" i="17" s="1"/>
  <c r="E12" i="17"/>
  <c r="P12" i="17"/>
  <c r="P9" i="17"/>
  <c r="E9" i="17"/>
  <c r="J14" i="5"/>
  <c r="J9" i="17"/>
  <c r="P13" i="17"/>
  <c r="E13" i="17"/>
  <c r="AE91" i="14"/>
  <c r="AE89" i="14"/>
  <c r="AE92" i="14" s="1"/>
  <c r="AD44" i="14" s="1"/>
  <c r="AT89" i="14"/>
  <c r="AT92" i="14" s="1"/>
  <c r="AS44" i="14" s="1"/>
  <c r="L10" i="5"/>
  <c r="N5" i="17"/>
  <c r="G52" i="16"/>
  <c r="D17" i="17" l="1"/>
  <c r="P23" i="17"/>
  <c r="N17" i="17"/>
  <c r="U85" i="14"/>
  <c r="U91" i="14" s="1"/>
  <c r="K26" i="5"/>
  <c r="O19" i="17" s="1"/>
  <c r="D19" i="17"/>
  <c r="N18" i="17"/>
  <c r="D18" i="17"/>
  <c r="K25" i="5"/>
  <c r="O18" i="17" s="1"/>
  <c r="D16" i="17"/>
  <c r="K22" i="5"/>
  <c r="O16" i="17" s="1"/>
  <c r="F28" i="16"/>
  <c r="AK24" i="38"/>
  <c r="AP24" i="38" s="1"/>
  <c r="F48" i="16"/>
  <c r="F30" i="16"/>
  <c r="F24" i="16"/>
  <c r="F42" i="16"/>
  <c r="F46" i="16"/>
  <c r="H100" i="38"/>
  <c r="H101" i="38" s="1"/>
  <c r="H102" i="38" s="1"/>
  <c r="H103" i="38" s="1"/>
  <c r="H104" i="38" s="1"/>
  <c r="H105" i="38" s="1"/>
  <c r="H106" i="38" s="1"/>
  <c r="H107" i="38" s="1"/>
  <c r="H108" i="38" s="1"/>
  <c r="H109" i="38" s="1"/>
  <c r="H110" i="38" s="1"/>
  <c r="H111" i="38" s="1"/>
  <c r="H112" i="38" s="1"/>
  <c r="H113" i="38" s="1"/>
  <c r="H114" i="38" s="1"/>
  <c r="H115" i="38" s="1"/>
  <c r="H116" i="38" s="1"/>
  <c r="H117" i="38" s="1"/>
  <c r="H118" i="38" s="1"/>
  <c r="H119" i="38" s="1"/>
  <c r="H120" i="38" s="1"/>
  <c r="H121" i="38" s="1"/>
  <c r="H122" i="38" s="1"/>
  <c r="H123" i="38" s="1"/>
  <c r="H124" i="38" s="1"/>
  <c r="H125" i="38" s="1"/>
  <c r="H126" i="38" s="1"/>
  <c r="H127" i="38" s="1"/>
  <c r="H128" i="38" s="1"/>
  <c r="H129" i="38" s="1"/>
  <c r="H130" i="38" s="1"/>
  <c r="H131" i="38" s="1"/>
  <c r="H132" i="38" s="1"/>
  <c r="H133" i="38" s="1"/>
  <c r="H134" i="38" s="1"/>
  <c r="H135" i="38" s="1"/>
  <c r="H136" i="38" s="1"/>
  <c r="H137" i="38" s="1"/>
  <c r="H138" i="38" s="1"/>
  <c r="H139" i="38" s="1"/>
  <c r="H140" i="38" s="1"/>
  <c r="H141" i="38" s="1"/>
  <c r="H142" i="38" s="1"/>
  <c r="H143" i="38" s="1"/>
  <c r="H144" i="38" s="1"/>
  <c r="H145" i="38" s="1"/>
  <c r="H146" i="38" s="1"/>
  <c r="H147" i="38" s="1"/>
  <c r="H148" i="38" s="1"/>
  <c r="I99" i="38"/>
  <c r="D99" i="38"/>
  <c r="D100" i="38" s="1"/>
  <c r="D101" i="38" s="1"/>
  <c r="D102" i="38" s="1"/>
  <c r="D103" i="38" s="1"/>
  <c r="D104" i="38" s="1"/>
  <c r="D105" i="38" s="1"/>
  <c r="D106" i="38" s="1"/>
  <c r="D107" i="38" s="1"/>
  <c r="D108" i="38" s="1"/>
  <c r="D109" i="38" s="1"/>
  <c r="D110" i="38" s="1"/>
  <c r="D111" i="38" s="1"/>
  <c r="D112" i="38" s="1"/>
  <c r="D113" i="38" s="1"/>
  <c r="D114" i="38" s="1"/>
  <c r="D115" i="38" s="1"/>
  <c r="D116" i="38" s="1"/>
  <c r="D117" i="38" s="1"/>
  <c r="D118" i="38" s="1"/>
  <c r="D119" i="38" s="1"/>
  <c r="D120" i="38" s="1"/>
  <c r="D121" i="38" s="1"/>
  <c r="D122" i="38" s="1"/>
  <c r="D123" i="38" s="1"/>
  <c r="D124" i="38" s="1"/>
  <c r="D125" i="38" s="1"/>
  <c r="D126" i="38" s="1"/>
  <c r="D127" i="38" s="1"/>
  <c r="D128" i="38" s="1"/>
  <c r="D129" i="38" s="1"/>
  <c r="D130" i="38" s="1"/>
  <c r="D131" i="38" s="1"/>
  <c r="D132" i="38" s="1"/>
  <c r="D133" i="38" s="1"/>
  <c r="D134" i="38" s="1"/>
  <c r="D135" i="38" s="1"/>
  <c r="D136" i="38" s="1"/>
  <c r="D137" i="38" s="1"/>
  <c r="D138" i="38" s="1"/>
  <c r="D139" i="38" s="1"/>
  <c r="D140" i="38" s="1"/>
  <c r="D141" i="38" s="1"/>
  <c r="D142" i="38" s="1"/>
  <c r="D143" i="38" s="1"/>
  <c r="D144" i="38" s="1"/>
  <c r="D145" i="38" s="1"/>
  <c r="D146" i="38" s="1"/>
  <c r="D147" i="38" s="1"/>
  <c r="D148" i="38" s="1"/>
  <c r="F101" i="38"/>
  <c r="AP25" i="38" s="1"/>
  <c r="AC9" i="37" s="1"/>
  <c r="J99" i="38"/>
  <c r="E99" i="38"/>
  <c r="E100" i="38" s="1"/>
  <c r="E101" i="38" s="1"/>
  <c r="E102" i="38" s="1"/>
  <c r="E103" i="38" s="1"/>
  <c r="E104" i="38" s="1"/>
  <c r="E105" i="38" s="1"/>
  <c r="E106" i="38" s="1"/>
  <c r="E107" i="38" s="1"/>
  <c r="E108" i="38" s="1"/>
  <c r="E109" i="38" s="1"/>
  <c r="E110" i="38" s="1"/>
  <c r="E111" i="38" s="1"/>
  <c r="E112" i="38" s="1"/>
  <c r="E113" i="38" s="1"/>
  <c r="E114" i="38" s="1"/>
  <c r="E115" i="38" s="1"/>
  <c r="E116" i="38" s="1"/>
  <c r="E117" i="38" s="1"/>
  <c r="E118" i="38" s="1"/>
  <c r="E119" i="38" s="1"/>
  <c r="E120" i="38" s="1"/>
  <c r="E121" i="38" s="1"/>
  <c r="E122" i="38" s="1"/>
  <c r="E123" i="38" s="1"/>
  <c r="E124" i="38" s="1"/>
  <c r="E125" i="38" s="1"/>
  <c r="E126" i="38" s="1"/>
  <c r="E127" i="38" s="1"/>
  <c r="E128" i="38" s="1"/>
  <c r="E129" i="38" s="1"/>
  <c r="E130" i="38" s="1"/>
  <c r="E131" i="38" s="1"/>
  <c r="E132" i="38" s="1"/>
  <c r="E133" i="38" s="1"/>
  <c r="E134" i="38" s="1"/>
  <c r="E135" i="38" s="1"/>
  <c r="E136" i="38" s="1"/>
  <c r="E137" i="38" s="1"/>
  <c r="E138" i="38" s="1"/>
  <c r="E139" i="38" s="1"/>
  <c r="E140" i="38" s="1"/>
  <c r="E141" i="38" s="1"/>
  <c r="E142" i="38" s="1"/>
  <c r="E143" i="38" s="1"/>
  <c r="E144" i="38" s="1"/>
  <c r="E145" i="38" s="1"/>
  <c r="E146" i="38" s="1"/>
  <c r="E147" i="38" s="1"/>
  <c r="E148" i="38" s="1"/>
  <c r="AD20" i="38"/>
  <c r="BR99" i="38"/>
  <c r="AY99" i="38" s="1"/>
  <c r="BS99" i="38"/>
  <c r="BH99" i="38" s="1"/>
  <c r="BK99" i="38"/>
  <c r="BD99" i="38"/>
  <c r="BK25" i="38"/>
  <c r="BL25" i="38" s="1"/>
  <c r="BD25" i="38"/>
  <c r="BE25" i="38" s="1"/>
  <c r="B29" i="38"/>
  <c r="BR27" i="38"/>
  <c r="BS27" i="38"/>
  <c r="H27" i="38"/>
  <c r="AZ26" i="38"/>
  <c r="BA26" i="38" s="1"/>
  <c r="BG26" i="38"/>
  <c r="BH26" i="38" s="1"/>
  <c r="I26" i="38"/>
  <c r="AT23" i="38"/>
  <c r="AF25" i="38"/>
  <c r="E15" i="17"/>
  <c r="F45" i="16"/>
  <c r="F44" i="16"/>
  <c r="P40" i="40"/>
  <c r="J26" i="38"/>
  <c r="F29" i="16"/>
  <c r="F25" i="16"/>
  <c r="F43" i="16"/>
  <c r="P95" i="20"/>
  <c r="F28" i="38"/>
  <c r="BM27" i="38" s="1"/>
  <c r="U43" i="39"/>
  <c r="R78" i="39"/>
  <c r="N51" i="40"/>
  <c r="N55" i="40" s="1"/>
  <c r="Z85" i="14"/>
  <c r="Z91" i="14" s="1"/>
  <c r="F47" i="16"/>
  <c r="F33" i="16"/>
  <c r="F51" i="16"/>
  <c r="F13" i="5"/>
  <c r="J13" i="5" s="1"/>
  <c r="AJ89" i="14"/>
  <c r="AJ92" i="14" s="1"/>
  <c r="AI44" i="14" s="1"/>
  <c r="R130" i="16"/>
  <c r="R131" i="16" s="1"/>
  <c r="AC98" i="16" s="1"/>
  <c r="AC100" i="16" s="1"/>
  <c r="T97" i="16" s="1"/>
  <c r="V97" i="16" s="1"/>
  <c r="S106" i="6"/>
  <c r="T106" i="6" s="1"/>
  <c r="AA106" i="6" s="1"/>
  <c r="AA104" i="6"/>
  <c r="AG104" i="6" s="1"/>
  <c r="F50" i="16"/>
  <c r="F32" i="16"/>
  <c r="J10" i="17"/>
  <c r="AY89" i="14"/>
  <c r="AY92" i="14" s="1"/>
  <c r="AX44" i="14" s="1"/>
  <c r="J13" i="17"/>
  <c r="K68" i="20"/>
  <c r="K89" i="20" s="1"/>
  <c r="K93" i="20" s="1"/>
  <c r="J46" i="20"/>
  <c r="E11" i="17"/>
  <c r="AO91" i="14"/>
  <c r="P91" i="14"/>
  <c r="L12" i="5"/>
  <c r="P7" i="17" s="1"/>
  <c r="J6" i="17"/>
  <c r="P8" i="17"/>
  <c r="E8" i="17"/>
  <c r="N9" i="17"/>
  <c r="K14" i="5"/>
  <c r="O9" i="17" s="1"/>
  <c r="D9" i="17"/>
  <c r="P5" i="17"/>
  <c r="E5" i="17"/>
  <c r="K91" i="14"/>
  <c r="J12" i="5"/>
  <c r="J7" i="17"/>
  <c r="D5" i="17"/>
  <c r="K10" i="5"/>
  <c r="O5" i="17" s="1"/>
  <c r="AG105" i="6"/>
  <c r="K18" i="5"/>
  <c r="O13" i="17" s="1"/>
  <c r="D13" i="17"/>
  <c r="K15" i="5"/>
  <c r="O10" i="17" s="1"/>
  <c r="D10" i="17"/>
  <c r="D12" i="17"/>
  <c r="K17" i="5"/>
  <c r="O12" i="17" s="1"/>
  <c r="K11" i="5"/>
  <c r="O6" i="17" s="1"/>
  <c r="D6" i="17"/>
  <c r="D11" i="17"/>
  <c r="K16" i="5"/>
  <c r="O11" i="17" s="1"/>
  <c r="AK23" i="38" l="1"/>
  <c r="AP23" i="38" s="1"/>
  <c r="AK22" i="38"/>
  <c r="BM101" i="38"/>
  <c r="F102" i="38"/>
  <c r="BM102" i="38" s="1"/>
  <c r="J100" i="38"/>
  <c r="J101" i="38" s="1"/>
  <c r="J102" i="38" s="1"/>
  <c r="J103" i="38" s="1"/>
  <c r="J104" i="38" s="1"/>
  <c r="J105" i="38" s="1"/>
  <c r="J106" i="38" s="1"/>
  <c r="J107" i="38" s="1"/>
  <c r="J108" i="38" s="1"/>
  <c r="J109" i="38" s="1"/>
  <c r="J110" i="38" s="1"/>
  <c r="J111" i="38" s="1"/>
  <c r="J112" i="38" s="1"/>
  <c r="J113" i="38" s="1"/>
  <c r="J114" i="38" s="1"/>
  <c r="J115" i="38" s="1"/>
  <c r="J116" i="38" s="1"/>
  <c r="J117" i="38" s="1"/>
  <c r="J118" i="38" s="1"/>
  <c r="J119" i="38" s="1"/>
  <c r="J120" i="38" s="1"/>
  <c r="J121" i="38" s="1"/>
  <c r="J122" i="38" s="1"/>
  <c r="J123" i="38" s="1"/>
  <c r="J124" i="38" s="1"/>
  <c r="J125" i="38" s="1"/>
  <c r="J126" i="38" s="1"/>
  <c r="J127" i="38" s="1"/>
  <c r="J128" i="38" s="1"/>
  <c r="J129" i="38" s="1"/>
  <c r="J130" i="38" s="1"/>
  <c r="J131" i="38" s="1"/>
  <c r="J132" i="38" s="1"/>
  <c r="J133" i="38" s="1"/>
  <c r="J134" i="38" s="1"/>
  <c r="J135" i="38" s="1"/>
  <c r="J136" i="38" s="1"/>
  <c r="J137" i="38" s="1"/>
  <c r="J138" i="38" s="1"/>
  <c r="J139" i="38" s="1"/>
  <c r="J140" i="38" s="1"/>
  <c r="J141" i="38" s="1"/>
  <c r="J142" i="38" s="1"/>
  <c r="J143" i="38" s="1"/>
  <c r="J144" i="38" s="1"/>
  <c r="J145" i="38" s="1"/>
  <c r="J146" i="38" s="1"/>
  <c r="J147" i="38" s="1"/>
  <c r="J148" i="38" s="1"/>
  <c r="I100" i="38"/>
  <c r="BL99" i="38"/>
  <c r="AC12" i="37"/>
  <c r="Z35" i="12"/>
  <c r="BR100" i="38"/>
  <c r="BS100" i="38"/>
  <c r="AZ100" i="38"/>
  <c r="BG100" i="38"/>
  <c r="BA99" i="38"/>
  <c r="BE99" i="38"/>
  <c r="J27" i="38"/>
  <c r="BK26" i="38"/>
  <c r="BL26" i="38" s="1"/>
  <c r="BD26" i="38"/>
  <c r="H28" i="38"/>
  <c r="AZ27" i="38"/>
  <c r="BA27" i="38" s="1"/>
  <c r="BG27" i="38"/>
  <c r="BH27" i="38" s="1"/>
  <c r="I27" i="38"/>
  <c r="B30" i="38"/>
  <c r="BR28" i="38"/>
  <c r="BS28" i="38"/>
  <c r="F29" i="38"/>
  <c r="BM28" i="38" s="1"/>
  <c r="Z89" i="14"/>
  <c r="Z92" i="14" s="1"/>
  <c r="Y44" i="14" s="1"/>
  <c r="J8" i="17"/>
  <c r="T98" i="16"/>
  <c r="T100" i="16" s="1"/>
  <c r="V100" i="16" s="1"/>
  <c r="Q174" i="16"/>
  <c r="T99" i="16" s="1"/>
  <c r="V99" i="16" s="1"/>
  <c r="S107" i="6"/>
  <c r="T107" i="6" s="1"/>
  <c r="AA107" i="6" s="1"/>
  <c r="AG107" i="6" s="1"/>
  <c r="E38" i="4"/>
  <c r="F52" i="16"/>
  <c r="F34" i="16"/>
  <c r="F35" i="16" s="1"/>
  <c r="F36" i="16" s="1"/>
  <c r="F20" i="5"/>
  <c r="L20" i="5"/>
  <c r="E7" i="17"/>
  <c r="T72" i="2" s="1"/>
  <c r="U89" i="14"/>
  <c r="U92" i="14" s="1"/>
  <c r="T44" i="14" s="1"/>
  <c r="D8" i="17"/>
  <c r="N8" i="17"/>
  <c r="K12" i="5"/>
  <c r="O7" i="17" s="1"/>
  <c r="N7" i="17"/>
  <c r="D7" i="17"/>
  <c r="E18" i="4" s="1"/>
  <c r="K13" i="5"/>
  <c r="O8" i="17" s="1"/>
  <c r="AG106" i="6"/>
  <c r="AG25" i="38" l="1"/>
  <c r="BK100" i="38"/>
  <c r="BL100" i="38" s="1"/>
  <c r="BD100" i="38"/>
  <c r="BE100" i="38" s="1"/>
  <c r="F103" i="38"/>
  <c r="BM103" i="38" s="1"/>
  <c r="I101" i="38"/>
  <c r="BK102" i="38"/>
  <c r="BH100" i="38"/>
  <c r="BD101" i="38"/>
  <c r="BK101" i="38"/>
  <c r="BA100" i="38"/>
  <c r="BS101" i="38"/>
  <c r="BR101" i="38"/>
  <c r="BD102" i="38"/>
  <c r="BG101" i="38"/>
  <c r="AZ101" i="38"/>
  <c r="B31" i="38"/>
  <c r="BR29" i="38"/>
  <c r="BS29" i="38"/>
  <c r="BE26" i="38"/>
  <c r="H29" i="38"/>
  <c r="AZ28" i="38"/>
  <c r="BA28" i="38" s="1"/>
  <c r="BG28" i="38"/>
  <c r="BH28" i="38" s="1"/>
  <c r="I28" i="38"/>
  <c r="J28" i="38"/>
  <c r="BK27" i="38"/>
  <c r="BL27" i="38" s="1"/>
  <c r="BD27" i="38"/>
  <c r="F30" i="38"/>
  <c r="BM29" i="38" s="1"/>
  <c r="S108" i="6"/>
  <c r="T108" i="6" s="1"/>
  <c r="S109" i="6" s="1"/>
  <c r="T109" i="6" s="1"/>
  <c r="V98" i="16"/>
  <c r="Q8" i="16"/>
  <c r="Q12" i="16"/>
  <c r="K95" i="20"/>
  <c r="K96" i="20"/>
  <c r="J44" i="20" s="1"/>
  <c r="J15" i="17"/>
  <c r="J21" i="5"/>
  <c r="P14" i="17"/>
  <c r="E14" i="17"/>
  <c r="T70" i="2" s="1"/>
  <c r="F36" i="4" s="1"/>
  <c r="J14" i="17"/>
  <c r="P18" i="4"/>
  <c r="F18" i="4"/>
  <c r="Z27" i="6"/>
  <c r="AA27" i="6" s="1"/>
  <c r="T71" i="2" l="1"/>
  <c r="F37" i="4" s="1"/>
  <c r="I102" i="38"/>
  <c r="I103" i="38" s="1"/>
  <c r="F104" i="38"/>
  <c r="BM104" i="38" s="1"/>
  <c r="BK103" i="38"/>
  <c r="BH101" i="38"/>
  <c r="BA101" i="38"/>
  <c r="BG102" i="38"/>
  <c r="AZ102" i="38"/>
  <c r="BL101" i="38"/>
  <c r="BR102" i="38"/>
  <c r="BS102" i="38"/>
  <c r="BL102" i="38" s="1"/>
  <c r="BE101" i="38"/>
  <c r="B32" i="38"/>
  <c r="BR30" i="38"/>
  <c r="BS30" i="38"/>
  <c r="H30" i="38"/>
  <c r="AZ29" i="38"/>
  <c r="BA29" i="38" s="1"/>
  <c r="BG29" i="38"/>
  <c r="BH29" i="38" s="1"/>
  <c r="BE27" i="38"/>
  <c r="I29" i="38"/>
  <c r="J29" i="38"/>
  <c r="BK28" i="38"/>
  <c r="BL28" i="38" s="1"/>
  <c r="BD28" i="38"/>
  <c r="F31" i="38"/>
  <c r="BM30" i="38" s="1"/>
  <c r="T69" i="2"/>
  <c r="F35" i="4" s="1"/>
  <c r="T65" i="2"/>
  <c r="F31" i="4" s="1"/>
  <c r="T73" i="2"/>
  <c r="T74" i="2"/>
  <c r="AA108" i="6"/>
  <c r="AG108" i="6" s="1"/>
  <c r="T66" i="2"/>
  <c r="F32" i="4" s="1"/>
  <c r="T67" i="2"/>
  <c r="F33" i="4" s="1"/>
  <c r="T68" i="2"/>
  <c r="F34" i="4" s="1"/>
  <c r="D14" i="17"/>
  <c r="K20" i="5"/>
  <c r="O14" i="17" s="1"/>
  <c r="N14" i="17"/>
  <c r="N15" i="17"/>
  <c r="K21" i="5"/>
  <c r="O15" i="17" s="1"/>
  <c r="D15" i="17"/>
  <c r="AA109" i="6"/>
  <c r="S110" i="6"/>
  <c r="T110" i="6" s="1"/>
  <c r="E37" i="4" l="1"/>
  <c r="E17" i="4"/>
  <c r="I104" i="38"/>
  <c r="F105" i="38"/>
  <c r="BM105" i="38" s="1"/>
  <c r="BD103" i="38"/>
  <c r="BA102" i="38"/>
  <c r="BS103" i="38"/>
  <c r="BL103" i="38" s="1"/>
  <c r="BR103" i="38"/>
  <c r="BD104" i="38"/>
  <c r="AZ103" i="38"/>
  <c r="BG103" i="38"/>
  <c r="BH102" i="38"/>
  <c r="BE102" i="38"/>
  <c r="I30" i="38"/>
  <c r="J30" i="38"/>
  <c r="BD29" i="38"/>
  <c r="BE29" i="38" s="1"/>
  <c r="BK29" i="38"/>
  <c r="BL29" i="38" s="1"/>
  <c r="B33" i="38"/>
  <c r="BR31" i="38"/>
  <c r="BS31" i="38"/>
  <c r="H31" i="38"/>
  <c r="AZ30" i="38"/>
  <c r="BA30" i="38" s="1"/>
  <c r="BG30" i="38"/>
  <c r="BH30" i="38" s="1"/>
  <c r="BE28" i="38"/>
  <c r="E13" i="4"/>
  <c r="P13" i="4" s="1"/>
  <c r="F32" i="38"/>
  <c r="BM31" i="38" s="1"/>
  <c r="E16" i="4"/>
  <c r="E36" i="4"/>
  <c r="E11" i="4"/>
  <c r="E31" i="4"/>
  <c r="E20" i="4"/>
  <c r="E40" i="4"/>
  <c r="E33" i="4"/>
  <c r="E19" i="4"/>
  <c r="E39" i="4"/>
  <c r="E15" i="4"/>
  <c r="E35" i="4"/>
  <c r="E14" i="4"/>
  <c r="E34" i="4"/>
  <c r="E12" i="4"/>
  <c r="F12" i="4" s="1"/>
  <c r="E32" i="4"/>
  <c r="AG109" i="6"/>
  <c r="AA110" i="6"/>
  <c r="S111" i="6"/>
  <c r="T111" i="6" s="1"/>
  <c r="F17" i="4" l="1"/>
  <c r="P17" i="4"/>
  <c r="BE103" i="38"/>
  <c r="AE5" i="37"/>
  <c r="AA21" i="12" s="1"/>
  <c r="F106" i="38"/>
  <c r="BM106" i="38" s="1"/>
  <c r="I105" i="38"/>
  <c r="BK105" i="38"/>
  <c r="BK104" i="38"/>
  <c r="BA103" i="38"/>
  <c r="AZ104" i="38"/>
  <c r="BG104" i="38"/>
  <c r="BH103" i="38"/>
  <c r="BR104" i="38"/>
  <c r="BS104" i="38"/>
  <c r="I31" i="38"/>
  <c r="B34" i="38"/>
  <c r="BR32" i="38"/>
  <c r="BS32" i="38"/>
  <c r="BK30" i="38"/>
  <c r="BL30" i="38" s="1"/>
  <c r="BD30" i="38"/>
  <c r="BE30" i="38" s="1"/>
  <c r="J31" i="38"/>
  <c r="H32" i="38"/>
  <c r="BG31" i="38"/>
  <c r="BH31" i="38" s="1"/>
  <c r="AZ31" i="38"/>
  <c r="BA31" i="38" s="1"/>
  <c r="F13" i="4"/>
  <c r="F33" i="38"/>
  <c r="BM32" i="38" s="1"/>
  <c r="P16" i="4"/>
  <c r="F16" i="4"/>
  <c r="P11" i="4"/>
  <c r="F11" i="4"/>
  <c r="P20" i="4"/>
  <c r="F20" i="4"/>
  <c r="P19" i="4"/>
  <c r="F19" i="4"/>
  <c r="E41" i="4"/>
  <c r="P15" i="4"/>
  <c r="F15" i="4"/>
  <c r="P14" i="4"/>
  <c r="F14" i="4"/>
  <c r="P12" i="4"/>
  <c r="E21" i="4"/>
  <c r="AG110" i="6"/>
  <c r="AA111" i="6"/>
  <c r="S112" i="6"/>
  <c r="T112" i="6" s="1"/>
  <c r="AB5" i="37" l="1"/>
  <c r="Y21" i="12" s="1"/>
  <c r="I106" i="38"/>
  <c r="F107" i="38"/>
  <c r="BM107" i="38" s="1"/>
  <c r="BD105" i="38"/>
  <c r="BD106" i="38"/>
  <c r="BA104" i="38"/>
  <c r="I32" i="38"/>
  <c r="BL104" i="38"/>
  <c r="AZ105" i="38"/>
  <c r="BG105" i="38"/>
  <c r="BE104" i="38"/>
  <c r="BR105" i="38"/>
  <c r="BS105" i="38"/>
  <c r="BH104" i="38"/>
  <c r="J32" i="38"/>
  <c r="BD31" i="38"/>
  <c r="BE31" i="38" s="1"/>
  <c r="BK31" i="38"/>
  <c r="BL31" i="38" s="1"/>
  <c r="B35" i="38"/>
  <c r="BR33" i="38"/>
  <c r="BS33" i="38"/>
  <c r="H33" i="38"/>
  <c r="BG32" i="38"/>
  <c r="BH32" i="38" s="1"/>
  <c r="AZ32" i="38"/>
  <c r="BA32" i="38" s="1"/>
  <c r="F34" i="38"/>
  <c r="BM33" i="38" s="1"/>
  <c r="F21" i="4"/>
  <c r="P21" i="4"/>
  <c r="AG111" i="6"/>
  <c r="AA112" i="6"/>
  <c r="AG112" i="6" s="1"/>
  <c r="S113" i="6"/>
  <c r="T113" i="6" s="1"/>
  <c r="I107" i="38" l="1"/>
  <c r="F108" i="38"/>
  <c r="BM108" i="38" s="1"/>
  <c r="BK106" i="38"/>
  <c r="I33" i="38"/>
  <c r="BL105" i="38"/>
  <c r="BA105" i="38"/>
  <c r="BE105" i="38"/>
  <c r="BR106" i="38"/>
  <c r="BS106" i="38"/>
  <c r="BG106" i="38"/>
  <c r="AZ106" i="38"/>
  <c r="BH105" i="38"/>
  <c r="B36" i="38"/>
  <c r="BR34" i="38"/>
  <c r="BS34" i="38"/>
  <c r="J33" i="38"/>
  <c r="BD32" i="38"/>
  <c r="BE32" i="38" s="1"/>
  <c r="BK32" i="38"/>
  <c r="BL32" i="38" s="1"/>
  <c r="H34" i="38"/>
  <c r="AZ33" i="38"/>
  <c r="BA33" i="38" s="1"/>
  <c r="BG33" i="38"/>
  <c r="BH33" i="38" s="1"/>
  <c r="F35" i="38"/>
  <c r="BM34" i="38" s="1"/>
  <c r="AA113" i="6"/>
  <c r="S114" i="6"/>
  <c r="T114" i="6" s="1"/>
  <c r="Z28" i="6"/>
  <c r="AA28" i="6" s="1"/>
  <c r="I108" i="38" l="1"/>
  <c r="F109" i="38"/>
  <c r="BM109" i="38" s="1"/>
  <c r="BL106" i="38"/>
  <c r="BA106" i="38"/>
  <c r="I34" i="38"/>
  <c r="I35" i="38" s="1"/>
  <c r="BE106" i="38"/>
  <c r="BH106" i="38"/>
  <c r="BK107" i="38"/>
  <c r="BD107" i="38"/>
  <c r="AZ107" i="38"/>
  <c r="BG107" i="38"/>
  <c r="BS107" i="38"/>
  <c r="BR107" i="38"/>
  <c r="J34" i="38"/>
  <c r="BD33" i="38"/>
  <c r="BE33" i="38" s="1"/>
  <c r="BK33" i="38"/>
  <c r="BL33" i="38" s="1"/>
  <c r="B37" i="38"/>
  <c r="BR35" i="38"/>
  <c r="BS35" i="38"/>
  <c r="H35" i="38"/>
  <c r="BG34" i="38"/>
  <c r="BH34" i="38" s="1"/>
  <c r="AZ34" i="38"/>
  <c r="BA34" i="38" s="1"/>
  <c r="F36" i="38"/>
  <c r="BM35" i="38" s="1"/>
  <c r="AG113" i="6"/>
  <c r="AA114" i="6"/>
  <c r="S115" i="6"/>
  <c r="T115" i="6" s="1"/>
  <c r="F110" i="38" l="1"/>
  <c r="BM110" i="38" s="1"/>
  <c r="I109" i="38"/>
  <c r="BL107" i="38"/>
  <c r="BH107" i="38"/>
  <c r="AZ108" i="38"/>
  <c r="BG108" i="38"/>
  <c r="BD108" i="38"/>
  <c r="BK108" i="38"/>
  <c r="BA107" i="38"/>
  <c r="BR108" i="38"/>
  <c r="BS108" i="38"/>
  <c r="BE107" i="38"/>
  <c r="I36" i="38"/>
  <c r="J35" i="38"/>
  <c r="BK34" i="38"/>
  <c r="BL34" i="38" s="1"/>
  <c r="BD34" i="38"/>
  <c r="BE34" i="38" s="1"/>
  <c r="B38" i="38"/>
  <c r="BR36" i="38"/>
  <c r="BS36" i="38"/>
  <c r="H36" i="38"/>
  <c r="BG35" i="38"/>
  <c r="BH35" i="38" s="1"/>
  <c r="AZ35" i="38"/>
  <c r="BA35" i="38" s="1"/>
  <c r="F37" i="38"/>
  <c r="BM36" i="38" s="1"/>
  <c r="AG114" i="6"/>
  <c r="AA115" i="6"/>
  <c r="S116" i="6"/>
  <c r="T116" i="6" s="1"/>
  <c r="AE9" i="37" l="1"/>
  <c r="AB9" i="37"/>
  <c r="Y35" i="12" s="1"/>
  <c r="F111" i="38"/>
  <c r="BM111" i="38" s="1"/>
  <c r="I110" i="38"/>
  <c r="BH108" i="38"/>
  <c r="BA108" i="38"/>
  <c r="BR109" i="38"/>
  <c r="BS109" i="38"/>
  <c r="BL108" i="38"/>
  <c r="BD109" i="38"/>
  <c r="BK109" i="38"/>
  <c r="BE108" i="38"/>
  <c r="AZ109" i="38"/>
  <c r="BG109" i="38"/>
  <c r="B39" i="38"/>
  <c r="BR37" i="38"/>
  <c r="BS37" i="38"/>
  <c r="J36" i="38"/>
  <c r="BD35" i="38"/>
  <c r="BE35" i="38" s="1"/>
  <c r="BK35" i="38"/>
  <c r="BL35" i="38" s="1"/>
  <c r="I37" i="38"/>
  <c r="H37" i="38"/>
  <c r="BG36" i="38"/>
  <c r="BH36" i="38" s="1"/>
  <c r="AZ36" i="38"/>
  <c r="BA36" i="38" s="1"/>
  <c r="F38" i="38"/>
  <c r="BM37" i="38" s="1"/>
  <c r="AG115" i="6"/>
  <c r="AA116" i="6"/>
  <c r="S117" i="6"/>
  <c r="T117" i="6" s="1"/>
  <c r="I111" i="38" l="1"/>
  <c r="F112" i="38"/>
  <c r="BM112" i="38" s="1"/>
  <c r="BL109" i="38"/>
  <c r="AA35" i="12"/>
  <c r="AE12" i="37"/>
  <c r="BE109" i="38"/>
  <c r="AB12" i="37"/>
  <c r="BH109" i="38"/>
  <c r="BR110" i="38"/>
  <c r="BS110" i="38"/>
  <c r="BG110" i="38"/>
  <c r="AZ110" i="38"/>
  <c r="BD110" i="38"/>
  <c r="BK110" i="38"/>
  <c r="BA109" i="38"/>
  <c r="I38" i="38"/>
  <c r="J37" i="38"/>
  <c r="BD36" i="38"/>
  <c r="BE36" i="38" s="1"/>
  <c r="BK36" i="38"/>
  <c r="BL36" i="38" s="1"/>
  <c r="B40" i="38"/>
  <c r="BR38" i="38"/>
  <c r="BS38" i="38"/>
  <c r="H38" i="38"/>
  <c r="BG37" i="38"/>
  <c r="BH37" i="38" s="1"/>
  <c r="AZ37" i="38"/>
  <c r="BA37" i="38" s="1"/>
  <c r="F39" i="38"/>
  <c r="BM38" i="38" s="1"/>
  <c r="AG116" i="6"/>
  <c r="AA117" i="6"/>
  <c r="S118" i="6"/>
  <c r="T118" i="6" s="1"/>
  <c r="F113" i="38" l="1"/>
  <c r="I112" i="38"/>
  <c r="BA110" i="38"/>
  <c r="BE110" i="38"/>
  <c r="BL110" i="38"/>
  <c r="BH110" i="38"/>
  <c r="BR111" i="38"/>
  <c r="BS111" i="38"/>
  <c r="BK111" i="38"/>
  <c r="BD111" i="38"/>
  <c r="BG111" i="38"/>
  <c r="AZ111" i="38"/>
  <c r="B41" i="38"/>
  <c r="BR39" i="38"/>
  <c r="BS39" i="38"/>
  <c r="J38" i="38"/>
  <c r="BD37" i="38"/>
  <c r="BE37" i="38" s="1"/>
  <c r="BK37" i="38"/>
  <c r="BL37" i="38" s="1"/>
  <c r="I39" i="38"/>
  <c r="H39" i="38"/>
  <c r="BG38" i="38"/>
  <c r="BH38" i="38" s="1"/>
  <c r="AZ38" i="38"/>
  <c r="BA38" i="38" s="1"/>
  <c r="F40" i="38"/>
  <c r="BM39" i="38" s="1"/>
  <c r="AG117" i="6"/>
  <c r="AA118" i="6"/>
  <c r="S119" i="6"/>
  <c r="T119" i="6" s="1"/>
  <c r="F114" i="38" l="1"/>
  <c r="BM114" i="38" s="1"/>
  <c r="I113" i="38"/>
  <c r="BM113" i="38"/>
  <c r="BE111" i="38"/>
  <c r="BL111" i="38"/>
  <c r="BA111" i="38"/>
  <c r="BR112" i="38"/>
  <c r="BS112" i="38"/>
  <c r="BD112" i="38"/>
  <c r="BK112" i="38"/>
  <c r="AZ112" i="38"/>
  <c r="BG112" i="38"/>
  <c r="BH111" i="38"/>
  <c r="I40" i="38"/>
  <c r="J39" i="38"/>
  <c r="BK38" i="38"/>
  <c r="BL38" i="38" s="1"/>
  <c r="BD38" i="38"/>
  <c r="BE38" i="38" s="1"/>
  <c r="B42" i="38"/>
  <c r="BS40" i="38"/>
  <c r="BR40" i="38"/>
  <c r="H40" i="38"/>
  <c r="AZ39" i="38"/>
  <c r="BA39" i="38" s="1"/>
  <c r="BG39" i="38"/>
  <c r="BH39" i="38" s="1"/>
  <c r="F41" i="38"/>
  <c r="BM40" i="38" s="1"/>
  <c r="AG118" i="6"/>
  <c r="AA119" i="6"/>
  <c r="S120" i="6"/>
  <c r="T120" i="6" s="1"/>
  <c r="I114" i="38" l="1"/>
  <c r="F115" i="38"/>
  <c r="BH112" i="38"/>
  <c r="BE112" i="38"/>
  <c r="BA112" i="38"/>
  <c r="BL112" i="38"/>
  <c r="BG113" i="38"/>
  <c r="AZ113" i="38"/>
  <c r="BD113" i="38"/>
  <c r="BK113" i="38"/>
  <c r="BS113" i="38"/>
  <c r="BR113" i="38"/>
  <c r="J40" i="38"/>
  <c r="BD39" i="38"/>
  <c r="BE39" i="38" s="1"/>
  <c r="BK39" i="38"/>
  <c r="BL39" i="38" s="1"/>
  <c r="B43" i="38"/>
  <c r="BR41" i="38"/>
  <c r="BS41" i="38"/>
  <c r="I41" i="38"/>
  <c r="H41" i="38"/>
  <c r="AZ40" i="38"/>
  <c r="BA40" i="38" s="1"/>
  <c r="BG40" i="38"/>
  <c r="BH40" i="38" s="1"/>
  <c r="F42" i="38"/>
  <c r="BM41" i="38" s="1"/>
  <c r="AG119" i="6"/>
  <c r="AA120" i="6"/>
  <c r="S121" i="6"/>
  <c r="T121" i="6" s="1"/>
  <c r="F116" i="38" l="1"/>
  <c r="BM116" i="38" s="1"/>
  <c r="BM115" i="38"/>
  <c r="I115" i="38"/>
  <c r="BA113" i="38"/>
  <c r="BD114" i="38"/>
  <c r="BK114" i="38"/>
  <c r="BS114" i="38"/>
  <c r="BR114" i="38"/>
  <c r="BL113" i="38"/>
  <c r="BH113" i="38"/>
  <c r="BE113" i="38"/>
  <c r="BG114" i="38"/>
  <c r="AZ114" i="38"/>
  <c r="I42" i="38"/>
  <c r="B44" i="38"/>
  <c r="BR42" i="38"/>
  <c r="BS42" i="38"/>
  <c r="J41" i="38"/>
  <c r="BK40" i="38"/>
  <c r="BL40" i="38" s="1"/>
  <c r="BD40" i="38"/>
  <c r="BE40" i="38" s="1"/>
  <c r="H42" i="38"/>
  <c r="BG41" i="38"/>
  <c r="BH41" i="38" s="1"/>
  <c r="AZ41" i="38"/>
  <c r="BA41" i="38" s="1"/>
  <c r="F43" i="38"/>
  <c r="BM42" i="38" s="1"/>
  <c r="AG120" i="6"/>
  <c r="AA121" i="6"/>
  <c r="S122" i="6"/>
  <c r="T122" i="6" s="1"/>
  <c r="I116" i="38" l="1"/>
  <c r="F117" i="38"/>
  <c r="BA114" i="38"/>
  <c r="BE114" i="38"/>
  <c r="BH114" i="38"/>
  <c r="BR115" i="38"/>
  <c r="BS115" i="38"/>
  <c r="BD115" i="38"/>
  <c r="BK115" i="38"/>
  <c r="BG115" i="38"/>
  <c r="AZ115" i="38"/>
  <c r="BL114" i="38"/>
  <c r="B45" i="38"/>
  <c r="BR43" i="38"/>
  <c r="BS43" i="38"/>
  <c r="J42" i="38"/>
  <c r="BD41" i="38"/>
  <c r="BE41" i="38" s="1"/>
  <c r="BK41" i="38"/>
  <c r="BL41" i="38" s="1"/>
  <c r="I43" i="38"/>
  <c r="H43" i="38"/>
  <c r="AZ42" i="38"/>
  <c r="BA42" i="38" s="1"/>
  <c r="BG42" i="38"/>
  <c r="BH42" i="38" s="1"/>
  <c r="F44" i="38"/>
  <c r="AG121" i="6"/>
  <c r="AA122" i="6"/>
  <c r="S123" i="6"/>
  <c r="T123" i="6" s="1"/>
  <c r="F118" i="38" l="1"/>
  <c r="BM118" i="38" s="1"/>
  <c r="BM117" i="38"/>
  <c r="I117" i="38"/>
  <c r="BM44" i="38"/>
  <c r="BM43" i="38"/>
  <c r="BE115" i="38"/>
  <c r="BA115" i="38"/>
  <c r="BH115" i="38"/>
  <c r="BL115" i="38"/>
  <c r="AZ116" i="38"/>
  <c r="BG116" i="38"/>
  <c r="BS116" i="38"/>
  <c r="BR116" i="38"/>
  <c r="BK116" i="38"/>
  <c r="BD116" i="38"/>
  <c r="J43" i="38"/>
  <c r="BK42" i="38"/>
  <c r="BL42" i="38" s="1"/>
  <c r="BD42" i="38"/>
  <c r="BE42" i="38" s="1"/>
  <c r="I44" i="38"/>
  <c r="B46" i="38"/>
  <c r="BS44" i="38"/>
  <c r="BR44" i="38"/>
  <c r="H44" i="38"/>
  <c r="BG43" i="38"/>
  <c r="BH43" i="38" s="1"/>
  <c r="AZ43" i="38"/>
  <c r="BA43" i="38" s="1"/>
  <c r="F45" i="38"/>
  <c r="BM45" i="38" s="1"/>
  <c r="AG122" i="6"/>
  <c r="AA123" i="6"/>
  <c r="S124" i="6"/>
  <c r="T124" i="6" s="1"/>
  <c r="I118" i="38" l="1"/>
  <c r="F119" i="38"/>
  <c r="BM119" i="38" s="1"/>
  <c r="BL116" i="38"/>
  <c r="BE116" i="38"/>
  <c r="BH116" i="38"/>
  <c r="BD117" i="38"/>
  <c r="BK117" i="38"/>
  <c r="BA116" i="38"/>
  <c r="BG117" i="38"/>
  <c r="AZ117" i="38"/>
  <c r="BR117" i="38"/>
  <c r="BS117" i="38"/>
  <c r="B47" i="38"/>
  <c r="BR45" i="38"/>
  <c r="BS45" i="38"/>
  <c r="I45" i="38"/>
  <c r="J44" i="38"/>
  <c r="BD43" i="38"/>
  <c r="BE43" i="38" s="1"/>
  <c r="BK43" i="38"/>
  <c r="BL43" i="38" s="1"/>
  <c r="H45" i="38"/>
  <c r="AZ44" i="38"/>
  <c r="BA44" i="38" s="1"/>
  <c r="BG44" i="38"/>
  <c r="BH44" i="38" s="1"/>
  <c r="F46" i="38"/>
  <c r="BM46" i="38" s="1"/>
  <c r="AG123" i="6"/>
  <c r="AA124" i="6"/>
  <c r="S125" i="6"/>
  <c r="T125" i="6" s="1"/>
  <c r="I119" i="38" l="1"/>
  <c r="F120" i="38"/>
  <c r="BA117" i="38"/>
  <c r="BG118" i="38"/>
  <c r="AZ118" i="38"/>
  <c r="BR118" i="38"/>
  <c r="BS118" i="38"/>
  <c r="BL117" i="38"/>
  <c r="BE117" i="38"/>
  <c r="BH117" i="38"/>
  <c r="BK118" i="38"/>
  <c r="BD118" i="38"/>
  <c r="I46" i="38"/>
  <c r="J45" i="38"/>
  <c r="BK44" i="38"/>
  <c r="BL44" i="38" s="1"/>
  <c r="BD44" i="38"/>
  <c r="BE44" i="38" s="1"/>
  <c r="B48" i="38"/>
  <c r="BR46" i="38"/>
  <c r="BS46" i="38"/>
  <c r="H46" i="38"/>
  <c r="AZ45" i="38"/>
  <c r="BA45" i="38" s="1"/>
  <c r="BG45" i="38"/>
  <c r="BH45" i="38" s="1"/>
  <c r="F47" i="38"/>
  <c r="BM47" i="38" s="1"/>
  <c r="AG124" i="6"/>
  <c r="AA125" i="6"/>
  <c r="S126" i="6"/>
  <c r="T126" i="6" s="1"/>
  <c r="F121" i="38" l="1"/>
  <c r="BM121" i="38" s="1"/>
  <c r="I120" i="38"/>
  <c r="BM120" i="38"/>
  <c r="BE118" i="38"/>
  <c r="BL118" i="38"/>
  <c r="BA118" i="38"/>
  <c r="BK119" i="38"/>
  <c r="BD119" i="38"/>
  <c r="BR119" i="38"/>
  <c r="BS119" i="38"/>
  <c r="BH118" i="38"/>
  <c r="BG119" i="38"/>
  <c r="AZ119" i="38"/>
  <c r="B49" i="38"/>
  <c r="BR47" i="38"/>
  <c r="BS47" i="38"/>
  <c r="J46" i="38"/>
  <c r="BD45" i="38"/>
  <c r="BE45" i="38" s="1"/>
  <c r="BK45" i="38"/>
  <c r="BL45" i="38" s="1"/>
  <c r="I47" i="38"/>
  <c r="H47" i="38"/>
  <c r="BG46" i="38"/>
  <c r="BH46" i="38" s="1"/>
  <c r="AZ46" i="38"/>
  <c r="BA46" i="38" s="1"/>
  <c r="F48" i="38"/>
  <c r="BM48" i="38" s="1"/>
  <c r="AG125" i="6"/>
  <c r="AA126" i="6"/>
  <c r="S127" i="6"/>
  <c r="T127" i="6" s="1"/>
  <c r="I121" i="38" l="1"/>
  <c r="F122" i="38"/>
  <c r="BM122" i="38" s="1"/>
  <c r="BH119" i="38"/>
  <c r="BA119" i="38"/>
  <c r="BE119" i="38"/>
  <c r="BR120" i="38"/>
  <c r="BS120" i="38"/>
  <c r="BL119" i="38"/>
  <c r="BG120" i="38"/>
  <c r="AZ120" i="38"/>
  <c r="BD120" i="38"/>
  <c r="BK120" i="38"/>
  <c r="I48" i="38"/>
  <c r="J47" i="38"/>
  <c r="BK46" i="38"/>
  <c r="BL46" i="38" s="1"/>
  <c r="BD46" i="38"/>
  <c r="BE46" i="38" s="1"/>
  <c r="B50" i="38"/>
  <c r="BS48" i="38"/>
  <c r="BR48" i="38"/>
  <c r="H48" i="38"/>
  <c r="BG47" i="38"/>
  <c r="BH47" i="38" s="1"/>
  <c r="AZ47" i="38"/>
  <c r="BA47" i="38" s="1"/>
  <c r="F49" i="38"/>
  <c r="BM49" i="38" s="1"/>
  <c r="AG126" i="6"/>
  <c r="AA127" i="6"/>
  <c r="S128" i="6"/>
  <c r="T128" i="6" s="1"/>
  <c r="I122" i="38" l="1"/>
  <c r="F123" i="38"/>
  <c r="BM123" i="38" s="1"/>
  <c r="BL120" i="38"/>
  <c r="BE120" i="38"/>
  <c r="BA120" i="38"/>
  <c r="BK121" i="38"/>
  <c r="BD121" i="38"/>
  <c r="BR121" i="38"/>
  <c r="BS121" i="38"/>
  <c r="BH120" i="38"/>
  <c r="BG121" i="38"/>
  <c r="AZ121" i="38"/>
  <c r="B51" i="38"/>
  <c r="BS49" i="38"/>
  <c r="BR49" i="38"/>
  <c r="J48" i="38"/>
  <c r="BD47" i="38"/>
  <c r="BE47" i="38" s="1"/>
  <c r="BK47" i="38"/>
  <c r="BL47" i="38" s="1"/>
  <c r="I49" i="38"/>
  <c r="H49" i="38"/>
  <c r="BG48" i="38"/>
  <c r="BH48" i="38" s="1"/>
  <c r="AZ48" i="38"/>
  <c r="BA48" i="38" s="1"/>
  <c r="F50" i="38"/>
  <c r="BM50" i="38" s="1"/>
  <c r="AG127" i="6"/>
  <c r="AA128" i="6"/>
  <c r="S129" i="6"/>
  <c r="T129" i="6" s="1"/>
  <c r="I123" i="38" l="1"/>
  <c r="F124" i="38"/>
  <c r="BM124" i="38" s="1"/>
  <c r="BH121" i="38"/>
  <c r="BE121" i="38"/>
  <c r="AZ122" i="38"/>
  <c r="BG122" i="38"/>
  <c r="BL121" i="38"/>
  <c r="BS122" i="38"/>
  <c r="BR122" i="38"/>
  <c r="BA121" i="38"/>
  <c r="BK122" i="38"/>
  <c r="BD122" i="38"/>
  <c r="I50" i="38"/>
  <c r="J49" i="38"/>
  <c r="BK48" i="38"/>
  <c r="BL48" i="38" s="1"/>
  <c r="BD48" i="38"/>
  <c r="BE48" i="38" s="1"/>
  <c r="B52" i="38"/>
  <c r="BR50" i="38"/>
  <c r="BS50" i="38"/>
  <c r="H50" i="38"/>
  <c r="AZ49" i="38"/>
  <c r="BA49" i="38" s="1"/>
  <c r="BG49" i="38"/>
  <c r="BH49" i="38" s="1"/>
  <c r="F51" i="38"/>
  <c r="BM51" i="38" s="1"/>
  <c r="AG128" i="6"/>
  <c r="AA129" i="6"/>
  <c r="S130" i="6"/>
  <c r="T130" i="6" s="1"/>
  <c r="I124" i="38" l="1"/>
  <c r="F125" i="38"/>
  <c r="BM125" i="38" s="1"/>
  <c r="BL122" i="38"/>
  <c r="BH122" i="38"/>
  <c r="BD123" i="38"/>
  <c r="BK123" i="38"/>
  <c r="BA122" i="38"/>
  <c r="BR123" i="38"/>
  <c r="BS123" i="38"/>
  <c r="BG123" i="38"/>
  <c r="AZ123" i="38"/>
  <c r="BE122" i="38"/>
  <c r="B53" i="38"/>
  <c r="BS51" i="38"/>
  <c r="BR51" i="38"/>
  <c r="J50" i="38"/>
  <c r="BD49" i="38"/>
  <c r="BE49" i="38" s="1"/>
  <c r="BK49" i="38"/>
  <c r="BL49" i="38" s="1"/>
  <c r="I51" i="38"/>
  <c r="H51" i="38"/>
  <c r="BG50" i="38"/>
  <c r="BH50" i="38" s="1"/>
  <c r="AZ50" i="38"/>
  <c r="BA50" i="38" s="1"/>
  <c r="F52" i="38"/>
  <c r="BM52" i="38" s="1"/>
  <c r="AG129" i="6"/>
  <c r="AA130" i="6"/>
  <c r="S131" i="6"/>
  <c r="T131" i="6" s="1"/>
  <c r="F126" i="38" l="1"/>
  <c r="BM126" i="38" s="1"/>
  <c r="I125" i="38"/>
  <c r="BA123" i="38"/>
  <c r="BH123" i="38"/>
  <c r="BL123" i="38"/>
  <c r="BS124" i="38"/>
  <c r="BR124" i="38"/>
  <c r="BE123" i="38"/>
  <c r="AZ124" i="38"/>
  <c r="BG124" i="38"/>
  <c r="BK124" i="38"/>
  <c r="BD124" i="38"/>
  <c r="I52" i="38"/>
  <c r="J51" i="38"/>
  <c r="BK50" i="38"/>
  <c r="BL50" i="38" s="1"/>
  <c r="BD50" i="38"/>
  <c r="BE50" i="38" s="1"/>
  <c r="B54" i="38"/>
  <c r="BR52" i="38"/>
  <c r="BS52" i="38"/>
  <c r="H52" i="38"/>
  <c r="AZ51" i="38"/>
  <c r="BA51" i="38" s="1"/>
  <c r="BG51" i="38"/>
  <c r="BH51" i="38" s="1"/>
  <c r="F53" i="38"/>
  <c r="BM53" i="38" s="1"/>
  <c r="AG130" i="6"/>
  <c r="AA131" i="6"/>
  <c r="S132" i="6"/>
  <c r="T132" i="6" s="1"/>
  <c r="F127" i="38" l="1"/>
  <c r="BM127" i="38" s="1"/>
  <c r="I126" i="38"/>
  <c r="BL124" i="38"/>
  <c r="BE124" i="38"/>
  <c r="B55" i="38"/>
  <c r="BS53" i="38"/>
  <c r="BR53" i="38"/>
  <c r="BA124" i="38"/>
  <c r="BD125" i="38"/>
  <c r="BK125" i="38"/>
  <c r="AZ125" i="38"/>
  <c r="BG125" i="38"/>
  <c r="BR125" i="38"/>
  <c r="BS125" i="38"/>
  <c r="BH124" i="38"/>
  <c r="I53" i="38"/>
  <c r="J52" i="38"/>
  <c r="BK51" i="38"/>
  <c r="BL51" i="38" s="1"/>
  <c r="BD51" i="38"/>
  <c r="BE51" i="38" s="1"/>
  <c r="AF29" i="38"/>
  <c r="H53" i="38"/>
  <c r="AZ52" i="38"/>
  <c r="BA52" i="38" s="1"/>
  <c r="BG52" i="38"/>
  <c r="BH52" i="38" s="1"/>
  <c r="F54" i="38"/>
  <c r="BM54" i="38" s="1"/>
  <c r="AG131" i="6"/>
  <c r="AA132" i="6"/>
  <c r="AG132" i="6" s="1"/>
  <c r="S133" i="6"/>
  <c r="T133" i="6" s="1"/>
  <c r="F128" i="38" l="1"/>
  <c r="BM128" i="38" s="1"/>
  <c r="I127" i="38"/>
  <c r="BL125" i="38"/>
  <c r="AG29" i="38"/>
  <c r="BA125" i="38"/>
  <c r="I54" i="38"/>
  <c r="BS126" i="38"/>
  <c r="BR126" i="38"/>
  <c r="AZ126" i="38"/>
  <c r="BG126" i="38"/>
  <c r="B56" i="38"/>
  <c r="BS54" i="38"/>
  <c r="BR54" i="38"/>
  <c r="H54" i="38"/>
  <c r="AZ53" i="38"/>
  <c r="BA53" i="38" s="1"/>
  <c r="BG53" i="38"/>
  <c r="BH53" i="38" s="1"/>
  <c r="BK126" i="38"/>
  <c r="BD126" i="38"/>
  <c r="BH125" i="38"/>
  <c r="BE125" i="38"/>
  <c r="J53" i="38"/>
  <c r="BK52" i="38"/>
  <c r="BL52" i="38" s="1"/>
  <c r="BD52" i="38"/>
  <c r="BE52" i="38" s="1"/>
  <c r="F55" i="38"/>
  <c r="BM55" i="38" s="1"/>
  <c r="AA133" i="6"/>
  <c r="S134" i="6"/>
  <c r="T134" i="6" s="1"/>
  <c r="Z29" i="6"/>
  <c r="AA29" i="6" s="1"/>
  <c r="F129" i="38" l="1"/>
  <c r="BM129" i="38" s="1"/>
  <c r="I128" i="38"/>
  <c r="BH126" i="38"/>
  <c r="BL126" i="38"/>
  <c r="BE126" i="38"/>
  <c r="BA126" i="38"/>
  <c r="BD127" i="38"/>
  <c r="BK127" i="38"/>
  <c r="B57" i="38"/>
  <c r="BR55" i="38"/>
  <c r="BS55" i="38"/>
  <c r="BG127" i="38"/>
  <c r="AZ127" i="38"/>
  <c r="J54" i="38"/>
  <c r="BK53" i="38"/>
  <c r="BL53" i="38" s="1"/>
  <c r="BD53" i="38"/>
  <c r="BE53" i="38" s="1"/>
  <c r="H55" i="38"/>
  <c r="BG54" i="38"/>
  <c r="BH54" i="38" s="1"/>
  <c r="AZ54" i="38"/>
  <c r="BA54" i="38" s="1"/>
  <c r="BS127" i="38"/>
  <c r="BR127" i="38"/>
  <c r="I55" i="38"/>
  <c r="F56" i="38"/>
  <c r="BM56" i="38" s="1"/>
  <c r="AG133" i="6"/>
  <c r="AA134" i="6"/>
  <c r="S135" i="6"/>
  <c r="T135" i="6" s="1"/>
  <c r="I129" i="38" l="1"/>
  <c r="F130" i="38"/>
  <c r="BM130" i="38" s="1"/>
  <c r="BA127" i="38"/>
  <c r="BD128" i="38"/>
  <c r="BK128" i="38"/>
  <c r="I56" i="38"/>
  <c r="BH127" i="38"/>
  <c r="B58" i="38"/>
  <c r="BR56" i="38"/>
  <c r="BS56" i="38"/>
  <c r="BG128" i="38"/>
  <c r="AZ128" i="38"/>
  <c r="BL127" i="38"/>
  <c r="BR128" i="38"/>
  <c r="BS128" i="38"/>
  <c r="H56" i="38"/>
  <c r="BG55" i="38"/>
  <c r="BH55" i="38" s="1"/>
  <c r="AZ55" i="38"/>
  <c r="BA55" i="38" s="1"/>
  <c r="J55" i="38"/>
  <c r="BD54" i="38"/>
  <c r="BE54" i="38" s="1"/>
  <c r="BK54" i="38"/>
  <c r="BL54" i="38" s="1"/>
  <c r="BE127" i="38"/>
  <c r="F57" i="38"/>
  <c r="BM57" i="38" s="1"/>
  <c r="AG134" i="6"/>
  <c r="AA135" i="6"/>
  <c r="S136" i="6"/>
  <c r="T136" i="6" s="1"/>
  <c r="I130" i="38" l="1"/>
  <c r="F131" i="38"/>
  <c r="BE128" i="38"/>
  <c r="B59" i="38"/>
  <c r="BR57" i="38"/>
  <c r="BS57" i="38"/>
  <c r="I57" i="38"/>
  <c r="BD129" i="38"/>
  <c r="BK129" i="38"/>
  <c r="H57" i="38"/>
  <c r="AZ56" i="38"/>
  <c r="BA56" i="38" s="1"/>
  <c r="BG56" i="38"/>
  <c r="BH56" i="38" s="1"/>
  <c r="BR129" i="38"/>
  <c r="BS129" i="38"/>
  <c r="BA128" i="38"/>
  <c r="AZ129" i="38"/>
  <c r="BG129" i="38"/>
  <c r="J56" i="38"/>
  <c r="BD55" i="38"/>
  <c r="BE55" i="38" s="1"/>
  <c r="BK55" i="38"/>
  <c r="BL55" i="38" s="1"/>
  <c r="BH128" i="38"/>
  <c r="BL128" i="38"/>
  <c r="F58" i="38"/>
  <c r="BM58" i="38" s="1"/>
  <c r="AG135" i="6"/>
  <c r="AA136" i="6"/>
  <c r="S137" i="6"/>
  <c r="T137" i="6" s="1"/>
  <c r="BA129" i="38" l="1"/>
  <c r="I131" i="38"/>
  <c r="F132" i="38"/>
  <c r="BM131" i="38"/>
  <c r="BE129" i="38"/>
  <c r="BL129" i="38"/>
  <c r="BG130" i="38"/>
  <c r="AZ130" i="38"/>
  <c r="I58" i="38"/>
  <c r="BS130" i="38"/>
  <c r="BR130" i="38"/>
  <c r="J57" i="38"/>
  <c r="BD56" i="38"/>
  <c r="BE56" i="38" s="1"/>
  <c r="BK56" i="38"/>
  <c r="BL56" i="38" s="1"/>
  <c r="BK130" i="38"/>
  <c r="BD130" i="38"/>
  <c r="B60" i="38"/>
  <c r="BR58" i="38"/>
  <c r="BS58" i="38"/>
  <c r="BH129" i="38"/>
  <c r="H58" i="38"/>
  <c r="BG57" i="38"/>
  <c r="BH57" i="38" s="1"/>
  <c r="AZ57" i="38"/>
  <c r="BA57" i="38" s="1"/>
  <c r="F59" i="38"/>
  <c r="BM59" i="38" s="1"/>
  <c r="AG136" i="6"/>
  <c r="AA137" i="6"/>
  <c r="S138" i="6"/>
  <c r="T138" i="6" s="1"/>
  <c r="F133" i="38" l="1"/>
  <c r="BM133" i="38" s="1"/>
  <c r="BM132" i="38"/>
  <c r="I132" i="38"/>
  <c r="BE130" i="38"/>
  <c r="BA130" i="38"/>
  <c r="BL130" i="38"/>
  <c r="J58" i="38"/>
  <c r="BK57" i="38"/>
  <c r="BL57" i="38" s="1"/>
  <c r="BD57" i="38"/>
  <c r="BE57" i="38" s="1"/>
  <c r="BS131" i="38"/>
  <c r="BR131" i="38"/>
  <c r="I59" i="38"/>
  <c r="BD131" i="38"/>
  <c r="BK131" i="38"/>
  <c r="H59" i="38"/>
  <c r="BG58" i="38"/>
  <c r="BH58" i="38" s="1"/>
  <c r="AZ58" i="38"/>
  <c r="BA58" i="38" s="1"/>
  <c r="B61" i="38"/>
  <c r="BS59" i="38"/>
  <c r="BR59" i="38"/>
  <c r="BH130" i="38"/>
  <c r="BG131" i="38"/>
  <c r="AZ131" i="38"/>
  <c r="F60" i="38"/>
  <c r="BM60" i="38" s="1"/>
  <c r="AG137" i="6"/>
  <c r="AA138" i="6"/>
  <c r="S139" i="6"/>
  <c r="T139" i="6" s="1"/>
  <c r="I133" i="38" l="1"/>
  <c r="F134" i="38"/>
  <c r="BH131" i="38"/>
  <c r="BL131" i="38"/>
  <c r="B62" i="38"/>
  <c r="BR60" i="38"/>
  <c r="BS60" i="38"/>
  <c r="BA131" i="38"/>
  <c r="J59" i="38"/>
  <c r="BD58" i="38"/>
  <c r="BE58" i="38" s="1"/>
  <c r="BK58" i="38"/>
  <c r="BL58" i="38" s="1"/>
  <c r="BR132" i="38"/>
  <c r="BS132" i="38"/>
  <c r="BK132" i="38"/>
  <c r="BD132" i="38"/>
  <c r="BG132" i="38"/>
  <c r="AZ132" i="38"/>
  <c r="H60" i="38"/>
  <c r="AZ59" i="38"/>
  <c r="BA59" i="38" s="1"/>
  <c r="BG59" i="38"/>
  <c r="BH59" i="38" s="1"/>
  <c r="BE131" i="38"/>
  <c r="I60" i="38"/>
  <c r="F61" i="38"/>
  <c r="BM61" i="38" s="1"/>
  <c r="AG138" i="6"/>
  <c r="AA139" i="6"/>
  <c r="S140" i="6"/>
  <c r="T140" i="6" s="1"/>
  <c r="F135" i="38" l="1"/>
  <c r="BM135" i="38" s="1"/>
  <c r="BE132" i="38"/>
  <c r="BM134" i="38"/>
  <c r="I134" i="38"/>
  <c r="BA132" i="38"/>
  <c r="BH132" i="38"/>
  <c r="J60" i="38"/>
  <c r="BK59" i="38"/>
  <c r="BL59" i="38" s="1"/>
  <c r="BD59" i="38"/>
  <c r="BE59" i="38" s="1"/>
  <c r="I61" i="38"/>
  <c r="BG133" i="38"/>
  <c r="AZ133" i="38"/>
  <c r="BD133" i="38"/>
  <c r="BK133" i="38"/>
  <c r="H61" i="38"/>
  <c r="BG60" i="38"/>
  <c r="BH60" i="38" s="1"/>
  <c r="AZ60" i="38"/>
  <c r="BA60" i="38" s="1"/>
  <c r="BL132" i="38"/>
  <c r="BS133" i="38"/>
  <c r="BR133" i="38"/>
  <c r="B63" i="38"/>
  <c r="BR61" i="38"/>
  <c r="BS61" i="38"/>
  <c r="F62" i="38"/>
  <c r="BM62" i="38" s="1"/>
  <c r="AG139" i="6"/>
  <c r="AA140" i="6"/>
  <c r="S141" i="6"/>
  <c r="T141" i="6" s="1"/>
  <c r="I135" i="38" l="1"/>
  <c r="F136" i="38"/>
  <c r="BA133" i="38"/>
  <c r="BE133" i="38"/>
  <c r="B64" i="38"/>
  <c r="BR62" i="38"/>
  <c r="BS62" i="38"/>
  <c r="BR134" i="38"/>
  <c r="BS134" i="38"/>
  <c r="BD134" i="38"/>
  <c r="BK134" i="38"/>
  <c r="BH133" i="38"/>
  <c r="I62" i="38"/>
  <c r="H62" i="38"/>
  <c r="BG61" i="38"/>
  <c r="BH61" i="38" s="1"/>
  <c r="AZ61" i="38"/>
  <c r="BA61" i="38" s="1"/>
  <c r="BG134" i="38"/>
  <c r="AZ134" i="38"/>
  <c r="J61" i="38"/>
  <c r="BD60" i="38"/>
  <c r="BE60" i="38" s="1"/>
  <c r="BK60" i="38"/>
  <c r="BL60" i="38" s="1"/>
  <c r="BL133" i="38"/>
  <c r="F63" i="38"/>
  <c r="BM63" i="38" s="1"/>
  <c r="AG140" i="6"/>
  <c r="AA141" i="6"/>
  <c r="S142" i="6"/>
  <c r="T142" i="6" s="1"/>
  <c r="F137" i="38" l="1"/>
  <c r="BM137" i="38" s="1"/>
  <c r="I136" i="38"/>
  <c r="BM136" i="38"/>
  <c r="BH134" i="38"/>
  <c r="BL134" i="38"/>
  <c r="H63" i="38"/>
  <c r="AZ62" i="38"/>
  <c r="BA62" i="38" s="1"/>
  <c r="BG62" i="38"/>
  <c r="BH62" i="38" s="1"/>
  <c r="BE134" i="38"/>
  <c r="BR135" i="38"/>
  <c r="BS135" i="38"/>
  <c r="J62" i="38"/>
  <c r="BK61" i="38"/>
  <c r="BL61" i="38" s="1"/>
  <c r="BD61" i="38"/>
  <c r="BE61" i="38" s="1"/>
  <c r="I63" i="38"/>
  <c r="BD135" i="38"/>
  <c r="BK135" i="38"/>
  <c r="BA134" i="38"/>
  <c r="AZ135" i="38"/>
  <c r="BG135" i="38"/>
  <c r="B65" i="38"/>
  <c r="BR63" i="38"/>
  <c r="BS63" i="38"/>
  <c r="F64" i="38"/>
  <c r="BM64" i="38" s="1"/>
  <c r="AG141" i="6"/>
  <c r="AA142" i="6"/>
  <c r="S143" i="6"/>
  <c r="T143" i="6" s="1"/>
  <c r="I137" i="38" l="1"/>
  <c r="F138" i="38"/>
  <c r="BM138" i="38" s="1"/>
  <c r="BE135" i="38"/>
  <c r="BA135" i="38"/>
  <c r="BH135" i="38"/>
  <c r="BL135" i="38"/>
  <c r="BK136" i="38"/>
  <c r="BD136" i="38"/>
  <c r="J63" i="38"/>
  <c r="BD62" i="38"/>
  <c r="BE62" i="38" s="1"/>
  <c r="BK62" i="38"/>
  <c r="BL62" i="38" s="1"/>
  <c r="B66" i="38"/>
  <c r="BR64" i="38"/>
  <c r="BS64" i="38"/>
  <c r="BG136" i="38"/>
  <c r="AZ136" i="38"/>
  <c r="I64" i="38"/>
  <c r="BS136" i="38"/>
  <c r="BR136" i="38"/>
  <c r="H64" i="38"/>
  <c r="BG63" i="38"/>
  <c r="BH63" i="38" s="1"/>
  <c r="AZ63" i="38"/>
  <c r="BA63" i="38" s="1"/>
  <c r="F65" i="38"/>
  <c r="BM65" i="38" s="1"/>
  <c r="AG142" i="6"/>
  <c r="AA143" i="6"/>
  <c r="S144" i="6"/>
  <c r="T144" i="6" s="1"/>
  <c r="F139" i="38" l="1"/>
  <c r="BM139" i="38" s="1"/>
  <c r="I138" i="38"/>
  <c r="BA136" i="38"/>
  <c r="BD137" i="38"/>
  <c r="BK137" i="38"/>
  <c r="BH136" i="38"/>
  <c r="B67" i="38"/>
  <c r="BR65" i="38"/>
  <c r="BS65" i="38"/>
  <c r="AZ137" i="38"/>
  <c r="BG137" i="38"/>
  <c r="BE136" i="38"/>
  <c r="H65" i="38"/>
  <c r="BG64" i="38"/>
  <c r="BH64" i="38" s="1"/>
  <c r="AZ64" i="38"/>
  <c r="BA64" i="38" s="1"/>
  <c r="J64" i="38"/>
  <c r="BK63" i="38"/>
  <c r="BL63" i="38" s="1"/>
  <c r="BD63" i="38"/>
  <c r="BE63" i="38" s="1"/>
  <c r="BR137" i="38"/>
  <c r="BS137" i="38"/>
  <c r="I65" i="38"/>
  <c r="BL136" i="38"/>
  <c r="F66" i="38"/>
  <c r="BM66" i="38" s="1"/>
  <c r="AG143" i="6"/>
  <c r="AA144" i="6"/>
  <c r="S145" i="6"/>
  <c r="T145" i="6" s="1"/>
  <c r="I139" i="38" l="1"/>
  <c r="F140" i="38"/>
  <c r="BM140" i="38" s="1"/>
  <c r="AZ138" i="38"/>
  <c r="BG138" i="38"/>
  <c r="I66" i="38"/>
  <c r="BL137" i="38"/>
  <c r="BR138" i="38"/>
  <c r="BS138" i="38"/>
  <c r="H66" i="38"/>
  <c r="BG65" i="38"/>
  <c r="BH65" i="38" s="1"/>
  <c r="AZ65" i="38"/>
  <c r="BA65" i="38" s="1"/>
  <c r="BH137" i="38"/>
  <c r="BE137" i="38"/>
  <c r="B68" i="38"/>
  <c r="BR66" i="38"/>
  <c r="BS66" i="38"/>
  <c r="J65" i="38"/>
  <c r="BD64" i="38"/>
  <c r="BE64" i="38" s="1"/>
  <c r="BK64" i="38"/>
  <c r="BL64" i="38" s="1"/>
  <c r="BA137" i="38"/>
  <c r="BK138" i="38"/>
  <c r="BD138" i="38"/>
  <c r="F67" i="38"/>
  <c r="BM67" i="38" s="1"/>
  <c r="AG144" i="6"/>
  <c r="AA145" i="6"/>
  <c r="S146" i="6"/>
  <c r="T146" i="6" s="1"/>
  <c r="F141" i="38" l="1"/>
  <c r="BM141" i="38" s="1"/>
  <c r="I140" i="38"/>
  <c r="BE138" i="38"/>
  <c r="BA138" i="38"/>
  <c r="BH138" i="38"/>
  <c r="H67" i="38"/>
  <c r="BG66" i="38"/>
  <c r="BH66" i="38" s="1"/>
  <c r="AZ66" i="38"/>
  <c r="BA66" i="38" s="1"/>
  <c r="BR139" i="38"/>
  <c r="BS139" i="38"/>
  <c r="BL138" i="38"/>
  <c r="BD139" i="38"/>
  <c r="BK139" i="38"/>
  <c r="J66" i="38"/>
  <c r="BK65" i="38"/>
  <c r="BL65" i="38" s="1"/>
  <c r="BD65" i="38"/>
  <c r="BE65" i="38" s="1"/>
  <c r="B69" i="38"/>
  <c r="BR67" i="38"/>
  <c r="BS67" i="38"/>
  <c r="I67" i="38"/>
  <c r="BG139" i="38"/>
  <c r="AZ139" i="38"/>
  <c r="F68" i="38"/>
  <c r="BM68" i="38" s="1"/>
  <c r="AG145" i="6"/>
  <c r="AA146" i="6"/>
  <c r="S147" i="6"/>
  <c r="T147" i="6" s="1"/>
  <c r="I141" i="38" l="1"/>
  <c r="BL139" i="38"/>
  <c r="F142" i="38"/>
  <c r="BM142" i="38" s="1"/>
  <c r="BE139" i="38"/>
  <c r="BA139" i="38"/>
  <c r="BH139" i="38"/>
  <c r="I68" i="38"/>
  <c r="BG140" i="38"/>
  <c r="AZ140" i="38"/>
  <c r="BD140" i="38"/>
  <c r="BK140" i="38"/>
  <c r="B70" i="38"/>
  <c r="BR68" i="38"/>
  <c r="BS68" i="38"/>
  <c r="BR140" i="38"/>
  <c r="BS140" i="38"/>
  <c r="J67" i="38"/>
  <c r="BD66" i="38"/>
  <c r="BE66" i="38" s="1"/>
  <c r="BK66" i="38"/>
  <c r="BL66" i="38" s="1"/>
  <c r="H68" i="38"/>
  <c r="BG67" i="38"/>
  <c r="BH67" i="38" s="1"/>
  <c r="AZ67" i="38"/>
  <c r="BA67" i="38" s="1"/>
  <c r="F69" i="38"/>
  <c r="BM69" i="38" s="1"/>
  <c r="AG146" i="6"/>
  <c r="AA147" i="6"/>
  <c r="S148" i="6"/>
  <c r="T148" i="6" s="1"/>
  <c r="F143" i="38" l="1"/>
  <c r="BM143" i="38" s="1"/>
  <c r="I142" i="38"/>
  <c r="BH140" i="38"/>
  <c r="BE140" i="38"/>
  <c r="BG141" i="38"/>
  <c r="AZ141" i="38"/>
  <c r="H69" i="38"/>
  <c r="BG68" i="38"/>
  <c r="BH68" i="38" s="1"/>
  <c r="AZ68" i="38"/>
  <c r="BA68" i="38" s="1"/>
  <c r="J68" i="38"/>
  <c r="BK67" i="38"/>
  <c r="BL67" i="38" s="1"/>
  <c r="BD67" i="38"/>
  <c r="BE67" i="38" s="1"/>
  <c r="B71" i="38"/>
  <c r="BR69" i="38"/>
  <c r="BS69" i="38"/>
  <c r="BK141" i="38"/>
  <c r="BD141" i="38"/>
  <c r="I69" i="38"/>
  <c r="BS141" i="38"/>
  <c r="BR141" i="38"/>
  <c r="BA140" i="38"/>
  <c r="BL140" i="38"/>
  <c r="F70" i="38"/>
  <c r="BM70" i="38" s="1"/>
  <c r="AG147" i="6"/>
  <c r="AA148" i="6"/>
  <c r="S149" i="6"/>
  <c r="T149" i="6" s="1"/>
  <c r="I143" i="38" l="1"/>
  <c r="F144" i="38"/>
  <c r="BM144" i="38" s="1"/>
  <c r="BA141" i="38"/>
  <c r="BL141" i="38"/>
  <c r="I70" i="38"/>
  <c r="BK142" i="38"/>
  <c r="BD142" i="38"/>
  <c r="BH141" i="38"/>
  <c r="B72" i="38"/>
  <c r="BR70" i="38"/>
  <c r="BS70" i="38"/>
  <c r="BG142" i="38"/>
  <c r="AZ142" i="38"/>
  <c r="BR142" i="38"/>
  <c r="BS142" i="38"/>
  <c r="J69" i="38"/>
  <c r="BD68" i="38"/>
  <c r="BE68" i="38" s="1"/>
  <c r="BK68" i="38"/>
  <c r="BL68" i="38" s="1"/>
  <c r="BE141" i="38"/>
  <c r="BG69" i="38"/>
  <c r="BH69" i="38" s="1"/>
  <c r="AZ69" i="38"/>
  <c r="BA69" i="38" s="1"/>
  <c r="H70" i="38"/>
  <c r="F71" i="38"/>
  <c r="BM71" i="38" s="1"/>
  <c r="AG148" i="6"/>
  <c r="AA149" i="6"/>
  <c r="S150" i="6"/>
  <c r="T150" i="6" s="1"/>
  <c r="F145" i="38" l="1"/>
  <c r="BM145" i="38" s="1"/>
  <c r="I144" i="38"/>
  <c r="BR143" i="38"/>
  <c r="BS143" i="38"/>
  <c r="AZ143" i="38"/>
  <c r="BG143" i="38"/>
  <c r="BR71" i="38"/>
  <c r="BS71" i="38"/>
  <c r="BD143" i="38"/>
  <c r="BK143" i="38"/>
  <c r="BK69" i="38"/>
  <c r="BL69" i="38" s="1"/>
  <c r="BD69" i="38"/>
  <c r="BE69" i="38" s="1"/>
  <c r="J70" i="38"/>
  <c r="I71" i="38"/>
  <c r="H71" i="38"/>
  <c r="AZ70" i="38"/>
  <c r="BA70" i="38" s="1"/>
  <c r="BG70" i="38"/>
  <c r="BH70" i="38" s="1"/>
  <c r="BE142" i="38"/>
  <c r="BA142" i="38"/>
  <c r="BH142" i="38"/>
  <c r="BL142" i="38"/>
  <c r="F72" i="38"/>
  <c r="BM72" i="38" s="1"/>
  <c r="AG149" i="6"/>
  <c r="AA150" i="6"/>
  <c r="S151" i="6"/>
  <c r="T151" i="6" s="1"/>
  <c r="BE143" i="38" l="1"/>
  <c r="I145" i="38"/>
  <c r="F146" i="38"/>
  <c r="BM146" i="38" s="1"/>
  <c r="BL143" i="38"/>
  <c r="BA143" i="38"/>
  <c r="H72" i="38"/>
  <c r="H73" i="38" s="1"/>
  <c r="BG71" i="38"/>
  <c r="BH71" i="38" s="1"/>
  <c r="AZ71" i="38"/>
  <c r="BA71" i="38" s="1"/>
  <c r="J71" i="38"/>
  <c r="BD70" i="38"/>
  <c r="BE70" i="38" s="1"/>
  <c r="BK70" i="38"/>
  <c r="BL70" i="38" s="1"/>
  <c r="BH143" i="38"/>
  <c r="BK144" i="38"/>
  <c r="BD144" i="38"/>
  <c r="BS144" i="38"/>
  <c r="BR144" i="38"/>
  <c r="I72" i="38"/>
  <c r="BG144" i="38"/>
  <c r="AZ144" i="38"/>
  <c r="AG150" i="6"/>
  <c r="AA151" i="6"/>
  <c r="S152" i="6"/>
  <c r="T152" i="6" s="1"/>
  <c r="F147" i="38" l="1"/>
  <c r="BM147" i="38" s="1"/>
  <c r="I146" i="38"/>
  <c r="BA144" i="38"/>
  <c r="BH144" i="38"/>
  <c r="BL144" i="38"/>
  <c r="I73" i="38"/>
  <c r="BD145" i="38"/>
  <c r="BK145" i="38"/>
  <c r="AZ145" i="38"/>
  <c r="BG145" i="38"/>
  <c r="BR145" i="38"/>
  <c r="BS145" i="38"/>
  <c r="H74" i="38"/>
  <c r="BG73" i="38"/>
  <c r="BH73" i="38" s="1"/>
  <c r="AZ73" i="38"/>
  <c r="BA73" i="38" s="1"/>
  <c r="BE144" i="38"/>
  <c r="J72" i="38"/>
  <c r="J73" i="38" s="1"/>
  <c r="BK71" i="38"/>
  <c r="BL71" i="38" s="1"/>
  <c r="BD71" i="38"/>
  <c r="BE71" i="38" s="1"/>
  <c r="BG72" i="38"/>
  <c r="BH72" i="38" s="1"/>
  <c r="AZ72" i="38"/>
  <c r="BA72" i="38" s="1"/>
  <c r="AG151" i="6"/>
  <c r="AA152" i="6"/>
  <c r="AG152" i="6" s="1"/>
  <c r="S153" i="6"/>
  <c r="T153" i="6" s="1"/>
  <c r="F148" i="38" l="1"/>
  <c r="BM148" i="38" s="1"/>
  <c r="I147" i="38"/>
  <c r="J74" i="38"/>
  <c r="BD73" i="38"/>
  <c r="BE73" i="38" s="1"/>
  <c r="BK73" i="38"/>
  <c r="BL73" i="38" s="1"/>
  <c r="BE145" i="38"/>
  <c r="BA145" i="38"/>
  <c r="BR146" i="38"/>
  <c r="BS146" i="38"/>
  <c r="AZ146" i="38"/>
  <c r="BG146" i="38"/>
  <c r="I74" i="38"/>
  <c r="BK146" i="38"/>
  <c r="BD146" i="38"/>
  <c r="AZ74" i="38"/>
  <c r="BA74" i="38" s="1"/>
  <c r="BG74" i="38"/>
  <c r="BH74" i="38" s="1"/>
  <c r="BK72" i="38"/>
  <c r="BL72" i="38" s="1"/>
  <c r="BD72" i="38"/>
  <c r="BE72" i="38" s="1"/>
  <c r="BH145" i="38"/>
  <c r="BL145" i="38"/>
  <c r="AA153" i="6"/>
  <c r="AG153" i="6" s="1"/>
  <c r="S154" i="6"/>
  <c r="T154" i="6" s="1"/>
  <c r="Z30" i="6"/>
  <c r="AA30" i="6" s="1"/>
  <c r="I148" i="38" l="1"/>
  <c r="I149" i="38" s="1"/>
  <c r="I150" i="38" s="1"/>
  <c r="BE146" i="38"/>
  <c r="BH146" i="38"/>
  <c r="BA146" i="38"/>
  <c r="BL146" i="38"/>
  <c r="BD74" i="38"/>
  <c r="BE74" i="38" s="1"/>
  <c r="BK74" i="38"/>
  <c r="BL74" i="38" s="1"/>
  <c r="H149" i="38"/>
  <c r="H150" i="38" s="1"/>
  <c r="BG147" i="38"/>
  <c r="AZ147" i="38"/>
  <c r="J149" i="38"/>
  <c r="J150" i="38" s="1"/>
  <c r="BD147" i="38"/>
  <c r="BK147" i="38"/>
  <c r="BR147" i="38"/>
  <c r="BS147" i="38"/>
  <c r="AA154" i="6"/>
  <c r="AG154" i="6" s="1"/>
  <c r="S155" i="6"/>
  <c r="T155" i="6" s="1"/>
  <c r="BE147" i="38" l="1"/>
  <c r="BH147" i="38"/>
  <c r="BL147" i="38"/>
  <c r="BK148" i="38"/>
  <c r="BL148" i="38" s="1"/>
  <c r="BD148" i="38"/>
  <c r="BE148" i="38" s="1"/>
  <c r="BG148" i="38"/>
  <c r="BH148" i="38" s="1"/>
  <c r="AZ148" i="38"/>
  <c r="BA148" i="38" s="1"/>
  <c r="BA147" i="38"/>
  <c r="AA155" i="6"/>
  <c r="AG155" i="6" s="1"/>
  <c r="S156" i="6"/>
  <c r="T156" i="6" s="1"/>
  <c r="AA156" i="6" l="1"/>
  <c r="AG156" i="6" s="1"/>
  <c r="S157" i="6"/>
  <c r="T157" i="6" s="1"/>
  <c r="AA157" i="6" l="1"/>
  <c r="AG157" i="6" s="1"/>
  <c r="S158" i="6"/>
  <c r="T158" i="6" s="1"/>
  <c r="AA158" i="6" l="1"/>
  <c r="AG158" i="6" s="1"/>
  <c r="S159" i="6"/>
  <c r="T159" i="6" s="1"/>
  <c r="AA159" i="6" l="1"/>
  <c r="AG159" i="6" s="1"/>
  <c r="S160" i="6"/>
  <c r="T160" i="6" s="1"/>
  <c r="AA160" i="6" l="1"/>
  <c r="AG160" i="6" s="1"/>
  <c r="S161" i="6"/>
  <c r="T161" i="6" s="1"/>
  <c r="AA161" i="6" l="1"/>
  <c r="AG161" i="6" s="1"/>
  <c r="S162" i="6"/>
  <c r="T162" i="6" s="1"/>
  <c r="AA162" i="6" l="1"/>
  <c r="AG162" i="6" s="1"/>
  <c r="S163" i="6"/>
  <c r="T163" i="6" s="1"/>
  <c r="AA163" i="6" l="1"/>
  <c r="AG163" i="6" s="1"/>
  <c r="S164" i="6"/>
  <c r="T164" i="6" s="1"/>
  <c r="AA164" i="6" l="1"/>
  <c r="AG164" i="6" s="1"/>
  <c r="S165" i="6"/>
  <c r="T165" i="6" s="1"/>
  <c r="AA165" i="6" l="1"/>
  <c r="AG165" i="6" s="1"/>
  <c r="S166" i="6"/>
  <c r="T166" i="6" s="1"/>
  <c r="AA166" i="6" l="1"/>
  <c r="AG166" i="6" s="1"/>
  <c r="S167" i="6"/>
  <c r="T167" i="6" s="1"/>
  <c r="AA167" i="6" l="1"/>
  <c r="AG167" i="6" s="1"/>
  <c r="S168" i="6"/>
  <c r="T168" i="6" s="1"/>
  <c r="AA168" i="6" l="1"/>
  <c r="AG168" i="6" s="1"/>
  <c r="S169" i="6"/>
  <c r="T169" i="6" s="1"/>
  <c r="AA169" i="6" l="1"/>
  <c r="AG169" i="6" s="1"/>
  <c r="S170" i="6"/>
  <c r="T170" i="6" s="1"/>
  <c r="AA170" i="6" l="1"/>
  <c r="AG170" i="6" s="1"/>
  <c r="S171" i="6"/>
  <c r="T171" i="6" s="1"/>
  <c r="AA171" i="6" l="1"/>
  <c r="AG171" i="6" s="1"/>
  <c r="S172" i="6"/>
  <c r="T172" i="6" s="1"/>
  <c r="AA172" i="6" l="1"/>
  <c r="AG172" i="6" s="1"/>
  <c r="S173" i="6"/>
  <c r="T173" i="6" s="1"/>
  <c r="AA173" i="6" l="1"/>
  <c r="AG173" i="6" s="1"/>
  <c r="S174" i="6"/>
  <c r="T174" i="6" s="1"/>
  <c r="AA174" i="6" l="1"/>
  <c r="AG174" i="6" s="1"/>
  <c r="S175" i="6"/>
  <c r="T175" i="6" s="1"/>
  <c r="AA175" i="6" l="1"/>
  <c r="AG175" i="6" s="1"/>
  <c r="S176" i="6"/>
  <c r="T176" i="6" s="1"/>
  <c r="AA176" i="6" l="1"/>
  <c r="AG176" i="6" s="1"/>
  <c r="S177" i="6"/>
  <c r="T177" i="6" s="1"/>
  <c r="AA177" i="6" l="1"/>
  <c r="AG177" i="6" s="1"/>
  <c r="S178" i="6"/>
  <c r="T178" i="6" s="1"/>
  <c r="AA178" i="6" l="1"/>
  <c r="AG178" i="6" s="1"/>
  <c r="S179" i="6"/>
  <c r="T179" i="6" s="1"/>
  <c r="AA179" i="6" l="1"/>
  <c r="AG179" i="6" s="1"/>
  <c r="S180" i="6"/>
  <c r="T180" i="6" s="1"/>
  <c r="AA180" i="6" l="1"/>
  <c r="AG180" i="6" s="1"/>
  <c r="S181" i="6"/>
  <c r="T181" i="6" s="1"/>
  <c r="AA181" i="6" l="1"/>
  <c r="AG181" i="6" s="1"/>
  <c r="S182" i="6"/>
  <c r="T182" i="6" s="1"/>
  <c r="AA182" i="6" l="1"/>
  <c r="AG182" i="6" s="1"/>
  <c r="S183" i="6"/>
  <c r="T183" i="6" s="1"/>
  <c r="AA183" i="6" l="1"/>
  <c r="AG183" i="6" s="1"/>
  <c r="S184" i="6"/>
  <c r="T184" i="6" s="1"/>
  <c r="AA184" i="6" l="1"/>
  <c r="AG184" i="6" s="1"/>
  <c r="S185" i="6"/>
  <c r="T185" i="6" s="1"/>
  <c r="AA185" i="6" l="1"/>
  <c r="AG185" i="6" s="1"/>
  <c r="S186" i="6"/>
  <c r="T186" i="6" s="1"/>
  <c r="AA186" i="6" l="1"/>
  <c r="AG186" i="6" s="1"/>
  <c r="S187" i="6"/>
  <c r="T187" i="6" s="1"/>
  <c r="AA187" i="6" l="1"/>
  <c r="AG187" i="6" s="1"/>
  <c r="S188" i="6"/>
  <c r="T188" i="6" s="1"/>
  <c r="AA188" i="6" l="1"/>
  <c r="AG188" i="6" s="1"/>
  <c r="S189" i="6"/>
  <c r="T189" i="6" s="1"/>
  <c r="AA189" i="6" l="1"/>
  <c r="AG189" i="6" s="1"/>
  <c r="S190" i="6"/>
  <c r="T190" i="6" s="1"/>
  <c r="AA190" i="6" l="1"/>
  <c r="AG190" i="6" s="1"/>
  <c r="S191" i="6"/>
  <c r="T191" i="6" s="1"/>
  <c r="AA191" i="6" l="1"/>
  <c r="AG191" i="6" s="1"/>
  <c r="S192" i="6"/>
  <c r="T192" i="6" s="1"/>
  <c r="AA192" i="6" l="1"/>
  <c r="AG192" i="6" s="1"/>
  <c r="S193" i="6"/>
  <c r="T193" i="6" s="1"/>
  <c r="AA193" i="6" l="1"/>
  <c r="AG193" i="6" s="1"/>
  <c r="S194" i="6"/>
  <c r="T194" i="6" s="1"/>
  <c r="AA194" i="6" l="1"/>
  <c r="AG194" i="6" s="1"/>
  <c r="S195" i="6"/>
  <c r="T195" i="6" s="1"/>
  <c r="AA195" i="6" l="1"/>
  <c r="AG195" i="6" s="1"/>
  <c r="S196" i="6"/>
  <c r="T196" i="6" s="1"/>
  <c r="AA196" i="6" l="1"/>
  <c r="AG196" i="6" s="1"/>
  <c r="S197" i="6"/>
  <c r="T197" i="6" s="1"/>
  <c r="AA197" i="6" l="1"/>
  <c r="AG197" i="6" s="1"/>
  <c r="S198" i="6"/>
  <c r="T198" i="6" s="1"/>
  <c r="AA198" i="6" l="1"/>
  <c r="AG198" i="6" s="1"/>
  <c r="S199" i="6"/>
  <c r="T199" i="6" s="1"/>
  <c r="AA199" i="6" l="1"/>
  <c r="AG199" i="6" s="1"/>
  <c r="S200" i="6"/>
  <c r="T200" i="6" s="1"/>
  <c r="AA200" i="6" l="1"/>
  <c r="AG200" i="6" s="1"/>
  <c r="S201" i="6"/>
  <c r="T201" i="6" s="1"/>
  <c r="AA201" i="6" l="1"/>
  <c r="AG201" i="6" s="1"/>
  <c r="S202" i="6"/>
  <c r="T202" i="6" s="1"/>
  <c r="AA202" i="6" l="1"/>
  <c r="AG202" i="6" s="1"/>
  <c r="S203" i="6"/>
  <c r="T203" i="6" s="1"/>
  <c r="AA203" i="6" s="1"/>
  <c r="AG203" i="6" s="1"/>
  <c r="C34" i="1" l="1"/>
  <c r="D34" i="1" s="1"/>
  <c r="L39" i="19"/>
  <c r="E25" i="4"/>
  <c r="C42" i="6"/>
  <c r="AG7" i="6" s="1"/>
  <c r="Z50" i="6" s="1"/>
  <c r="AA50" i="6" s="1"/>
  <c r="D28" i="10"/>
  <c r="K42" i="10" s="1"/>
  <c r="J54" i="12" s="1"/>
  <c r="D137" i="16" l="1"/>
  <c r="P149" i="16" s="1"/>
  <c r="P150" i="16" s="1"/>
  <c r="AD95" i="16" s="1"/>
  <c r="C34" i="40"/>
  <c r="G45" i="10"/>
  <c r="G47" i="10" s="1"/>
  <c r="J55" i="12"/>
  <c r="AF7" i="6"/>
  <c r="R149" i="16" s="1"/>
  <c r="R150" i="16" s="1"/>
  <c r="AD98" i="16" s="1"/>
  <c r="U101" i="6"/>
  <c r="W101" i="6"/>
  <c r="U103" i="6" s="1"/>
  <c r="D39" i="16"/>
  <c r="G53" i="16" s="1"/>
  <c r="G54" i="16" s="1"/>
  <c r="R10" i="16" s="1"/>
  <c r="P61" i="6"/>
  <c r="H45" i="10"/>
  <c r="H47" i="10" s="1"/>
  <c r="F45" i="10"/>
  <c r="F47" i="10" s="1"/>
  <c r="K35" i="10"/>
  <c r="H54" i="12" s="1"/>
  <c r="H55" i="12" s="1"/>
  <c r="C45" i="10"/>
  <c r="L55" i="12" s="1"/>
  <c r="K36" i="10"/>
  <c r="I54" i="12" s="1"/>
  <c r="I55" i="12" s="1"/>
  <c r="O6" i="2"/>
  <c r="F54" i="12"/>
  <c r="Q149" i="16" l="1"/>
  <c r="Q150" i="16" s="1"/>
  <c r="AD99" i="16" s="1"/>
  <c r="AD146" i="16"/>
  <c r="AE146" i="16" s="1"/>
  <c r="O151" i="16"/>
  <c r="R172" i="16"/>
  <c r="L149" i="16"/>
  <c r="L150" i="16" s="1"/>
  <c r="AD93" i="16" s="1"/>
  <c r="O149" i="16"/>
  <c r="O152" i="16" s="1"/>
  <c r="AD145" i="16"/>
  <c r="AE145" i="16" s="1"/>
  <c r="J149" i="16"/>
  <c r="K179" i="16" s="1"/>
  <c r="P51" i="40"/>
  <c r="Q51" i="40" s="1"/>
  <c r="J46" i="40"/>
  <c r="H46" i="40"/>
  <c r="O46" i="40"/>
  <c r="N46" i="40"/>
  <c r="L53" i="16"/>
  <c r="L54" i="16" s="1"/>
  <c r="W103" i="6"/>
  <c r="Z103" i="6" s="1"/>
  <c r="AD103" i="6" s="1"/>
  <c r="I47" i="10"/>
  <c r="M55" i="12" s="1"/>
  <c r="E53" i="16"/>
  <c r="E54" i="16" s="1"/>
  <c r="F53" i="16"/>
  <c r="U8" i="10"/>
  <c r="V15" i="4"/>
  <c r="R176" i="16" l="1"/>
  <c r="R177" i="16" s="1"/>
  <c r="R179" i="16" s="1"/>
  <c r="O150" i="16"/>
  <c r="S150" i="16" s="1"/>
  <c r="AD94" i="16" s="1"/>
  <c r="AD100" i="16" s="1"/>
  <c r="U97" i="16" s="1"/>
  <c r="W97" i="16" s="1"/>
  <c r="R173" i="16"/>
  <c r="W142" i="16"/>
  <c r="W144" i="16" s="1"/>
  <c r="N48" i="40"/>
  <c r="N52" i="40"/>
  <c r="N53" i="40" s="1"/>
  <c r="L41" i="42"/>
  <c r="O47" i="40"/>
  <c r="AF103" i="6"/>
  <c r="U104" i="6"/>
  <c r="W104" i="6" s="1"/>
  <c r="Z104" i="6" s="1"/>
  <c r="AD104" i="6" s="1"/>
  <c r="R9" i="16"/>
  <c r="S9" i="16" s="1"/>
  <c r="R8" i="16"/>
  <c r="F54" i="16"/>
  <c r="R12" i="16"/>
  <c r="S12" i="16" s="1"/>
  <c r="AF104" i="6" l="1"/>
  <c r="U105" i="6"/>
  <c r="W105" i="6" s="1"/>
  <c r="Z105" i="6" s="1"/>
  <c r="AD105" i="6" s="1"/>
  <c r="U100" i="16"/>
  <c r="W100" i="16" s="1"/>
  <c r="R174" i="16"/>
  <c r="U99" i="16" s="1"/>
  <c r="W99" i="16" s="1"/>
  <c r="S8" i="16"/>
  <c r="U98" i="16"/>
  <c r="W98" i="16" s="1"/>
  <c r="AF105" i="6" l="1"/>
  <c r="U106" i="6"/>
  <c r="W106" i="6" s="1"/>
  <c r="Z106" i="6" s="1"/>
  <c r="AD106" i="6" s="1"/>
  <c r="AF106" i="6" l="1"/>
  <c r="U107" i="6"/>
  <c r="W107" i="6" s="1"/>
  <c r="U108" i="6" s="1"/>
  <c r="W108" i="6" s="1"/>
  <c r="Z107" i="6" l="1"/>
  <c r="AD107" i="6" s="1"/>
  <c r="Z108" i="6"/>
  <c r="AD108" i="6" s="1"/>
  <c r="U109" i="6"/>
  <c r="W109" i="6" s="1"/>
  <c r="AF108" i="6" l="1"/>
  <c r="Z51" i="6"/>
  <c r="AA51" i="6" s="1"/>
  <c r="AF107" i="6"/>
  <c r="Z109" i="6"/>
  <c r="AD109" i="6" s="1"/>
  <c r="U110" i="6"/>
  <c r="W110" i="6" s="1"/>
  <c r="AJ5" i="6" l="1"/>
  <c r="AD74" i="6"/>
  <c r="AE74" i="6" s="1"/>
  <c r="AF109" i="6"/>
  <c r="Z110" i="6"/>
  <c r="AD110" i="6" s="1"/>
  <c r="U111" i="6"/>
  <c r="W111" i="6" s="1"/>
  <c r="AF110" i="6" l="1"/>
  <c r="Z111" i="6"/>
  <c r="AD111" i="6" s="1"/>
  <c r="U112" i="6"/>
  <c r="W112" i="6" s="1"/>
  <c r="AF111" i="6" l="1"/>
  <c r="Z112" i="6"/>
  <c r="U113" i="6"/>
  <c r="W113" i="6" s="1"/>
  <c r="AF112" i="6" l="1"/>
  <c r="AD112" i="6"/>
  <c r="Z52" i="6"/>
  <c r="AA52" i="6" s="1"/>
  <c r="Z113" i="6"/>
  <c r="AD113" i="6" s="1"/>
  <c r="U114" i="6"/>
  <c r="W114" i="6" s="1"/>
  <c r="AD75" i="6" l="1"/>
  <c r="AF113" i="6"/>
  <c r="Z114" i="6"/>
  <c r="AD114" i="6" s="1"/>
  <c r="U115" i="6"/>
  <c r="W115" i="6" s="1"/>
  <c r="AJ6" i="6"/>
  <c r="AE75" i="6" l="1"/>
  <c r="AF114" i="6"/>
  <c r="Z115" i="6"/>
  <c r="AD115" i="6" s="1"/>
  <c r="U116" i="6"/>
  <c r="W116" i="6" s="1"/>
  <c r="AF115" i="6" l="1"/>
  <c r="Z116" i="6"/>
  <c r="AD116" i="6" s="1"/>
  <c r="U117" i="6"/>
  <c r="W117" i="6" s="1"/>
  <c r="AF116" i="6" l="1"/>
  <c r="Z117" i="6"/>
  <c r="AD117" i="6" s="1"/>
  <c r="AD76" i="6" s="1"/>
  <c r="AE76" i="6" s="1"/>
  <c r="U118" i="6"/>
  <c r="W118" i="6" s="1"/>
  <c r="AF117" i="6" l="1"/>
  <c r="Z118" i="6"/>
  <c r="AD118" i="6" s="1"/>
  <c r="U119" i="6"/>
  <c r="W119" i="6" s="1"/>
  <c r="AF118" i="6" l="1"/>
  <c r="Z119" i="6"/>
  <c r="AD119" i="6" s="1"/>
  <c r="U120" i="6"/>
  <c r="W120" i="6" s="1"/>
  <c r="AF119" i="6" l="1"/>
  <c r="Z120" i="6"/>
  <c r="AD120" i="6" s="1"/>
  <c r="U121" i="6"/>
  <c r="W121" i="6" s="1"/>
  <c r="AF120" i="6" l="1"/>
  <c r="Z121" i="6"/>
  <c r="AD121" i="6" s="1"/>
  <c r="U122" i="6"/>
  <c r="W122" i="6" s="1"/>
  <c r="AF121" i="6" l="1"/>
  <c r="Z122" i="6"/>
  <c r="AD122" i="6" s="1"/>
  <c r="AD77" i="6" s="1"/>
  <c r="AE77" i="6" s="1"/>
  <c r="U123" i="6"/>
  <c r="W123" i="6" s="1"/>
  <c r="AF122" i="6" l="1"/>
  <c r="Z123" i="6"/>
  <c r="AD123" i="6" s="1"/>
  <c r="U124" i="6"/>
  <c r="W124" i="6" s="1"/>
  <c r="AF123" i="6" l="1"/>
  <c r="Z124" i="6"/>
  <c r="AD124" i="6" s="1"/>
  <c r="U125" i="6"/>
  <c r="W125" i="6" s="1"/>
  <c r="AF124" i="6" l="1"/>
  <c r="Z125" i="6"/>
  <c r="AD125" i="6" s="1"/>
  <c r="U126" i="6"/>
  <c r="W126" i="6" s="1"/>
  <c r="AF125" i="6" l="1"/>
  <c r="Z126" i="6"/>
  <c r="AD126" i="6" s="1"/>
  <c r="U127" i="6"/>
  <c r="W127" i="6" s="1"/>
  <c r="AF126" i="6" l="1"/>
  <c r="Z127" i="6"/>
  <c r="AD127" i="6" s="1"/>
  <c r="U128" i="6"/>
  <c r="W128" i="6" s="1"/>
  <c r="AD78" i="6" l="1"/>
  <c r="AE78" i="6" s="1"/>
  <c r="AF127" i="6"/>
  <c r="Z128" i="6"/>
  <c r="AD128" i="6" s="1"/>
  <c r="U129" i="6"/>
  <c r="W129" i="6" s="1"/>
  <c r="AF128" i="6" l="1"/>
  <c r="Z129" i="6"/>
  <c r="AD129" i="6" s="1"/>
  <c r="U130" i="6"/>
  <c r="W130" i="6" s="1"/>
  <c r="AF129" i="6" l="1"/>
  <c r="Z130" i="6"/>
  <c r="AD130" i="6" s="1"/>
  <c r="U131" i="6"/>
  <c r="W131" i="6" s="1"/>
  <c r="AF130" i="6" l="1"/>
  <c r="Z131" i="6"/>
  <c r="AD131" i="6" s="1"/>
  <c r="U132" i="6"/>
  <c r="W132" i="6" s="1"/>
  <c r="AF131" i="6" l="1"/>
  <c r="Z132" i="6"/>
  <c r="U133" i="6"/>
  <c r="W133" i="6" s="1"/>
  <c r="AF132" i="6" l="1"/>
  <c r="AD132" i="6"/>
  <c r="AD79" i="6" s="1"/>
  <c r="Z53" i="6"/>
  <c r="AA53" i="6" s="1"/>
  <c r="Z133" i="6"/>
  <c r="AD133" i="6" s="1"/>
  <c r="U134" i="6"/>
  <c r="W134" i="6" s="1"/>
  <c r="AE79" i="6" l="1"/>
  <c r="AJ7" i="6"/>
  <c r="AF133" i="6"/>
  <c r="Z134" i="6"/>
  <c r="AD134" i="6" s="1"/>
  <c r="U135" i="6"/>
  <c r="W135" i="6" s="1"/>
  <c r="AF134" i="6" l="1"/>
  <c r="Z135" i="6"/>
  <c r="AD135" i="6" s="1"/>
  <c r="U136" i="6"/>
  <c r="W136" i="6" s="1"/>
  <c r="AF135" i="6" l="1"/>
  <c r="Z136" i="6"/>
  <c r="AD136" i="6" s="1"/>
  <c r="U137" i="6"/>
  <c r="W137" i="6" s="1"/>
  <c r="AF136" i="6" l="1"/>
  <c r="Z137" i="6"/>
  <c r="AD137" i="6" s="1"/>
  <c r="AD80" i="6" s="1"/>
  <c r="AE80" i="6" s="1"/>
  <c r="U138" i="6"/>
  <c r="W138" i="6" s="1"/>
  <c r="AF137" i="6" l="1"/>
  <c r="Z138" i="6"/>
  <c r="AD138" i="6" s="1"/>
  <c r="U139" i="6"/>
  <c r="W139" i="6" s="1"/>
  <c r="AF138" i="6" l="1"/>
  <c r="Z139" i="6"/>
  <c r="AD139" i="6" s="1"/>
  <c r="U140" i="6"/>
  <c r="W140" i="6" s="1"/>
  <c r="AF139" i="6" l="1"/>
  <c r="Z140" i="6"/>
  <c r="AD140" i="6" s="1"/>
  <c r="U141" i="6"/>
  <c r="W141" i="6" s="1"/>
  <c r="AF140" i="6" l="1"/>
  <c r="Z141" i="6"/>
  <c r="AD141" i="6" s="1"/>
  <c r="U142" i="6"/>
  <c r="W142" i="6" s="1"/>
  <c r="AF141" i="6" l="1"/>
  <c r="Z142" i="6"/>
  <c r="AD142" i="6" s="1"/>
  <c r="AD81" i="6" s="1"/>
  <c r="AE81" i="6" s="1"/>
  <c r="U143" i="6"/>
  <c r="W143" i="6" s="1"/>
  <c r="AF142" i="6" l="1"/>
  <c r="Z143" i="6"/>
  <c r="AD143" i="6" s="1"/>
  <c r="U144" i="6"/>
  <c r="W144" i="6" s="1"/>
  <c r="AF143" i="6" l="1"/>
  <c r="Z144" i="6"/>
  <c r="AD144" i="6" s="1"/>
  <c r="U145" i="6"/>
  <c r="W145" i="6" s="1"/>
  <c r="AF144" i="6" l="1"/>
  <c r="Z145" i="6"/>
  <c r="AD145" i="6" s="1"/>
  <c r="U146" i="6"/>
  <c r="W146" i="6" s="1"/>
  <c r="AF145" i="6" l="1"/>
  <c r="Z146" i="6"/>
  <c r="AD146" i="6" s="1"/>
  <c r="U147" i="6"/>
  <c r="W147" i="6" s="1"/>
  <c r="AF146" i="6" l="1"/>
  <c r="Z147" i="6"/>
  <c r="AD147" i="6" s="1"/>
  <c r="AD82" i="6" s="1"/>
  <c r="AE82" i="6" s="1"/>
  <c r="U148" i="6"/>
  <c r="W148" i="6" s="1"/>
  <c r="AF147" i="6" l="1"/>
  <c r="Z148" i="6"/>
  <c r="AD148" i="6" s="1"/>
  <c r="U149" i="6"/>
  <c r="W149" i="6" s="1"/>
  <c r="AF148" i="6" l="1"/>
  <c r="Z149" i="6"/>
  <c r="AD149" i="6" s="1"/>
  <c r="U150" i="6"/>
  <c r="W150" i="6" s="1"/>
  <c r="AF149" i="6" l="1"/>
  <c r="Z150" i="6"/>
  <c r="AD150" i="6" s="1"/>
  <c r="U151" i="6"/>
  <c r="W151" i="6" s="1"/>
  <c r="AF150" i="6" l="1"/>
  <c r="Z151" i="6"/>
  <c r="AD151" i="6" s="1"/>
  <c r="U152" i="6"/>
  <c r="W152" i="6" s="1"/>
  <c r="AF151" i="6" l="1"/>
  <c r="Z152" i="6"/>
  <c r="U153" i="6"/>
  <c r="W153" i="6" s="1"/>
  <c r="AF152" i="6" l="1"/>
  <c r="AD152" i="6"/>
  <c r="AD83" i="6" s="1"/>
  <c r="Z153" i="6"/>
  <c r="AF153" i="6" s="1"/>
  <c r="U154" i="6"/>
  <c r="W154" i="6" s="1"/>
  <c r="Z54" i="6"/>
  <c r="AA54" i="6" s="1"/>
  <c r="AE83" i="6" l="1"/>
  <c r="AH74" i="6"/>
  <c r="AJ8" i="6"/>
  <c r="Z154" i="6"/>
  <c r="AF154" i="6" s="1"/>
  <c r="U155" i="6"/>
  <c r="W155" i="6" s="1"/>
  <c r="Z155" i="6" l="1"/>
  <c r="AF155" i="6" s="1"/>
  <c r="U156" i="6"/>
  <c r="W156" i="6" s="1"/>
  <c r="Z156" i="6" l="1"/>
  <c r="AF156" i="6" s="1"/>
  <c r="U157" i="6"/>
  <c r="W157" i="6" s="1"/>
  <c r="Z157" i="6" l="1"/>
  <c r="AF157" i="6" s="1"/>
  <c r="U158" i="6"/>
  <c r="W158" i="6" s="1"/>
  <c r="Z158" i="6" l="1"/>
  <c r="AF158" i="6" s="1"/>
  <c r="U159" i="6"/>
  <c r="W159" i="6" s="1"/>
  <c r="Z159" i="6" l="1"/>
  <c r="AF159" i="6" s="1"/>
  <c r="U160" i="6"/>
  <c r="W160" i="6" s="1"/>
  <c r="Z160" i="6" l="1"/>
  <c r="AF160" i="6" s="1"/>
  <c r="U161" i="6"/>
  <c r="W161" i="6" s="1"/>
  <c r="Z161" i="6" l="1"/>
  <c r="AF161" i="6" s="1"/>
  <c r="U162" i="6"/>
  <c r="W162" i="6" s="1"/>
  <c r="Z162" i="6" l="1"/>
  <c r="AF162" i="6" s="1"/>
  <c r="U163" i="6"/>
  <c r="W163" i="6" s="1"/>
  <c r="Z163" i="6" l="1"/>
  <c r="AF163" i="6" s="1"/>
  <c r="U164" i="6"/>
  <c r="W164" i="6" s="1"/>
  <c r="Z164" i="6" l="1"/>
  <c r="AF164" i="6" s="1"/>
  <c r="U165" i="6"/>
  <c r="W165" i="6" s="1"/>
  <c r="Z165" i="6" l="1"/>
  <c r="AF165" i="6" s="1"/>
  <c r="U166" i="6"/>
  <c r="W166" i="6" s="1"/>
  <c r="Z166" i="6" l="1"/>
  <c r="AF166" i="6" s="1"/>
  <c r="U167" i="6"/>
  <c r="W167" i="6" s="1"/>
  <c r="Z167" i="6" l="1"/>
  <c r="AF167" i="6" s="1"/>
  <c r="U168" i="6"/>
  <c r="W168" i="6" s="1"/>
  <c r="Z168" i="6" l="1"/>
  <c r="AF168" i="6" s="1"/>
  <c r="U169" i="6"/>
  <c r="W169" i="6" s="1"/>
  <c r="Z169" i="6" l="1"/>
  <c r="AF169" i="6" s="1"/>
  <c r="U170" i="6"/>
  <c r="W170" i="6" s="1"/>
  <c r="Z170" i="6" l="1"/>
  <c r="AF170" i="6" s="1"/>
  <c r="U171" i="6"/>
  <c r="W171" i="6" s="1"/>
  <c r="Z171" i="6" l="1"/>
  <c r="AF171" i="6" s="1"/>
  <c r="U172" i="6"/>
  <c r="W172" i="6" s="1"/>
  <c r="Z172" i="6" l="1"/>
  <c r="AF172" i="6" s="1"/>
  <c r="U173" i="6"/>
  <c r="W173" i="6" s="1"/>
  <c r="Z173" i="6" l="1"/>
  <c r="AF173" i="6" s="1"/>
  <c r="U174" i="6"/>
  <c r="W174" i="6" s="1"/>
  <c r="Z174" i="6" l="1"/>
  <c r="AF174" i="6" s="1"/>
  <c r="U175" i="6"/>
  <c r="W175" i="6" s="1"/>
  <c r="Z175" i="6" l="1"/>
  <c r="AF175" i="6" s="1"/>
  <c r="U176" i="6"/>
  <c r="W176" i="6" s="1"/>
  <c r="Z176" i="6" l="1"/>
  <c r="AF176" i="6" s="1"/>
  <c r="U177" i="6"/>
  <c r="W177" i="6" s="1"/>
  <c r="Z177" i="6" l="1"/>
  <c r="AF177" i="6" s="1"/>
  <c r="U178" i="6"/>
  <c r="W178" i="6" s="1"/>
  <c r="Z178" i="6" l="1"/>
  <c r="AF178" i="6" s="1"/>
  <c r="U179" i="6"/>
  <c r="W179" i="6" s="1"/>
  <c r="Z179" i="6" l="1"/>
  <c r="AF179" i="6" s="1"/>
  <c r="U180" i="6"/>
  <c r="W180" i="6" s="1"/>
  <c r="Z180" i="6" l="1"/>
  <c r="AF180" i="6" s="1"/>
  <c r="U181" i="6"/>
  <c r="W181" i="6" s="1"/>
  <c r="Z181" i="6" l="1"/>
  <c r="AF181" i="6" s="1"/>
  <c r="U182" i="6"/>
  <c r="W182" i="6" s="1"/>
  <c r="Z182" i="6" l="1"/>
  <c r="AF182" i="6" s="1"/>
  <c r="U183" i="6"/>
  <c r="W183" i="6" s="1"/>
  <c r="Z183" i="6" l="1"/>
  <c r="AF183" i="6" s="1"/>
  <c r="U184" i="6"/>
  <c r="W184" i="6" s="1"/>
  <c r="Z184" i="6" l="1"/>
  <c r="AF184" i="6" s="1"/>
  <c r="U185" i="6"/>
  <c r="W185" i="6" s="1"/>
  <c r="Z185" i="6" l="1"/>
  <c r="AF185" i="6" s="1"/>
  <c r="U186" i="6"/>
  <c r="W186" i="6" s="1"/>
  <c r="Z186" i="6" l="1"/>
  <c r="AF186" i="6" s="1"/>
  <c r="U187" i="6"/>
  <c r="W187" i="6" s="1"/>
  <c r="Z187" i="6" l="1"/>
  <c r="AF187" i="6" s="1"/>
  <c r="U188" i="6"/>
  <c r="W188" i="6" s="1"/>
  <c r="Z188" i="6" l="1"/>
  <c r="AF188" i="6" s="1"/>
  <c r="U189" i="6"/>
  <c r="W189" i="6" s="1"/>
  <c r="Z189" i="6" l="1"/>
  <c r="AF189" i="6" s="1"/>
  <c r="U190" i="6"/>
  <c r="W190" i="6" s="1"/>
  <c r="Z190" i="6" l="1"/>
  <c r="AF190" i="6" s="1"/>
  <c r="U191" i="6"/>
  <c r="W191" i="6" s="1"/>
  <c r="Z191" i="6" l="1"/>
  <c r="AF191" i="6" s="1"/>
  <c r="U192" i="6"/>
  <c r="W192" i="6" s="1"/>
  <c r="Z192" i="6" l="1"/>
  <c r="AF192" i="6" s="1"/>
  <c r="U193" i="6"/>
  <c r="W193" i="6" s="1"/>
  <c r="Z193" i="6" l="1"/>
  <c r="AF193" i="6" s="1"/>
  <c r="U194" i="6"/>
  <c r="W194" i="6" s="1"/>
  <c r="Z194" i="6" l="1"/>
  <c r="AF194" i="6" s="1"/>
  <c r="U195" i="6"/>
  <c r="W195" i="6" s="1"/>
  <c r="Z195" i="6" l="1"/>
  <c r="AF195" i="6" s="1"/>
  <c r="U196" i="6"/>
  <c r="W196" i="6" s="1"/>
  <c r="Z196" i="6" l="1"/>
  <c r="AF196" i="6" s="1"/>
  <c r="U197" i="6"/>
  <c r="W197" i="6" s="1"/>
  <c r="Z197" i="6" l="1"/>
  <c r="AF197" i="6" s="1"/>
  <c r="U198" i="6"/>
  <c r="W198" i="6" s="1"/>
  <c r="Z198" i="6" l="1"/>
  <c r="AF198" i="6" s="1"/>
  <c r="U199" i="6"/>
  <c r="W199" i="6" s="1"/>
  <c r="Z199" i="6" l="1"/>
  <c r="AF199" i="6" s="1"/>
  <c r="U200" i="6"/>
  <c r="W200" i="6" s="1"/>
  <c r="Z200" i="6" l="1"/>
  <c r="AF200" i="6" s="1"/>
  <c r="U201" i="6"/>
  <c r="W201" i="6" s="1"/>
  <c r="Z201" i="6" l="1"/>
  <c r="AF201" i="6" s="1"/>
  <c r="U202" i="6"/>
  <c r="W202" i="6" s="1"/>
  <c r="Z202" i="6" l="1"/>
  <c r="AF202" i="6" s="1"/>
  <c r="U203" i="6"/>
  <c r="W203" i="6" s="1"/>
  <c r="Z203" i="6" s="1"/>
  <c r="AF203" i="6" s="1"/>
  <c r="V54" i="19"/>
  <c r="AB54" i="19" s="1"/>
  <c r="K10" i="19" l="1"/>
  <c r="L10" i="19" s="1"/>
  <c r="G24" i="16" s="1"/>
  <c r="AC54" i="19"/>
  <c r="L20" i="19" l="1"/>
  <c r="G34" i="16"/>
  <c r="G35" i="16" s="1"/>
  <c r="G36" i="16" s="1"/>
  <c r="Q10" i="16" s="1"/>
  <c r="S10" i="16" l="1"/>
  <c r="O5" i="2"/>
  <c r="F53" i="12"/>
  <c r="U7" i="10" l="1"/>
  <c r="V14" i="4"/>
  <c r="O7" i="2"/>
  <c r="V16" i="4" l="1"/>
  <c r="F55" i="12"/>
  <c r="U9" i="10"/>
  <c r="J37" i="37"/>
  <c r="B17" i="38"/>
  <c r="K99" i="38" s="1"/>
  <c r="K100" i="38" l="1"/>
  <c r="L99" i="38"/>
  <c r="BI77" i="38"/>
  <c r="BJ77" i="38" s="1"/>
  <c r="BB78" i="38"/>
  <c r="BI78" i="38"/>
  <c r="BJ78" i="38" s="1"/>
  <c r="BI79" i="38"/>
  <c r="BJ79" i="38" s="1"/>
  <c r="BB80" i="38"/>
  <c r="BI80" i="38"/>
  <c r="BJ80" i="38" s="1"/>
  <c r="BB81" i="38"/>
  <c r="BB83" i="38"/>
  <c r="BB76" i="38"/>
  <c r="BI76" i="38"/>
  <c r="BJ76" i="38" s="1"/>
  <c r="BB77" i="38"/>
  <c r="BB79" i="38"/>
  <c r="BI24" i="38"/>
  <c r="BJ24" i="38" s="1"/>
  <c r="BI75" i="38"/>
  <c r="BJ75" i="38" s="1"/>
  <c r="BI82" i="38"/>
  <c r="BJ82" i="38" s="1"/>
  <c r="BI81" i="38"/>
  <c r="BJ81" i="38" s="1"/>
  <c r="BB75" i="38"/>
  <c r="BC75" i="38" s="1"/>
  <c r="BB82" i="38"/>
  <c r="BI83" i="38"/>
  <c r="BJ83" i="38" s="1"/>
  <c r="AD19" i="38"/>
  <c r="BB99" i="38"/>
  <c r="BI99" i="38"/>
  <c r="BJ99" i="38" s="1"/>
  <c r="BB100" i="38"/>
  <c r="BI100" i="38"/>
  <c r="BJ100" i="38" s="1"/>
  <c r="BB101" i="38"/>
  <c r="BC101" i="38" s="1"/>
  <c r="BI101" i="38"/>
  <c r="BJ101" i="38" s="1"/>
  <c r="BB102" i="38"/>
  <c r="BC102" i="38" s="1"/>
  <c r="BI102" i="38"/>
  <c r="BJ102" i="38" s="1"/>
  <c r="BB103" i="38"/>
  <c r="BC103" i="38" s="1"/>
  <c r="BB29" i="38"/>
  <c r="BC29" i="38" s="1"/>
  <c r="BI103" i="38"/>
  <c r="BJ103" i="38" s="1"/>
  <c r="BI29" i="38"/>
  <c r="BJ29" i="38" s="1"/>
  <c r="BB105" i="38"/>
  <c r="BC105" i="38" s="1"/>
  <c r="BI30" i="38"/>
  <c r="BJ30" i="38" s="1"/>
  <c r="BB104" i="38"/>
  <c r="BC104" i="38" s="1"/>
  <c r="BI105" i="38"/>
  <c r="BJ105" i="38" s="1"/>
  <c r="BI104" i="38"/>
  <c r="BJ104" i="38" s="1"/>
  <c r="BB30" i="38"/>
  <c r="BC30" i="38" s="1"/>
  <c r="BI106" i="38"/>
  <c r="BJ106" i="38" s="1"/>
  <c r="BI31" i="38"/>
  <c r="BJ31" i="38" s="1"/>
  <c r="BB31" i="38"/>
  <c r="BC31" i="38" s="1"/>
  <c r="BB106" i="38"/>
  <c r="BC106" i="38" s="1"/>
  <c r="BI32" i="38"/>
  <c r="BJ32" i="38" s="1"/>
  <c r="BB32" i="38"/>
  <c r="BC32" i="38" s="1"/>
  <c r="BB107" i="38"/>
  <c r="BC107" i="38" s="1"/>
  <c r="BI107" i="38"/>
  <c r="BJ107" i="38" s="1"/>
  <c r="BB33" i="38"/>
  <c r="BC33" i="38" s="1"/>
  <c r="BI33" i="38"/>
  <c r="BJ33" i="38" s="1"/>
  <c r="BB108" i="38"/>
  <c r="BC108" i="38" s="1"/>
  <c r="BI108" i="38"/>
  <c r="BJ108" i="38" s="1"/>
  <c r="BB109" i="38"/>
  <c r="BC109" i="38" s="1"/>
  <c r="BB35" i="38"/>
  <c r="BC35" i="38" s="1"/>
  <c r="BI34" i="38"/>
  <c r="BJ34" i="38" s="1"/>
  <c r="BI109" i="38"/>
  <c r="BJ109" i="38" s="1"/>
  <c r="BI35" i="38"/>
  <c r="BJ35" i="38" s="1"/>
  <c r="BB34" i="38"/>
  <c r="BC34" i="38" s="1"/>
  <c r="BI110" i="38"/>
  <c r="BJ110" i="38" s="1"/>
  <c r="BI36" i="38"/>
  <c r="BJ36" i="38" s="1"/>
  <c r="BB110" i="38"/>
  <c r="BC110" i="38" s="1"/>
  <c r="BB36" i="38"/>
  <c r="BC36" i="38" s="1"/>
  <c r="BI37" i="38"/>
  <c r="BJ37" i="38" s="1"/>
  <c r="BB37" i="38"/>
  <c r="BC37" i="38" s="1"/>
  <c r="BI111" i="38"/>
  <c r="BJ111" i="38" s="1"/>
  <c r="BI38" i="38"/>
  <c r="BJ38" i="38" s="1"/>
  <c r="BB38" i="38"/>
  <c r="BC38" i="38" s="1"/>
  <c r="BB111" i="38"/>
  <c r="BC111" i="38" s="1"/>
  <c r="BB112" i="38"/>
  <c r="BC112" i="38" s="1"/>
  <c r="BI39" i="38"/>
  <c r="BJ39" i="38" s="1"/>
  <c r="BB39" i="38"/>
  <c r="BC39" i="38" s="1"/>
  <c r="BI113" i="38"/>
  <c r="BJ113" i="38" s="1"/>
  <c r="BI112" i="38"/>
  <c r="BJ112" i="38" s="1"/>
  <c r="BB113" i="38"/>
  <c r="BC113" i="38" s="1"/>
  <c r="BB40" i="38"/>
  <c r="BC40" i="38" s="1"/>
  <c r="BB114" i="38"/>
  <c r="BC114" i="38" s="1"/>
  <c r="BI40" i="38"/>
  <c r="BJ40" i="38" s="1"/>
  <c r="BI114" i="38"/>
  <c r="BJ114" i="38" s="1"/>
  <c r="BB41" i="38"/>
  <c r="BC41" i="38" s="1"/>
  <c r="BI115" i="38"/>
  <c r="BJ115" i="38" s="1"/>
  <c r="BB115" i="38"/>
  <c r="BC115" i="38" s="1"/>
  <c r="BI41" i="38"/>
  <c r="BJ41" i="38" s="1"/>
  <c r="BB116" i="38"/>
  <c r="BC116" i="38" s="1"/>
  <c r="BI42" i="38"/>
  <c r="BJ42" i="38" s="1"/>
  <c r="BI116" i="38"/>
  <c r="BJ116" i="38" s="1"/>
  <c r="BB42" i="38"/>
  <c r="BC42" i="38" s="1"/>
  <c r="BI117" i="38"/>
  <c r="BJ117" i="38" s="1"/>
  <c r="BB117" i="38"/>
  <c r="BC117" i="38" s="1"/>
  <c r="BI43" i="38"/>
  <c r="BJ43" i="38" s="1"/>
  <c r="BB43" i="38"/>
  <c r="BC43" i="38" s="1"/>
  <c r="BI44" i="38"/>
  <c r="BJ44" i="38" s="1"/>
  <c r="BB44" i="38"/>
  <c r="BC44" i="38" s="1"/>
  <c r="BB118" i="38"/>
  <c r="BC118" i="38" s="1"/>
  <c r="BI118" i="38"/>
  <c r="BJ118" i="38" s="1"/>
  <c r="BB45" i="38"/>
  <c r="BC45" i="38" s="1"/>
  <c r="BI119" i="38"/>
  <c r="BJ119" i="38" s="1"/>
  <c r="BI45" i="38"/>
  <c r="BJ45" i="38" s="1"/>
  <c r="BB119" i="38"/>
  <c r="BC119" i="38" s="1"/>
  <c r="BI46" i="38"/>
  <c r="BJ46" i="38" s="1"/>
  <c r="BI120" i="38"/>
  <c r="BJ120" i="38" s="1"/>
  <c r="BB120" i="38"/>
  <c r="BC120" i="38" s="1"/>
  <c r="BB46" i="38"/>
  <c r="BC46" i="38" s="1"/>
  <c r="BB47" i="38"/>
  <c r="BC47" i="38" s="1"/>
  <c r="BI47" i="38"/>
  <c r="BJ47" i="38" s="1"/>
  <c r="BI121" i="38"/>
  <c r="BJ121" i="38" s="1"/>
  <c r="BB121" i="38"/>
  <c r="BC121" i="38" s="1"/>
  <c r="BB48" i="38"/>
  <c r="BC48" i="38" s="1"/>
  <c r="BI48" i="38"/>
  <c r="BJ48" i="38" s="1"/>
  <c r="BI49" i="38"/>
  <c r="BJ49" i="38" s="1"/>
  <c r="BI122" i="38"/>
  <c r="BJ122" i="38" s="1"/>
  <c r="BB122" i="38"/>
  <c r="BC122" i="38" s="1"/>
  <c r="BB49" i="38"/>
  <c r="BC49" i="38" s="1"/>
  <c r="BI124" i="38"/>
  <c r="BJ124" i="38" s="1"/>
  <c r="BB50" i="38"/>
  <c r="BC50" i="38" s="1"/>
  <c r="BB123" i="38"/>
  <c r="BC123" i="38" s="1"/>
  <c r="BI123" i="38"/>
  <c r="BJ123" i="38" s="1"/>
  <c r="BI50" i="38"/>
  <c r="BJ50" i="38" s="1"/>
  <c r="BB124" i="38"/>
  <c r="BC124" i="38" s="1"/>
  <c r="BB51" i="38"/>
  <c r="BC51" i="38" s="1"/>
  <c r="BI51" i="38"/>
  <c r="BJ51" i="38" s="1"/>
  <c r="BI52" i="38"/>
  <c r="BJ52" i="38" s="1"/>
  <c r="BB125" i="38"/>
  <c r="BC125" i="38" s="1"/>
  <c r="BB52" i="38"/>
  <c r="BC52" i="38" s="1"/>
  <c r="BI125" i="38"/>
  <c r="BJ125" i="38" s="1"/>
  <c r="BB126" i="38"/>
  <c r="BC126" i="38" s="1"/>
  <c r="BI127" i="38"/>
  <c r="BJ127" i="38" s="1"/>
  <c r="BI53" i="38"/>
  <c r="BJ53" i="38" s="1"/>
  <c r="BB53" i="38"/>
  <c r="BC53" i="38" s="1"/>
  <c r="BI126" i="38"/>
  <c r="BJ126" i="38" s="1"/>
  <c r="BB127" i="38"/>
  <c r="BC127" i="38" s="1"/>
  <c r="BI54" i="38"/>
  <c r="BJ54" i="38" s="1"/>
  <c r="BB54" i="38"/>
  <c r="BC54" i="38" s="1"/>
  <c r="BB55" i="38"/>
  <c r="BC55" i="38" s="1"/>
  <c r="BB128" i="38"/>
  <c r="BC128" i="38" s="1"/>
  <c r="BI128" i="38"/>
  <c r="BJ128" i="38" s="1"/>
  <c r="BI55" i="38"/>
  <c r="BJ55" i="38" s="1"/>
  <c r="BI129" i="38"/>
  <c r="BJ129" i="38" s="1"/>
  <c r="BB56" i="38"/>
  <c r="BC56" i="38" s="1"/>
  <c r="BI130" i="38"/>
  <c r="BJ130" i="38" s="1"/>
  <c r="BB129" i="38"/>
  <c r="BC129" i="38" s="1"/>
  <c r="BI56" i="38"/>
  <c r="BJ56" i="38" s="1"/>
  <c r="BB130" i="38"/>
  <c r="BC130" i="38" s="1"/>
  <c r="BB131" i="38"/>
  <c r="BC131" i="38" s="1"/>
  <c r="BI57" i="38"/>
  <c r="BJ57" i="38" s="1"/>
  <c r="BI131" i="38"/>
  <c r="BJ131" i="38" s="1"/>
  <c r="BB57" i="38"/>
  <c r="BC57" i="38" s="1"/>
  <c r="BI58" i="38"/>
  <c r="BJ58" i="38" s="1"/>
  <c r="BB58" i="38"/>
  <c r="BC58" i="38" s="1"/>
  <c r="BI132" i="38"/>
  <c r="BJ132" i="38" s="1"/>
  <c r="BB133" i="38"/>
  <c r="BC133" i="38" s="1"/>
  <c r="BI59" i="38"/>
  <c r="BJ59" i="38" s="1"/>
  <c r="BB132" i="38"/>
  <c r="BC132" i="38" s="1"/>
  <c r="BI133" i="38"/>
  <c r="BJ133" i="38" s="1"/>
  <c r="BB59" i="38"/>
  <c r="BC59" i="38" s="1"/>
  <c r="BB60" i="38"/>
  <c r="BC60" i="38" s="1"/>
  <c r="BI134" i="38"/>
  <c r="BJ134" i="38" s="1"/>
  <c r="BI60" i="38"/>
  <c r="BJ60" i="38" s="1"/>
  <c r="BB134" i="38"/>
  <c r="BC134" i="38" s="1"/>
  <c r="BI135" i="38"/>
  <c r="BJ135" i="38" s="1"/>
  <c r="BB61" i="38"/>
  <c r="BC61" i="38" s="1"/>
  <c r="BI61" i="38"/>
  <c r="BJ61" i="38" s="1"/>
  <c r="BB135" i="38"/>
  <c r="BC135" i="38" s="1"/>
  <c r="BI62" i="38"/>
  <c r="BJ62" i="38" s="1"/>
  <c r="BI136" i="38"/>
  <c r="BJ136" i="38" s="1"/>
  <c r="BB62" i="38"/>
  <c r="BC62" i="38" s="1"/>
  <c r="BB136" i="38"/>
  <c r="BC136" i="38" s="1"/>
  <c r="BI63" i="38"/>
  <c r="BJ63" i="38" s="1"/>
  <c r="BB137" i="38"/>
  <c r="BC137" i="38" s="1"/>
  <c r="BI137" i="38"/>
  <c r="BJ137" i="38" s="1"/>
  <c r="BB63" i="38"/>
  <c r="BC63" i="38" s="1"/>
  <c r="BB64" i="38"/>
  <c r="BC64" i="38" s="1"/>
  <c r="BI64" i="38"/>
  <c r="BJ64" i="38" s="1"/>
  <c r="BI138" i="38"/>
  <c r="BJ138" i="38" s="1"/>
  <c r="BB138" i="38"/>
  <c r="BC138" i="38" s="1"/>
  <c r="BI65" i="38"/>
  <c r="BJ65" i="38" s="1"/>
  <c r="BB65" i="38"/>
  <c r="BC65" i="38" s="1"/>
  <c r="BB139" i="38"/>
  <c r="BC139" i="38" s="1"/>
  <c r="BI66" i="38"/>
  <c r="BJ66" i="38" s="1"/>
  <c r="BB66" i="38"/>
  <c r="BC66" i="38" s="1"/>
  <c r="BI139" i="38"/>
  <c r="BJ139" i="38" s="1"/>
  <c r="BI67" i="38"/>
  <c r="BJ67" i="38" s="1"/>
  <c r="BB140" i="38"/>
  <c r="BC140" i="38" s="1"/>
  <c r="BB67" i="38"/>
  <c r="BC67" i="38" s="1"/>
  <c r="BI140" i="38"/>
  <c r="BJ140" i="38" s="1"/>
  <c r="BB68" i="38"/>
  <c r="BC68" i="38" s="1"/>
  <c r="BB141" i="38"/>
  <c r="BC141" i="38" s="1"/>
  <c r="BI68" i="38"/>
  <c r="BJ68" i="38" s="1"/>
  <c r="BI141" i="38"/>
  <c r="BJ141" i="38" s="1"/>
  <c r="BB142" i="38"/>
  <c r="BC142" i="38" s="1"/>
  <c r="BI69" i="38"/>
  <c r="BJ69" i="38" s="1"/>
  <c r="BI142" i="38"/>
  <c r="BJ142" i="38" s="1"/>
  <c r="BB69" i="38"/>
  <c r="BC69" i="38" s="1"/>
  <c r="BB144" i="38"/>
  <c r="BC144" i="38" s="1"/>
  <c r="BB70" i="38"/>
  <c r="BC70" i="38" s="1"/>
  <c r="BB143" i="38"/>
  <c r="BC143" i="38" s="1"/>
  <c r="BI70" i="38"/>
  <c r="BJ70" i="38" s="1"/>
  <c r="BI143" i="38"/>
  <c r="BJ143" i="38" s="1"/>
  <c r="BI144" i="38"/>
  <c r="BJ144" i="38" s="1"/>
  <c r="BB145" i="38"/>
  <c r="BC145" i="38" s="1"/>
  <c r="BB71" i="38"/>
  <c r="BC71" i="38" s="1"/>
  <c r="BI145" i="38"/>
  <c r="BJ145" i="38" s="1"/>
  <c r="BI71" i="38"/>
  <c r="BJ71" i="38" s="1"/>
  <c r="BB146" i="38"/>
  <c r="BC146" i="38" s="1"/>
  <c r="BI72" i="38"/>
  <c r="BJ72" i="38" s="1"/>
  <c r="BI146" i="38"/>
  <c r="BJ146" i="38" s="1"/>
  <c r="BB72" i="38"/>
  <c r="BC72" i="38" s="1"/>
  <c r="BB73" i="38"/>
  <c r="BC73" i="38" s="1"/>
  <c r="BI73" i="38"/>
  <c r="BJ73" i="38" s="1"/>
  <c r="BB147" i="38"/>
  <c r="BC147" i="38" s="1"/>
  <c r="BB74" i="38"/>
  <c r="BC74" i="38" s="1"/>
  <c r="BI74" i="38"/>
  <c r="BJ74" i="38" s="1"/>
  <c r="BB148" i="38"/>
  <c r="BC148" i="38" s="1"/>
  <c r="BI147" i="38"/>
  <c r="BJ147" i="38" s="1"/>
  <c r="BI148" i="38"/>
  <c r="BJ148" i="38" s="1"/>
  <c r="BI23" i="38"/>
  <c r="BB23" i="38"/>
  <c r="BN23" i="38" s="1"/>
  <c r="K24" i="38"/>
  <c r="BB24" i="38"/>
  <c r="BI25" i="38"/>
  <c r="BJ25" i="38" s="1"/>
  <c r="BB25" i="38"/>
  <c r="BI26" i="38"/>
  <c r="BJ26" i="38" s="1"/>
  <c r="BB26" i="38"/>
  <c r="BB27" i="38"/>
  <c r="BI27" i="38"/>
  <c r="BJ27" i="38" s="1"/>
  <c r="BI28" i="38"/>
  <c r="BJ28" i="38" s="1"/>
  <c r="BB28" i="38"/>
  <c r="AJ27" i="38"/>
  <c r="AO22" i="38" s="1"/>
  <c r="AO26" i="38" s="1"/>
  <c r="R24" i="38" l="1"/>
  <c r="M99" i="38"/>
  <c r="L100" i="38"/>
  <c r="K101" i="38"/>
  <c r="AA5" i="37"/>
  <c r="I10" i="38" s="1"/>
  <c r="I11" i="38" s="1"/>
  <c r="I12" i="38" s="1"/>
  <c r="I13" i="38" s="1"/>
  <c r="I14" i="38" s="1"/>
  <c r="I15" i="38" s="1"/>
  <c r="I16" i="38" s="1"/>
  <c r="I17" i="38" s="1"/>
  <c r="I18" i="38" s="1"/>
  <c r="I19" i="38" s="1"/>
  <c r="AA9" i="37"/>
  <c r="L10" i="38" s="1"/>
  <c r="L11" i="38" s="1"/>
  <c r="L12" i="38" s="1"/>
  <c r="L13" i="38" s="1"/>
  <c r="L14" i="38" s="1"/>
  <c r="L15" i="38" s="1"/>
  <c r="L16" i="38" s="1"/>
  <c r="L17" i="38" s="1"/>
  <c r="L18" i="38" s="1"/>
  <c r="L19" i="38" s="1"/>
  <c r="BN79" i="38"/>
  <c r="BP79" i="38" s="1"/>
  <c r="BC79" i="38"/>
  <c r="BN83" i="38"/>
  <c r="BP83" i="38" s="1"/>
  <c r="BC83" i="38"/>
  <c r="BN100" i="38"/>
  <c r="BP100" i="38" s="1"/>
  <c r="BC100" i="38"/>
  <c r="BC77" i="38"/>
  <c r="BN77" i="38"/>
  <c r="BP77" i="38" s="1"/>
  <c r="BC81" i="38"/>
  <c r="BN81" i="38"/>
  <c r="BP81" i="38" s="1"/>
  <c r="BC82" i="38"/>
  <c r="BN82" i="38"/>
  <c r="BP82" i="38" s="1"/>
  <c r="BC78" i="38"/>
  <c r="BN78" i="38"/>
  <c r="BP78" i="38" s="1"/>
  <c r="BC99" i="38"/>
  <c r="BN99" i="38"/>
  <c r="BP99" i="38" s="1"/>
  <c r="BC76" i="38"/>
  <c r="BN76" i="38"/>
  <c r="BP76" i="38" s="1"/>
  <c r="BC80" i="38"/>
  <c r="BN80" i="38"/>
  <c r="BP80" i="38" s="1"/>
  <c r="AX100" i="38"/>
  <c r="AS24" i="38"/>
  <c r="AU24" i="38" s="1"/>
  <c r="AX24" i="38"/>
  <c r="BN24" i="38" s="1"/>
  <c r="BP24" i="38" s="1"/>
  <c r="BC27" i="38"/>
  <c r="BM8" i="38"/>
  <c r="BN8" i="38" s="1"/>
  <c r="BC23" i="38"/>
  <c r="BC25" i="38"/>
  <c r="L24" i="38"/>
  <c r="BC26" i="38"/>
  <c r="BC24" i="38"/>
  <c r="BJ15" i="38"/>
  <c r="BJ23" i="38"/>
  <c r="BP23" i="38" s="1"/>
  <c r="BC28" i="38"/>
  <c r="K25" i="38"/>
  <c r="AP22" i="38"/>
  <c r="AP26" i="38" s="1"/>
  <c r="AU23" i="38"/>
  <c r="AT24" i="38"/>
  <c r="K102" i="38" l="1"/>
  <c r="L101" i="38"/>
  <c r="N101" i="38" s="1"/>
  <c r="M100" i="38"/>
  <c r="R25" i="38"/>
  <c r="Y25" i="38" s="1"/>
  <c r="N100" i="38"/>
  <c r="Y24" i="38"/>
  <c r="X66" i="2" s="1"/>
  <c r="Z66" i="2" s="1"/>
  <c r="AX101" i="38"/>
  <c r="AY100" i="38"/>
  <c r="BN101" i="38"/>
  <c r="BP101" i="38" s="1"/>
  <c r="AY24" i="38"/>
  <c r="K26" i="38"/>
  <c r="AX26" i="38" s="1"/>
  <c r="BN26" i="38" s="1"/>
  <c r="BP26" i="38" s="1"/>
  <c r="AX25" i="38"/>
  <c r="BN25" i="38" s="1"/>
  <c r="BP25" i="38" s="1"/>
  <c r="AS25" i="38"/>
  <c r="AU25" i="38" s="1"/>
  <c r="M24" i="38"/>
  <c r="Q24" i="38"/>
  <c r="X24" i="38" s="1"/>
  <c r="W66" i="2" s="1"/>
  <c r="Y66" i="2" s="1"/>
  <c r="N24" i="38"/>
  <c r="L25" i="38"/>
  <c r="X21" i="12"/>
  <c r="AT25" i="38"/>
  <c r="AV25" i="38" s="1"/>
  <c r="AV23" i="38"/>
  <c r="AV24" i="38"/>
  <c r="AA12" i="37"/>
  <c r="X35" i="12"/>
  <c r="R26" i="38" l="1"/>
  <c r="M101" i="38"/>
  <c r="L102" i="38"/>
  <c r="K103" i="38"/>
  <c r="AX102" i="38"/>
  <c r="AY101" i="38"/>
  <c r="BN102" i="38"/>
  <c r="BP102" i="38" s="1"/>
  <c r="AY25" i="38"/>
  <c r="AY26" i="38"/>
  <c r="K27" i="38"/>
  <c r="AX27" i="38" s="1"/>
  <c r="BN27" i="38" s="1"/>
  <c r="BP27" i="38" s="1"/>
  <c r="BQ27" i="38" s="1"/>
  <c r="AS26" i="38"/>
  <c r="AU26" i="38" s="1"/>
  <c r="L26" i="38"/>
  <c r="Q25" i="38"/>
  <c r="X25" i="38" s="1"/>
  <c r="W67" i="2" s="1"/>
  <c r="Y67" i="2" s="1"/>
  <c r="N25" i="38"/>
  <c r="AB24" i="38"/>
  <c r="M25" i="38"/>
  <c r="AT26" i="38"/>
  <c r="AV26" i="38" s="1"/>
  <c r="X67" i="2"/>
  <c r="Z67" i="2" s="1"/>
  <c r="R27" i="38" l="1"/>
  <c r="M102" i="38"/>
  <c r="K104" i="38"/>
  <c r="L103" i="38"/>
  <c r="AX103" i="38"/>
  <c r="BN104" i="38" s="1"/>
  <c r="BP104" i="38" s="1"/>
  <c r="W25" i="38"/>
  <c r="M26" i="38"/>
  <c r="AD17" i="38"/>
  <c r="AF20" i="38" s="1"/>
  <c r="AT27" i="38"/>
  <c r="AV27" i="38" s="1"/>
  <c r="BN103" i="38"/>
  <c r="BP103" i="38" s="1"/>
  <c r="AY102" i="38"/>
  <c r="N26" i="38"/>
  <c r="Q26" i="38"/>
  <c r="AB25" i="38"/>
  <c r="K28" i="38"/>
  <c r="AX28" i="38" s="1"/>
  <c r="BN28" i="38" s="1"/>
  <c r="BP28" i="38" s="1"/>
  <c r="BQ28" i="38" s="1"/>
  <c r="AS27" i="38"/>
  <c r="AU27" i="38" s="1"/>
  <c r="L27" i="38"/>
  <c r="Q27" i="38" s="1"/>
  <c r="AY27" i="38"/>
  <c r="Y26" i="38"/>
  <c r="X68" i="2" s="1"/>
  <c r="Z68" i="2" s="1"/>
  <c r="N102" i="38"/>
  <c r="AY103" i="38" l="1"/>
  <c r="W27" i="38"/>
  <c r="K105" i="38"/>
  <c r="AX105" i="38" s="1"/>
  <c r="AY105" i="38" s="1"/>
  <c r="L104" i="38"/>
  <c r="N104" i="38" s="1"/>
  <c r="R28" i="38"/>
  <c r="M103" i="38"/>
  <c r="AX104" i="38"/>
  <c r="AY104" i="38" s="1"/>
  <c r="X26" i="38"/>
  <c r="W68" i="2" s="1"/>
  <c r="Y68" i="2" s="1"/>
  <c r="W26" i="38"/>
  <c r="Y27" i="38"/>
  <c r="N103" i="38"/>
  <c r="AT28" i="38"/>
  <c r="AV28" i="38" s="1"/>
  <c r="N27" i="38"/>
  <c r="M27" i="38"/>
  <c r="K29" i="38"/>
  <c r="AX29" i="38" s="1"/>
  <c r="BN29" i="38" s="1"/>
  <c r="BP29" i="38" s="1"/>
  <c r="BQ29" i="38" s="1"/>
  <c r="AS28" i="38"/>
  <c r="AU28" i="38" s="1"/>
  <c r="L28" i="38"/>
  <c r="M28" i="38" s="1"/>
  <c r="AY28" i="38"/>
  <c r="K10" i="38"/>
  <c r="J10" i="38" s="1"/>
  <c r="X27" i="38"/>
  <c r="W69" i="2" s="1"/>
  <c r="Y69" i="2" s="1"/>
  <c r="AB26" i="38" l="1"/>
  <c r="BN105" i="38"/>
  <c r="BP105" i="38" s="1"/>
  <c r="M104" i="38"/>
  <c r="R29" i="38"/>
  <c r="L105" i="38"/>
  <c r="K106" i="38"/>
  <c r="Y28" i="38"/>
  <c r="X70" i="2" s="1"/>
  <c r="Z70" i="2" s="1"/>
  <c r="N10" i="38"/>
  <c r="M10" i="38" s="1"/>
  <c r="BN106" i="38"/>
  <c r="BP106" i="38" s="1"/>
  <c r="AT29" i="38"/>
  <c r="AV29" i="38" s="1"/>
  <c r="N28" i="38"/>
  <c r="Q28" i="38"/>
  <c r="AS29" i="38"/>
  <c r="AU29" i="38" s="1"/>
  <c r="L29" i="38"/>
  <c r="N29" i="38" s="1"/>
  <c r="K30" i="38"/>
  <c r="AX30" i="38" s="1"/>
  <c r="BN30" i="38" s="1"/>
  <c r="BP30" i="38" s="1"/>
  <c r="BQ30" i="38" s="1"/>
  <c r="AY29" i="38"/>
  <c r="AB27" i="38"/>
  <c r="V3" i="2" s="1"/>
  <c r="W3" i="2" s="1"/>
  <c r="X69" i="2"/>
  <c r="Z69" i="2" s="1"/>
  <c r="K107" i="38" l="1"/>
  <c r="AX107" i="38" s="1"/>
  <c r="BN108" i="38" s="1"/>
  <c r="BP108" i="38" s="1"/>
  <c r="L106" i="38"/>
  <c r="AX106" i="38"/>
  <c r="AY106" i="38" s="1"/>
  <c r="R30" i="38"/>
  <c r="M105" i="38"/>
  <c r="X28" i="38"/>
  <c r="W70" i="2" s="1"/>
  <c r="Y70" i="2" s="1"/>
  <c r="W28" i="38"/>
  <c r="N105" i="38"/>
  <c r="AT30" i="38"/>
  <c r="AV30" i="38" s="1"/>
  <c r="Y29" i="38"/>
  <c r="X71" i="2" s="1"/>
  <c r="Z71" i="2" s="1"/>
  <c r="Q29" i="38"/>
  <c r="M29" i="38"/>
  <c r="AY30" i="38"/>
  <c r="K31" i="38"/>
  <c r="AX31" i="38" s="1"/>
  <c r="BN31" i="38" s="1"/>
  <c r="BP31" i="38" s="1"/>
  <c r="BQ31" i="38" s="1"/>
  <c r="L30" i="38"/>
  <c r="M30" i="38" s="1"/>
  <c r="AS30" i="38"/>
  <c r="AU30" i="38" s="1"/>
  <c r="BN107" i="38" l="1"/>
  <c r="BP107" i="38" s="1"/>
  <c r="M106" i="38"/>
  <c r="R31" i="38"/>
  <c r="Y31" i="38" s="1"/>
  <c r="K108" i="38"/>
  <c r="L107" i="38"/>
  <c r="R32" i="38" s="1"/>
  <c r="AB28" i="38"/>
  <c r="O10" i="38" s="1"/>
  <c r="P10" i="38" s="1"/>
  <c r="X29" i="38"/>
  <c r="W71" i="2" s="1"/>
  <c r="Y71" i="2" s="1"/>
  <c r="W29" i="38"/>
  <c r="Y30" i="38"/>
  <c r="X72" i="2" s="1"/>
  <c r="Z72" i="2" s="1"/>
  <c r="N106" i="38"/>
  <c r="AT31" i="38"/>
  <c r="AV31" i="38" s="1"/>
  <c r="AY107" i="38"/>
  <c r="Q30" i="38"/>
  <c r="N30" i="38"/>
  <c r="K32" i="38"/>
  <c r="AX32" i="38" s="1"/>
  <c r="BN32" i="38" s="1"/>
  <c r="BP32" i="38" s="1"/>
  <c r="BQ32" i="38" s="1"/>
  <c r="L31" i="38"/>
  <c r="M31" i="38" s="1"/>
  <c r="AY31" i="38"/>
  <c r="AS31" i="38"/>
  <c r="AU31" i="38" s="1"/>
  <c r="K109" i="38" l="1"/>
  <c r="AX109" i="38" s="1"/>
  <c r="AY109" i="38" s="1"/>
  <c r="L108" i="38"/>
  <c r="R33" i="38" s="1"/>
  <c r="AX108" i="38"/>
  <c r="BN109" i="38" s="1"/>
  <c r="BP109" i="38" s="1"/>
  <c r="AB29" i="38"/>
  <c r="Q10" i="38"/>
  <c r="D60" i="12" s="1"/>
  <c r="X30" i="38"/>
  <c r="W72" i="2" s="1"/>
  <c r="Y72" i="2" s="1"/>
  <c r="W30" i="38"/>
  <c r="M107" i="38"/>
  <c r="N107" i="38"/>
  <c r="AT32" i="38"/>
  <c r="AV32" i="38" s="1"/>
  <c r="N31" i="38"/>
  <c r="Q31" i="38"/>
  <c r="K33" i="38"/>
  <c r="AX33" i="38" s="1"/>
  <c r="BN33" i="38" s="1"/>
  <c r="BP33" i="38" s="1"/>
  <c r="BQ33" i="38" s="1"/>
  <c r="L32" i="38"/>
  <c r="Q32" i="38" s="1"/>
  <c r="W32" i="38" s="1"/>
  <c r="AS32" i="38"/>
  <c r="AU32" i="38" s="1"/>
  <c r="AY32" i="38"/>
  <c r="X73" i="2"/>
  <c r="Z73" i="2" s="1"/>
  <c r="AY108" i="38" l="1"/>
  <c r="L109" i="38"/>
  <c r="R34" i="38" s="1"/>
  <c r="K110" i="38"/>
  <c r="AB30" i="38"/>
  <c r="X31" i="38"/>
  <c r="W73" i="2" s="1"/>
  <c r="Y73" i="2" s="1"/>
  <c r="W31" i="38"/>
  <c r="M108" i="38"/>
  <c r="Y32" i="38"/>
  <c r="N108" i="38"/>
  <c r="BN110" i="38"/>
  <c r="BP110" i="38" s="1"/>
  <c r="AT33" i="38"/>
  <c r="AV33" i="38" s="1"/>
  <c r="N32" i="38"/>
  <c r="M32" i="38"/>
  <c r="AS33" i="38"/>
  <c r="AU33" i="38" s="1"/>
  <c r="L33" i="38"/>
  <c r="M33" i="38" s="1"/>
  <c r="K34" i="38"/>
  <c r="AX34" i="38" s="1"/>
  <c r="BN34" i="38" s="1"/>
  <c r="BP34" i="38" s="1"/>
  <c r="BQ34" i="38" s="1"/>
  <c r="AY33" i="38"/>
  <c r="K11" i="38"/>
  <c r="J11" i="38" s="1"/>
  <c r="AF6" i="37" s="1"/>
  <c r="X32" i="38"/>
  <c r="W74" i="2" s="1"/>
  <c r="Y74" i="2" s="1"/>
  <c r="N11" i="38"/>
  <c r="M11" i="38" s="1"/>
  <c r="AF10" i="37" s="1"/>
  <c r="L110" i="38" l="1"/>
  <c r="R35" i="38" s="1"/>
  <c r="K111" i="38"/>
  <c r="AX110" i="38"/>
  <c r="BN111" i="38" s="1"/>
  <c r="BP111" i="38" s="1"/>
  <c r="AB31" i="38"/>
  <c r="M109" i="38"/>
  <c r="AT34" i="38"/>
  <c r="AV34" i="38" s="1"/>
  <c r="Y33" i="38"/>
  <c r="X75" i="2" s="1"/>
  <c r="Z75" i="2" s="1"/>
  <c r="N109" i="38"/>
  <c r="N33" i="38"/>
  <c r="Q33" i="38"/>
  <c r="AS34" i="38"/>
  <c r="AU34" i="38" s="1"/>
  <c r="AY34" i="38"/>
  <c r="K35" i="38"/>
  <c r="AX35" i="38" s="1"/>
  <c r="BN35" i="38" s="1"/>
  <c r="BP35" i="38" s="1"/>
  <c r="BQ35" i="38" s="1"/>
  <c r="L34" i="38"/>
  <c r="Q34" i="38" s="1"/>
  <c r="AB32" i="38"/>
  <c r="X74" i="2"/>
  <c r="Z74" i="2" s="1"/>
  <c r="AY110" i="38" l="1"/>
  <c r="K112" i="38"/>
  <c r="AX112" i="38" s="1"/>
  <c r="BN113" i="38" s="1"/>
  <c r="BP113" i="38" s="1"/>
  <c r="L111" i="38"/>
  <c r="R36" i="38" s="1"/>
  <c r="AX111" i="38"/>
  <c r="BN112" i="38" s="1"/>
  <c r="BP112" i="38" s="1"/>
  <c r="X34" i="38"/>
  <c r="W76" i="2" s="1"/>
  <c r="Y76" i="2" s="1"/>
  <c r="W34" i="38"/>
  <c r="X33" i="38"/>
  <c r="W75" i="2" s="1"/>
  <c r="Y75" i="2" s="1"/>
  <c r="W33" i="38"/>
  <c r="Y34" i="38"/>
  <c r="Y35" i="38"/>
  <c r="M110" i="38"/>
  <c r="N110" i="38"/>
  <c r="AT35" i="38"/>
  <c r="AV35" i="38" s="1"/>
  <c r="M34" i="38"/>
  <c r="N34" i="38"/>
  <c r="AY35" i="38"/>
  <c r="K36" i="38"/>
  <c r="AX36" i="38" s="1"/>
  <c r="BN36" i="38" s="1"/>
  <c r="BP36" i="38" s="1"/>
  <c r="BQ36" i="38" s="1"/>
  <c r="L35" i="38"/>
  <c r="N35" i="38" s="1"/>
  <c r="AS35" i="38"/>
  <c r="AU35" i="38" s="1"/>
  <c r="O11" i="38"/>
  <c r="V4" i="2"/>
  <c r="W4" i="2" s="1"/>
  <c r="AB34" i="38" l="1"/>
  <c r="AY111" i="38"/>
  <c r="L112" i="38"/>
  <c r="R37" i="38" s="1"/>
  <c r="K113" i="38"/>
  <c r="X76" i="2"/>
  <c r="Z76" i="2" s="1"/>
  <c r="AB33" i="38"/>
  <c r="M111" i="38"/>
  <c r="M35" i="38"/>
  <c r="AT36" i="38"/>
  <c r="AV36" i="38" s="1"/>
  <c r="AY112" i="38"/>
  <c r="N111" i="38"/>
  <c r="Q35" i="38"/>
  <c r="AS36" i="38"/>
  <c r="AU36" i="38" s="1"/>
  <c r="AY36" i="38"/>
  <c r="L36" i="38"/>
  <c r="N36" i="38" s="1"/>
  <c r="K37" i="38"/>
  <c r="AX37" i="38" s="1"/>
  <c r="BN37" i="38" s="1"/>
  <c r="BP37" i="38" s="1"/>
  <c r="BQ37" i="38" s="1"/>
  <c r="X77" i="2"/>
  <c r="Z77" i="2" s="1"/>
  <c r="P11" i="38"/>
  <c r="Q11" i="38"/>
  <c r="U41" i="2" l="1"/>
  <c r="W41" i="2" s="1"/>
  <c r="D39" i="4" s="1"/>
  <c r="Z39" i="4" s="1"/>
  <c r="U42" i="2"/>
  <c r="W42" i="2" s="1"/>
  <c r="D40" i="4" s="1"/>
  <c r="Z40" i="4" s="1"/>
  <c r="U39" i="2"/>
  <c r="W39" i="2" s="1"/>
  <c r="D37" i="4" s="1"/>
  <c r="Z37" i="4" s="1"/>
  <c r="U40" i="2"/>
  <c r="W40" i="2" s="1"/>
  <c r="D38" i="4" s="1"/>
  <c r="Z38" i="4" s="1"/>
  <c r="U37" i="2"/>
  <c r="W37" i="2" s="1"/>
  <c r="D35" i="4" s="1"/>
  <c r="Z35" i="4" s="1"/>
  <c r="U38" i="2"/>
  <c r="W38" i="2" s="1"/>
  <c r="D36" i="4" s="1"/>
  <c r="Z36" i="4" s="1"/>
  <c r="U34" i="2"/>
  <c r="U35" i="2"/>
  <c r="U33" i="2"/>
  <c r="U36" i="2"/>
  <c r="K114" i="38"/>
  <c r="AX114" i="38" s="1"/>
  <c r="BN115" i="38" s="1"/>
  <c r="BP115" i="38" s="1"/>
  <c r="L113" i="38"/>
  <c r="R38" i="38" s="1"/>
  <c r="AX113" i="38"/>
  <c r="AY113" i="38" s="1"/>
  <c r="X35" i="38"/>
  <c r="W77" i="2" s="1"/>
  <c r="Y77" i="2" s="1"/>
  <c r="W35" i="38"/>
  <c r="Y36" i="38"/>
  <c r="X78" i="2" s="1"/>
  <c r="Z78" i="2" s="1"/>
  <c r="N112" i="38"/>
  <c r="AT37" i="38"/>
  <c r="AV37" i="38" s="1"/>
  <c r="M112" i="38"/>
  <c r="M36" i="38"/>
  <c r="L37" i="38"/>
  <c r="M37" i="38" s="1"/>
  <c r="K38" i="38"/>
  <c r="AX38" i="38" s="1"/>
  <c r="BN38" i="38" s="1"/>
  <c r="BP38" i="38" s="1"/>
  <c r="BQ38" i="38" s="1"/>
  <c r="Q36" i="38"/>
  <c r="AS37" i="38"/>
  <c r="AU37" i="38" s="1"/>
  <c r="AY37" i="38"/>
  <c r="E60" i="12"/>
  <c r="BN114" i="38" l="1"/>
  <c r="BP114" i="38" s="1"/>
  <c r="K115" i="38"/>
  <c r="AX115" i="38" s="1"/>
  <c r="AY115" i="38" s="1"/>
  <c r="L114" i="38"/>
  <c r="R39" i="38" s="1"/>
  <c r="AB35" i="38"/>
  <c r="X36" i="38"/>
  <c r="W78" i="2" s="1"/>
  <c r="Y78" i="2" s="1"/>
  <c r="W36" i="38"/>
  <c r="N113" i="38"/>
  <c r="M113" i="38"/>
  <c r="AT38" i="38"/>
  <c r="AV38" i="38" s="1"/>
  <c r="AY114" i="38"/>
  <c r="N37" i="38"/>
  <c r="Q37" i="38"/>
  <c r="K39" i="38"/>
  <c r="AX39" i="38" s="1"/>
  <c r="BN39" i="38" s="1"/>
  <c r="BP39" i="38" s="1"/>
  <c r="BQ39" i="38" s="1"/>
  <c r="AY38" i="38"/>
  <c r="L38" i="38"/>
  <c r="M38" i="38" s="1"/>
  <c r="AS38" i="38"/>
  <c r="AU38" i="38" s="1"/>
  <c r="N12" i="38"/>
  <c r="M12" i="38" s="1"/>
  <c r="Y37" i="38"/>
  <c r="M114" i="38" l="1"/>
  <c r="K116" i="38"/>
  <c r="AX116" i="38" s="1"/>
  <c r="AY116" i="38" s="1"/>
  <c r="L115" i="38"/>
  <c r="R40" i="38" s="1"/>
  <c r="AB36" i="38"/>
  <c r="K12" i="38"/>
  <c r="J12" i="38" s="1"/>
  <c r="W37" i="38"/>
  <c r="N114" i="38"/>
  <c r="Y38" i="38"/>
  <c r="X80" i="2" s="1"/>
  <c r="Z80" i="2" s="1"/>
  <c r="BN116" i="38"/>
  <c r="BP116" i="38" s="1"/>
  <c r="AT39" i="38"/>
  <c r="AV39" i="38" s="1"/>
  <c r="Q38" i="38"/>
  <c r="N38" i="38"/>
  <c r="X37" i="38"/>
  <c r="W79" i="2" s="1"/>
  <c r="Y79" i="2" s="1"/>
  <c r="L39" i="38"/>
  <c r="M39" i="38" s="1"/>
  <c r="K40" i="38"/>
  <c r="AX40" i="38" s="1"/>
  <c r="BN40" i="38" s="1"/>
  <c r="BP40" i="38" s="1"/>
  <c r="AS39" i="38"/>
  <c r="AU39" i="38" s="1"/>
  <c r="AY39" i="38"/>
  <c r="X79" i="2"/>
  <c r="Z79" i="2" s="1"/>
  <c r="L116" i="38" l="1"/>
  <c r="R41" i="38" s="1"/>
  <c r="K117" i="38"/>
  <c r="X38" i="38"/>
  <c r="W80" i="2" s="1"/>
  <c r="Y80" i="2" s="1"/>
  <c r="W38" i="38"/>
  <c r="N115" i="38"/>
  <c r="Y40" i="38"/>
  <c r="Y39" i="38"/>
  <c r="X81" i="2" s="1"/>
  <c r="Z81" i="2" s="1"/>
  <c r="M115" i="38"/>
  <c r="BN117" i="38"/>
  <c r="BP117" i="38" s="1"/>
  <c r="AT40" i="38"/>
  <c r="AV40" i="38" s="1"/>
  <c r="AB37" i="38"/>
  <c r="O12" i="38" s="1"/>
  <c r="P12" i="38" s="1"/>
  <c r="Q39" i="38"/>
  <c r="L40" i="38"/>
  <c r="M40" i="38" s="1"/>
  <c r="AS40" i="38"/>
  <c r="AU40" i="38" s="1"/>
  <c r="AY40" i="38"/>
  <c r="K41" i="38"/>
  <c r="AX41" i="38" s="1"/>
  <c r="BN41" i="38" s="1"/>
  <c r="BP41" i="38" s="1"/>
  <c r="N116" i="38" l="1"/>
  <c r="K118" i="38"/>
  <c r="AX118" i="38" s="1"/>
  <c r="BN119" i="38" s="1"/>
  <c r="BP119" i="38" s="1"/>
  <c r="L117" i="38"/>
  <c r="R42" i="38" s="1"/>
  <c r="AX117" i="38"/>
  <c r="AY117" i="38" s="1"/>
  <c r="X39" i="38"/>
  <c r="W81" i="2" s="1"/>
  <c r="Y81" i="2" s="1"/>
  <c r="W39" i="38"/>
  <c r="AB38" i="38"/>
  <c r="M116" i="38"/>
  <c r="AT41" i="38"/>
  <c r="AV41" i="38" s="1"/>
  <c r="Q12" i="38"/>
  <c r="Q40" i="38"/>
  <c r="K42" i="38"/>
  <c r="AX42" i="38" s="1"/>
  <c r="BN42" i="38" s="1"/>
  <c r="BP42" i="38" s="1"/>
  <c r="AS41" i="38"/>
  <c r="AU41" i="38" s="1"/>
  <c r="L41" i="38"/>
  <c r="M41" i="38" s="1"/>
  <c r="AY41" i="38"/>
  <c r="X82" i="2"/>
  <c r="Z82" i="2" s="1"/>
  <c r="AB39" i="38" l="1"/>
  <c r="BN118" i="38"/>
  <c r="BP118" i="38" s="1"/>
  <c r="L118" i="38"/>
  <c r="R43" i="38" s="1"/>
  <c r="K119" i="38"/>
  <c r="X40" i="38"/>
  <c r="W82" i="2" s="1"/>
  <c r="Y82" i="2" s="1"/>
  <c r="W40" i="38"/>
  <c r="N117" i="38"/>
  <c r="M117" i="38"/>
  <c r="Y41" i="38"/>
  <c r="X83" i="2" s="1"/>
  <c r="Z83" i="2" s="1"/>
  <c r="AY118" i="38"/>
  <c r="AT42" i="38"/>
  <c r="AV42" i="38" s="1"/>
  <c r="Q41" i="38"/>
  <c r="L42" i="38"/>
  <c r="M42" i="38" s="1"/>
  <c r="AS42" i="38"/>
  <c r="AU42" i="38" s="1"/>
  <c r="K43" i="38"/>
  <c r="AX43" i="38" s="1"/>
  <c r="BN43" i="38" s="1"/>
  <c r="BP43" i="38" s="1"/>
  <c r="AY42" i="38"/>
  <c r="K120" i="38" l="1"/>
  <c r="AX120" i="38" s="1"/>
  <c r="BN121" i="38" s="1"/>
  <c r="BP121" i="38" s="1"/>
  <c r="L119" i="38"/>
  <c r="R44" i="38" s="1"/>
  <c r="AX119" i="38"/>
  <c r="AY119" i="38" s="1"/>
  <c r="X41" i="38"/>
  <c r="W83" i="2" s="1"/>
  <c r="Y83" i="2" s="1"/>
  <c r="W41" i="38"/>
  <c r="AB40" i="38"/>
  <c r="N118" i="38"/>
  <c r="M118" i="38"/>
  <c r="AT43" i="38"/>
  <c r="AV43" i="38" s="1"/>
  <c r="Q42" i="38"/>
  <c r="K44" i="38"/>
  <c r="AX44" i="38" s="1"/>
  <c r="AY43" i="38"/>
  <c r="BN44" i="38"/>
  <c r="BP44" i="38" s="1"/>
  <c r="L43" i="38"/>
  <c r="M43" i="38" s="1"/>
  <c r="AS43" i="38"/>
  <c r="AU43" i="38" s="1"/>
  <c r="N13" i="38"/>
  <c r="M13" i="38" s="1"/>
  <c r="BD11" i="38"/>
  <c r="Y42" i="38"/>
  <c r="Y43" i="38"/>
  <c r="N119" i="38" l="1"/>
  <c r="BN120" i="38"/>
  <c r="BP120" i="38" s="1"/>
  <c r="L120" i="38"/>
  <c r="R45" i="38" s="1"/>
  <c r="K121" i="38"/>
  <c r="X42" i="38"/>
  <c r="W84" i="2" s="1"/>
  <c r="Y84" i="2" s="1"/>
  <c r="W42" i="38"/>
  <c r="AB41" i="38"/>
  <c r="M119" i="38"/>
  <c r="BC11" i="38"/>
  <c r="AM15" i="37" s="1"/>
  <c r="E53" i="12" s="1"/>
  <c r="AT44" i="38"/>
  <c r="AV44" i="38" s="1"/>
  <c r="AY120" i="38"/>
  <c r="K13" i="38"/>
  <c r="J13" i="38" s="1"/>
  <c r="Q43" i="38"/>
  <c r="L44" i="38"/>
  <c r="Q44" i="38" s="1"/>
  <c r="K45" i="38"/>
  <c r="AX45" i="38" s="1"/>
  <c r="AS44" i="38"/>
  <c r="AU44" i="38" s="1"/>
  <c r="BN45" i="38"/>
  <c r="BP45" i="38" s="1"/>
  <c r="AY44" i="38"/>
  <c r="X84" i="2"/>
  <c r="Z84" i="2" s="1"/>
  <c r="X85" i="2"/>
  <c r="Z85" i="2" s="1"/>
  <c r="AM16" i="37"/>
  <c r="K122" i="38" l="1"/>
  <c r="AX122" i="38" s="1"/>
  <c r="AY122" i="38" s="1"/>
  <c r="L121" i="38"/>
  <c r="R46" i="38" s="1"/>
  <c r="AX121" i="38"/>
  <c r="BN122" i="38" s="1"/>
  <c r="BP122" i="38" s="1"/>
  <c r="AB42" i="38"/>
  <c r="O13" i="38" s="1"/>
  <c r="P13" i="38" s="1"/>
  <c r="H37" i="42"/>
  <c r="BE11" i="38"/>
  <c r="X44" i="38"/>
  <c r="W86" i="2" s="1"/>
  <c r="Y86" i="2" s="1"/>
  <c r="W44" i="38"/>
  <c r="X43" i="38"/>
  <c r="W85" i="2" s="1"/>
  <c r="Y85" i="2" s="1"/>
  <c r="W43" i="38"/>
  <c r="N120" i="38"/>
  <c r="U40" i="16"/>
  <c r="V40" i="16" s="1"/>
  <c r="Q13" i="16" s="1"/>
  <c r="Q14" i="16" s="1"/>
  <c r="G53" i="12" s="1"/>
  <c r="Y44" i="38"/>
  <c r="X86" i="2" s="1"/>
  <c r="Z86" i="2" s="1"/>
  <c r="P29" i="39"/>
  <c r="P30" i="39" s="1"/>
  <c r="Q62" i="39" s="1"/>
  <c r="Q64" i="39" s="1"/>
  <c r="K37" i="42" s="1"/>
  <c r="M120" i="38"/>
  <c r="AT45" i="38"/>
  <c r="AV45" i="38" s="1"/>
  <c r="M44" i="38"/>
  <c r="L45" i="38"/>
  <c r="Q45" i="38" s="1"/>
  <c r="AS45" i="38"/>
  <c r="AU45" i="38" s="1"/>
  <c r="AY45" i="38"/>
  <c r="BN46" i="38"/>
  <c r="BP46" i="38" s="1"/>
  <c r="K46" i="38"/>
  <c r="AX46" i="38" s="1"/>
  <c r="AN16" i="37"/>
  <c r="E54" i="12"/>
  <c r="E55" i="12" s="1"/>
  <c r="H38" i="42"/>
  <c r="AF45" i="2"/>
  <c r="U41" i="16"/>
  <c r="V41" i="16" s="1"/>
  <c r="R13" i="16" s="1"/>
  <c r="P48" i="39"/>
  <c r="P49" i="39" s="1"/>
  <c r="R62" i="39" s="1"/>
  <c r="R64" i="39" s="1"/>
  <c r="AY121" i="38" l="1"/>
  <c r="L122" i="38"/>
  <c r="R47" i="38" s="1"/>
  <c r="K123" i="38"/>
  <c r="AX123" i="38" s="1"/>
  <c r="BN124" i="38" s="1"/>
  <c r="BP124" i="38" s="1"/>
  <c r="Q13" i="38"/>
  <c r="T58" i="39"/>
  <c r="V58" i="39" s="1"/>
  <c r="X45" i="38"/>
  <c r="W87" i="2" s="1"/>
  <c r="Y87" i="2" s="1"/>
  <c r="W45" i="38"/>
  <c r="AB43" i="38"/>
  <c r="AB44" i="38"/>
  <c r="V5" i="2" s="1"/>
  <c r="W5" i="2" s="1"/>
  <c r="Y45" i="38"/>
  <c r="Y46" i="38"/>
  <c r="T55" i="39"/>
  <c r="V55" i="39" s="1"/>
  <c r="Q73" i="39"/>
  <c r="T61" i="39" s="1"/>
  <c r="V61" i="39" s="1"/>
  <c r="P5" i="2"/>
  <c r="V7" i="10" s="1"/>
  <c r="N121" i="38"/>
  <c r="M121" i="38"/>
  <c r="AT46" i="38"/>
  <c r="AV46" i="38" s="1"/>
  <c r="BN123" i="38"/>
  <c r="BP123" i="38" s="1"/>
  <c r="M45" i="38"/>
  <c r="AS46" i="38"/>
  <c r="AU46" i="38" s="1"/>
  <c r="L46" i="38"/>
  <c r="M46" i="38" s="1"/>
  <c r="K47" i="38"/>
  <c r="AX47" i="38" s="1"/>
  <c r="AY46" i="38"/>
  <c r="BN47" i="38"/>
  <c r="BP47" i="38" s="1"/>
  <c r="R73" i="39"/>
  <c r="U61" i="39" s="1"/>
  <c r="W61" i="39" s="1"/>
  <c r="U58" i="39"/>
  <c r="W58" i="39" s="1"/>
  <c r="U64" i="39"/>
  <c r="W64" i="39" s="1"/>
  <c r="K38" i="42"/>
  <c r="K39" i="42" s="1"/>
  <c r="U55" i="39"/>
  <c r="W55" i="39" s="1"/>
  <c r="S13" i="16"/>
  <c r="S14" i="16" s="1"/>
  <c r="R14" i="16"/>
  <c r="H39" i="42"/>
  <c r="P47" i="42"/>
  <c r="M122" i="38" l="1"/>
  <c r="AB45" i="38"/>
  <c r="L123" i="38"/>
  <c r="R48" i="38" s="1"/>
  <c r="K124" i="38"/>
  <c r="AX124" i="38" s="1"/>
  <c r="AY124" i="38" s="1"/>
  <c r="X87" i="2"/>
  <c r="Z87" i="2" s="1"/>
  <c r="T64" i="39"/>
  <c r="V64" i="39" s="1"/>
  <c r="W14" i="4"/>
  <c r="N122" i="38"/>
  <c r="AY123" i="38"/>
  <c r="AT47" i="38"/>
  <c r="AV47" i="38" s="1"/>
  <c r="Q46" i="38"/>
  <c r="L47" i="38"/>
  <c r="M47" i="38" s="1"/>
  <c r="K48" i="38"/>
  <c r="AX48" i="38" s="1"/>
  <c r="BN48" i="38"/>
  <c r="BP48" i="38" s="1"/>
  <c r="AY47" i="38"/>
  <c r="AS47" i="38"/>
  <c r="AU47" i="38" s="1"/>
  <c r="X88" i="2"/>
  <c r="Z88" i="2" s="1"/>
  <c r="G54" i="12"/>
  <c r="G55" i="12" s="1"/>
  <c r="P6" i="2"/>
  <c r="L124" i="38" l="1"/>
  <c r="R49" i="38" s="1"/>
  <c r="K125" i="38"/>
  <c r="AX125" i="38" s="1"/>
  <c r="AY125" i="38" s="1"/>
  <c r="X46" i="38"/>
  <c r="W88" i="2" s="1"/>
  <c r="Y88" i="2" s="1"/>
  <c r="W46" i="38"/>
  <c r="N123" i="38"/>
  <c r="M123" i="38"/>
  <c r="AT48" i="38"/>
  <c r="AV48" i="38" s="1"/>
  <c r="BN125" i="38"/>
  <c r="BP125" i="38" s="1"/>
  <c r="Q47" i="38"/>
  <c r="K49" i="38"/>
  <c r="AX49" i="38" s="1"/>
  <c r="L48" i="38"/>
  <c r="M48" i="38" s="1"/>
  <c r="BN49" i="38"/>
  <c r="BP49" i="38" s="1"/>
  <c r="AY48" i="38"/>
  <c r="AS48" i="38"/>
  <c r="AU48" i="38" s="1"/>
  <c r="N14" i="38"/>
  <c r="M14" i="38" s="1"/>
  <c r="Y47" i="38"/>
  <c r="W15" i="4"/>
  <c r="P7" i="2"/>
  <c r="V8" i="10"/>
  <c r="AB46" i="38" l="1"/>
  <c r="L125" i="38"/>
  <c r="R50" i="38" s="1"/>
  <c r="K126" i="38"/>
  <c r="AX126" i="38" s="1"/>
  <c r="BN127" i="38" s="1"/>
  <c r="BP127" i="38" s="1"/>
  <c r="X47" i="38"/>
  <c r="W89" i="2" s="1"/>
  <c r="Y89" i="2" s="1"/>
  <c r="W47" i="38"/>
  <c r="N124" i="38"/>
  <c r="Y48" i="38"/>
  <c r="X90" i="2" s="1"/>
  <c r="Z90" i="2" s="1"/>
  <c r="K14" i="38"/>
  <c r="J14" i="38" s="1"/>
  <c r="Q48" i="38"/>
  <c r="M124" i="38"/>
  <c r="AT49" i="38"/>
  <c r="AV49" i="38" s="1"/>
  <c r="BN126" i="38"/>
  <c r="BP126" i="38" s="1"/>
  <c r="K50" i="38"/>
  <c r="AX50" i="38" s="1"/>
  <c r="L49" i="38"/>
  <c r="Q49" i="38" s="1"/>
  <c r="AS49" i="38"/>
  <c r="AU49" i="38" s="1"/>
  <c r="AY49" i="38"/>
  <c r="BN50" i="38"/>
  <c r="BP50" i="38" s="1"/>
  <c r="Y49" i="38"/>
  <c r="X89" i="2"/>
  <c r="Z89" i="2" s="1"/>
  <c r="W22" i="12"/>
  <c r="AG7" i="37"/>
  <c r="V23" i="12" s="1"/>
  <c r="AF12" i="37"/>
  <c r="W36" i="12"/>
  <c r="AG11" i="37"/>
  <c r="V9" i="10"/>
  <c r="W16" i="4"/>
  <c r="L126" i="38" l="1"/>
  <c r="R51" i="38" s="1"/>
  <c r="K127" i="38"/>
  <c r="AX127" i="38" s="1"/>
  <c r="AY127" i="38" s="1"/>
  <c r="AB47" i="38"/>
  <c r="O14" i="38" s="1"/>
  <c r="P14" i="38" s="1"/>
  <c r="X49" i="38"/>
  <c r="W91" i="2" s="1"/>
  <c r="Y91" i="2" s="1"/>
  <c r="W49" i="38"/>
  <c r="X48" i="38"/>
  <c r="W90" i="2" s="1"/>
  <c r="Y90" i="2" s="1"/>
  <c r="W48" i="38"/>
  <c r="N125" i="38"/>
  <c r="M125" i="38"/>
  <c r="AG30" i="38"/>
  <c r="AL7" i="37" s="1"/>
  <c r="AY126" i="38"/>
  <c r="AT50" i="38"/>
  <c r="AV50" i="38" s="1"/>
  <c r="M49" i="38"/>
  <c r="L50" i="38"/>
  <c r="Q50" i="38" s="1"/>
  <c r="K51" i="38"/>
  <c r="AX51" i="38" s="1"/>
  <c r="AS50" i="38"/>
  <c r="AU50" i="38" s="1"/>
  <c r="AY50" i="38"/>
  <c r="BN51" i="38"/>
  <c r="BP51" i="38" s="1"/>
  <c r="AG12" i="37"/>
  <c r="V37" i="12"/>
  <c r="X91" i="2"/>
  <c r="Z91" i="2" s="1"/>
  <c r="K128" i="38" l="1"/>
  <c r="AX128" i="38" s="1"/>
  <c r="BN129" i="38" s="1"/>
  <c r="BP129" i="38" s="1"/>
  <c r="L127" i="38"/>
  <c r="R52" i="38" s="1"/>
  <c r="AB49" i="38"/>
  <c r="Q14" i="38"/>
  <c r="AB48" i="38"/>
  <c r="X50" i="38"/>
  <c r="W92" i="2" s="1"/>
  <c r="Y92" i="2" s="1"/>
  <c r="W50" i="38"/>
  <c r="Y50" i="38"/>
  <c r="X92" i="2" s="1"/>
  <c r="Z92" i="2" s="1"/>
  <c r="N126" i="38"/>
  <c r="M126" i="38"/>
  <c r="AT51" i="38"/>
  <c r="AV51" i="38" s="1"/>
  <c r="BN128" i="38"/>
  <c r="BP128" i="38" s="1"/>
  <c r="M50" i="38"/>
  <c r="L51" i="38"/>
  <c r="Q51" i="38" s="1"/>
  <c r="AF30" i="38"/>
  <c r="AL6" i="37" s="1"/>
  <c r="K52" i="38"/>
  <c r="AX52" i="38" s="1"/>
  <c r="AS51" i="38"/>
  <c r="AU51" i="38" s="1"/>
  <c r="BN52" i="38"/>
  <c r="BP52" i="38" s="1"/>
  <c r="AY51" i="38"/>
  <c r="M7" i="2"/>
  <c r="W35" i="2"/>
  <c r="D33" i="4" s="1"/>
  <c r="Z33" i="4" s="1"/>
  <c r="W36" i="2"/>
  <c r="D34" i="4" s="1"/>
  <c r="Z34" i="4" s="1"/>
  <c r="W34" i="2"/>
  <c r="D32" i="4" s="1"/>
  <c r="Z32" i="4" s="1"/>
  <c r="Y51" i="38"/>
  <c r="N127" i="38" l="1"/>
  <c r="L128" i="38"/>
  <c r="R53" i="38" s="1"/>
  <c r="K129" i="38"/>
  <c r="AB50" i="38"/>
  <c r="X51" i="38"/>
  <c r="W93" i="2" s="1"/>
  <c r="Y93" i="2" s="1"/>
  <c r="W51" i="38"/>
  <c r="M127" i="38"/>
  <c r="AT52" i="38"/>
  <c r="AV52" i="38" s="1"/>
  <c r="AY128" i="38"/>
  <c r="AY52" i="38"/>
  <c r="BN53" i="38"/>
  <c r="BP53" i="38" s="1"/>
  <c r="M51" i="38"/>
  <c r="L52" i="38"/>
  <c r="Q52" i="38" s="1"/>
  <c r="W52" i="38" s="1"/>
  <c r="AS52" i="38"/>
  <c r="AU52" i="38" s="1"/>
  <c r="K53" i="38"/>
  <c r="W33" i="2"/>
  <c r="U32" i="2"/>
  <c r="U9" i="4" s="1"/>
  <c r="K6" i="2" s="1"/>
  <c r="M128" i="38"/>
  <c r="X93" i="2"/>
  <c r="Z93" i="2" s="1"/>
  <c r="T14" i="4"/>
  <c r="S9" i="10"/>
  <c r="AB51" i="38" l="1"/>
  <c r="N128" i="38"/>
  <c r="L129" i="38"/>
  <c r="R54" i="38" s="1"/>
  <c r="K130" i="38"/>
  <c r="AX130" i="38" s="1"/>
  <c r="AY130" i="38" s="1"/>
  <c r="AX129" i="38"/>
  <c r="AY129" i="38" s="1"/>
  <c r="AT53" i="38"/>
  <c r="AV53" i="38" s="1"/>
  <c r="K54" i="38"/>
  <c r="AX54" i="38" s="1"/>
  <c r="AX53" i="38"/>
  <c r="M52" i="38"/>
  <c r="L53" i="38"/>
  <c r="M53" i="38" s="1"/>
  <c r="AS53" i="38"/>
  <c r="AU53" i="38" s="1"/>
  <c r="K15" i="38"/>
  <c r="J15" i="38" s="1"/>
  <c r="X52" i="38"/>
  <c r="W94" i="2" s="1"/>
  <c r="Y94" i="2" s="1"/>
  <c r="Y53" i="38"/>
  <c r="C54" i="12"/>
  <c r="P7" i="10"/>
  <c r="AE24" i="38"/>
  <c r="Y52" i="38"/>
  <c r="N15" i="38"/>
  <c r="M15" i="38" s="1"/>
  <c r="W43" i="2"/>
  <c r="D31" i="4"/>
  <c r="N129" i="38" l="1"/>
  <c r="M129" i="38"/>
  <c r="L130" i="38"/>
  <c r="R55" i="38" s="1"/>
  <c r="K131" i="38"/>
  <c r="AX131" i="38" s="1"/>
  <c r="AY131" i="38" s="1"/>
  <c r="BN130" i="38"/>
  <c r="BP130" i="38" s="1"/>
  <c r="AT54" i="38"/>
  <c r="AV54" i="38" s="1"/>
  <c r="BN131" i="38"/>
  <c r="BP131" i="38" s="1"/>
  <c r="K55" i="38"/>
  <c r="AX55" i="38" s="1"/>
  <c r="AY55" i="38" s="1"/>
  <c r="L54" i="38"/>
  <c r="M54" i="38" s="1"/>
  <c r="AS54" i="38"/>
  <c r="AU54" i="38" s="1"/>
  <c r="AY53" i="38"/>
  <c r="BN54" i="38"/>
  <c r="BP54" i="38" s="1"/>
  <c r="BN55" i="38"/>
  <c r="BP55" i="38" s="1"/>
  <c r="AY54" i="38"/>
  <c r="Q53" i="38"/>
  <c r="X94" i="2"/>
  <c r="Z94" i="2" s="1"/>
  <c r="AB52" i="38"/>
  <c r="O15" i="38" s="1"/>
  <c r="X95" i="2"/>
  <c r="Z95" i="2" s="1"/>
  <c r="Y54" i="38"/>
  <c r="D41" i="4"/>
  <c r="Z31" i="4"/>
  <c r="Z41" i="4" s="1"/>
  <c r="Z42" i="4" s="1"/>
  <c r="U8" i="4" s="1"/>
  <c r="M130" i="38" l="1"/>
  <c r="N130" i="38"/>
  <c r="K132" i="38"/>
  <c r="AX132" i="38" s="1"/>
  <c r="BN133" i="38" s="1"/>
  <c r="BP133" i="38" s="1"/>
  <c r="L131" i="38"/>
  <c r="R56" i="38" s="1"/>
  <c r="Q54" i="38"/>
  <c r="X54" i="38" s="1"/>
  <c r="X53" i="38"/>
  <c r="W95" i="2" s="1"/>
  <c r="Y95" i="2" s="1"/>
  <c r="W53" i="38"/>
  <c r="BN132" i="38"/>
  <c r="BP132" i="38" s="1"/>
  <c r="AT55" i="38"/>
  <c r="AV55" i="38" s="1"/>
  <c r="AS55" i="38"/>
  <c r="AU55" i="38" s="1"/>
  <c r="BN56" i="38"/>
  <c r="BP56" i="38" s="1"/>
  <c r="K56" i="38"/>
  <c r="AX56" i="38" s="1"/>
  <c r="BN57" i="38" s="1"/>
  <c r="BP57" i="38" s="1"/>
  <c r="L55" i="38"/>
  <c r="Q55" i="38" s="1"/>
  <c r="K5" i="2"/>
  <c r="U10" i="4"/>
  <c r="K7" i="2" s="1"/>
  <c r="Y55" i="38"/>
  <c r="X96" i="2"/>
  <c r="Z96" i="2" s="1"/>
  <c r="P15" i="38"/>
  <c r="Q15" i="38"/>
  <c r="F60" i="12" s="1"/>
  <c r="M131" i="38" l="1"/>
  <c r="N131" i="38"/>
  <c r="K133" i="38"/>
  <c r="AX133" i="38" s="1"/>
  <c r="AY133" i="38" s="1"/>
  <c r="L132" i="38"/>
  <c r="R57" i="38" s="1"/>
  <c r="W54" i="38"/>
  <c r="W96" i="2"/>
  <c r="Y96" i="2" s="1"/>
  <c r="AB54" i="38"/>
  <c r="AB53" i="38"/>
  <c r="X55" i="38"/>
  <c r="W97" i="2" s="1"/>
  <c r="Y97" i="2" s="1"/>
  <c r="W55" i="38"/>
  <c r="AY132" i="38"/>
  <c r="AT56" i="38"/>
  <c r="AV56" i="38" s="1"/>
  <c r="L56" i="38"/>
  <c r="Q56" i="38" s="1"/>
  <c r="AY56" i="38"/>
  <c r="AS56" i="38"/>
  <c r="AU56" i="38" s="1"/>
  <c r="M55" i="38"/>
  <c r="K57" i="38"/>
  <c r="AX57" i="38" s="1"/>
  <c r="AY57" i="38" s="1"/>
  <c r="X97" i="2"/>
  <c r="Z97" i="2" s="1"/>
  <c r="C53" i="12"/>
  <c r="P6" i="10"/>
  <c r="Y56" i="38"/>
  <c r="C55" i="12"/>
  <c r="P8" i="10"/>
  <c r="N132" i="38" l="1"/>
  <c r="M132" i="38"/>
  <c r="K134" i="38"/>
  <c r="AX134" i="38" s="1"/>
  <c r="AY134" i="38" s="1"/>
  <c r="L133" i="38"/>
  <c r="R58" i="38" s="1"/>
  <c r="AB55" i="38"/>
  <c r="M56" i="38"/>
  <c r="X56" i="38"/>
  <c r="W98" i="2" s="1"/>
  <c r="Y98" i="2" s="1"/>
  <c r="W56" i="38"/>
  <c r="AT57" i="38"/>
  <c r="AV57" i="38" s="1"/>
  <c r="BN134" i="38"/>
  <c r="BP134" i="38" s="1"/>
  <c r="AS57" i="38"/>
  <c r="AU57" i="38" s="1"/>
  <c r="BN58" i="38"/>
  <c r="BP58" i="38" s="1"/>
  <c r="K58" i="38"/>
  <c r="AX58" i="38" s="1"/>
  <c r="AY58" i="38" s="1"/>
  <c r="L57" i="38"/>
  <c r="M57" i="38" s="1"/>
  <c r="X98" i="2"/>
  <c r="Z98" i="2" s="1"/>
  <c r="N133" i="38" l="1"/>
  <c r="M133" i="38"/>
  <c r="L134" i="38"/>
  <c r="R59" i="38" s="1"/>
  <c r="K135" i="38"/>
  <c r="AB56" i="38"/>
  <c r="BN135" i="38"/>
  <c r="BP135" i="38" s="1"/>
  <c r="AT58" i="38"/>
  <c r="AV58" i="38" s="1"/>
  <c r="Q57" i="38"/>
  <c r="AF26" i="38" s="1"/>
  <c r="L58" i="38"/>
  <c r="Q58" i="38" s="1"/>
  <c r="AS58" i="38"/>
  <c r="AU58" i="38" s="1"/>
  <c r="BN59" i="38"/>
  <c r="BP59" i="38" s="1"/>
  <c r="K59" i="38"/>
  <c r="AX59" i="38" s="1"/>
  <c r="BN60" i="38" s="1"/>
  <c r="BP60" i="38" s="1"/>
  <c r="AG26" i="38"/>
  <c r="N16" i="38"/>
  <c r="M16" i="38" s="1"/>
  <c r="Y57" i="38"/>
  <c r="Y58" i="38"/>
  <c r="N134" i="38" l="1"/>
  <c r="L135" i="38"/>
  <c r="R60" i="38" s="1"/>
  <c r="K136" i="38"/>
  <c r="AX135" i="38"/>
  <c r="AY135" i="38" s="1"/>
  <c r="M134" i="38"/>
  <c r="X58" i="38"/>
  <c r="W100" i="2" s="1"/>
  <c r="Y100" i="2" s="1"/>
  <c r="W58" i="38"/>
  <c r="AF28" i="38"/>
  <c r="W57" i="38"/>
  <c r="AT59" i="38"/>
  <c r="AV59" i="38" s="1"/>
  <c r="K16" i="38"/>
  <c r="J16" i="38" s="1"/>
  <c r="X57" i="38"/>
  <c r="W99" i="2" s="1"/>
  <c r="Y99" i="2" s="1"/>
  <c r="M58" i="38"/>
  <c r="AS59" i="38"/>
  <c r="AU59" i="38" s="1"/>
  <c r="K60" i="38"/>
  <c r="AX60" i="38" s="1"/>
  <c r="AY60" i="38" s="1"/>
  <c r="AY59" i="38"/>
  <c r="L59" i="38"/>
  <c r="M59" i="38" s="1"/>
  <c r="AF27" i="38"/>
  <c r="Y59" i="38"/>
  <c r="X100" i="2"/>
  <c r="Z100" i="2" s="1"/>
  <c r="X99" i="2"/>
  <c r="Z99" i="2" s="1"/>
  <c r="AB58" i="38" l="1"/>
  <c r="BN136" i="38"/>
  <c r="BP136" i="38" s="1"/>
  <c r="K137" i="38"/>
  <c r="AX137" i="38" s="1"/>
  <c r="AY137" i="38" s="1"/>
  <c r="L136" i="38"/>
  <c r="R61" i="38" s="1"/>
  <c r="AX136" i="38"/>
  <c r="AY136" i="38" s="1"/>
  <c r="AB57" i="38"/>
  <c r="O16" i="38" s="1"/>
  <c r="Q16" i="38" s="1"/>
  <c r="M135" i="38"/>
  <c r="AT60" i="38"/>
  <c r="AV60" i="38" s="1"/>
  <c r="N135" i="38"/>
  <c r="L60" i="38"/>
  <c r="M60" i="38" s="1"/>
  <c r="BN61" i="38"/>
  <c r="BP61" i="38" s="1"/>
  <c r="Q59" i="38"/>
  <c r="K61" i="38"/>
  <c r="AX61" i="38" s="1"/>
  <c r="AY61" i="38" s="1"/>
  <c r="AS60" i="38"/>
  <c r="AU60" i="38" s="1"/>
  <c r="Y60" i="38"/>
  <c r="X101" i="2"/>
  <c r="Z101" i="2" s="1"/>
  <c r="BN137" i="38" l="1"/>
  <c r="BP137" i="38" s="1"/>
  <c r="K138" i="38"/>
  <c r="AX138" i="38" s="1"/>
  <c r="AY138" i="38" s="1"/>
  <c r="L137" i="38"/>
  <c r="R62" i="38" s="1"/>
  <c r="P16" i="38"/>
  <c r="X59" i="38"/>
  <c r="W101" i="2" s="1"/>
  <c r="Y101" i="2" s="1"/>
  <c r="W59" i="38"/>
  <c r="AT61" i="38"/>
  <c r="AV61" i="38" s="1"/>
  <c r="N136" i="38"/>
  <c r="BN138" i="38"/>
  <c r="BP138" i="38" s="1"/>
  <c r="M136" i="38"/>
  <c r="Q60" i="38"/>
  <c r="K62" i="38"/>
  <c r="AX62" i="38" s="1"/>
  <c r="AY62" i="38" s="1"/>
  <c r="AS61" i="38"/>
  <c r="AU61" i="38" s="1"/>
  <c r="BN62" i="38"/>
  <c r="BP62" i="38" s="1"/>
  <c r="L61" i="38"/>
  <c r="M61" i="38" s="1"/>
  <c r="X102" i="2"/>
  <c r="Z102" i="2" s="1"/>
  <c r="Y61" i="38"/>
  <c r="M137" i="38" l="1"/>
  <c r="N137" i="38"/>
  <c r="K139" i="38"/>
  <c r="AX139" i="38" s="1"/>
  <c r="BN140" i="38" s="1"/>
  <c r="BP140" i="38" s="1"/>
  <c r="L138" i="38"/>
  <c r="R63" i="38" s="1"/>
  <c r="X60" i="38"/>
  <c r="W102" i="2" s="1"/>
  <c r="Y102" i="2" s="1"/>
  <c r="W60" i="38"/>
  <c r="AB59" i="38"/>
  <c r="AT62" i="38"/>
  <c r="AV62" i="38" s="1"/>
  <c r="BN139" i="38"/>
  <c r="BP139" i="38" s="1"/>
  <c r="BN63" i="38"/>
  <c r="BP63" i="38" s="1"/>
  <c r="L62" i="38"/>
  <c r="M62" i="38" s="1"/>
  <c r="K63" i="38"/>
  <c r="AX63" i="38" s="1"/>
  <c r="AY63" i="38" s="1"/>
  <c r="AS62" i="38"/>
  <c r="AU62" i="38" s="1"/>
  <c r="Q61" i="38"/>
  <c r="X103" i="2"/>
  <c r="Z103" i="2" s="1"/>
  <c r="L139" i="38" l="1"/>
  <c r="R64" i="38" s="1"/>
  <c r="K140" i="38"/>
  <c r="AB60" i="38"/>
  <c r="X61" i="38"/>
  <c r="W103" i="2" s="1"/>
  <c r="Y103" i="2" s="1"/>
  <c r="W61" i="38"/>
  <c r="AT63" i="38"/>
  <c r="AV63" i="38" s="1"/>
  <c r="AY139" i="38"/>
  <c r="M138" i="38"/>
  <c r="N138" i="38"/>
  <c r="Q62" i="38"/>
  <c r="L63" i="38"/>
  <c r="M63" i="38" s="1"/>
  <c r="K64" i="38"/>
  <c r="AX64" i="38" s="1"/>
  <c r="AY64" i="38" s="1"/>
  <c r="BN64" i="38"/>
  <c r="BP64" i="38" s="1"/>
  <c r="AS63" i="38"/>
  <c r="AU63" i="38" s="1"/>
  <c r="Y63" i="38"/>
  <c r="BD12" i="38"/>
  <c r="N17" i="38"/>
  <c r="M17" i="38" s="1"/>
  <c r="Y62" i="38"/>
  <c r="M139" i="38" l="1"/>
  <c r="N139" i="38"/>
  <c r="K141" i="38"/>
  <c r="AX141" i="38" s="1"/>
  <c r="BN142" i="38" s="1"/>
  <c r="BP142" i="38" s="1"/>
  <c r="L140" i="38"/>
  <c r="R65" i="38" s="1"/>
  <c r="AX140" i="38"/>
  <c r="BN141" i="38" s="1"/>
  <c r="BP141" i="38" s="1"/>
  <c r="BC12" i="38"/>
  <c r="AL15" i="37" s="1"/>
  <c r="W62" i="38"/>
  <c r="K17" i="38"/>
  <c r="J17" i="38" s="1"/>
  <c r="AB61" i="38"/>
  <c r="AT64" i="38"/>
  <c r="AV64" i="38" s="1"/>
  <c r="Q63" i="38"/>
  <c r="X62" i="38"/>
  <c r="W104" i="2" s="1"/>
  <c r="Y104" i="2" s="1"/>
  <c r="BN65" i="38"/>
  <c r="BP65" i="38" s="1"/>
  <c r="L64" i="38"/>
  <c r="M64" i="38" s="1"/>
  <c r="K65" i="38"/>
  <c r="AX65" i="38" s="1"/>
  <c r="AY65" i="38" s="1"/>
  <c r="AS64" i="38"/>
  <c r="AU64" i="38" s="1"/>
  <c r="Y64" i="38"/>
  <c r="X104" i="2"/>
  <c r="Z104" i="2" s="1"/>
  <c r="AL16" i="37"/>
  <c r="X105" i="2"/>
  <c r="Z105" i="2" s="1"/>
  <c r="M140" i="38" l="1"/>
  <c r="AY140" i="38"/>
  <c r="L141" i="38"/>
  <c r="R66" i="38" s="1"/>
  <c r="K142" i="38"/>
  <c r="AX142" i="38" s="1"/>
  <c r="BN143" i="38" s="1"/>
  <c r="BP143" i="38" s="1"/>
  <c r="X63" i="38"/>
  <c r="W105" i="2" s="1"/>
  <c r="Y105" i="2" s="1"/>
  <c r="W63" i="38"/>
  <c r="BE12" i="38"/>
  <c r="N140" i="38"/>
  <c r="AT65" i="38"/>
  <c r="AV65" i="38" s="1"/>
  <c r="AY141" i="38"/>
  <c r="Q64" i="38"/>
  <c r="AB62" i="38"/>
  <c r="O17" i="38" s="1"/>
  <c r="P17" i="38" s="1"/>
  <c r="AS65" i="38"/>
  <c r="AU65" i="38" s="1"/>
  <c r="L65" i="38"/>
  <c r="M65" i="38" s="1"/>
  <c r="BN66" i="38"/>
  <c r="BP66" i="38" s="1"/>
  <c r="K66" i="38"/>
  <c r="AX66" i="38" s="1"/>
  <c r="AY66" i="38" s="1"/>
  <c r="Y65" i="38"/>
  <c r="X106" i="2"/>
  <c r="Z106" i="2" s="1"/>
  <c r="K143" i="38" l="1"/>
  <c r="AX143" i="38" s="1"/>
  <c r="AY143" i="38" s="1"/>
  <c r="L142" i="38"/>
  <c r="R67" i="38" s="1"/>
  <c r="Q65" i="38"/>
  <c r="X65" i="38" s="1"/>
  <c r="W107" i="2" s="1"/>
  <c r="Y107" i="2" s="1"/>
  <c r="X64" i="38"/>
  <c r="W106" i="2" s="1"/>
  <c r="Y106" i="2" s="1"/>
  <c r="W64" i="38"/>
  <c r="AB63" i="38"/>
  <c r="AY142" i="38"/>
  <c r="AT66" i="38"/>
  <c r="AV66" i="38" s="1"/>
  <c r="N141" i="38"/>
  <c r="M141" i="38"/>
  <c r="Q17" i="38"/>
  <c r="BN67" i="38"/>
  <c r="BP67" i="38" s="1"/>
  <c r="L66" i="38"/>
  <c r="Q66" i="38" s="1"/>
  <c r="K67" i="38"/>
  <c r="AX67" i="38" s="1"/>
  <c r="AY67" i="38" s="1"/>
  <c r="AS66" i="38"/>
  <c r="AU66" i="38" s="1"/>
  <c r="Y66" i="38"/>
  <c r="X107" i="2"/>
  <c r="Z107" i="2" s="1"/>
  <c r="AB64" i="38" l="1"/>
  <c r="L143" i="38"/>
  <c r="R68" i="38" s="1"/>
  <c r="K144" i="38"/>
  <c r="AX144" i="38" s="1"/>
  <c r="BN145" i="38" s="1"/>
  <c r="BP145" i="38" s="1"/>
  <c r="W65" i="38"/>
  <c r="AB65" i="38"/>
  <c r="BN144" i="38"/>
  <c r="BP144" i="38" s="1"/>
  <c r="X66" i="38"/>
  <c r="W108" i="2" s="1"/>
  <c r="Y108" i="2" s="1"/>
  <c r="W66" i="38"/>
  <c r="AT67" i="38"/>
  <c r="AV67" i="38" s="1"/>
  <c r="N142" i="38"/>
  <c r="M142" i="38"/>
  <c r="M66" i="38"/>
  <c r="L67" i="38"/>
  <c r="Q67" i="38" s="1"/>
  <c r="W67" i="38" s="1"/>
  <c r="AS67" i="38"/>
  <c r="AU67" i="38" s="1"/>
  <c r="BN68" i="38"/>
  <c r="BP68" i="38" s="1"/>
  <c r="K68" i="38"/>
  <c r="AX68" i="38" s="1"/>
  <c r="BN69" i="38" s="1"/>
  <c r="BP69" i="38" s="1"/>
  <c r="X108" i="2"/>
  <c r="Z108" i="2" s="1"/>
  <c r="N143" i="38" l="1"/>
  <c r="M143" i="38"/>
  <c r="AB66" i="38"/>
  <c r="L144" i="38"/>
  <c r="R69" i="38" s="1"/>
  <c r="K145" i="38"/>
  <c r="AX145" i="38" s="1"/>
  <c r="BN146" i="38" s="1"/>
  <c r="BP146" i="38" s="1"/>
  <c r="AY144" i="38"/>
  <c r="AT68" i="38"/>
  <c r="AV68" i="38" s="1"/>
  <c r="M67" i="38"/>
  <c r="AY68" i="38"/>
  <c r="K69" i="38"/>
  <c r="AX69" i="38" s="1"/>
  <c r="AY69" i="38" s="1"/>
  <c r="L68" i="38"/>
  <c r="M68" i="38" s="1"/>
  <c r="AS68" i="38"/>
  <c r="AU68" i="38" s="1"/>
  <c r="K18" i="38"/>
  <c r="J18" i="38" s="1"/>
  <c r="X67" i="38"/>
  <c r="W109" i="2" s="1"/>
  <c r="Y109" i="2" s="1"/>
  <c r="N18" i="38"/>
  <c r="M18" i="38" s="1"/>
  <c r="Y67" i="38"/>
  <c r="Y68" i="38"/>
  <c r="M144" i="38" l="1"/>
  <c r="L145" i="38"/>
  <c r="R70" i="38" s="1"/>
  <c r="K146" i="38"/>
  <c r="AY145" i="38"/>
  <c r="AT69" i="38"/>
  <c r="AV69" i="38" s="1"/>
  <c r="N144" i="38"/>
  <c r="Q68" i="38"/>
  <c r="K70" i="38"/>
  <c r="AX70" i="38" s="1"/>
  <c r="AY70" i="38" s="1"/>
  <c r="L69" i="38"/>
  <c r="Q69" i="38" s="1"/>
  <c r="BN70" i="38"/>
  <c r="BP70" i="38" s="1"/>
  <c r="AS69" i="38"/>
  <c r="AU69" i="38" s="1"/>
  <c r="AB67" i="38"/>
  <c r="O18" i="38" s="1"/>
  <c r="X109" i="2"/>
  <c r="Z109" i="2" s="1"/>
  <c r="X110" i="2"/>
  <c r="Z110" i="2" s="1"/>
  <c r="Y69" i="38"/>
  <c r="M145" i="38" l="1"/>
  <c r="N145" i="38"/>
  <c r="K147" i="38"/>
  <c r="AT71" i="38" s="1"/>
  <c r="AV71" i="38" s="1"/>
  <c r="L146" i="38"/>
  <c r="R71" i="38" s="1"/>
  <c r="AX146" i="38"/>
  <c r="AT70" i="38"/>
  <c r="AV70" i="38" s="1"/>
  <c r="X68" i="38"/>
  <c r="W68" i="38"/>
  <c r="X69" i="38"/>
  <c r="W111" i="2" s="1"/>
  <c r="Y111" i="2" s="1"/>
  <c r="W69" i="38"/>
  <c r="M69" i="38"/>
  <c r="K71" i="38"/>
  <c r="AX71" i="38" s="1"/>
  <c r="BN72" i="38" s="1"/>
  <c r="BP72" i="38" s="1"/>
  <c r="L70" i="38"/>
  <c r="Q70" i="38" s="1"/>
  <c r="BN71" i="38"/>
  <c r="BP71" i="38" s="1"/>
  <c r="AS70" i="38"/>
  <c r="AU70" i="38" s="1"/>
  <c r="Y70" i="38"/>
  <c r="X111" i="2"/>
  <c r="Z111" i="2" s="1"/>
  <c r="P18" i="38"/>
  <c r="Q18" i="38"/>
  <c r="M146" i="38" l="1"/>
  <c r="N146" i="38"/>
  <c r="AY146" i="38"/>
  <c r="BN147" i="38"/>
  <c r="BP147" i="38" s="1"/>
  <c r="K148" i="38"/>
  <c r="AT72" i="38" s="1"/>
  <c r="AV72" i="38" s="1"/>
  <c r="L147" i="38"/>
  <c r="R72" i="38" s="1"/>
  <c r="AX147" i="38"/>
  <c r="M70" i="38"/>
  <c r="X70" i="38"/>
  <c r="W112" i="2" s="1"/>
  <c r="Y112" i="2" s="1"/>
  <c r="W70" i="38"/>
  <c r="AB69" i="38"/>
  <c r="W110" i="2"/>
  <c r="Y110" i="2" s="1"/>
  <c r="AB68" i="38"/>
  <c r="AS71" i="38"/>
  <c r="AU71" i="38" s="1"/>
  <c r="AY71" i="38"/>
  <c r="K72" i="38"/>
  <c r="AX72" i="38" s="1"/>
  <c r="BN73" i="38" s="1"/>
  <c r="BP73" i="38" s="1"/>
  <c r="L71" i="38"/>
  <c r="Q71" i="38" s="1"/>
  <c r="Y71" i="38"/>
  <c r="X112" i="2"/>
  <c r="Z112" i="2" s="1"/>
  <c r="M147" i="38" l="1"/>
  <c r="L148" i="38"/>
  <c r="M148" i="38" s="1"/>
  <c r="AX148" i="38"/>
  <c r="AY148" i="38" s="1"/>
  <c r="K149" i="38"/>
  <c r="K150" i="38" s="1"/>
  <c r="N147" i="38"/>
  <c r="BN148" i="38"/>
  <c r="BP148" i="38" s="1"/>
  <c r="AY147" i="38"/>
  <c r="X71" i="38"/>
  <c r="W113" i="2" s="1"/>
  <c r="Y113" i="2" s="1"/>
  <c r="W71" i="38"/>
  <c r="AB70" i="38"/>
  <c r="M71" i="38"/>
  <c r="L72" i="38"/>
  <c r="Q72" i="38" s="1"/>
  <c r="W72" i="38" s="1"/>
  <c r="AY72" i="38"/>
  <c r="K73" i="38"/>
  <c r="AX73" i="38" s="1"/>
  <c r="AS72" i="38"/>
  <c r="AU72" i="38" s="1"/>
  <c r="X113" i="2"/>
  <c r="Z113" i="2" s="1"/>
  <c r="N148" i="38" l="1"/>
  <c r="AB71" i="38"/>
  <c r="L149" i="38"/>
  <c r="L150" i="38" s="1"/>
  <c r="M72" i="38"/>
  <c r="L73" i="38"/>
  <c r="L74" i="38" s="1"/>
  <c r="K74" i="38"/>
  <c r="AX74" i="38" s="1"/>
  <c r="AY74" i="38" s="1"/>
  <c r="BN74" i="38"/>
  <c r="BP74" i="38" s="1"/>
  <c r="AY73" i="38"/>
  <c r="BD13" i="38"/>
  <c r="N19" i="38"/>
  <c r="M19" i="38" s="1"/>
  <c r="Y72" i="38"/>
  <c r="X72" i="38"/>
  <c r="W114" i="2" s="1"/>
  <c r="Y114" i="2" s="1"/>
  <c r="BC13" i="38"/>
  <c r="K19" i="38"/>
  <c r="J19" i="38" s="1"/>
  <c r="BN75" i="38" l="1"/>
  <c r="BP75" i="38" s="1"/>
  <c r="BE13" i="38"/>
  <c r="X114" i="2"/>
  <c r="Z114" i="2" s="1"/>
  <c r="AB72" i="38"/>
  <c r="O19" i="38" l="1"/>
  <c r="V6" i="2"/>
  <c r="W6" i="2" s="1"/>
  <c r="Q19" i="38" l="1"/>
  <c r="G60" i="12" s="1"/>
  <c r="P19" i="38"/>
</calcChain>
</file>

<file path=xl/comments1.xml><?xml version="1.0" encoding="utf-8"?>
<comments xmlns="http://schemas.openxmlformats.org/spreadsheetml/2006/main">
  <authors>
    <author/>
  </authors>
  <commentList>
    <comment ref="B20" authorId="0" shapeId="0">
      <text>
        <r>
          <rPr>
            <b/>
            <sz val="8"/>
            <color indexed="8"/>
            <rFont val="Tahoma"/>
            <family val="2"/>
          </rPr>
          <t xml:space="preserve">Exempel:
</t>
        </r>
        <r>
          <rPr>
            <sz val="8"/>
            <color indexed="8"/>
            <rFont val="Tahoma"/>
            <family val="2"/>
          </rPr>
          <t xml:space="preserve">Växtodling på styv lera
Mjölkproduktion på lättlera
Svingård på sand
</t>
        </r>
      </text>
    </comment>
  </commentList>
</comments>
</file>

<file path=xl/comments10.xml><?xml version="1.0" encoding="utf-8"?>
<comments xmlns="http://schemas.openxmlformats.org/spreadsheetml/2006/main">
  <authors>
    <author>531029-001</author>
    <author>Hans Nilsson</author>
    <author>Nilsson Hans</author>
    <author/>
  </authors>
  <commentList>
    <comment ref="F8" authorId="0" shapeId="0">
      <text>
        <r>
          <rPr>
            <b/>
            <sz val="8"/>
            <color indexed="81"/>
            <rFont val="Tahoma"/>
            <family val="2"/>
          </rPr>
          <t>Skörderelaterad gödsling av N, P, K och S</t>
        </r>
        <r>
          <rPr>
            <sz val="8"/>
            <color indexed="81"/>
            <rFont val="Tahoma"/>
            <family val="2"/>
          </rPr>
          <t xml:space="preserve">
</t>
        </r>
      </text>
    </comment>
    <comment ref="J8" authorId="0" shapeId="0">
      <text>
        <r>
          <rPr>
            <b/>
            <sz val="8"/>
            <color indexed="81"/>
            <rFont val="Tahoma"/>
            <family val="2"/>
          </rPr>
          <t>Avrundat till jämna 100-tal</t>
        </r>
        <r>
          <rPr>
            <sz val="8"/>
            <color indexed="81"/>
            <rFont val="Tahoma"/>
            <family val="2"/>
          </rPr>
          <t xml:space="preserve">
</t>
        </r>
      </text>
    </comment>
    <comment ref="L8" authorId="1" shapeId="0">
      <text>
        <r>
          <rPr>
            <b/>
            <sz val="9"/>
            <color indexed="81"/>
            <rFont val="Tahoma"/>
            <family val="2"/>
          </rPr>
          <t>Hans Nilsson:</t>
        </r>
        <r>
          <rPr>
            <sz val="9"/>
            <color indexed="81"/>
            <rFont val="Tahoma"/>
            <family val="2"/>
          </rPr>
          <t xml:space="preserve">
Växtnäring + torkning + underhåll o diesel tröska</t>
        </r>
      </text>
    </comment>
    <comment ref="C9" authorId="1" shapeId="0">
      <text>
        <r>
          <rPr>
            <b/>
            <sz val="9"/>
            <color indexed="81"/>
            <rFont val="Tahoma"/>
            <family val="2"/>
          </rPr>
          <t>Hans Nilsson:</t>
        </r>
        <r>
          <rPr>
            <sz val="9"/>
            <color indexed="81"/>
            <rFont val="Tahoma"/>
            <family val="2"/>
          </rPr>
          <t xml:space="preserve">
Om grödan används hämtas skördenivå från Huvudinmatning första gången grödan används i växtföljden. Annars används schablonskörden i kolumnen till vänster.Påverkar kostnaden för spannmål, oljeväxter och trindsäd.</t>
        </r>
      </text>
    </comment>
    <comment ref="G9" authorId="0" shapeId="0">
      <text>
        <r>
          <rPr>
            <b/>
            <sz val="8"/>
            <color indexed="81"/>
            <rFont val="Tahoma"/>
            <family val="2"/>
          </rPr>
          <t xml:space="preserve">Skörderelaterad N-giva för spannmål och oljeväxter justerad enligt"Kvävesimulatorn" med högre giva i N. Götaland och Svealand. Välj detta i Kvävesimulatorn även i Södra Sverige om du är på styv lera. 
</t>
        </r>
      </text>
    </comment>
    <comment ref="N9" authorId="2" shapeId="0">
      <text>
        <r>
          <rPr>
            <b/>
            <sz val="9"/>
            <color indexed="81"/>
            <rFont val="Tahoma"/>
            <family val="2"/>
          </rPr>
          <t>Nilsson Hans:</t>
        </r>
        <r>
          <rPr>
            <sz val="9"/>
            <color indexed="81"/>
            <rFont val="Tahoma"/>
            <family val="2"/>
          </rPr>
          <t xml:space="preserve">
1= Spannmål, trindsäd, oljeväxter
2= Vall
3=Potatis, sockerbetor, grönsaker etc</t>
        </r>
      </text>
    </comment>
    <comment ref="I29" authorId="2" shapeId="0">
      <text>
        <r>
          <rPr>
            <b/>
            <sz val="9"/>
            <color indexed="81"/>
            <rFont val="Tahoma"/>
            <family val="2"/>
          </rPr>
          <t>Nilsson Hans:</t>
        </r>
        <r>
          <rPr>
            <sz val="9"/>
            <color indexed="81"/>
            <rFont val="Tahoma"/>
            <family val="2"/>
          </rPr>
          <t xml:space="preserve">
inkl. lagring o sortering</t>
        </r>
      </text>
    </comment>
    <comment ref="I31" authorId="2" shapeId="0">
      <text>
        <r>
          <rPr>
            <b/>
            <sz val="9"/>
            <color indexed="81"/>
            <rFont val="Tahoma"/>
            <family val="2"/>
          </rPr>
          <t>Nilsson Hans:</t>
        </r>
        <r>
          <rPr>
            <sz val="9"/>
            <color indexed="81"/>
            <rFont val="Tahoma"/>
            <family val="2"/>
          </rPr>
          <t xml:space="preserve">
inkl. ensileringsmedel</t>
        </r>
      </text>
    </comment>
    <comment ref="J36" authorId="0" shapeId="0">
      <text>
        <r>
          <rPr>
            <b/>
            <sz val="8"/>
            <color indexed="81"/>
            <rFont val="Tahoma"/>
            <family val="2"/>
          </rPr>
          <t>Avrundat till jämna 100-tal</t>
        </r>
        <r>
          <rPr>
            <sz val="8"/>
            <color indexed="81"/>
            <rFont val="Tahoma"/>
            <family val="2"/>
          </rPr>
          <t xml:space="preserve">
</t>
        </r>
      </text>
    </comment>
    <comment ref="K49" authorId="3" shapeId="0">
      <text>
        <r>
          <rPr>
            <b/>
            <sz val="8"/>
            <color indexed="8"/>
            <rFont val="Tahoma"/>
            <family val="2"/>
          </rPr>
          <t xml:space="preserve">Göte Bertilsson:
</t>
        </r>
        <r>
          <rPr>
            <sz val="8"/>
            <color indexed="8"/>
            <rFont val="Tahoma"/>
            <family val="2"/>
          </rPr>
          <t>Etableringskostnad exkl utsäde</t>
        </r>
      </text>
    </comment>
    <comment ref="K50" authorId="3" shapeId="0">
      <text>
        <r>
          <rPr>
            <b/>
            <sz val="8"/>
            <color indexed="8"/>
            <rFont val="Tahoma"/>
            <family val="2"/>
          </rPr>
          <t xml:space="preserve">Göte Bertilsson:
</t>
        </r>
        <r>
          <rPr>
            <sz val="8"/>
            <color indexed="8"/>
            <rFont val="Tahoma"/>
            <family val="2"/>
          </rPr>
          <t>Etablering exkl utsäde</t>
        </r>
      </text>
    </comment>
    <comment ref="B76" authorId="3" shapeId="0">
      <text>
        <r>
          <rPr>
            <b/>
            <sz val="8"/>
            <color indexed="8"/>
            <rFont val="Tahoma"/>
            <family val="2"/>
          </rPr>
          <t xml:space="preserve">Bertilsson:
</t>
        </r>
        <r>
          <rPr>
            <sz val="8"/>
            <color indexed="8"/>
            <rFont val="Tahoma"/>
            <family val="2"/>
          </rPr>
          <t>inkl traktor, bränsle och förare</t>
        </r>
      </text>
    </comment>
  </commentList>
</comments>
</file>

<file path=xl/comments11.xml><?xml version="1.0" encoding="utf-8"?>
<comments xmlns="http://schemas.openxmlformats.org/spreadsheetml/2006/main">
  <authors>
    <author>Hans Nilsson</author>
  </authors>
  <commentList>
    <comment ref="B7" authorId="0" shapeId="0">
      <text>
        <r>
          <rPr>
            <b/>
            <sz val="9"/>
            <color indexed="81"/>
            <rFont val="Tahoma"/>
            <family val="2"/>
          </rPr>
          <t>Hans Nilsson:</t>
        </r>
        <r>
          <rPr>
            <sz val="9"/>
            <color indexed="81"/>
            <rFont val="Tahoma"/>
            <family val="2"/>
          </rPr>
          <t xml:space="preserve">
förutom Rötslam som är hämtat från Hushållningssällskapet (se nedan)</t>
        </r>
      </text>
    </comment>
    <comment ref="I11" authorId="0" shapeId="0">
      <text>
        <r>
          <rPr>
            <b/>
            <sz val="9"/>
            <color indexed="81"/>
            <rFont val="Tahoma"/>
            <family val="2"/>
          </rPr>
          <t>Hans Nilsson:</t>
        </r>
        <r>
          <rPr>
            <sz val="9"/>
            <color indexed="81"/>
            <rFont val="Tahoma"/>
            <family val="2"/>
          </rPr>
          <t xml:space="preserve">
För kycklinggödsel är det räknat med 2 ggr NH4-N innehållet för att få med effekt av urinsyran</t>
        </r>
      </text>
    </comment>
    <comment ref="L11" authorId="0" shapeId="0">
      <text>
        <r>
          <rPr>
            <b/>
            <sz val="9"/>
            <color indexed="81"/>
            <rFont val="Tahoma"/>
            <family val="2"/>
          </rPr>
          <t>Hans Nilsson:</t>
        </r>
        <r>
          <rPr>
            <sz val="9"/>
            <color indexed="81"/>
            <rFont val="Tahoma"/>
            <family val="2"/>
          </rPr>
          <t xml:space="preserve">
Ammoniumkväve + fosfor + kalium.
För kycklinggödsel är det räknat 2 ggr NH4-N för att få med effekten av urinsyra.</t>
        </r>
      </text>
    </comment>
    <comment ref="M11" authorId="0" shapeId="0">
      <text>
        <r>
          <rPr>
            <b/>
            <sz val="9"/>
            <color indexed="81"/>
            <rFont val="Tahoma"/>
            <family val="2"/>
          </rPr>
          <t>Hans Nilsson:</t>
        </r>
        <r>
          <rPr>
            <sz val="9"/>
            <color indexed="81"/>
            <rFont val="Tahoma"/>
            <family val="2"/>
          </rPr>
          <t xml:space="preserve">
Enl Vald teknik nedan och från Greppas stallgödselkalkyl</t>
        </r>
      </text>
    </comment>
    <comment ref="B25" authorId="0" shapeId="0">
      <text>
        <r>
          <rPr>
            <b/>
            <sz val="9"/>
            <color indexed="81"/>
            <rFont val="Tahoma"/>
            <family val="2"/>
          </rPr>
          <t>Hans Nilsson:</t>
        </r>
        <r>
          <rPr>
            <sz val="9"/>
            <color indexed="81"/>
            <rFont val="Tahoma"/>
            <family val="2"/>
          </rPr>
          <t xml:space="preserve">
Data hämtat från HS Malmöhus
</t>
        </r>
      </text>
    </comment>
  </commentList>
</comments>
</file>

<file path=xl/comments12.xml><?xml version="1.0" encoding="utf-8"?>
<comments xmlns="http://schemas.openxmlformats.org/spreadsheetml/2006/main">
  <authors>
    <author>Nilsson Hans</author>
  </authors>
  <commentList>
    <comment ref="U102" authorId="0" shapeId="0">
      <text>
        <r>
          <rPr>
            <b/>
            <sz val="9"/>
            <color indexed="81"/>
            <rFont val="Tahoma"/>
            <family val="2"/>
          </rPr>
          <t>Nilsson Hans:</t>
        </r>
        <r>
          <rPr>
            <sz val="9"/>
            <color indexed="81"/>
            <rFont val="Tahoma"/>
            <family val="2"/>
          </rPr>
          <t xml:space="preserve">
Inlagt en spärr så det inte blir negativa värden vilket det blir vid skördar under grundskörd i Riktlinjerna</t>
        </r>
      </text>
    </comment>
    <comment ref="Y102" authorId="0" shapeId="0">
      <text>
        <r>
          <rPr>
            <b/>
            <sz val="9"/>
            <color indexed="81"/>
            <rFont val="Tahoma"/>
            <family val="2"/>
          </rPr>
          <t>Nilsson Hans:</t>
        </r>
        <r>
          <rPr>
            <sz val="9"/>
            <color indexed="81"/>
            <rFont val="Tahoma"/>
            <family val="2"/>
          </rPr>
          <t xml:space="preserve">
Inlagt en spärr så det inte blir negativa värden vilket det blir vid skördar under grundskörd i Riktlinjerna</t>
        </r>
      </text>
    </comment>
  </commentList>
</comments>
</file>

<file path=xl/comments13.xml><?xml version="1.0" encoding="utf-8"?>
<comments xmlns="http://schemas.openxmlformats.org/spreadsheetml/2006/main">
  <authors>
    <author>Hans Nilsson</author>
    <author>Katarina Börling</author>
  </authors>
  <commentList>
    <comment ref="E8" authorId="0" shapeId="0">
      <text>
        <r>
          <rPr>
            <sz val="12"/>
            <color indexed="81"/>
            <rFont val="Arial"/>
            <family val="2"/>
          </rPr>
          <t>Klicka på rutan och sedan på listpilen för att välja region</t>
        </r>
      </text>
    </comment>
    <comment ref="H14" authorId="0" shapeId="0">
      <text>
        <r>
          <rPr>
            <sz val="12"/>
            <color indexed="81"/>
            <rFont val="Arial"/>
            <family val="2"/>
          </rPr>
          <t xml:space="preserve">Förväntad skörd enl. normal vh vid avräkning och med förfrukt korn eller höstsäd och med priskvoter ung som i Riktlinjerna för 2014  dvs N-pris ca 9 kr/kg och spannmålspriser runt 1,50 kr/kg
</t>
        </r>
      </text>
    </comment>
    <comment ref="N14" authorId="0" shapeId="0">
      <text>
        <r>
          <rPr>
            <sz val="12"/>
            <color indexed="81"/>
            <rFont val="Arial"/>
            <family val="2"/>
          </rPr>
          <t>Väljs ingenting förutsätts korn el höstsäd som förfrukt</t>
        </r>
      </text>
    </comment>
    <comment ref="Q14" authorId="0" shapeId="0">
      <text>
        <r>
          <rPr>
            <sz val="12"/>
            <color indexed="81"/>
            <rFont val="Arial"/>
            <family val="2"/>
          </rPr>
          <t xml:space="preserve">Förväntad skördehöjande effekt av förfrukten
</t>
        </r>
      </text>
    </comment>
    <comment ref="S14" authorId="0" shapeId="0">
      <text>
        <r>
          <rPr>
            <sz val="12"/>
            <color indexed="81"/>
            <rFont val="Arial"/>
            <family val="2"/>
          </rPr>
          <t>Förväntad skörd enl. normal vh vid avräkning och vid priskvoter ung som i Riktlinjerna för 2014
OBS! Justerad för förfrukt</t>
        </r>
      </text>
    </comment>
    <comment ref="U14" authorId="0" shapeId="0">
      <text>
        <r>
          <rPr>
            <sz val="12"/>
            <color indexed="81"/>
            <rFont val="Arial"/>
            <family val="2"/>
          </rPr>
          <t xml:space="preserve">Förväntat avräkningspris
</t>
        </r>
      </text>
    </comment>
    <comment ref="W14" authorId="0" shapeId="0">
      <text>
        <r>
          <rPr>
            <sz val="12"/>
            <color indexed="81"/>
            <rFont val="Arial"/>
            <family val="2"/>
          </rPr>
          <t>Kostnad för tröskning, torkning, transport och PK-bortförsel</t>
        </r>
      </text>
    </comment>
    <comment ref="AA14" authorId="0" shapeId="0">
      <text>
        <r>
          <rPr>
            <b/>
            <sz val="10"/>
            <color indexed="81"/>
            <rFont val="Tahoma"/>
            <family val="2"/>
          </rPr>
          <t xml:space="preserve">Långsiktig kväveefterverkan av stallgödsel
</t>
        </r>
      </text>
    </comment>
    <comment ref="AD14" authorId="0" shapeId="0">
      <text>
        <r>
          <rPr>
            <sz val="12"/>
            <color indexed="81"/>
            <rFont val="Arial"/>
            <family val="2"/>
          </rPr>
          <t>Direkt kväveefterverkan av förfrukten</t>
        </r>
      </text>
    </comment>
    <comment ref="AH14" authorId="0" shapeId="0">
      <text>
        <r>
          <rPr>
            <sz val="12"/>
            <color indexed="81"/>
            <rFont val="Arial"/>
            <family val="2"/>
          </rPr>
          <t>Inkl. förväntad 1-årseffekt av stallgödsel.</t>
        </r>
      </text>
    </comment>
    <comment ref="AH16" authorId="0" shapeId="0">
      <text>
        <r>
          <rPr>
            <sz val="12"/>
            <color indexed="81"/>
            <rFont val="Arial"/>
            <family val="2"/>
          </rPr>
          <t xml:space="preserve">En rimlig maxgiva ("liggsädesgräns" ) är inlagd i systemet och ingen rekommendation ges för låg normalskörd tex &lt; 50dt höstvete eller &lt;30 dt vårkorn
</t>
        </r>
      </text>
    </comment>
    <comment ref="J20" authorId="0" shapeId="0">
      <text>
        <r>
          <rPr>
            <sz val="12"/>
            <color indexed="81"/>
            <rFont val="Arial"/>
            <family val="2"/>
          </rPr>
          <t xml:space="preserve">Klicka på rutan och sedan på listpilen för att välja förfrukt
</t>
        </r>
      </text>
    </comment>
    <comment ref="J22" authorId="0" shapeId="0">
      <text>
        <r>
          <rPr>
            <sz val="12"/>
            <color indexed="81"/>
            <rFont val="Arial"/>
            <family val="2"/>
          </rPr>
          <t xml:space="preserve">Klicka på rutan och sedan på listpilen för att välja förfrukt
</t>
        </r>
      </text>
    </comment>
    <comment ref="J24" authorId="0" shapeId="0">
      <text>
        <r>
          <rPr>
            <sz val="12"/>
            <color indexed="81"/>
            <rFont val="Arial"/>
            <family val="2"/>
          </rPr>
          <t xml:space="preserve">Klicka på rutan och sedan på listpilen för att välja förfrukt
</t>
        </r>
      </text>
    </comment>
    <comment ref="J26" authorId="0" shapeId="0">
      <text>
        <r>
          <rPr>
            <sz val="12"/>
            <color indexed="81"/>
            <rFont val="Arial"/>
            <family val="2"/>
          </rPr>
          <t xml:space="preserve">Klicka på rutan och sedan på listpilen för att välja förfrukt
</t>
        </r>
      </text>
    </comment>
    <comment ref="J28" authorId="0" shapeId="0">
      <text>
        <r>
          <rPr>
            <sz val="12"/>
            <color indexed="81"/>
            <rFont val="Arial"/>
            <family val="2"/>
          </rPr>
          <t xml:space="preserve">Klicka på rutan och sedan på listpilen för att välja förfrukt
</t>
        </r>
      </text>
    </comment>
    <comment ref="J30" authorId="0" shapeId="0">
      <text>
        <r>
          <rPr>
            <sz val="12"/>
            <color indexed="81"/>
            <rFont val="Arial"/>
            <family val="2"/>
          </rPr>
          <t xml:space="preserve">Klicka på rutan och sedan på listpilen för att välja förfrukt
</t>
        </r>
      </text>
    </comment>
    <comment ref="C32" authorId="0" shapeId="0">
      <text>
        <r>
          <rPr>
            <sz val="12"/>
            <color indexed="81"/>
            <rFont val="Arial"/>
            <family val="2"/>
          </rPr>
          <t xml:space="preserve">Stråförkortat
</t>
        </r>
      </text>
    </comment>
    <comment ref="J32" authorId="0" shapeId="0">
      <text>
        <r>
          <rPr>
            <sz val="12"/>
            <color indexed="81"/>
            <rFont val="Arial"/>
            <family val="2"/>
          </rPr>
          <t xml:space="preserve">Klicka på rutan och sedan på listpilen för att välja förfrukt
</t>
        </r>
      </text>
    </comment>
    <comment ref="J34" authorId="0" shapeId="0">
      <text>
        <r>
          <rPr>
            <sz val="12"/>
            <color indexed="81"/>
            <rFont val="Arial"/>
            <family val="2"/>
          </rPr>
          <t xml:space="preserve">Klicka på rutan och sedan på listpilen för att välja förfrukt
</t>
        </r>
      </text>
    </comment>
    <comment ref="J36" authorId="0" shapeId="0">
      <text>
        <r>
          <rPr>
            <sz val="12"/>
            <color indexed="81"/>
            <rFont val="Arial"/>
            <family val="2"/>
          </rPr>
          <t xml:space="preserve">Klicka på rutan och sedan på listpilen för att välja förfrukt
</t>
        </r>
      </text>
    </comment>
    <comment ref="C38" authorId="0" shapeId="0">
      <text>
        <r>
          <rPr>
            <sz val="12"/>
            <color indexed="81"/>
            <rFont val="Arial"/>
            <family val="2"/>
          </rPr>
          <t xml:space="preserve">Avser normalutvecklad raps på våren
</t>
        </r>
      </text>
    </comment>
    <comment ref="E38" authorId="1" shapeId="0">
      <text>
        <r>
          <rPr>
            <b/>
            <sz val="9"/>
            <color indexed="81"/>
            <rFont val="Tahoma"/>
            <family val="2"/>
          </rPr>
          <t>Avser oljehalt</t>
        </r>
      </text>
    </comment>
    <comment ref="AH38" authorId="0" shapeId="0">
      <text>
        <r>
          <rPr>
            <sz val="12"/>
            <color indexed="81"/>
            <rFont val="Arial"/>
            <family val="2"/>
          </rPr>
          <t xml:space="preserve">Kraftigt utvecklad raps behöver lägre N-giva på våren, minska givan med ca 20 kg N/ha.
</t>
        </r>
      </text>
    </comment>
    <comment ref="E40" authorId="1" shapeId="0">
      <text>
        <r>
          <rPr>
            <b/>
            <sz val="9"/>
            <color indexed="81"/>
            <rFont val="Tahoma"/>
            <family val="2"/>
          </rPr>
          <t>Avser oljehalt</t>
        </r>
      </text>
    </comment>
    <comment ref="W42" authorId="0" shapeId="0">
      <text>
        <r>
          <rPr>
            <sz val="12"/>
            <color indexed="81"/>
            <rFont val="Arial"/>
            <family val="2"/>
          </rPr>
          <t>Kostnad för skörd , transport och lagring</t>
        </r>
      </text>
    </comment>
    <comment ref="AH44" authorId="0" shapeId="0">
      <text>
        <r>
          <rPr>
            <sz val="12"/>
            <color indexed="81"/>
            <rFont val="Arial"/>
            <family val="2"/>
          </rPr>
          <t xml:space="preserve">Totala N-givan till alla delskördar
</t>
        </r>
      </text>
    </comment>
    <comment ref="AH46" authorId="0" shapeId="0">
      <text>
        <r>
          <rPr>
            <sz val="12"/>
            <color indexed="81"/>
            <rFont val="Arial"/>
            <family val="2"/>
          </rPr>
          <t>Ingen N-giva &gt; 50 % klöver
I riktlinjerna anges vallgivan vid djurtätheten 1 de/ha motsvarande 1 ko/ha. Här följer givan dynamiskt efter den djurtäthet du anger</t>
        </r>
      </text>
    </comment>
    <comment ref="AH48" authorId="0" shapeId="0">
      <text>
        <r>
          <rPr>
            <sz val="12"/>
            <color indexed="81"/>
            <rFont val="Arial"/>
            <family val="2"/>
          </rPr>
          <t>Ingen N-giva &gt; 50 % klöver
I riktlinjerna anges vallgivan vid djurtätheten 1 de/ha motsvarande 1 ko/ha. Här följer givan dynamiskt efter den djurtäthet du anger</t>
        </r>
      </text>
    </comment>
  </commentList>
</comments>
</file>

<file path=xl/comments14.xml><?xml version="1.0" encoding="utf-8"?>
<comments xmlns="http://schemas.openxmlformats.org/spreadsheetml/2006/main">
  <authors>
    <author/>
  </authors>
  <commentList>
    <comment ref="H40" authorId="0" shapeId="0">
      <text>
        <r>
          <rPr>
            <sz val="10"/>
            <rFont val="Arial"/>
            <family val="2"/>
          </rPr>
          <t>MullC från tillfört org manterial</t>
        </r>
      </text>
    </comment>
  </commentList>
</comments>
</file>

<file path=xl/comments15.xml><?xml version="1.0" encoding="utf-8"?>
<comments xmlns="http://schemas.openxmlformats.org/spreadsheetml/2006/main">
  <authors>
    <author/>
  </authors>
  <commentList>
    <comment ref="Q7" authorId="0" shapeId="0">
      <text>
        <r>
          <rPr>
            <b/>
            <sz val="9"/>
            <color indexed="8"/>
            <rFont val="Tahoma"/>
            <family val="2"/>
          </rPr>
          <t>IPCC: 0,01</t>
        </r>
      </text>
    </comment>
    <comment ref="Q8" authorId="0" shapeId="0">
      <text>
        <r>
          <rPr>
            <b/>
            <sz val="9"/>
            <color indexed="8"/>
            <rFont val="Tahoma"/>
            <family val="2"/>
          </rPr>
          <t>IPCC 0,01.
SNV fram till 2007: 0,008</t>
        </r>
      </text>
    </comment>
    <comment ref="Q9" authorId="0" shapeId="0">
      <text>
        <r>
          <rPr>
            <b/>
            <sz val="9"/>
            <color indexed="8"/>
            <rFont val="Tahoma"/>
            <family val="2"/>
          </rPr>
          <t>IPCC 0,01
SNV fram till 2007: 0,025</t>
        </r>
      </text>
    </comment>
    <comment ref="Q10" authorId="0" shapeId="0">
      <text>
        <r>
          <rPr>
            <b/>
            <sz val="9"/>
            <color indexed="8"/>
            <rFont val="Tahoma"/>
            <family val="2"/>
          </rPr>
          <t>Innefattar fosfor mm, bekämpning, maskinunderhåll,
torkning mm samt diesel.
Undelag: Törner 1999, energibalans i Odlingssystemförsöken</t>
        </r>
      </text>
    </comment>
    <comment ref="Q11" authorId="0" shapeId="0">
      <text>
        <r>
          <rPr>
            <b/>
            <sz val="9"/>
            <color indexed="8"/>
            <rFont val="Tahoma"/>
            <family val="2"/>
          </rPr>
          <t>3 kgGHG per l desel. Normalanvändning 70 l diesel/ha</t>
        </r>
      </text>
    </comment>
    <comment ref="AE13" authorId="0" shapeId="0">
      <text>
        <r>
          <rPr>
            <b/>
            <sz val="8"/>
            <color indexed="8"/>
            <rFont val="Tahoma"/>
            <family val="2"/>
          </rPr>
          <t>80% ts i halm antaget</t>
        </r>
      </text>
    </comment>
    <comment ref="E15" authorId="0" shapeId="0">
      <text>
        <r>
          <rPr>
            <b/>
            <sz val="8"/>
            <color indexed="8"/>
            <rFont val="Tahoma"/>
            <family val="2"/>
          </rPr>
          <t>Men använd skördesiffror för halm och spannmål</t>
        </r>
      </text>
    </comment>
    <comment ref="M15" authorId="0" shapeId="0">
      <text>
        <r>
          <rPr>
            <b/>
            <sz val="8"/>
            <color indexed="8"/>
            <rFont val="Tahoma"/>
            <family val="2"/>
          </rPr>
          <t xml:space="preserve">Göte Bertilsson:
</t>
        </r>
        <r>
          <rPr>
            <sz val="8"/>
            <color indexed="8"/>
            <rFont val="Tahoma"/>
            <family val="2"/>
          </rPr>
          <t>Mineralgödsel</t>
        </r>
      </text>
    </comment>
    <comment ref="N15" authorId="0" shapeId="0">
      <text>
        <r>
          <rPr>
            <b/>
            <sz val="8"/>
            <color indexed="8"/>
            <rFont val="Tahoma"/>
            <family val="2"/>
          </rPr>
          <t xml:space="preserve">Göte Bertilsson:
</t>
        </r>
        <r>
          <rPr>
            <sz val="8"/>
            <color indexed="8"/>
            <rFont val="Tahoma"/>
            <family val="2"/>
          </rPr>
          <t>kg total  N per ha
Riktvärden fr SIM, kgN/ton
Nöt fast 5,6, urin 20,flyt 5
Svin fast 8, urin2 flyt 4
höns flyt 5</t>
        </r>
      </text>
    </comment>
    <comment ref="Q15" authorId="0" shapeId="0">
      <text>
        <r>
          <rPr>
            <sz val="9"/>
            <color indexed="8"/>
            <rFont val="Tahoma"/>
            <family val="2"/>
          </rPr>
          <t xml:space="preserve">
kg N2O-N per ha.
Här ingår:
från rester o rötter
omsättning min.göds.
Oms. stallgödsel</t>
        </r>
      </text>
    </comment>
    <comment ref="G16" authorId="0" shapeId="0">
      <text>
        <r>
          <rPr>
            <sz val="10"/>
            <rFont val="Arial"/>
            <family val="2"/>
          </rPr>
          <t>Uttryckes i andel, t ex 0,2</t>
        </r>
      </text>
    </comment>
    <comment ref="H16" authorId="0" shapeId="0">
      <text>
        <r>
          <rPr>
            <b/>
            <sz val="8"/>
            <color indexed="8"/>
            <rFont val="Tahoma"/>
            <family val="2"/>
          </rPr>
          <t xml:space="preserve">Göte Bertilsson:
</t>
        </r>
        <r>
          <rPr>
            <sz val="8"/>
            <color indexed="8"/>
            <rFont val="Tahoma"/>
            <family val="2"/>
          </rPr>
          <t xml:space="preserve">Är skörden i ton, skriv 1000.
Den här kolumnen 
överför ton till kg, t ex för sockerbetor
</t>
        </r>
      </text>
    </comment>
    <comment ref="J16" authorId="0"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S17"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S18" authorId="0" shapeId="0">
      <text>
        <r>
          <rPr>
            <sz val="9"/>
            <color indexed="8"/>
            <rFont val="Tahoma"/>
            <family val="2"/>
          </rPr>
          <t xml:space="preserve">
Sätt 0,9 om man kan spara 10%.
Både för N och diesel</t>
        </r>
      </text>
    </comment>
    <comment ref="AA21" authorId="0" shapeId="0">
      <text>
        <r>
          <rPr>
            <sz val="10"/>
            <rFont val="Arial"/>
            <family val="2"/>
          </rPr>
          <t>55MJ/kg metan
10,6 MJ ger 0,2 kg metan, 0,15 C.
CO2 är ung hälften av metan</t>
        </r>
      </text>
    </comment>
    <comment ref="AE25" authorId="0" shapeId="0">
      <text>
        <r>
          <rPr>
            <b/>
            <sz val="8"/>
            <color indexed="8"/>
            <rFont val="Tahoma"/>
            <family val="2"/>
          </rPr>
          <t>80%ts i halm antaget</t>
        </r>
      </text>
    </comment>
    <comment ref="M28" authorId="0" shapeId="0">
      <text>
        <r>
          <rPr>
            <sz val="9"/>
            <color indexed="8"/>
            <rFont val="Tahoma"/>
            <family val="2"/>
          </rPr>
          <t xml:space="preserve">
utlakningen tas om hand i slutskillnaden P50</t>
        </r>
      </text>
    </comment>
    <comment ref="N28" authorId="0" shapeId="0">
      <text>
        <r>
          <rPr>
            <sz val="9"/>
            <color indexed="8"/>
            <rFont val="Tahoma"/>
            <family val="2"/>
          </rPr>
          <t xml:space="preserve">
utlakningen tas om hand i slutskillnaden P50</t>
        </r>
      </text>
    </comment>
    <comment ref="O28" authorId="0" shapeId="0">
      <text>
        <r>
          <rPr>
            <sz val="9"/>
            <color indexed="8"/>
            <rFont val="Tahoma"/>
            <family val="2"/>
          </rPr>
          <t xml:space="preserve">
utlakningen tas om hand i slutskillnaden P50</t>
        </r>
      </text>
    </comment>
    <comment ref="M47" authorId="0" shapeId="0">
      <text>
        <r>
          <rPr>
            <sz val="9"/>
            <color indexed="8"/>
            <rFont val="Tahoma"/>
            <family val="2"/>
          </rPr>
          <t xml:space="preserve">
utlakningen tas om hand i slutskillnaden P50</t>
        </r>
      </text>
    </comment>
    <comment ref="N47" authorId="0" shapeId="0">
      <text>
        <r>
          <rPr>
            <sz val="9"/>
            <color indexed="8"/>
            <rFont val="Tahoma"/>
            <family val="2"/>
          </rPr>
          <t xml:space="preserve">
utlakningen tas om hand i slutskillnaden P50</t>
        </r>
      </text>
    </comment>
    <comment ref="O47" authorId="0" shapeId="0">
      <text>
        <r>
          <rPr>
            <sz val="9"/>
            <color indexed="8"/>
            <rFont val="Tahoma"/>
            <family val="2"/>
          </rPr>
          <t xml:space="preserve">
utlakningen tas om hand i slutskillnaden P50</t>
        </r>
      </text>
    </comment>
    <comment ref="N52" authorId="0" shapeId="0">
      <text>
        <r>
          <rPr>
            <b/>
            <sz val="9"/>
            <color indexed="8"/>
            <rFont val="Tahoma"/>
            <family val="2"/>
          </rPr>
          <t xml:space="preserve">Miljösammanfattning måste ifyllas </t>
        </r>
      </text>
    </comment>
    <comment ref="D72" authorId="0" shapeId="0">
      <text>
        <r>
          <rPr>
            <b/>
            <sz val="9"/>
            <color indexed="8"/>
            <rFont val="Tahoma"/>
            <family val="2"/>
          </rPr>
          <t>Halmens totala energiinnehåll är ca 15 MJ/kg. Avdrag görs för bärgning och transport mm och vi räknar med 10.
GHG per MJ olja
0,07 kg.
Med dessa värden sparar 1 kghalm 0,7 kg GHG .
Det förutsätts att mulleffekten beräknats separat i Mullutveckling.</t>
        </r>
      </text>
    </comment>
    <comment ref="D74" authorId="0" shapeId="0">
      <text>
        <r>
          <rPr>
            <b/>
            <sz val="9"/>
            <color indexed="8"/>
            <rFont val="Tahoma"/>
            <family val="2"/>
          </rPr>
          <t>Särskilt i samband med bioenergi räknas ibland med miljöeffekter av nyodlingsareal som behövs för att ersätta matfproduktionen. Detta kan tillämpas också i andra sammanhang som betyder produktionsförändring . Här får man en koll på sådana konsekvenser.</t>
        </r>
      </text>
    </comment>
    <comment ref="L75" authorId="0" shapeId="0">
      <text>
        <r>
          <rPr>
            <b/>
            <sz val="9"/>
            <color indexed="8"/>
            <rFont val="Tahoma"/>
            <family val="2"/>
          </rPr>
          <t xml:space="preserve">Mellan 1000 och 6000 kg C/ha.
Ett lågt värde för svensa mulljordar är 1600.(Jokerrapporten).När naturmark bryts är värdena stora (3000-6000 kgmen minskar inom loppet av några decennier,
(En rapport i Science) </t>
        </r>
      </text>
    </comment>
    <comment ref="L88" authorId="0" shapeId="0">
      <text>
        <r>
          <rPr>
            <sz val="10"/>
            <rFont val="Arial"/>
            <family val="2"/>
          </rPr>
          <t xml:space="preserve"> Energiinnehållet (55 MJ/kg) motsvarar 150 kg C i metan. Därtill finns 1/3 koldoxid. Summa 200 kg C i gaser.</t>
        </r>
      </text>
    </comment>
    <comment ref="M89" authorId="0" shapeId="0">
      <text>
        <r>
          <rPr>
            <sz val="10"/>
            <rFont val="Arial"/>
            <family val="2"/>
          </rPr>
          <t>N-förlusterna sägs vara små i produktionen</t>
        </r>
      </text>
    </comment>
  </commentList>
</comments>
</file>

<file path=xl/comments16.xml><?xml version="1.0" encoding="utf-8"?>
<comments xmlns="http://schemas.openxmlformats.org/spreadsheetml/2006/main">
  <authors>
    <author/>
  </authors>
  <commentList>
    <comment ref="H6" authorId="0" shapeId="0">
      <text>
        <r>
          <rPr>
            <sz val="10"/>
            <rFont val="Arial"/>
            <family val="2"/>
          </rPr>
          <t>7l0 l /ha, 40 MJ/</t>
        </r>
      </text>
    </comment>
    <comment ref="I15" authorId="0" shapeId="0">
      <text>
        <r>
          <rPr>
            <b/>
            <sz val="8"/>
            <color indexed="8"/>
            <rFont val="Tahoma"/>
            <family val="2"/>
          </rPr>
          <t xml:space="preserve">Göte Bertilsson:
</t>
        </r>
        <r>
          <rPr>
            <sz val="8"/>
            <color indexed="8"/>
            <rFont val="Tahoma"/>
            <family val="2"/>
          </rPr>
          <t>Mineralgödsel</t>
        </r>
      </text>
    </comment>
    <comment ref="L15" authorId="0" shapeId="0">
      <text>
        <r>
          <rPr>
            <sz val="10"/>
            <rFont val="Arial"/>
            <family val="2"/>
          </rPr>
          <t xml:space="preserve">Jämför med siffrorna i kol K. Ex: vid reducerad bearbetning kan man sätta -800 i kol J.
En extra bekämpning betyder ca 250-400 MJ inkl körning
</t>
        </r>
      </text>
    </comment>
    <comment ref="G16" authorId="0" shapeId="0">
      <text>
        <r>
          <rPr>
            <b/>
            <sz val="8"/>
            <color indexed="8"/>
            <rFont val="Tahoma"/>
            <family val="2"/>
          </rPr>
          <t xml:space="preserve">Göte Bertilsson:
</t>
        </r>
        <r>
          <rPr>
            <sz val="8"/>
            <color indexed="8"/>
            <rFont val="Tahoma"/>
            <family val="2"/>
          </rPr>
          <t xml:space="preserve">Den här kolumnen 
överför ton till kg, t ex för sockerbetor
</t>
        </r>
      </text>
    </comment>
    <comment ref="R17"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F18" authorId="0" shapeId="0">
      <text>
        <r>
          <rPr>
            <sz val="9"/>
            <color indexed="8"/>
            <rFont val="Tahoma"/>
            <family val="2"/>
          </rPr>
          <t xml:space="preserve">
fylles i bara för typ rotfrukter o potatisl. Då måste även kol G fyllas i.</t>
        </r>
      </text>
    </comment>
    <comment ref="R18" authorId="0" shapeId="0">
      <text>
        <r>
          <rPr>
            <sz val="9"/>
            <color indexed="8"/>
            <rFont val="Tahoma"/>
            <family val="2"/>
          </rPr>
          <t xml:space="preserve">
Sätt 0,9 om man kan spara 10%.
Både för N och diesel</t>
        </r>
      </text>
    </comment>
    <comment ref="I28" authorId="0" shapeId="0">
      <text>
        <r>
          <rPr>
            <sz val="9"/>
            <color indexed="8"/>
            <rFont val="Tahoma"/>
            <family val="2"/>
          </rPr>
          <t xml:space="preserve">
utlakningen tas om hand i slutskillnaden P50</t>
        </r>
      </text>
    </comment>
    <comment ref="N28" authorId="0" shapeId="0">
      <text>
        <r>
          <rPr>
            <sz val="9"/>
            <color indexed="8"/>
            <rFont val="Tahoma"/>
            <family val="2"/>
          </rPr>
          <t xml:space="preserve">
utlakningen tas om hand i slutskillnaden K47</t>
        </r>
      </text>
    </comment>
    <comment ref="O28" authorId="0" shapeId="0">
      <text>
        <r>
          <rPr>
            <sz val="9"/>
            <color indexed="8"/>
            <rFont val="Tahoma"/>
            <family val="2"/>
          </rPr>
          <t xml:space="preserve">
utlakningen tas om hand i slutskillnaden K47</t>
        </r>
      </text>
    </comment>
    <comment ref="I30" authorId="0" shapeId="0">
      <text>
        <r>
          <rPr>
            <b/>
            <sz val="8"/>
            <color indexed="8"/>
            <rFont val="Tahoma"/>
            <family val="2"/>
          </rPr>
          <t xml:space="preserve">Göte Bertilsson:
</t>
        </r>
        <r>
          <rPr>
            <sz val="8"/>
            <color indexed="8"/>
            <rFont val="Tahoma"/>
            <family val="2"/>
          </rPr>
          <t>Yara nya fabriker: 2,5-3
Tidigare värde: 7
(Summa av CO2 och N2O</t>
        </r>
      </text>
    </comment>
    <comment ref="I32" authorId="0" shapeId="0">
      <text>
        <r>
          <rPr>
            <b/>
            <sz val="9"/>
            <color indexed="8"/>
            <rFont val="Tahoma"/>
            <family val="2"/>
          </rPr>
          <t xml:space="preserve">BN:
</t>
        </r>
        <r>
          <rPr>
            <sz val="9"/>
            <color indexed="8"/>
            <rFont val="Tahoma"/>
            <family val="2"/>
          </rPr>
          <t>Om skördeskillnaden mellan alternativen är stor är detta inte oviktigt,
Utlakning för olika jordar
hittas i fliken Utlakn_underlag. Använd tiotal.</t>
        </r>
      </text>
    </comment>
    <comment ref="F35" authorId="0" shapeId="0">
      <text>
        <r>
          <rPr>
            <sz val="9"/>
            <color indexed="8"/>
            <rFont val="Tahoma"/>
            <family val="2"/>
          </rPr>
          <t xml:space="preserve">
fylles i bara för typ rotfrukter o potatisl. Då måste även kol G fyllas i.</t>
        </r>
      </text>
    </comment>
    <comment ref="R36" authorId="0"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R37" authorId="0" shapeId="0">
      <text>
        <r>
          <rPr>
            <sz val="9"/>
            <color indexed="8"/>
            <rFont val="Tahoma"/>
            <family val="2"/>
          </rPr>
          <t xml:space="preserve">
Sätt 0,9 om man kan spara 10%.
Både för N och diesel</t>
        </r>
      </text>
    </comment>
    <comment ref="N45" authorId="0" shapeId="0">
      <text>
        <r>
          <rPr>
            <sz val="9"/>
            <color indexed="8"/>
            <rFont val="Tahoma"/>
            <family val="2"/>
          </rPr>
          <t xml:space="preserve">
utlakningen tas om hand i slutskillnaden K47</t>
        </r>
      </text>
    </comment>
    <comment ref="O45" authorId="0" shapeId="0">
      <text>
        <r>
          <rPr>
            <sz val="9"/>
            <color indexed="8"/>
            <rFont val="Tahoma"/>
            <family val="2"/>
          </rPr>
          <t xml:space="preserve">
utlakningen tas om hand i slutskillnaden K47</t>
        </r>
      </text>
    </comment>
    <comment ref="L51" authorId="0" shapeId="0">
      <text>
        <r>
          <rPr>
            <b/>
            <sz val="8"/>
            <color indexed="8"/>
            <rFont val="Tahoma"/>
            <family val="2"/>
          </rPr>
          <t xml:space="preserve">Göte Bertilsson:
</t>
        </r>
        <r>
          <rPr>
            <sz val="8"/>
            <color indexed="8"/>
            <rFont val="Tahoma"/>
            <family val="2"/>
          </rPr>
          <t>Observera att för biogas är det energi före uppgradering.</t>
        </r>
      </text>
    </comment>
  </commentList>
</comments>
</file>

<file path=xl/comments17.xml><?xml version="1.0" encoding="utf-8"?>
<comments xmlns="http://schemas.openxmlformats.org/spreadsheetml/2006/main">
  <authors>
    <author>Hans Nilsson</author>
    <author/>
    <author>Nilsson Hans</author>
    <author>Göte Bertilsson</author>
  </authors>
  <commentList>
    <comment ref="Z4" authorId="0" shapeId="0">
      <text>
        <r>
          <rPr>
            <sz val="12"/>
            <color indexed="81"/>
            <rFont val="Tahoma"/>
            <family val="2"/>
          </rPr>
          <t xml:space="preserve">Bertilsson:
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AG4" authorId="1" shapeId="0">
      <text>
        <r>
          <rPr>
            <b/>
            <sz val="8"/>
            <color indexed="8"/>
            <rFont val="Tahoma"/>
            <family val="2"/>
          </rPr>
          <t xml:space="preserve">Bertilsson:
</t>
        </r>
        <r>
          <rPr>
            <sz val="8"/>
            <color indexed="8"/>
            <rFont val="Tahoma"/>
            <family val="2"/>
          </rPr>
          <t>Efterhand sjunker kolhalten och mineraliseringen minskar. Det blir en jämvikt</t>
        </r>
      </text>
    </comment>
    <comment ref="A6" authorId="1" shapeId="0">
      <text>
        <r>
          <rPr>
            <b/>
            <sz val="8"/>
            <color indexed="8"/>
            <rFont val="Tahoma"/>
            <family val="2"/>
          </rPr>
          <t xml:space="preserve">Göte Bertilsson:
</t>
        </r>
        <r>
          <rPr>
            <sz val="8"/>
            <color indexed="8"/>
            <rFont val="Tahoma"/>
            <family val="2"/>
          </rPr>
          <t>Normalvärde här 3000 för 30 cm matjord</t>
        </r>
      </text>
    </comment>
    <comment ref="C22"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E22" authorId="2" shapeId="0">
      <text>
        <r>
          <rPr>
            <sz val="9"/>
            <color indexed="81"/>
            <rFont val="Tahoma"/>
            <family val="2"/>
          </rPr>
          <t>Grödorna delas i i två typer
1= skörderelaterad tillförsel av org. Material
2= Fast mängd organiskt material</t>
        </r>
        <r>
          <rPr>
            <sz val="9"/>
            <color indexed="81"/>
            <rFont val="Tahoma"/>
            <family val="2"/>
          </rPr>
          <t xml:space="preserve">
</t>
        </r>
      </text>
    </comment>
    <comment ref="G22" authorId="1" shapeId="0">
      <text>
        <r>
          <rPr>
            <b/>
            <sz val="8"/>
            <color indexed="8"/>
            <rFont val="Tahoma"/>
            <family val="2"/>
          </rPr>
          <t xml:space="preserve">Bertilsson:
</t>
        </r>
        <r>
          <rPr>
            <sz val="8"/>
            <color indexed="8"/>
            <rFont val="Tahoma"/>
            <family val="2"/>
          </rPr>
          <t>Org material inkl rötter mm:
Säd: 1,5 ggrskörden varav lös halm utgör hälften av kärnskörd.
Oljev.: 3 ggr skörd
Baljväxter: 2 ggr skörd
Vall: rötter o rester=  6000 oavsett skördenivå. Lägg till extra nedplöjd gröda el återväxt.
Betor: 0,1 ggr rotskörd varav hälften är blast
Potatis: 0,05 ggr rotskörd
Vallfrö: rötter o stubb= 6 ton. Lägg till halm
Silomajs: fast siffra 4000
Kornmajs: 1,5 ggr skörd
Konservärt: 6000
Övrigt: bedöm enl ovan</t>
        </r>
      </text>
    </comment>
    <comment ref="I22" authorId="1" shapeId="0">
      <text>
        <r>
          <rPr>
            <b/>
            <sz val="8"/>
            <color indexed="8"/>
            <rFont val="Tahoma"/>
            <family val="2"/>
          </rPr>
          <t xml:space="preserve">Bertilsson:
</t>
        </r>
        <r>
          <rPr>
            <sz val="8"/>
            <color indexed="8"/>
            <rFont val="Tahoma"/>
            <family val="2"/>
          </rPr>
          <t>40% C i org material</t>
        </r>
      </text>
    </comment>
    <comment ref="J22" authorId="1" shapeId="0">
      <text>
        <r>
          <rPr>
            <b/>
            <sz val="8"/>
            <color indexed="8"/>
            <rFont val="Tahoma"/>
            <family val="2"/>
          </rPr>
          <t xml:space="preserve">Bertilsson:
</t>
        </r>
        <r>
          <rPr>
            <sz val="8"/>
            <color indexed="8"/>
            <rFont val="Tahoma"/>
            <family val="2"/>
          </rPr>
          <t>20% av brutto</t>
        </r>
      </text>
    </comment>
    <comment ref="M22" authorId="3"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Markvilan i kol O är viktig.</t>
        </r>
      </text>
    </comment>
    <comment ref="N22" authorId="1" shapeId="0">
      <text>
        <r>
          <rPr>
            <b/>
            <sz val="8"/>
            <color indexed="8"/>
            <rFont val="Tahoma"/>
            <family val="2"/>
          </rPr>
          <t xml:space="preserve">Bertilsson:
</t>
        </r>
        <r>
          <rPr>
            <sz val="8"/>
            <color indexed="8"/>
            <rFont val="Tahoma"/>
            <family val="2"/>
          </rPr>
          <t>Antagen massa ts hos fånggrädan *0,5*0,2
Alltså bedömd ts-skörd ggr 0,1</t>
        </r>
      </text>
    </comment>
    <comment ref="P22" authorId="1" shapeId="0">
      <text>
        <r>
          <rPr>
            <b/>
            <sz val="8"/>
            <color indexed="8"/>
            <rFont val="Tahoma"/>
            <family val="2"/>
          </rPr>
          <t xml:space="preserve">Bertilsson:
</t>
        </r>
        <r>
          <rPr>
            <sz val="8"/>
            <color indexed="8"/>
            <rFont val="Tahoma"/>
            <family val="2"/>
          </rPr>
          <t xml:space="preserve">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T22" authorId="3" shapeId="0">
      <text>
        <r>
          <rPr>
            <b/>
            <sz val="8"/>
            <color indexed="81"/>
            <rFont val="Tahoma"/>
            <family val="2"/>
          </rPr>
          <t xml:space="preserve">Göte Bertilsson:
</t>
        </r>
        <r>
          <rPr>
            <sz val="8"/>
            <color indexed="81"/>
            <rFont val="Tahoma"/>
            <family val="2"/>
          </rPr>
          <t>Det är organiskt material
som har betydelse.
För stallgödsel behövs ingen korrigering.
Men i de flesta avloppsslam är organisk halt kring 40-60%. Så ta upp bara halva mängden</t>
        </r>
        <r>
          <rPr>
            <sz val="8"/>
            <color indexed="81"/>
            <rFont val="Tahoma"/>
            <family val="2"/>
          </rPr>
          <t xml:space="preserve">
Om det gäller avloppsslam, ange hälften. Halten organiskt
är ca 50%</t>
        </r>
      </text>
    </comment>
    <comment ref="V22" authorId="1" shapeId="0">
      <text>
        <r>
          <rPr>
            <b/>
            <sz val="8"/>
            <color indexed="8"/>
            <rFont val="Tahoma"/>
            <family val="2"/>
          </rPr>
          <t xml:space="preserve">Bertilsson:
</t>
        </r>
        <r>
          <rPr>
            <sz val="8"/>
            <color indexed="8"/>
            <rFont val="Tahoma"/>
            <family val="2"/>
          </rPr>
          <t>Hälften av ts är C.
30% av C blir stabil</t>
        </r>
      </text>
    </comment>
    <comment ref="C45"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E45" authorId="2" shapeId="0">
      <text>
        <r>
          <rPr>
            <sz val="9"/>
            <color indexed="81"/>
            <rFont val="Tahoma"/>
            <family val="2"/>
          </rPr>
          <t>Grödorna delas i i två typer
1= skörderelaterad tillförsel av org. Material
2= Fast mängd organiskt material</t>
        </r>
        <r>
          <rPr>
            <sz val="9"/>
            <color indexed="81"/>
            <rFont val="Tahoma"/>
            <family val="2"/>
          </rPr>
          <t xml:space="preserve">
</t>
        </r>
      </text>
    </comment>
    <comment ref="G45" authorId="1" shapeId="0">
      <text>
        <r>
          <rPr>
            <b/>
            <sz val="8"/>
            <color indexed="8"/>
            <rFont val="Tahoma"/>
            <family val="2"/>
          </rPr>
          <t xml:space="preserve">Bertilsson:
</t>
        </r>
        <r>
          <rPr>
            <sz val="8"/>
            <color indexed="8"/>
            <rFont val="Tahoma"/>
            <family val="2"/>
          </rPr>
          <t>Org material inkl rötter mm:
Säd: 1,5 ggrskörden varav lös halm utgör hälften av kärnskörd.
Oljev.: 3 ggr skörd
Baljväxter: 2 ggr skörd
Vall: rötter o rester=  6000 oavsett skördenivå. Lägg till extra nedplöjd gröda el återväxt.
Betor: 0,1 ggr rotskörd varav hälften är blast
Potatis: 0,05 ggr rotskörd
Vallfrö: rötter o stubb= 6 ton. Lägg till halm
Silomajs: fast siffra 4000
Kornmajs: 1,5 ggr skörd
Konservärt: 6000
Övrigt: bedöm enl ovan</t>
        </r>
      </text>
    </comment>
    <comment ref="I45" authorId="1" shapeId="0">
      <text>
        <r>
          <rPr>
            <b/>
            <sz val="8"/>
            <color indexed="8"/>
            <rFont val="Tahoma"/>
            <family val="2"/>
          </rPr>
          <t xml:space="preserve">Bertilsson:
</t>
        </r>
        <r>
          <rPr>
            <sz val="8"/>
            <color indexed="8"/>
            <rFont val="Tahoma"/>
            <family val="2"/>
          </rPr>
          <t>40% C i org material</t>
        </r>
      </text>
    </comment>
    <comment ref="J45" authorId="1" shapeId="0">
      <text>
        <r>
          <rPr>
            <b/>
            <sz val="8"/>
            <color indexed="8"/>
            <rFont val="Tahoma"/>
            <family val="2"/>
          </rPr>
          <t xml:space="preserve">Bertilsson:
</t>
        </r>
        <r>
          <rPr>
            <sz val="8"/>
            <color indexed="8"/>
            <rFont val="Tahoma"/>
            <family val="2"/>
          </rPr>
          <t>20% av brutto</t>
        </r>
      </text>
    </comment>
    <comment ref="N45" authorId="1" shapeId="0">
      <text>
        <r>
          <rPr>
            <b/>
            <sz val="8"/>
            <color indexed="8"/>
            <rFont val="Tahoma"/>
            <family val="2"/>
          </rPr>
          <t xml:space="preserve">Bertilsson:
</t>
        </r>
        <r>
          <rPr>
            <sz val="8"/>
            <color indexed="8"/>
            <rFont val="Tahoma"/>
            <family val="2"/>
          </rPr>
          <t>Antagen massa ts hos fånggrädan *0,5*0,2
Alltså bedömd ts-skörd ggr 0,1</t>
        </r>
      </text>
    </comment>
    <comment ref="P45" authorId="1" shapeId="0">
      <text>
        <r>
          <rPr>
            <b/>
            <sz val="8"/>
            <color indexed="8"/>
            <rFont val="Tahoma"/>
            <family val="2"/>
          </rPr>
          <t xml:space="preserve">Bertilsson:
</t>
        </r>
        <r>
          <rPr>
            <sz val="8"/>
            <color indexed="8"/>
            <rFont val="Tahoma"/>
            <family val="2"/>
          </rPr>
          <t xml:space="preserve">Vilomånader:
Normalläge: bearbetning efter skörd och före höstsådd.  Vilomånader =0
Månad som marken får vara i fred efter skörd räknas som vilomånad.
Antagande: 9 "aktiva" mån (apr-dec). Aug-dec + mars kav vara aktiva efter bearb, annars räknas vilomånad.
Alltså ungefär så här:
Vid normal bearbetning efter skörd: 0. Ingen ifyllnad behövs
Försenad höstbearb (Okt): 2-3
Ingen höstbearbetning: 4-5
Övervintrande fånggröda eller vall:  6.
Flera år utan bearbetning: 7-8.
</t>
        </r>
      </text>
    </comment>
    <comment ref="T45" authorId="3" shapeId="0">
      <text>
        <r>
          <rPr>
            <b/>
            <sz val="8"/>
            <color indexed="81"/>
            <rFont val="Tahoma"/>
            <family val="2"/>
          </rPr>
          <t>Göte Bertilsson:</t>
        </r>
        <r>
          <rPr>
            <sz val="8"/>
            <color indexed="81"/>
            <rFont val="Tahoma"/>
            <family val="2"/>
          </rPr>
          <t xml:space="preserve">
Om det gäller avloppsslam, ange hälften. Halten organiskt
är ca 50%</t>
        </r>
      </text>
    </comment>
    <comment ref="V45" authorId="1" shapeId="0">
      <text>
        <r>
          <rPr>
            <b/>
            <sz val="8"/>
            <color indexed="8"/>
            <rFont val="Tahoma"/>
            <family val="2"/>
          </rPr>
          <t xml:space="preserve">Bertilsson:
</t>
        </r>
        <r>
          <rPr>
            <sz val="8"/>
            <color indexed="8"/>
            <rFont val="Tahoma"/>
            <family val="2"/>
          </rPr>
          <t>Hälften av ts är C.
30% av C blir stabil</t>
        </r>
      </text>
    </comment>
  </commentList>
</comments>
</file>

<file path=xl/comments18.xml><?xml version="1.0" encoding="utf-8"?>
<comments xmlns="http://schemas.openxmlformats.org/spreadsheetml/2006/main">
  <authors>
    <author>Torben</author>
  </authors>
  <commentList>
    <comment ref="N20" authorId="0" shapeId="0">
      <text>
        <r>
          <rPr>
            <sz val="9"/>
            <color indexed="81"/>
            <rFont val="Tahoma"/>
            <family val="2"/>
          </rPr>
          <t>Bevattning</t>
        </r>
      </text>
    </comment>
    <comment ref="M21" authorId="0" shapeId="0">
      <text>
        <r>
          <rPr>
            <sz val="9"/>
            <color indexed="81"/>
            <rFont val="Tahoma"/>
            <family val="2"/>
          </rPr>
          <t>Hackning</t>
        </r>
      </text>
    </comment>
    <comment ref="N21" authorId="0" shapeId="0">
      <text>
        <r>
          <rPr>
            <sz val="9"/>
            <color indexed="81"/>
            <rFont val="Tahoma"/>
            <family val="2"/>
          </rPr>
          <t>Tillägg</t>
        </r>
      </text>
    </comment>
    <comment ref="M22" authorId="0" shapeId="0">
      <text>
        <r>
          <rPr>
            <sz val="9"/>
            <color indexed="81"/>
            <rFont val="Tahoma"/>
            <family val="2"/>
          </rPr>
          <t>Hackning</t>
        </r>
      </text>
    </comment>
    <comment ref="N22" authorId="0" shapeId="0">
      <text>
        <r>
          <rPr>
            <sz val="9"/>
            <color indexed="81"/>
            <rFont val="Tahoma"/>
            <family val="2"/>
          </rPr>
          <t>Tillägg</t>
        </r>
      </text>
    </comment>
  </commentList>
</comments>
</file>

<file path=xl/comments19.xml><?xml version="1.0" encoding="utf-8"?>
<comments xmlns="http://schemas.openxmlformats.org/spreadsheetml/2006/main">
  <authors>
    <author>Hans Nilsson</author>
  </authors>
  <commentList>
    <comment ref="B23" authorId="0" shapeId="0">
      <text>
        <r>
          <rPr>
            <b/>
            <sz val="8"/>
            <color indexed="81"/>
            <rFont val="Tahoma"/>
            <family val="2"/>
          </rPr>
          <t>Stråförkortat</t>
        </r>
        <r>
          <rPr>
            <sz val="8"/>
            <color indexed="81"/>
            <rFont val="Tahoma"/>
            <family val="2"/>
          </rPr>
          <t xml:space="preserve">
</t>
        </r>
      </text>
    </comment>
    <comment ref="B29" authorId="0" shapeId="0">
      <text>
        <r>
          <rPr>
            <b/>
            <sz val="8"/>
            <color indexed="81"/>
            <rFont val="Tahoma"/>
            <family val="2"/>
          </rPr>
          <t>Avser normalutvecklad raps på våren</t>
        </r>
        <r>
          <rPr>
            <sz val="8"/>
            <color indexed="81"/>
            <rFont val="Tahoma"/>
            <family val="2"/>
          </rPr>
          <t xml:space="preserve">
</t>
        </r>
      </text>
    </comment>
  </commentList>
</comments>
</file>

<file path=xl/comments2.xml><?xml version="1.0" encoding="utf-8"?>
<comments xmlns="http://schemas.openxmlformats.org/spreadsheetml/2006/main">
  <authors>
    <author>Göte Bertilsson</author>
    <author/>
    <author>Hans Nilsson</author>
  </authors>
  <commentList>
    <comment ref="S8" authorId="0" shapeId="0">
      <text>
        <r>
          <rPr>
            <b/>
            <sz val="8"/>
            <color indexed="81"/>
            <rFont val="Tahoma"/>
            <family val="2"/>
          </rPr>
          <t>Göte Bertilsson:</t>
        </r>
        <r>
          <rPr>
            <sz val="8"/>
            <color indexed="81"/>
            <rFont val="Tahoma"/>
            <family val="2"/>
          </rPr>
          <t xml:space="preserve">
Om C-halt i Mullberäkning
(B6) är mer än 2 ska här stå 0.
Annars en siffra mellan 3 och 9. Förslag: börja med  5. 
 Se fliken Data skörd-mull.</t>
        </r>
      </text>
    </comment>
    <comment ref="C11"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H11" authorId="2" shapeId="0">
      <text>
        <r>
          <rPr>
            <sz val="9"/>
            <color indexed="81"/>
            <rFont val="Tahoma"/>
            <family val="2"/>
          </rPr>
          <t>Klicka i om skörderester bortförs på hösten samt för vall om den skördas och bortförs. Ej bortförsel av vall = gröngödsling</t>
        </r>
      </text>
    </comment>
    <comment ref="I11" authorId="2" shapeId="0">
      <text>
        <r>
          <rPr>
            <sz val="9"/>
            <color indexed="81"/>
            <rFont val="Tahoma"/>
            <family val="2"/>
          </rPr>
          <t>OBS! Nettovärdet!
Justeras för växtnäringsinnehåll
Se flik Gröddata</t>
        </r>
      </text>
    </comment>
    <comment ref="L12" authorId="0"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t>
        </r>
      </text>
    </comment>
    <comment ref="O12" authorId="2" shapeId="0">
      <text>
        <r>
          <rPr>
            <b/>
            <sz val="9"/>
            <color indexed="81"/>
            <rFont val="Tahoma"/>
            <family val="2"/>
          </rPr>
          <t>Hans Nilsson:</t>
        </r>
        <r>
          <rPr>
            <sz val="9"/>
            <color indexed="81"/>
            <rFont val="Tahoma"/>
            <family val="2"/>
          </rPr>
          <t xml:space="preserve">
Påverkar packningskostnad
och kväveutlakning</t>
        </r>
      </text>
    </comment>
    <comment ref="C28" authorId="1" shapeId="0">
      <text>
        <r>
          <rPr>
            <b/>
            <sz val="8"/>
            <color indexed="8"/>
            <rFont val="Tahoma"/>
            <family val="2"/>
          </rPr>
          <t xml:space="preserve">Göte Bertilsson:
</t>
        </r>
        <r>
          <rPr>
            <sz val="8"/>
            <color indexed="8"/>
            <rFont val="Tahoma"/>
            <family val="2"/>
          </rPr>
          <t>Ev justeringsår i D21</t>
        </r>
      </text>
    </comment>
    <comment ref="C29" authorId="1"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M29" authorId="2" shapeId="0">
      <text>
        <r>
          <rPr>
            <sz val="9"/>
            <color indexed="81"/>
            <rFont val="Tahoma"/>
            <family val="2"/>
          </rPr>
          <t>Klicka i om skörderester bortförs på hösten samt för vall om den skördas och bortförs. Ej bortförsel av vall = gröngödsling</t>
        </r>
      </text>
    </comment>
    <comment ref="N29" authorId="2" shapeId="0">
      <text>
        <r>
          <rPr>
            <b/>
            <sz val="9"/>
            <color indexed="81"/>
            <rFont val="Tahoma"/>
            <family val="2"/>
          </rPr>
          <t>Hans Nilsson:</t>
        </r>
        <r>
          <rPr>
            <sz val="9"/>
            <color indexed="81"/>
            <rFont val="Tahoma"/>
            <family val="2"/>
          </rPr>
          <t xml:space="preserve">
OBS! Nettovärdet!
Justeras för PK-innehåll
Se flik Gröddata!</t>
        </r>
      </text>
    </comment>
    <comment ref="U29" authorId="2" shapeId="0">
      <text>
        <r>
          <rPr>
            <sz val="9"/>
            <color indexed="81"/>
            <rFont val="Tahoma"/>
            <family val="2"/>
          </rPr>
          <t>Ändrat skördevärde efter antal som angetts i ruta L2..
Bygger på förändrad kolhalt efter den angivna perioden och förväntad skördeförändring pga denna förändring. Se gråa rutan ovan.</t>
        </r>
      </text>
    </comment>
    <comment ref="W29" authorId="1" shapeId="0">
      <text>
        <r>
          <rPr>
            <b/>
            <sz val="8"/>
            <color indexed="8"/>
            <rFont val="Tahoma"/>
            <family val="2"/>
          </rPr>
          <t xml:space="preserve">HemPC:
</t>
        </r>
        <r>
          <rPr>
            <sz val="8"/>
            <color indexed="8"/>
            <rFont val="Tahoma"/>
            <family val="2"/>
          </rPr>
          <t>skördevärde - kostnadsförändring- förändrad växtnäringsbortförsel</t>
        </r>
      </text>
    </comment>
    <comment ref="Q30" authorId="0" shapeId="0">
      <text>
        <r>
          <rPr>
            <b/>
            <sz val="8"/>
            <color indexed="81"/>
            <rFont val="Tahoma"/>
            <family val="2"/>
          </rPr>
          <t>Göte Bertilsson:</t>
        </r>
        <r>
          <rPr>
            <sz val="8"/>
            <color indexed="81"/>
            <rFont val="Tahoma"/>
            <family val="2"/>
          </rPr>
          <t xml:space="preserve">
Svårt att kvantifiera. Också rötter spelar roll.
Ange 1000 kg ts som grund, så har vi inte överdrivit. Öka om det känns befogat.
Markvilan i nästa kolumn är viktig.</t>
        </r>
      </text>
    </comment>
    <comment ref="T30" authorId="2" shapeId="0">
      <text>
        <r>
          <rPr>
            <b/>
            <sz val="9"/>
            <color indexed="81"/>
            <rFont val="Tahoma"/>
            <family val="2"/>
          </rPr>
          <t>Hans Nilsson:</t>
        </r>
        <r>
          <rPr>
            <sz val="9"/>
            <color indexed="81"/>
            <rFont val="Tahoma"/>
            <family val="2"/>
          </rPr>
          <t xml:space="preserve">
Påverkar packningskostnad
och kväveutlakning</t>
        </r>
      </text>
    </comment>
    <comment ref="AC30" authorId="1" shapeId="0">
      <text>
        <r>
          <rPr>
            <sz val="10"/>
            <rFont val="Arial"/>
            <family val="2"/>
          </rPr>
          <t>Normalhalter:
Brödsäd 2
Fodersäd 1,8
Oljeväxter 3,5
Ärter, bönor 4
Grönföder 2
Betor pr ton 150</t>
        </r>
      </text>
    </comment>
  </commentList>
</comments>
</file>

<file path=xl/comments20.xml><?xml version="1.0" encoding="utf-8"?>
<comments xmlns="http://schemas.openxmlformats.org/spreadsheetml/2006/main">
  <authors>
    <author>Hans Nilsson</author>
  </authors>
  <commentList>
    <comment ref="B13" authorId="0" shapeId="0">
      <text>
        <r>
          <rPr>
            <b/>
            <sz val="8"/>
            <color indexed="81"/>
            <rFont val="Tahoma"/>
            <family val="2"/>
          </rPr>
          <t>Justering av grundnivån</t>
        </r>
        <r>
          <rPr>
            <sz val="8"/>
            <color indexed="81"/>
            <rFont val="Tahoma"/>
            <family val="2"/>
          </rPr>
          <t xml:space="preserve">
</t>
        </r>
      </text>
    </comment>
    <comment ref="N13" authorId="0" shapeId="0">
      <text>
        <r>
          <rPr>
            <b/>
            <sz val="8"/>
            <color indexed="81"/>
            <rFont val="Tahoma"/>
            <family val="2"/>
          </rPr>
          <t>Justering av grundnivån</t>
        </r>
        <r>
          <rPr>
            <sz val="8"/>
            <color indexed="81"/>
            <rFont val="Tahoma"/>
            <family val="2"/>
          </rPr>
          <t xml:space="preserve">
</t>
        </r>
      </text>
    </comment>
    <comment ref="Z13" authorId="0" shapeId="0">
      <text>
        <r>
          <rPr>
            <b/>
            <sz val="8"/>
            <color indexed="81"/>
            <rFont val="Tahoma"/>
            <family val="2"/>
          </rPr>
          <t>Justering av grundnivån</t>
        </r>
        <r>
          <rPr>
            <sz val="8"/>
            <color indexed="81"/>
            <rFont val="Tahoma"/>
            <family val="2"/>
          </rPr>
          <t xml:space="preserve">
</t>
        </r>
      </text>
    </comment>
    <comment ref="AL13" authorId="0" shapeId="0">
      <text>
        <r>
          <rPr>
            <b/>
            <sz val="8"/>
            <color indexed="81"/>
            <rFont val="Tahoma"/>
            <family val="2"/>
          </rPr>
          <t>Justering av grundnivån</t>
        </r>
        <r>
          <rPr>
            <sz val="8"/>
            <color indexed="81"/>
            <rFont val="Tahoma"/>
            <family val="2"/>
          </rPr>
          <t xml:space="preserve">
</t>
        </r>
      </text>
    </comment>
    <comment ref="AX13" authorId="0" shapeId="0">
      <text>
        <r>
          <rPr>
            <b/>
            <sz val="8"/>
            <color indexed="81"/>
            <rFont val="Tahoma"/>
            <family val="2"/>
          </rPr>
          <t>Justering av grundnivån</t>
        </r>
        <r>
          <rPr>
            <sz val="8"/>
            <color indexed="81"/>
            <rFont val="Tahoma"/>
            <family val="2"/>
          </rPr>
          <t xml:space="preserve">
</t>
        </r>
      </text>
    </comment>
    <comment ref="BJ13" authorId="0" shapeId="0">
      <text>
        <r>
          <rPr>
            <b/>
            <sz val="8"/>
            <color indexed="81"/>
            <rFont val="Tahoma"/>
            <family val="2"/>
          </rPr>
          <t>Justering av grundnivån</t>
        </r>
        <r>
          <rPr>
            <sz val="8"/>
            <color indexed="81"/>
            <rFont val="Tahoma"/>
            <family val="2"/>
          </rPr>
          <t xml:space="preserve">
</t>
        </r>
      </text>
    </comment>
    <comment ref="BV13" authorId="0" shapeId="0">
      <text>
        <r>
          <rPr>
            <b/>
            <sz val="8"/>
            <color indexed="81"/>
            <rFont val="Tahoma"/>
            <family val="2"/>
          </rPr>
          <t>Justering av grundnivån</t>
        </r>
        <r>
          <rPr>
            <sz val="8"/>
            <color indexed="81"/>
            <rFont val="Tahoma"/>
            <family val="2"/>
          </rPr>
          <t xml:space="preserve">
</t>
        </r>
      </text>
    </comment>
    <comment ref="CH13" authorId="0" shapeId="0">
      <text>
        <r>
          <rPr>
            <b/>
            <sz val="8"/>
            <color indexed="81"/>
            <rFont val="Tahoma"/>
            <family val="2"/>
          </rPr>
          <t>Justering av grundnivån</t>
        </r>
        <r>
          <rPr>
            <sz val="8"/>
            <color indexed="81"/>
            <rFont val="Tahoma"/>
            <family val="2"/>
          </rPr>
          <t xml:space="preserve">
</t>
        </r>
      </text>
    </comment>
    <comment ref="CT13" authorId="0" shapeId="0">
      <text>
        <r>
          <rPr>
            <b/>
            <sz val="8"/>
            <color indexed="81"/>
            <rFont val="Tahoma"/>
            <family val="2"/>
          </rPr>
          <t>Justering av grundnivån</t>
        </r>
        <r>
          <rPr>
            <sz val="8"/>
            <color indexed="81"/>
            <rFont val="Tahoma"/>
            <family val="2"/>
          </rPr>
          <t xml:space="preserve">
</t>
        </r>
      </text>
    </comment>
    <comment ref="B16" authorId="0" shapeId="0">
      <text>
        <r>
          <rPr>
            <b/>
            <sz val="8"/>
            <color indexed="81"/>
            <rFont val="Tahoma"/>
            <family val="2"/>
          </rPr>
          <t>Justering av kvävegivan per dt. Anger kurvans lutning</t>
        </r>
        <r>
          <rPr>
            <sz val="8"/>
            <color indexed="81"/>
            <rFont val="Tahoma"/>
            <family val="2"/>
          </rPr>
          <t xml:space="preserve">
</t>
        </r>
      </text>
    </comment>
    <comment ref="N16" authorId="0" shapeId="0">
      <text>
        <r>
          <rPr>
            <b/>
            <sz val="8"/>
            <color indexed="81"/>
            <rFont val="Tahoma"/>
            <family val="2"/>
          </rPr>
          <t>Justering av kvävegivan per dt. Anger kurvans lutning</t>
        </r>
        <r>
          <rPr>
            <sz val="8"/>
            <color indexed="81"/>
            <rFont val="Tahoma"/>
            <family val="2"/>
          </rPr>
          <t xml:space="preserve">
</t>
        </r>
      </text>
    </comment>
    <comment ref="Z16" authorId="0" shapeId="0">
      <text>
        <r>
          <rPr>
            <b/>
            <sz val="8"/>
            <color indexed="81"/>
            <rFont val="Tahoma"/>
            <family val="2"/>
          </rPr>
          <t>Justering av kvävegivan per dt. Anger kurvans lutning</t>
        </r>
        <r>
          <rPr>
            <sz val="8"/>
            <color indexed="81"/>
            <rFont val="Tahoma"/>
            <family val="2"/>
          </rPr>
          <t xml:space="preserve">
</t>
        </r>
      </text>
    </comment>
    <comment ref="AL16" authorId="0" shapeId="0">
      <text>
        <r>
          <rPr>
            <b/>
            <sz val="8"/>
            <color indexed="81"/>
            <rFont val="Tahoma"/>
            <family val="2"/>
          </rPr>
          <t>Justering av kvävegivan per dt. Anger kurvans lutning</t>
        </r>
        <r>
          <rPr>
            <sz val="8"/>
            <color indexed="81"/>
            <rFont val="Tahoma"/>
            <family val="2"/>
          </rPr>
          <t xml:space="preserve">
</t>
        </r>
      </text>
    </comment>
    <comment ref="AX16" authorId="0" shapeId="0">
      <text>
        <r>
          <rPr>
            <b/>
            <sz val="8"/>
            <color indexed="81"/>
            <rFont val="Tahoma"/>
            <family val="2"/>
          </rPr>
          <t>Justering av kvävegivan per dt. Anger kurvans lutning</t>
        </r>
        <r>
          <rPr>
            <sz val="8"/>
            <color indexed="81"/>
            <rFont val="Tahoma"/>
            <family val="2"/>
          </rPr>
          <t xml:space="preserve">
</t>
        </r>
      </text>
    </comment>
    <comment ref="BJ16" authorId="0" shapeId="0">
      <text>
        <r>
          <rPr>
            <b/>
            <sz val="8"/>
            <color indexed="81"/>
            <rFont val="Tahoma"/>
            <family val="2"/>
          </rPr>
          <t>Justering av kvävegivan per dt. Anger kurvans lutning</t>
        </r>
        <r>
          <rPr>
            <sz val="8"/>
            <color indexed="81"/>
            <rFont val="Tahoma"/>
            <family val="2"/>
          </rPr>
          <t xml:space="preserve">
</t>
        </r>
      </text>
    </comment>
    <comment ref="BV16" authorId="0" shapeId="0">
      <text>
        <r>
          <rPr>
            <b/>
            <sz val="8"/>
            <color indexed="81"/>
            <rFont val="Tahoma"/>
            <family val="2"/>
          </rPr>
          <t>Justering av kvävegivan per dt. Anger kurvans lutning</t>
        </r>
        <r>
          <rPr>
            <sz val="8"/>
            <color indexed="81"/>
            <rFont val="Tahoma"/>
            <family val="2"/>
          </rPr>
          <t xml:space="preserve">
</t>
        </r>
      </text>
    </comment>
    <comment ref="CH16" authorId="0" shapeId="0">
      <text>
        <r>
          <rPr>
            <b/>
            <sz val="8"/>
            <color indexed="81"/>
            <rFont val="Tahoma"/>
            <family val="2"/>
          </rPr>
          <t>Justering av kvävegivan per dt. Anger kurvans lutning</t>
        </r>
        <r>
          <rPr>
            <sz val="8"/>
            <color indexed="81"/>
            <rFont val="Tahoma"/>
            <family val="2"/>
          </rPr>
          <t xml:space="preserve">
</t>
        </r>
      </text>
    </comment>
    <comment ref="CT16" authorId="0" shapeId="0">
      <text>
        <r>
          <rPr>
            <b/>
            <sz val="8"/>
            <color indexed="81"/>
            <rFont val="Tahoma"/>
            <family val="2"/>
          </rPr>
          <t>Justering av kvävegivan per dt. Anger kurvans lutning</t>
        </r>
        <r>
          <rPr>
            <sz val="8"/>
            <color indexed="81"/>
            <rFont val="Tahoma"/>
            <family val="2"/>
          </rPr>
          <t xml:space="preserve">
</t>
        </r>
      </text>
    </comment>
  </commentList>
</comments>
</file>

<file path=xl/comments21.xml><?xml version="1.0" encoding="utf-8"?>
<comments xmlns="http://schemas.openxmlformats.org/spreadsheetml/2006/main">
  <authors>
    <author>Hans Nilsson</author>
  </authors>
  <commentList>
    <comment ref="B13" authorId="0" shapeId="0">
      <text>
        <r>
          <rPr>
            <b/>
            <sz val="8"/>
            <color indexed="81"/>
            <rFont val="Tahoma"/>
            <family val="2"/>
          </rPr>
          <t>Justering av grundnivån</t>
        </r>
        <r>
          <rPr>
            <sz val="8"/>
            <color indexed="81"/>
            <rFont val="Tahoma"/>
            <family val="2"/>
          </rPr>
          <t xml:space="preserve">
</t>
        </r>
      </text>
    </comment>
    <comment ref="N13" authorId="0" shapeId="0">
      <text>
        <r>
          <rPr>
            <b/>
            <sz val="8"/>
            <color indexed="81"/>
            <rFont val="Tahoma"/>
            <family val="2"/>
          </rPr>
          <t>Justering av grundnivån</t>
        </r>
        <r>
          <rPr>
            <sz val="8"/>
            <color indexed="81"/>
            <rFont val="Tahoma"/>
            <family val="2"/>
          </rPr>
          <t xml:space="preserve">
</t>
        </r>
      </text>
    </comment>
    <comment ref="Z13" authorId="0" shapeId="0">
      <text>
        <r>
          <rPr>
            <b/>
            <sz val="8"/>
            <color indexed="81"/>
            <rFont val="Tahoma"/>
            <family val="2"/>
          </rPr>
          <t>Justering av grundnivån</t>
        </r>
        <r>
          <rPr>
            <sz val="8"/>
            <color indexed="81"/>
            <rFont val="Tahoma"/>
            <family val="2"/>
          </rPr>
          <t xml:space="preserve">
</t>
        </r>
      </text>
    </comment>
    <comment ref="AL13" authorId="0" shapeId="0">
      <text>
        <r>
          <rPr>
            <b/>
            <sz val="8"/>
            <color indexed="81"/>
            <rFont val="Tahoma"/>
            <family val="2"/>
          </rPr>
          <t>Justering av grundnivån</t>
        </r>
        <r>
          <rPr>
            <sz val="8"/>
            <color indexed="81"/>
            <rFont val="Tahoma"/>
            <family val="2"/>
          </rPr>
          <t xml:space="preserve">
</t>
        </r>
      </text>
    </comment>
    <comment ref="AX13" authorId="0" shapeId="0">
      <text>
        <r>
          <rPr>
            <b/>
            <sz val="8"/>
            <color indexed="81"/>
            <rFont val="Tahoma"/>
            <family val="2"/>
          </rPr>
          <t>Justering av grundnivån</t>
        </r>
        <r>
          <rPr>
            <sz val="8"/>
            <color indexed="81"/>
            <rFont val="Tahoma"/>
            <family val="2"/>
          </rPr>
          <t xml:space="preserve">
</t>
        </r>
      </text>
    </comment>
    <comment ref="BJ13" authorId="0" shapeId="0">
      <text>
        <r>
          <rPr>
            <b/>
            <sz val="8"/>
            <color indexed="81"/>
            <rFont val="Tahoma"/>
            <family val="2"/>
          </rPr>
          <t>Justering av grundnivån</t>
        </r>
        <r>
          <rPr>
            <sz val="8"/>
            <color indexed="81"/>
            <rFont val="Tahoma"/>
            <family val="2"/>
          </rPr>
          <t xml:space="preserve">
</t>
        </r>
      </text>
    </comment>
    <comment ref="BV13" authorId="0" shapeId="0">
      <text>
        <r>
          <rPr>
            <b/>
            <sz val="8"/>
            <color indexed="81"/>
            <rFont val="Tahoma"/>
            <family val="2"/>
          </rPr>
          <t>Justering av grundnivån</t>
        </r>
        <r>
          <rPr>
            <sz val="8"/>
            <color indexed="81"/>
            <rFont val="Tahoma"/>
            <family val="2"/>
          </rPr>
          <t xml:space="preserve">
</t>
        </r>
      </text>
    </comment>
    <comment ref="CH13" authorId="0" shapeId="0">
      <text>
        <r>
          <rPr>
            <b/>
            <sz val="8"/>
            <color indexed="81"/>
            <rFont val="Tahoma"/>
            <family val="2"/>
          </rPr>
          <t>Justering av grundnivån</t>
        </r>
        <r>
          <rPr>
            <sz val="8"/>
            <color indexed="81"/>
            <rFont val="Tahoma"/>
            <family val="2"/>
          </rPr>
          <t xml:space="preserve">
</t>
        </r>
      </text>
    </comment>
    <comment ref="CT13" authorId="0" shapeId="0">
      <text>
        <r>
          <rPr>
            <b/>
            <sz val="8"/>
            <color indexed="81"/>
            <rFont val="Tahoma"/>
            <family val="2"/>
          </rPr>
          <t>Justering av grundnivån</t>
        </r>
        <r>
          <rPr>
            <sz val="8"/>
            <color indexed="81"/>
            <rFont val="Tahoma"/>
            <family val="2"/>
          </rPr>
          <t xml:space="preserve">
</t>
        </r>
      </text>
    </comment>
    <comment ref="B16" authorId="0" shapeId="0">
      <text>
        <r>
          <rPr>
            <b/>
            <sz val="8"/>
            <color indexed="81"/>
            <rFont val="Tahoma"/>
            <family val="2"/>
          </rPr>
          <t>Justering av kvävegivan per dt. Anger kurvans lutning</t>
        </r>
        <r>
          <rPr>
            <sz val="8"/>
            <color indexed="81"/>
            <rFont val="Tahoma"/>
            <family val="2"/>
          </rPr>
          <t xml:space="preserve">
</t>
        </r>
      </text>
    </comment>
    <comment ref="N16" authorId="0" shapeId="0">
      <text>
        <r>
          <rPr>
            <b/>
            <sz val="8"/>
            <color indexed="81"/>
            <rFont val="Tahoma"/>
            <family val="2"/>
          </rPr>
          <t>Justering av kvävegivan per dt. Anger kurvans lutning</t>
        </r>
        <r>
          <rPr>
            <sz val="8"/>
            <color indexed="81"/>
            <rFont val="Tahoma"/>
            <family val="2"/>
          </rPr>
          <t xml:space="preserve">
</t>
        </r>
      </text>
    </comment>
    <comment ref="Z16" authorId="0" shapeId="0">
      <text>
        <r>
          <rPr>
            <b/>
            <sz val="8"/>
            <color indexed="81"/>
            <rFont val="Tahoma"/>
            <family val="2"/>
          </rPr>
          <t>Justering av kvävegivan per dt. Anger kurvans lutning</t>
        </r>
        <r>
          <rPr>
            <sz val="8"/>
            <color indexed="81"/>
            <rFont val="Tahoma"/>
            <family val="2"/>
          </rPr>
          <t xml:space="preserve">
</t>
        </r>
      </text>
    </comment>
    <comment ref="AL16" authorId="0" shapeId="0">
      <text>
        <r>
          <rPr>
            <b/>
            <sz val="8"/>
            <color indexed="81"/>
            <rFont val="Tahoma"/>
            <family val="2"/>
          </rPr>
          <t>Justering av kvävegivan per dt. Anger kurvans lutning</t>
        </r>
        <r>
          <rPr>
            <sz val="8"/>
            <color indexed="81"/>
            <rFont val="Tahoma"/>
            <family val="2"/>
          </rPr>
          <t xml:space="preserve">
</t>
        </r>
      </text>
    </comment>
    <comment ref="AX16" authorId="0" shapeId="0">
      <text>
        <r>
          <rPr>
            <b/>
            <sz val="8"/>
            <color indexed="81"/>
            <rFont val="Tahoma"/>
            <family val="2"/>
          </rPr>
          <t>Justering av kvävegivan per dt. Anger kurvans lutning</t>
        </r>
        <r>
          <rPr>
            <sz val="8"/>
            <color indexed="81"/>
            <rFont val="Tahoma"/>
            <family val="2"/>
          </rPr>
          <t xml:space="preserve">
</t>
        </r>
      </text>
    </comment>
    <comment ref="BJ16" authorId="0" shapeId="0">
      <text>
        <r>
          <rPr>
            <b/>
            <sz val="8"/>
            <color indexed="81"/>
            <rFont val="Tahoma"/>
            <family val="2"/>
          </rPr>
          <t>Justering av kvävegivan per dt. Anger kurvans lutning</t>
        </r>
        <r>
          <rPr>
            <sz val="8"/>
            <color indexed="81"/>
            <rFont val="Tahoma"/>
            <family val="2"/>
          </rPr>
          <t xml:space="preserve">
</t>
        </r>
      </text>
    </comment>
    <comment ref="BV16" authorId="0" shapeId="0">
      <text>
        <r>
          <rPr>
            <b/>
            <sz val="8"/>
            <color indexed="81"/>
            <rFont val="Tahoma"/>
            <family val="2"/>
          </rPr>
          <t>Justering av kvävegivan per dt. Anger kurvans lutning</t>
        </r>
        <r>
          <rPr>
            <sz val="8"/>
            <color indexed="81"/>
            <rFont val="Tahoma"/>
            <family val="2"/>
          </rPr>
          <t xml:space="preserve">
</t>
        </r>
      </text>
    </comment>
    <comment ref="CH16" authorId="0" shapeId="0">
      <text>
        <r>
          <rPr>
            <b/>
            <sz val="8"/>
            <color indexed="81"/>
            <rFont val="Tahoma"/>
            <family val="2"/>
          </rPr>
          <t>Justering av kvävegivan per dt. Anger kurvans lutning</t>
        </r>
        <r>
          <rPr>
            <sz val="8"/>
            <color indexed="81"/>
            <rFont val="Tahoma"/>
            <family val="2"/>
          </rPr>
          <t xml:space="preserve">
</t>
        </r>
      </text>
    </comment>
    <comment ref="CT16" authorId="0" shapeId="0">
      <text>
        <r>
          <rPr>
            <b/>
            <sz val="8"/>
            <color indexed="81"/>
            <rFont val="Tahoma"/>
            <family val="2"/>
          </rPr>
          <t>Justering av kvävegivan per dt. Anger kurvans lutning</t>
        </r>
        <r>
          <rPr>
            <sz val="8"/>
            <color indexed="81"/>
            <rFont val="Tahoma"/>
            <family val="2"/>
          </rPr>
          <t xml:space="preserve">
</t>
        </r>
      </text>
    </comment>
  </commentList>
</comments>
</file>

<file path=xl/comments22.xml><?xml version="1.0" encoding="utf-8"?>
<comments xmlns="http://schemas.openxmlformats.org/spreadsheetml/2006/main">
  <authors>
    <author>Hans Nilsson</author>
  </authors>
  <commentList>
    <comment ref="B14" authorId="0" shapeId="0">
      <text>
        <r>
          <rPr>
            <b/>
            <sz val="8"/>
            <color indexed="81"/>
            <rFont val="Tahoma"/>
            <family val="2"/>
          </rPr>
          <t>Justering av grundnivån</t>
        </r>
        <r>
          <rPr>
            <sz val="8"/>
            <color indexed="81"/>
            <rFont val="Tahoma"/>
            <family val="2"/>
          </rPr>
          <t xml:space="preserve">
</t>
        </r>
      </text>
    </comment>
    <comment ref="N14" authorId="0" shapeId="0">
      <text>
        <r>
          <rPr>
            <b/>
            <sz val="8"/>
            <color indexed="81"/>
            <rFont val="Tahoma"/>
            <family val="2"/>
          </rPr>
          <t>Justering av grundnivån</t>
        </r>
        <r>
          <rPr>
            <sz val="8"/>
            <color indexed="81"/>
            <rFont val="Tahoma"/>
            <family val="2"/>
          </rPr>
          <t xml:space="preserve">
</t>
        </r>
      </text>
    </comment>
  </commentList>
</comments>
</file>

<file path=xl/comments3.xml><?xml version="1.0" encoding="utf-8"?>
<comments xmlns="http://schemas.openxmlformats.org/spreadsheetml/2006/main">
  <authors>
    <author>531029-001</author>
    <author>Göte Bertilsson</author>
    <author/>
  </authors>
  <commentList>
    <comment ref="C8" authorId="0" shapeId="0">
      <text>
        <r>
          <rPr>
            <sz val="8"/>
            <color indexed="81"/>
            <rFont val="Tahoma"/>
            <family val="2"/>
          </rPr>
          <t>Förfruktseffekter från Riktlinjer för Gödsling och Kalkning. (Kursiverat är tillägg data från andra håll)
Skördeeffekten förutsätter att inga packningsskador uppstått.</t>
        </r>
      </text>
    </comment>
    <comment ref="D8" authorId="0" shapeId="0">
      <text>
        <r>
          <rPr>
            <sz val="8"/>
            <color indexed="81"/>
            <rFont val="Tahoma"/>
            <family val="2"/>
          </rPr>
          <t>Ytterligare kväveeffekt. Exempel höstvete förfrukt Foderärt. 1000 kg skördeökning kräver ytterligare 15 kg kväve. Foderärten ger bidraget 25.
Då blir det 10 över som extra plus och som minskar kvävekostnaden  (Kvävesiffror från Lindén)</t>
        </r>
      </text>
    </comment>
    <comment ref="E8" authorId="0" shapeId="0">
      <text>
        <r>
          <rPr>
            <sz val="8"/>
            <color indexed="81"/>
            <rFont val="Tahoma"/>
            <family val="2"/>
          </rPr>
          <t>Tilläggsinformation:  Börje Lindén: Efterverkan av olika förfrukter. 2008. Avd. ör Precisionsodling Rapport 14</t>
        </r>
      </text>
    </comment>
    <comment ref="F8" authorId="0" shapeId="0">
      <text>
        <r>
          <rPr>
            <sz val="8"/>
            <color indexed="81"/>
            <rFont val="Tahoma"/>
            <family val="2"/>
          </rPr>
          <t>Långsiktigare effekter som har angetts i vissa försöksrapporter.</t>
        </r>
        <r>
          <rPr>
            <sz val="8"/>
            <color indexed="81"/>
            <rFont val="Tahoma"/>
            <family val="2"/>
          </rPr>
          <t xml:space="preserve">
</t>
        </r>
      </text>
    </comment>
    <comment ref="E24" authorId="1" shapeId="0">
      <text>
        <r>
          <rPr>
            <b/>
            <sz val="8"/>
            <color indexed="81"/>
            <rFont val="Tahoma"/>
            <family val="2"/>
          </rPr>
          <t>Göte Bertilsson:</t>
        </r>
        <r>
          <rPr>
            <sz val="8"/>
            <color indexed="81"/>
            <rFont val="Tahoma"/>
            <family val="2"/>
          </rPr>
          <t xml:space="preserve">
Vårvete ligger i övre delen av intervallen.</t>
        </r>
      </text>
    </comment>
    <comment ref="D75" authorId="2" shapeId="0">
      <text>
        <r>
          <rPr>
            <b/>
            <sz val="8"/>
            <color indexed="8"/>
            <rFont val="Tahoma"/>
            <family val="2"/>
          </rPr>
          <t xml:space="preserve">HemPC:
</t>
        </r>
        <r>
          <rPr>
            <sz val="8"/>
            <color indexed="8"/>
            <rFont val="Tahoma"/>
            <family val="2"/>
          </rPr>
          <t>=våroljev.</t>
        </r>
      </text>
    </comment>
  </commentList>
</comments>
</file>

<file path=xl/comments4.xml><?xml version="1.0" encoding="utf-8"?>
<comments xmlns="http://schemas.openxmlformats.org/spreadsheetml/2006/main">
  <authors>
    <author>Hans Nilsson</author>
    <author/>
  </authors>
  <commentList>
    <comment ref="M9" authorId="0" shapeId="0">
      <text>
        <r>
          <rPr>
            <b/>
            <sz val="9"/>
            <color indexed="81"/>
            <rFont val="Tahoma"/>
            <family val="2"/>
          </rPr>
          <t>Hans Nilsson:</t>
        </r>
        <r>
          <rPr>
            <sz val="9"/>
            <color indexed="81"/>
            <rFont val="Tahoma"/>
            <family val="2"/>
          </rPr>
          <t xml:space="preserve">
T.ex transport</t>
        </r>
      </text>
    </comment>
    <comment ref="F28" authorId="1" shapeId="0">
      <text>
        <r>
          <rPr>
            <sz val="8"/>
            <color indexed="8"/>
            <rFont val="Tahoma"/>
            <family val="2"/>
            <charset val="1"/>
          </rPr>
          <t>Merkostnad pga av justerad skörd
* växtnäring (NPK) 
* torkning
* underhåll + diesel för tröskan</t>
        </r>
      </text>
    </comment>
    <comment ref="O29" authorId="0" shapeId="0">
      <text>
        <r>
          <rPr>
            <b/>
            <sz val="9"/>
            <color indexed="81"/>
            <rFont val="Tahoma"/>
            <family val="2"/>
          </rPr>
          <t>Hans Nilsson:</t>
        </r>
        <r>
          <rPr>
            <sz val="9"/>
            <color indexed="81"/>
            <rFont val="Tahoma"/>
            <family val="2"/>
          </rPr>
          <t xml:space="preserve">
T.ex transport</t>
        </r>
      </text>
    </comment>
    <comment ref="T29" authorId="1" shapeId="0">
      <text>
        <r>
          <rPr>
            <b/>
            <sz val="8"/>
            <color indexed="8"/>
            <rFont val="Tahoma"/>
            <family val="2"/>
          </rPr>
          <t xml:space="preserve">Bertilsson:
</t>
        </r>
        <r>
          <rPr>
            <sz val="8"/>
            <color indexed="8"/>
            <rFont val="Tahoma"/>
            <family val="2"/>
          </rPr>
          <t>Tröskning m förare 750-950
En vallskördekedja 1600</t>
        </r>
      </text>
    </comment>
    <comment ref="W29" authorId="1" shapeId="0">
      <text>
        <r>
          <rPr>
            <b/>
            <sz val="8"/>
            <color indexed="8"/>
            <rFont val="Tahoma"/>
            <family val="2"/>
          </rPr>
          <t xml:space="preserve">Bertilsson:
</t>
        </r>
        <r>
          <rPr>
            <sz val="8"/>
            <color indexed="8"/>
            <rFont val="Tahoma"/>
            <family val="2"/>
          </rPr>
          <t>Beakta förfruktspåverkan</t>
        </r>
      </text>
    </comment>
    <comment ref="X29" authorId="1" shapeId="0">
      <text>
        <r>
          <rPr>
            <b/>
            <sz val="8"/>
            <color indexed="8"/>
            <rFont val="Tahoma"/>
            <family val="2"/>
          </rPr>
          <t xml:space="preserve">Göte Bertilsson:
</t>
        </r>
        <r>
          <rPr>
            <sz val="8"/>
            <color indexed="8"/>
            <rFont val="Tahoma"/>
            <family val="2"/>
          </rPr>
          <t>t ex ändring i arbetskostnad etc</t>
        </r>
      </text>
    </comment>
    <comment ref="U30" authorId="1" shapeId="0">
      <text>
        <r>
          <rPr>
            <b/>
            <sz val="8"/>
            <color indexed="8"/>
            <rFont val="Tahoma"/>
            <family val="2"/>
          </rPr>
          <t xml:space="preserve">HemPC:
</t>
        </r>
        <r>
          <rPr>
            <sz val="8"/>
            <color indexed="8"/>
            <rFont val="Tahoma"/>
            <family val="2"/>
          </rPr>
          <t>T ex nedsättning av kvävegiva efter klövervall</t>
        </r>
      </text>
    </comment>
  </commentList>
</comments>
</file>

<file path=xl/comments5.xml><?xml version="1.0" encoding="utf-8"?>
<comments xmlns="http://schemas.openxmlformats.org/spreadsheetml/2006/main">
  <authors>
    <author/>
  </authors>
  <commentList>
    <comment ref="C5" authorId="0" shapeId="0">
      <text>
        <r>
          <rPr>
            <b/>
            <sz val="8"/>
            <color indexed="8"/>
            <rFont val="Tahoma"/>
            <family val="2"/>
          </rPr>
          <t xml:space="preserve">Göte Bertilsson:
</t>
        </r>
        <r>
          <rPr>
            <sz val="8"/>
            <color indexed="8"/>
            <rFont val="Tahoma"/>
            <family val="2"/>
          </rPr>
          <t>ef justeringsår i D9
Om du vill ha olika långa växtföljder, se nedan B40</t>
        </r>
      </text>
    </comment>
    <comment ref="F7" authorId="0" shapeId="0">
      <text>
        <r>
          <rPr>
            <b/>
            <sz val="8"/>
            <color indexed="8"/>
            <rFont val="Tahoma"/>
            <family val="2"/>
          </rPr>
          <t xml:space="preserve">Bertilsson:
</t>
        </r>
        <r>
          <rPr>
            <sz val="8"/>
            <color indexed="8"/>
            <rFont val="Tahoma"/>
            <family val="2"/>
          </rPr>
          <t>Skatta antingen bara skillnader mellan växtföljderna eller varje gröda</t>
        </r>
      </text>
    </comment>
    <comment ref="C9" authorId="0" shapeId="0">
      <text>
        <r>
          <rPr>
            <b/>
            <sz val="8"/>
            <color indexed="8"/>
            <rFont val="Tahoma"/>
            <family val="2"/>
          </rPr>
          <t xml:space="preserve">Göte Bertilsson:
</t>
        </r>
        <r>
          <rPr>
            <sz val="8"/>
            <color indexed="8"/>
            <rFont val="Tahoma"/>
            <family val="2"/>
          </rPr>
          <t>Ange här  bekämning i
förhållande till normaldos
för alla grödor inkl
fånggrödor. 
Om t ex en fånggröda leder till en extra glyfosatbehandling kan man sätta t ex 1,3.</t>
        </r>
      </text>
    </comment>
    <comment ref="F10" authorId="0" shapeId="0">
      <text>
        <r>
          <rPr>
            <b/>
            <sz val="8"/>
            <color indexed="8"/>
            <rFont val="Tahoma"/>
            <family val="2"/>
          </rPr>
          <t xml:space="preserve">Bertilsson:
</t>
        </r>
        <r>
          <rPr>
            <sz val="8"/>
            <color indexed="8"/>
            <rFont val="Tahoma"/>
            <family val="2"/>
          </rPr>
          <t>Plöjning, tröskning</t>
        </r>
      </text>
    </comment>
    <comment ref="G10" authorId="0" shapeId="0">
      <text>
        <r>
          <rPr>
            <b/>
            <sz val="8"/>
            <color indexed="8"/>
            <rFont val="Tahoma"/>
            <family val="2"/>
          </rPr>
          <t xml:space="preserve">Bertilsson:
</t>
        </r>
        <r>
          <rPr>
            <sz val="8"/>
            <color indexed="8"/>
            <rFont val="Tahoma"/>
            <family val="2"/>
          </rPr>
          <t>Harv, kultivator, såmaskin</t>
        </r>
      </text>
    </comment>
    <comment ref="H10" authorId="0" shapeId="0">
      <text>
        <r>
          <rPr>
            <b/>
            <sz val="8"/>
            <color indexed="8"/>
            <rFont val="Tahoma"/>
            <family val="2"/>
          </rPr>
          <t xml:space="preserve">Bertilsson:
</t>
        </r>
        <r>
          <rPr>
            <sz val="8"/>
            <color indexed="8"/>
            <rFont val="Tahoma"/>
            <family val="2"/>
          </rPr>
          <t>Lätt harvningm , vält, gödeelspridning</t>
        </r>
      </text>
    </comment>
    <comment ref="J15" authorId="0" shapeId="0">
      <text>
        <r>
          <rPr>
            <b/>
            <sz val="8"/>
            <color indexed="8"/>
            <rFont val="Tahoma"/>
            <family val="2"/>
          </rPr>
          <t xml:space="preserve">Bertilsson:
</t>
        </r>
        <r>
          <rPr>
            <sz val="8"/>
            <color indexed="8"/>
            <rFont val="Tahoma"/>
            <family val="2"/>
          </rPr>
          <t>Höstsäd och höstoljev. Räknas inte</t>
        </r>
      </text>
    </comment>
    <comment ref="F30" authorId="0" shapeId="0">
      <text>
        <r>
          <rPr>
            <b/>
            <sz val="8"/>
            <color indexed="8"/>
            <rFont val="Tahoma"/>
            <family val="2"/>
          </rPr>
          <t xml:space="preserve">Bertilsson:
</t>
        </r>
        <r>
          <rPr>
            <sz val="8"/>
            <color indexed="8"/>
            <rFont val="Tahoma"/>
            <family val="2"/>
          </rPr>
          <t>Skatta antingen bara skillnader mellan växtföljderna eller varje gröda</t>
        </r>
      </text>
    </comment>
    <comment ref="C32" authorId="0" shapeId="0">
      <text>
        <r>
          <rPr>
            <b/>
            <sz val="8"/>
            <color indexed="8"/>
            <rFont val="Tahoma"/>
            <family val="2"/>
          </rPr>
          <t xml:space="preserve">Göte Bertilsson:
</t>
        </r>
        <r>
          <rPr>
            <sz val="8"/>
            <color indexed="8"/>
            <rFont val="Tahoma"/>
            <family val="2"/>
          </rPr>
          <t>Ange här  bekämning i
förhållande till normaldos
för alla grödor inkl
fånggrödor. Om t ex en fånggröda leder till en extra glyfosatbehandling kan man t ex sätta värdet 1,3.</t>
        </r>
      </text>
    </comment>
    <comment ref="F33" authorId="0" shapeId="0">
      <text>
        <r>
          <rPr>
            <b/>
            <sz val="8"/>
            <color indexed="8"/>
            <rFont val="Tahoma"/>
            <family val="2"/>
          </rPr>
          <t xml:space="preserve">Bertilsson:
</t>
        </r>
        <r>
          <rPr>
            <sz val="8"/>
            <color indexed="8"/>
            <rFont val="Tahoma"/>
            <family val="2"/>
          </rPr>
          <t>Plöjning, tröskning</t>
        </r>
      </text>
    </comment>
    <comment ref="G33" authorId="0" shapeId="0">
      <text>
        <r>
          <rPr>
            <b/>
            <sz val="8"/>
            <color indexed="8"/>
            <rFont val="Tahoma"/>
            <family val="2"/>
          </rPr>
          <t xml:space="preserve">Bertilsson:
</t>
        </r>
        <r>
          <rPr>
            <sz val="8"/>
            <color indexed="8"/>
            <rFont val="Tahoma"/>
            <family val="2"/>
          </rPr>
          <t>Harv, kultivator, såmaskin</t>
        </r>
      </text>
    </comment>
    <comment ref="H33" authorId="0" shapeId="0">
      <text>
        <r>
          <rPr>
            <b/>
            <sz val="8"/>
            <color indexed="8"/>
            <rFont val="Tahoma"/>
            <family val="2"/>
          </rPr>
          <t xml:space="preserve">Bertilsson:
</t>
        </r>
        <r>
          <rPr>
            <sz val="8"/>
            <color indexed="8"/>
            <rFont val="Tahoma"/>
            <family val="2"/>
          </rPr>
          <t>Lätt harvningm , vält, gödeelspridning</t>
        </r>
      </text>
    </comment>
    <comment ref="C34" authorId="0" shapeId="0">
      <text>
        <r>
          <rPr>
            <b/>
            <sz val="8"/>
            <color indexed="8"/>
            <rFont val="Tahoma"/>
            <family val="2"/>
          </rPr>
          <t xml:space="preserve">Göte Bertilsson:
</t>
        </r>
        <r>
          <rPr>
            <sz val="8"/>
            <color indexed="8"/>
            <rFont val="Tahoma"/>
            <family val="2"/>
          </rPr>
          <t>Ange i denna kolumn bekämpning i förhållande 
till motsvarande grödår ialt 1</t>
        </r>
      </text>
    </comment>
    <comment ref="J39" authorId="0" shapeId="0">
      <text>
        <r>
          <rPr>
            <b/>
            <sz val="8"/>
            <color indexed="8"/>
            <rFont val="Tahoma"/>
            <family val="2"/>
          </rPr>
          <t xml:space="preserve">Bertilsson:
</t>
        </r>
        <r>
          <rPr>
            <sz val="8"/>
            <color indexed="8"/>
            <rFont val="Tahoma"/>
            <family val="2"/>
          </rPr>
          <t>Höstsäd och höstoljev. Räknas inte</t>
        </r>
      </text>
    </comment>
    <comment ref="D44" authorId="0" shapeId="0">
      <text>
        <r>
          <rPr>
            <b/>
            <sz val="8"/>
            <color indexed="8"/>
            <rFont val="Tahoma"/>
            <family val="2"/>
          </rPr>
          <t xml:space="preserve">Göte Bertilsson:
</t>
        </r>
        <r>
          <rPr>
            <sz val="8"/>
            <color indexed="8"/>
            <rFont val="Tahoma"/>
            <family val="2"/>
          </rPr>
          <t>Om man har olika långa växtföljder fungerar inte uträkningen av bekämpningsskillnad direkt.</t>
        </r>
      </text>
    </comment>
  </commentList>
</comments>
</file>

<file path=xl/comments6.xml><?xml version="1.0" encoding="utf-8"?>
<comments xmlns="http://schemas.openxmlformats.org/spreadsheetml/2006/main">
  <authors>
    <author/>
    <author>Hans Nilsson</author>
    <author>Göte Bertilsson</author>
  </authors>
  <commentList>
    <comment ref="A8" authorId="0" shapeId="0">
      <text>
        <r>
          <rPr>
            <b/>
            <sz val="8"/>
            <color indexed="8"/>
            <rFont val="Tahoma"/>
            <family val="2"/>
          </rPr>
          <t xml:space="preserve">Göte Bertilsson:
</t>
        </r>
        <r>
          <rPr>
            <sz val="8"/>
            <color indexed="8"/>
            <rFont val="Tahoma"/>
            <family val="2"/>
          </rPr>
          <t>Normalvärde här 3000 för 30 cm matjord</t>
        </r>
      </text>
    </comment>
    <comment ref="AN13" authorId="0" shapeId="0">
      <text>
        <r>
          <rPr>
            <b/>
            <sz val="8"/>
            <color indexed="8"/>
            <rFont val="Tahoma"/>
            <family val="2"/>
          </rPr>
          <t xml:space="preserve">Bertilsson:
</t>
        </r>
        <r>
          <rPr>
            <sz val="8"/>
            <color indexed="8"/>
            <rFont val="Tahoma"/>
            <family val="2"/>
          </rPr>
          <t>Efterhand sjunker kolhalten och mineraliseringen minskar. Det blir en jämvikt</t>
        </r>
      </text>
    </comment>
    <comment ref="C22" authorId="0"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T22" authorId="0" shapeId="0">
      <text>
        <r>
          <rPr>
            <b/>
            <sz val="8"/>
            <color indexed="8"/>
            <rFont val="Tahoma"/>
            <family val="2"/>
          </rPr>
          <t xml:space="preserve">Bertilsson:
</t>
        </r>
        <r>
          <rPr>
            <sz val="8"/>
            <color indexed="8"/>
            <rFont val="Tahoma"/>
            <family val="2"/>
          </rPr>
          <t>Hälften av ts är C.
30% av C blir stabil</t>
        </r>
      </text>
    </comment>
    <comment ref="C45" authorId="0" shapeId="0">
      <text>
        <r>
          <rPr>
            <b/>
            <sz val="8"/>
            <color indexed="8"/>
            <rFont val="Tahoma"/>
            <family val="2"/>
          </rPr>
          <t xml:space="preserve">Göte Bertilsson:
</t>
        </r>
        <r>
          <rPr>
            <sz val="8"/>
            <color indexed="8"/>
            <rFont val="Tahoma"/>
            <family val="2"/>
          </rPr>
          <t>Skörden får inte vara noll om året ska räknas. Är det t ex träda, skriv 1.</t>
        </r>
      </text>
    </comment>
    <comment ref="T45" authorId="0" shapeId="0">
      <text>
        <r>
          <rPr>
            <b/>
            <sz val="8"/>
            <color indexed="8"/>
            <rFont val="Tahoma"/>
            <family val="2"/>
          </rPr>
          <t xml:space="preserve">Bertilsson:
</t>
        </r>
        <r>
          <rPr>
            <sz val="8"/>
            <color indexed="8"/>
            <rFont val="Tahoma"/>
            <family val="2"/>
          </rPr>
          <t>Hälften av ts är C.
30% av C blir stabil</t>
        </r>
      </text>
    </comment>
    <comment ref="AA74" authorId="1" shapeId="0">
      <text>
        <r>
          <rPr>
            <b/>
            <sz val="9"/>
            <color indexed="81"/>
            <rFont val="Tahoma"/>
            <family val="2"/>
          </rPr>
          <t>Hans Nilsson:</t>
        </r>
        <r>
          <rPr>
            <sz val="9"/>
            <color indexed="81"/>
            <rFont val="Tahoma"/>
            <family val="2"/>
          </rPr>
          <t xml:space="preserve">
kg kol /ha skörderester</t>
        </r>
      </text>
    </comment>
    <comment ref="AB74" authorId="1" shapeId="0">
      <text>
        <r>
          <rPr>
            <b/>
            <sz val="9"/>
            <color indexed="81"/>
            <rFont val="Tahoma"/>
            <family val="2"/>
          </rPr>
          <t>Hans Nilsson:</t>
        </r>
        <r>
          <rPr>
            <sz val="9"/>
            <color indexed="81"/>
            <rFont val="Tahoma"/>
            <family val="2"/>
          </rPr>
          <t xml:space="preserve">
kg kol /ha från rötter</t>
        </r>
      </text>
    </comment>
    <comment ref="AC74" authorId="1" shapeId="0">
      <text>
        <r>
          <rPr>
            <b/>
            <sz val="9"/>
            <color indexed="81"/>
            <rFont val="Tahoma"/>
            <family val="2"/>
          </rPr>
          <t>Hans Nilsson:</t>
        </r>
        <r>
          <rPr>
            <sz val="9"/>
            <color indexed="81"/>
            <rFont val="Tahoma"/>
            <family val="2"/>
          </rPr>
          <t xml:space="preserve">
kg kol /ha från Rhizosfären</t>
        </r>
      </text>
    </comment>
    <comment ref="AA79" authorId="2" shapeId="0">
      <text>
        <r>
          <rPr>
            <b/>
            <sz val="9"/>
            <color indexed="81"/>
            <rFont val="Tahoma"/>
            <family val="2"/>
          </rPr>
          <t>Göte Bertilsson:</t>
        </r>
        <r>
          <rPr>
            <sz val="9"/>
            <color indexed="81"/>
            <rFont val="Tahoma"/>
            <family val="2"/>
          </rPr>
          <t xml:space="preserve">
Hela skörden</t>
        </r>
      </text>
    </comment>
    <comment ref="AA81" authorId="2" shapeId="0">
      <text>
        <r>
          <rPr>
            <b/>
            <sz val="9"/>
            <color indexed="81"/>
            <rFont val="Tahoma"/>
            <family val="2"/>
          </rPr>
          <t>Göte Bertilsson:</t>
        </r>
        <r>
          <rPr>
            <sz val="9"/>
            <color indexed="81"/>
            <rFont val="Tahoma"/>
            <family val="2"/>
          </rPr>
          <t xml:space="preserve">
hela skörden</t>
        </r>
      </text>
    </comment>
    <comment ref="B91" authorId="2" shapeId="0">
      <text>
        <r>
          <rPr>
            <b/>
            <sz val="9"/>
            <color indexed="81"/>
            <rFont val="Tahoma"/>
            <family val="2"/>
          </rPr>
          <t>Göte Bertilsson:</t>
        </r>
        <r>
          <rPr>
            <sz val="9"/>
            <color indexed="81"/>
            <rFont val="Tahoma"/>
            <family val="2"/>
          </rPr>
          <t xml:space="preserve">
värde om man inte skördar alls. Normalt sätter man t ex 0,1  för skörderester i kol E</t>
        </r>
      </text>
    </comment>
  </commentList>
</comments>
</file>

<file path=xl/comments7.xml><?xml version="1.0" encoding="utf-8"?>
<comments xmlns="http://schemas.openxmlformats.org/spreadsheetml/2006/main">
  <authors>
    <author>Göte Bertilsson</author>
  </authors>
  <commentList>
    <comment ref="AF28" authorId="0" shapeId="0">
      <text>
        <r>
          <rPr>
            <b/>
            <sz val="9"/>
            <color indexed="81"/>
            <rFont val="Tahoma"/>
            <family val="2"/>
          </rPr>
          <t>Göte Bertilsson:</t>
        </r>
        <r>
          <rPr>
            <sz val="9"/>
            <color indexed="81"/>
            <rFont val="Tahoma"/>
            <family val="2"/>
          </rPr>
          <t xml:space="preserve">
detta är en beräkningsruta som fordrar nollad input, resultatet skirives i AG29</t>
        </r>
      </text>
    </comment>
  </commentList>
</comments>
</file>

<file path=xl/comments8.xml><?xml version="1.0" encoding="utf-8"?>
<comments xmlns="http://schemas.openxmlformats.org/spreadsheetml/2006/main">
  <authors>
    <author>Hans Nilsson</author>
    <author>Nilsson Hans</author>
  </authors>
  <commentList>
    <comment ref="C7" authorId="0" shapeId="0">
      <text>
        <r>
          <rPr>
            <b/>
            <sz val="9"/>
            <color indexed="81"/>
            <rFont val="Tahoma"/>
            <family val="2"/>
          </rPr>
          <t>Hans Nilsson:</t>
        </r>
        <r>
          <rPr>
            <sz val="9"/>
            <color indexed="81"/>
            <rFont val="Tahoma"/>
            <family val="2"/>
          </rPr>
          <t xml:space="preserve">
Utlakning vid noterad jordart med förutsättning i öppen växtodling : tidig bearbetning, ingen fånggröda och ingen stallgödseltillförsel.
Vall: liggande vall utan stallgödseltillförsel</t>
        </r>
      </text>
    </comment>
    <comment ref="C26" authorId="0" shapeId="0">
      <text>
        <r>
          <rPr>
            <b/>
            <sz val="9"/>
            <color indexed="81"/>
            <rFont val="Tahoma"/>
            <family val="2"/>
          </rPr>
          <t>Hans Nilsson:</t>
        </r>
        <r>
          <rPr>
            <sz val="9"/>
            <color indexed="81"/>
            <rFont val="Tahoma"/>
            <family val="2"/>
          </rPr>
          <t xml:space="preserve">
Utlakning vid noterad jordart med förutsättning i öppen växtodling : tidig bearbetning, ingen fånggröda och ingen stallgödseltillförsel.
Vall: liggande vall utan stallgödseltillförsel</t>
        </r>
      </text>
    </comment>
    <comment ref="K161" authorId="1" shapeId="0">
      <text>
        <r>
          <rPr>
            <b/>
            <sz val="9"/>
            <color indexed="81"/>
            <rFont val="Tahoma"/>
            <family val="2"/>
          </rPr>
          <t>Nilsson Hans:</t>
        </r>
        <r>
          <rPr>
            <sz val="9"/>
            <color indexed="81"/>
            <rFont val="Tahoma"/>
            <family val="2"/>
          </rPr>
          <t xml:space="preserve">
Samma värde som för vårraps</t>
        </r>
      </text>
    </comment>
    <comment ref="K164" authorId="1" shapeId="0">
      <text>
        <r>
          <rPr>
            <b/>
            <sz val="9"/>
            <color indexed="81"/>
            <rFont val="Tahoma"/>
            <family val="2"/>
          </rPr>
          <t>Nilsson Hans:</t>
        </r>
        <r>
          <rPr>
            <sz val="9"/>
            <color indexed="81"/>
            <rFont val="Tahoma"/>
            <family val="2"/>
          </rPr>
          <t xml:space="preserve">
Samma som ärter enl STANK</t>
        </r>
      </text>
    </comment>
    <comment ref="M181" authorId="0" shapeId="0">
      <text>
        <r>
          <rPr>
            <b/>
            <sz val="9"/>
            <color indexed="81"/>
            <rFont val="Tahoma"/>
            <family val="2"/>
          </rPr>
          <t>Hans Nilsson:</t>
        </r>
        <r>
          <rPr>
            <sz val="9"/>
            <color indexed="81"/>
            <rFont val="Tahoma"/>
            <family val="2"/>
          </rPr>
          <t xml:space="preserve">
Hämtat via körning i STANK</t>
        </r>
      </text>
    </comment>
    <comment ref="K193" authorId="0" shapeId="0">
      <text>
        <r>
          <rPr>
            <b/>
            <sz val="9"/>
            <color indexed="81"/>
            <rFont val="Tahoma"/>
            <family val="2"/>
          </rPr>
          <t>Hans Nilsson:</t>
        </r>
        <r>
          <rPr>
            <sz val="9"/>
            <color indexed="81"/>
            <rFont val="Tahoma"/>
            <family val="2"/>
          </rPr>
          <t xml:space="preserve">
I brist på data är rötslam likställt med svinfastgödsel eftersom det liknar detta när det gäller ts-halt och kväveinnehåll</t>
        </r>
      </text>
    </comment>
  </commentList>
</comments>
</file>

<file path=xl/comments9.xml><?xml version="1.0" encoding="utf-8"?>
<comments xmlns="http://schemas.openxmlformats.org/spreadsheetml/2006/main">
  <authors>
    <author>Hans Nilsson</author>
    <author/>
    <author>Nilsson Hans</author>
    <author>Göte Bertilsson</author>
  </authors>
  <commentList>
    <comment ref="P9" authorId="0" shapeId="0">
      <text>
        <r>
          <rPr>
            <b/>
            <sz val="9"/>
            <color indexed="81"/>
            <rFont val="Tahoma"/>
            <family val="2"/>
          </rPr>
          <t>Utgår från "normalförbrukning" se Koefficienter nedan.
Justeras i Nytt läge för ändrad dieselanvändning i flikMiljösammanfattning</t>
        </r>
      </text>
    </comment>
    <comment ref="P11" authorId="0" shapeId="0">
      <text>
        <r>
          <rPr>
            <b/>
            <sz val="9"/>
            <color indexed="81"/>
            <rFont val="Tahoma"/>
            <family val="2"/>
          </rPr>
          <t>Scahblon för fasta arbeten exkl diesel enligt koefficienter nedan</t>
        </r>
        <r>
          <rPr>
            <sz val="9"/>
            <color indexed="81"/>
            <rFont val="Tahoma"/>
            <family val="2"/>
          </rPr>
          <t xml:space="preserve">
</t>
        </r>
      </text>
    </comment>
    <comment ref="P12" authorId="0" shapeId="0">
      <text>
        <r>
          <rPr>
            <b/>
            <sz val="9"/>
            <color indexed="81"/>
            <rFont val="Tahoma"/>
            <family val="2"/>
          </rPr>
          <t xml:space="preserve">Lustgas från marken pga
  Växtrester och rötter
  Mineralgödselkväve
  Stallgödselkväve
</t>
        </r>
      </text>
    </comment>
    <comment ref="D23"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V25" authorId="1" shapeId="0">
      <text>
        <r>
          <rPr>
            <b/>
            <sz val="9"/>
            <color indexed="8"/>
            <rFont val="Tahoma"/>
            <family val="2"/>
          </rPr>
          <t>NV: 0,01</t>
        </r>
      </text>
    </comment>
    <comment ref="V26" authorId="1" shapeId="0">
      <text>
        <r>
          <rPr>
            <b/>
            <sz val="9"/>
            <color indexed="8"/>
            <rFont val="Tahoma"/>
            <family val="2"/>
          </rPr>
          <t>IPCC 0,01.
SNV fram till 2007: 0,008</t>
        </r>
      </text>
    </comment>
    <comment ref="V27" authorId="1" shapeId="0">
      <text>
        <r>
          <rPr>
            <b/>
            <sz val="9"/>
            <color indexed="8"/>
            <rFont val="Tahoma"/>
            <family val="2"/>
          </rPr>
          <t>IPCC 0,01
SNV fram till 2007: 0,025</t>
        </r>
      </text>
    </comment>
    <comment ref="V28" authorId="0" shapeId="0">
      <text>
        <r>
          <rPr>
            <b/>
            <sz val="9"/>
            <color indexed="81"/>
            <rFont val="Tahoma"/>
            <family val="2"/>
          </rPr>
          <t>IPCC 0,01</t>
        </r>
      </text>
    </comment>
    <comment ref="V29" authorId="1" shapeId="0">
      <text>
        <r>
          <rPr>
            <b/>
            <sz val="9"/>
            <color indexed="8"/>
            <rFont val="Tahoma"/>
            <family val="2"/>
          </rPr>
          <t>Innefattar fosfor mm, bekämpning, maskinunderhåll samt
torkning
Undelag: Törner 1999, energibalans i Odlingssystemförsöken</t>
        </r>
      </text>
    </comment>
    <comment ref="V30" authorId="1" shapeId="0">
      <text>
        <r>
          <rPr>
            <b/>
            <sz val="9"/>
            <color indexed="8"/>
            <rFont val="Tahoma"/>
            <family val="2"/>
          </rPr>
          <t>3 kgGHG per l desel. Normalanvändning 70 l diesel/ha</t>
        </r>
      </text>
    </comment>
    <comment ref="D41"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Q52" authorId="2" shapeId="0">
      <text>
        <r>
          <rPr>
            <b/>
            <sz val="9"/>
            <color indexed="81"/>
            <rFont val="Tahoma"/>
            <family val="2"/>
          </rPr>
          <t>Nilsson Hans:</t>
        </r>
        <r>
          <rPr>
            <sz val="9"/>
            <color indexed="81"/>
            <rFont val="Tahoma"/>
            <family val="2"/>
          </rPr>
          <t xml:space="preserve">
Egen gissning
600 kg frö ca 10 % jämfört med vallskörd darav 10 ggr värdet i vallen</t>
        </r>
      </text>
    </comment>
    <comment ref="R52" authorId="2" shapeId="0">
      <text>
        <r>
          <rPr>
            <b/>
            <sz val="9"/>
            <color indexed="81"/>
            <rFont val="Tahoma"/>
            <family val="2"/>
          </rPr>
          <t>Nilsson Hans:</t>
        </r>
        <r>
          <rPr>
            <sz val="9"/>
            <color indexed="81"/>
            <rFont val="Tahoma"/>
            <family val="2"/>
          </rPr>
          <t xml:space="preserve">
Egen gissning
600 kg frö ca 10 % jämfört med vallskörd darav 10 ggr värdet i vallen</t>
        </r>
      </text>
    </comment>
    <comment ref="S108" authorId="1" shapeId="0">
      <text>
        <r>
          <rPr>
            <b/>
            <sz val="9"/>
            <color indexed="8"/>
            <rFont val="Tahoma"/>
            <family val="2"/>
          </rPr>
          <t>IPCC: 0,01</t>
        </r>
      </text>
    </comment>
    <comment ref="S109" authorId="1" shapeId="0">
      <text>
        <r>
          <rPr>
            <b/>
            <sz val="9"/>
            <color indexed="8"/>
            <rFont val="Tahoma"/>
            <family val="2"/>
          </rPr>
          <t>IPCC 0,01.
SNV fram till 2007: 0,008</t>
        </r>
      </text>
    </comment>
    <comment ref="S110" authorId="1" shapeId="0">
      <text>
        <r>
          <rPr>
            <b/>
            <sz val="9"/>
            <color indexed="8"/>
            <rFont val="Tahoma"/>
            <family val="2"/>
          </rPr>
          <t>IPCC 0,01
SNV fram till 2007: 0,025</t>
        </r>
      </text>
    </comment>
    <comment ref="S111" authorId="1" shapeId="0">
      <text>
        <r>
          <rPr>
            <b/>
            <sz val="9"/>
            <color indexed="8"/>
            <rFont val="Tahoma"/>
            <family val="2"/>
          </rPr>
          <t>Innefattar fosfor mm, bekämpning, maskinunderhåll,
torkning mm samt diesel.
Underlag: Törner 1999, energibalans i Odlingssystemförsöken</t>
        </r>
      </text>
    </comment>
    <comment ref="S112" authorId="1" shapeId="0">
      <text>
        <r>
          <rPr>
            <b/>
            <sz val="9"/>
            <color indexed="8"/>
            <rFont val="Tahoma"/>
            <family val="2"/>
          </rPr>
          <t>3 kgGHG per l desel. Normalanvändning 70 l diesel/ha</t>
        </r>
      </text>
    </comment>
    <comment ref="F116" authorId="1" shapeId="0">
      <text>
        <r>
          <rPr>
            <b/>
            <sz val="8"/>
            <color indexed="8"/>
            <rFont val="Tahoma"/>
            <family val="2"/>
          </rPr>
          <t>Men använd skördesiffror för halm och spannmål</t>
        </r>
      </text>
    </comment>
    <comment ref="O116" authorId="1" shapeId="0">
      <text>
        <r>
          <rPr>
            <b/>
            <sz val="8"/>
            <color indexed="8"/>
            <rFont val="Tahoma"/>
            <family val="2"/>
          </rPr>
          <t xml:space="preserve">Göte Bertilsson:
</t>
        </r>
        <r>
          <rPr>
            <sz val="8"/>
            <color indexed="8"/>
            <rFont val="Tahoma"/>
            <family val="2"/>
          </rPr>
          <t>Mineralgödsel</t>
        </r>
      </text>
    </comment>
    <comment ref="P116" authorId="1" shapeId="0">
      <text>
        <r>
          <rPr>
            <b/>
            <sz val="8"/>
            <color indexed="8"/>
            <rFont val="Tahoma"/>
            <family val="2"/>
          </rPr>
          <t xml:space="preserve">Göte Bertilsson:
</t>
        </r>
        <r>
          <rPr>
            <sz val="8"/>
            <color indexed="8"/>
            <rFont val="Tahoma"/>
            <family val="2"/>
          </rPr>
          <t>kg total  N per ha
Riktvärden fr SIM, kgN/ton
Nöt fast 5,6, urin 20,flyt 5
Svin fast 8, urin2 flyt 4
höns flyt 5</t>
        </r>
      </text>
    </comment>
    <comment ref="S116" authorId="1" shapeId="0">
      <text>
        <r>
          <rPr>
            <sz val="9"/>
            <color indexed="8"/>
            <rFont val="Tahoma"/>
            <family val="2"/>
          </rPr>
          <t>kg N2O-N per ha.
Här ingår:
från rester o rötter
omsättning min.göds.
Oms. stallgödsel</t>
        </r>
      </text>
    </comment>
    <comment ref="H117" authorId="1" shapeId="0">
      <text>
        <r>
          <rPr>
            <sz val="10"/>
            <rFont val="Arial"/>
            <family val="2"/>
          </rPr>
          <t>Uttryckes i andel, t ex 0,2</t>
        </r>
      </text>
    </comment>
    <comment ref="I117" authorId="1" shapeId="0">
      <text>
        <r>
          <rPr>
            <b/>
            <sz val="8"/>
            <color indexed="8"/>
            <rFont val="Tahoma"/>
            <family val="2"/>
          </rPr>
          <t xml:space="preserve">Göte Bertilsson:
</t>
        </r>
        <r>
          <rPr>
            <sz val="8"/>
            <color indexed="8"/>
            <rFont val="Tahoma"/>
            <family val="2"/>
          </rPr>
          <t xml:space="preserve">Är skörden i ton, skriv 1000.
Den här kolumnen 
överför ton till kg, t ex för sockerbetor
</t>
        </r>
      </text>
    </comment>
    <comment ref="K117" authorId="1" shapeId="0">
      <text>
        <r>
          <rPr>
            <b/>
            <sz val="9"/>
            <color indexed="8"/>
            <rFont val="Tahoma"/>
            <family val="2"/>
          </rPr>
          <t>Detta är den faktor skörden ska multipliceras med för att ge kg N i rester och rötter.
Se tabell kol U.
Vid vallträda, gröngödsling el dyl, ett exempel:
Antag klöverrik,
5 ton ts. 
Faktorn 0,024 ger 120 N. I tillägg återförs 5 ton med 2%N= 100 N
Total siffra i kol J ska då bli 220.
Faktorn i I anpassas därefter</t>
        </r>
      </text>
    </comment>
    <comment ref="AG117" authorId="1" shapeId="0">
      <text>
        <r>
          <rPr>
            <b/>
            <sz val="8"/>
            <color indexed="8"/>
            <rFont val="Tahoma"/>
            <family val="2"/>
          </rPr>
          <t>80% ts i halm antaget</t>
        </r>
      </text>
    </comment>
    <comment ref="U118" authorId="1" shapeId="0">
      <text>
        <r>
          <rPr>
            <b/>
            <sz val="8"/>
            <color indexed="8"/>
            <rFont val="Tahoma"/>
            <family val="2"/>
          </rPr>
          <t xml:space="preserve">Göte Bertilsson:
</t>
        </r>
        <r>
          <rPr>
            <sz val="8"/>
            <color indexed="8"/>
            <rFont val="Tahoma"/>
            <family val="2"/>
          </rPr>
          <t>Samma skörd med bättre teknik förutsätts.
För N dras av både tillverkning och markomsättning</t>
        </r>
      </text>
    </comment>
    <comment ref="U119" authorId="1" shapeId="0">
      <text>
        <r>
          <rPr>
            <sz val="9"/>
            <color indexed="8"/>
            <rFont val="Tahoma"/>
            <family val="2"/>
          </rPr>
          <t>Sätt 0,9 om man kan spara 10%.
Både för N och diesel</t>
        </r>
      </text>
    </comment>
    <comment ref="AC125" authorId="1" shapeId="0">
      <text>
        <r>
          <rPr>
            <sz val="10"/>
            <rFont val="Arial"/>
            <family val="2"/>
          </rPr>
          <t>55MJ/kg metan
10,6 MJ ger 0,2 kg metan, 0,15 C.
CO2 är ung hälften av metan</t>
        </r>
      </text>
    </comment>
    <comment ref="O129" authorId="1" shapeId="0">
      <text>
        <r>
          <rPr>
            <sz val="9"/>
            <color indexed="8"/>
            <rFont val="Tahoma"/>
            <family val="2"/>
          </rPr>
          <t>utlakningen tas om hand i slutskillnaden P50</t>
        </r>
      </text>
    </comment>
    <comment ref="P129" authorId="1" shapeId="0">
      <text>
        <r>
          <rPr>
            <sz val="9"/>
            <color indexed="8"/>
            <rFont val="Tahoma"/>
            <family val="2"/>
          </rPr>
          <t>utlakningen tas om hand i slutskillnaden P50</t>
        </r>
      </text>
    </comment>
    <comment ref="Q129" authorId="1" shapeId="0">
      <text>
        <r>
          <rPr>
            <sz val="9"/>
            <color indexed="8"/>
            <rFont val="Tahoma"/>
            <family val="2"/>
          </rPr>
          <t xml:space="preserve">
utlakningen tas om hand i slutskillnaden P50</t>
        </r>
      </text>
    </comment>
    <comment ref="AG129" authorId="1" shapeId="0">
      <text>
        <r>
          <rPr>
            <b/>
            <sz val="8"/>
            <color indexed="8"/>
            <rFont val="Tahoma"/>
            <family val="2"/>
          </rPr>
          <t>80%ts i halm antaget</t>
        </r>
      </text>
    </comment>
    <comment ref="O148" authorId="1" shapeId="0">
      <text>
        <r>
          <rPr>
            <sz val="9"/>
            <color indexed="8"/>
            <rFont val="Tahoma"/>
            <family val="2"/>
          </rPr>
          <t xml:space="preserve">
utlakningen tas om hand i slutskillnaden P50</t>
        </r>
      </text>
    </comment>
    <comment ref="P148" authorId="1" shapeId="0">
      <text>
        <r>
          <rPr>
            <sz val="9"/>
            <color indexed="8"/>
            <rFont val="Tahoma"/>
            <family val="2"/>
          </rPr>
          <t xml:space="preserve">
utlakningen tas om hand i slutskillnaden P50</t>
        </r>
      </text>
    </comment>
    <comment ref="Q148" authorId="1" shapeId="0">
      <text>
        <r>
          <rPr>
            <sz val="9"/>
            <color indexed="8"/>
            <rFont val="Tahoma"/>
            <family val="2"/>
          </rPr>
          <t xml:space="preserve">
utlakningen tas om hand i slutskillnaden P50</t>
        </r>
      </text>
    </comment>
    <comment ref="G154" authorId="3" shapeId="0">
      <text>
        <r>
          <rPr>
            <b/>
            <sz val="8"/>
            <color indexed="81"/>
            <rFont val="Tahoma"/>
            <family val="2"/>
          </rPr>
          <t>Göte Bertilsson:</t>
        </r>
        <r>
          <rPr>
            <sz val="8"/>
            <color indexed="81"/>
            <rFont val="Tahoma"/>
            <family val="2"/>
          </rPr>
          <t xml:space="preserve">
Läg vintern
0,5-0,7 sommaren
Rohde 2013</t>
        </r>
      </text>
    </comment>
    <comment ref="C173" authorId="1" shapeId="0">
      <text>
        <r>
          <rPr>
            <b/>
            <sz val="9"/>
            <color indexed="8"/>
            <rFont val="Tahoma"/>
            <family val="2"/>
          </rPr>
          <t>Halmens totala energiinnehåll är ca 15 MJ/kg. Avdrag görs för bärgning och transport mm och vi räknar med 10.
GHG per MJ olja
0,07 kg.
Med dessa värden sparar 1 kghalm 0,7 kg GHG .
Det förutsätts att mulleffekten beräknats separat i Mullutveckling.</t>
        </r>
      </text>
    </comment>
    <comment ref="C175" authorId="1" shapeId="0">
      <text>
        <r>
          <rPr>
            <b/>
            <sz val="9"/>
            <color indexed="8"/>
            <rFont val="Tahoma"/>
            <family val="2"/>
          </rPr>
          <t>Särskilt i samband med bioenergi räknas ibland med miljöeffekter av nyodlingsareal som behövs för att ersätta matfproduktionen. Detta kan tillämpas också i andra sammanhang som betyder produktionsförändring . Här får man en koll på sådana konsekvenser.</t>
        </r>
      </text>
    </comment>
    <comment ref="K176" authorId="1" shapeId="0">
      <text>
        <r>
          <rPr>
            <b/>
            <sz val="9"/>
            <color indexed="8"/>
            <rFont val="Tahoma"/>
            <family val="2"/>
          </rPr>
          <t xml:space="preserve">Mellan 1000 och 6000 kg C/ha.
Ett lågt värde för svensa mulljordar är 1600.(Jokerrapporten).När naturmark bryts är värdena stora (3000-6000 kgmen minskar inom loppet av några decennier,
(En rapport i Science) </t>
        </r>
      </text>
    </comment>
    <comment ref="K191" authorId="1" shapeId="0">
      <text>
        <r>
          <rPr>
            <sz val="10"/>
            <rFont val="Arial"/>
            <family val="2"/>
          </rPr>
          <t xml:space="preserve"> Energiinnehållet (55 MJ/kg) motsvarar 150 kg C i metan. Därtill finns 1/3 koldoxid. Summa 200 kg C i gaser.</t>
        </r>
      </text>
    </comment>
    <comment ref="L192" authorId="1" shapeId="0">
      <text>
        <r>
          <rPr>
            <sz val="10"/>
            <rFont val="Arial"/>
            <family val="2"/>
          </rPr>
          <t>N-förlusterna sägs vara små i produktionen</t>
        </r>
      </text>
    </comment>
  </commentList>
</comments>
</file>

<file path=xl/sharedStrings.xml><?xml version="1.0" encoding="utf-8"?>
<sst xmlns="http://schemas.openxmlformats.org/spreadsheetml/2006/main" count="5891" uniqueCount="1880">
  <si>
    <t>Index variation</t>
  </si>
  <si>
    <t>Mark som inte är höstbearbetad</t>
  </si>
  <si>
    <t>Sum körningar</t>
  </si>
  <si>
    <t>Enklast som skillnad. Kan överhoppas</t>
  </si>
  <si>
    <t>skillnad</t>
  </si>
  <si>
    <t>Fångröda</t>
  </si>
  <si>
    <t>normal =1</t>
  </si>
  <si>
    <t>Sum körn</t>
  </si>
  <si>
    <t>Skillnad</t>
  </si>
  <si>
    <t>Dos per år</t>
  </si>
  <si>
    <t>Diff</t>
  </si>
  <si>
    <t>l/ha</t>
  </si>
  <si>
    <t>Sum diesel</t>
  </si>
  <si>
    <t>vallbrott</t>
  </si>
  <si>
    <t>vårbearb</t>
  </si>
  <si>
    <t>Andel</t>
  </si>
  <si>
    <t>Vall</t>
  </si>
  <si>
    <t>Sandjord</t>
  </si>
  <si>
    <t>Lerig</t>
  </si>
  <si>
    <t>tidig</t>
  </si>
  <si>
    <t>sen</t>
  </si>
  <si>
    <t>höstbruten</t>
  </si>
  <si>
    <t>vårbruten</t>
  </si>
  <si>
    <t>fånggröda</t>
  </si>
  <si>
    <t>Styvlera</t>
  </si>
  <si>
    <t>Stubbträda</t>
  </si>
  <si>
    <t xml:space="preserve">GREENGARD  ODLINGSPERSPEKTIV.    </t>
  </si>
  <si>
    <t>Jämförelse mellan två olika alternativ på gården</t>
  </si>
  <si>
    <t>Brukare</t>
  </si>
  <si>
    <t>Mullhalt</t>
  </si>
  <si>
    <t>Mineralisering</t>
  </si>
  <si>
    <t>Presentation av två alternativ</t>
  </si>
  <si>
    <t>skörderester</t>
  </si>
  <si>
    <t>höstvila</t>
  </si>
  <si>
    <t>C-halt</t>
  </si>
  <si>
    <t>Ekonomi</t>
  </si>
  <si>
    <t>Markvila</t>
  </si>
  <si>
    <t xml:space="preserve">     Bekämpning </t>
  </si>
  <si>
    <t>Kolbalans</t>
  </si>
  <si>
    <t>skilln. kr/ha</t>
  </si>
  <si>
    <t>stråsäd</t>
  </si>
  <si>
    <t>index</t>
  </si>
  <si>
    <t>Index</t>
  </si>
  <si>
    <t>kg C/år</t>
  </si>
  <si>
    <t xml:space="preserve"> l/ha år</t>
  </si>
  <si>
    <t>kr/växtf</t>
  </si>
  <si>
    <t>dos/år</t>
  </si>
  <si>
    <t>ej</t>
  </si>
  <si>
    <t>bearbetat</t>
  </si>
  <si>
    <t>bearb/uppt</t>
  </si>
  <si>
    <t>Liggande vall</t>
  </si>
  <si>
    <t>Vallbrott höst</t>
  </si>
  <si>
    <t xml:space="preserve">             vår</t>
  </si>
  <si>
    <t>Höstsäd</t>
  </si>
  <si>
    <t>Vårsäd</t>
  </si>
  <si>
    <t>Höstoljeväxt</t>
  </si>
  <si>
    <t>Våroljeväxt</t>
  </si>
  <si>
    <t>Fodermajs</t>
  </si>
  <si>
    <t>Lerig jord</t>
  </si>
  <si>
    <t>Detta diagram visar att vid kolhalter under 2% får man inte full skörd</t>
  </si>
  <si>
    <t>utan åtgärder för mullhushållning</t>
  </si>
  <si>
    <t>Skördeförändring per 0,1% C.  (Att sätta i Skörd o Pris, ruta N18).</t>
  </si>
  <si>
    <t>Bördighetsförsök.</t>
  </si>
  <si>
    <t>Skåne</t>
  </si>
  <si>
    <t>Örja/Borgeby (1%C)</t>
  </si>
  <si>
    <t>Fjärdingslöv (1,5%C)</t>
  </si>
  <si>
    <t>Ekebo, Orup (&gt;2%C)</t>
  </si>
  <si>
    <t>Mellansverige</t>
  </si>
  <si>
    <t>Bjertorp (1,8%C)</t>
  </si>
  <si>
    <t>Vreta (1,9%C)</t>
  </si>
  <si>
    <t>Betskördar i Sv o Dk</t>
  </si>
  <si>
    <t>Skördeeffekt</t>
  </si>
  <si>
    <t>Bakgrund</t>
  </si>
  <si>
    <t>Kostnader för ett antal spannmålsgrödor</t>
  </si>
  <si>
    <t>N-giva</t>
  </si>
  <si>
    <t>Spannmålsgrödor</t>
  </si>
  <si>
    <t>% C</t>
  </si>
  <si>
    <t>Om 5 år</t>
  </si>
  <si>
    <t>Om 30 år</t>
  </si>
  <si>
    <t>Om det är bevattnade grödor, öka med 0,3 som standard.</t>
  </si>
  <si>
    <t>Se flik Info</t>
  </si>
  <si>
    <t xml:space="preserve"> Flik Info</t>
  </si>
  <si>
    <t>Mark-</t>
  </si>
  <si>
    <t>vila</t>
  </si>
  <si>
    <t>OrgC – skörd</t>
  </si>
  <si>
    <t>Annan källa</t>
  </si>
  <si>
    <t>Rådgivare</t>
  </si>
  <si>
    <t>Typ av gård</t>
  </si>
  <si>
    <t>Lantbrukare</t>
  </si>
  <si>
    <t>Användningstips:  Enkel genomgång: använd siffrorna i kol Skördeeffekt och N-effekt</t>
  </si>
  <si>
    <t>Restriktioner ur växtföljdssynpunkt</t>
  </si>
  <si>
    <t xml:space="preserve">Oljeväxter </t>
  </si>
  <si>
    <t>högst vart 4e år</t>
  </si>
  <si>
    <t>Betor</t>
  </si>
  <si>
    <t xml:space="preserve">Ärter </t>
  </si>
  <si>
    <t>högst vart 7e år</t>
  </si>
  <si>
    <t xml:space="preserve">Förfruktseffekt och bearbetning samspelar. </t>
  </si>
  <si>
    <t>Exempel från ett samlande arbete på 1990-talet (Stina Olofsson)</t>
  </si>
  <si>
    <t>Kolhalt</t>
  </si>
  <si>
    <t>Påverkan på skörden</t>
  </si>
  <si>
    <t xml:space="preserve">                             För diskussion: SE Bakgrund och Långsiktigare (och självklart kan variationen vara större). </t>
  </si>
  <si>
    <t>Gödselpriser</t>
  </si>
  <si>
    <t>Kväve</t>
  </si>
  <si>
    <t>kr/kg</t>
  </si>
  <si>
    <t>För intensivt bearbetade grödor som potatis och vissa grönsaker (ej betor) öka ytterligare med 0,2.</t>
  </si>
  <si>
    <t>Överstig inte värdet 2%!</t>
  </si>
  <si>
    <t>Utveckling av kolhalten</t>
  </si>
  <si>
    <t>Lönnstorp, Petersborg</t>
  </si>
  <si>
    <t>RESULTAT</t>
  </si>
  <si>
    <t>Mängd kol per ha</t>
  </si>
  <si>
    <t>Skillnad jämfört bas</t>
  </si>
  <si>
    <t>Förändrad skörd i %</t>
  </si>
  <si>
    <t>Gårdstyp</t>
  </si>
  <si>
    <t>Olika faktorers påverkan på mullhalten</t>
  </si>
  <si>
    <t>Grunddata</t>
  </si>
  <si>
    <r>
      <t xml:space="preserve">        .</t>
    </r>
    <r>
      <rPr>
        <sz val="12"/>
        <rFont val="Symbol"/>
        <family val="1"/>
        <charset val="2"/>
      </rPr>
      <t xml:space="preserve">ã </t>
    </r>
  </si>
  <si>
    <t>Göte Bertilsson</t>
  </si>
  <si>
    <t>Beskrivning:</t>
  </si>
  <si>
    <t>Identifikation</t>
  </si>
  <si>
    <t>Jordart</t>
  </si>
  <si>
    <t>%</t>
  </si>
  <si>
    <t>lerhalt</t>
  </si>
  <si>
    <t>Sand</t>
  </si>
  <si>
    <t>&lt; 5%</t>
  </si>
  <si>
    <t>lerig</t>
  </si>
  <si>
    <t>5-15 %</t>
  </si>
  <si>
    <t>Lättlera</t>
  </si>
  <si>
    <t>15-25 %</t>
  </si>
  <si>
    <t>Mellanlera</t>
  </si>
  <si>
    <t>25-40 %</t>
  </si>
  <si>
    <t>Styv lera</t>
  </si>
  <si>
    <t>&gt;40 %</t>
  </si>
  <si>
    <t>Mulljord</t>
  </si>
  <si>
    <t>Basläge</t>
  </si>
  <si>
    <t>Antal år:</t>
  </si>
  <si>
    <t>Resultat</t>
  </si>
  <si>
    <t>Förändring med nytt läge</t>
  </si>
  <si>
    <t>År</t>
  </si>
  <si>
    <t>Gröda</t>
  </si>
  <si>
    <t>Skörd</t>
  </si>
  <si>
    <t>Pris prod</t>
  </si>
  <si>
    <t>Värde</t>
  </si>
  <si>
    <t>kr</t>
  </si>
  <si>
    <t>kr/ha</t>
  </si>
  <si>
    <t>(nytt läge-basläge)</t>
  </si>
  <si>
    <t>5 år</t>
  </si>
  <si>
    <t>10 år</t>
  </si>
  <si>
    <t>Nytt läge</t>
  </si>
  <si>
    <t>Skördev.</t>
  </si>
  <si>
    <t>Justering</t>
  </si>
  <si>
    <t>Sum skörd</t>
  </si>
  <si>
    <t>1års-just</t>
  </si>
  <si>
    <t>kolhalt</t>
  </si>
  <si>
    <t>Summa</t>
  </si>
  <si>
    <t>Förfrukt</t>
  </si>
  <si>
    <t>Höstvete</t>
  </si>
  <si>
    <t>Kväveeffekter av fånggrödor och gröngödslingsvallar</t>
  </si>
  <si>
    <t>(Riktlinjer för gödsling och kalkning)</t>
  </si>
  <si>
    <t>300-500</t>
  </si>
  <si>
    <t>Fånggrödor</t>
  </si>
  <si>
    <t xml:space="preserve">kg N vid </t>
  </si>
  <si>
    <t>höstplöjn</t>
  </si>
  <si>
    <t>vårplöjn</t>
  </si>
  <si>
    <t>rajgräs</t>
  </si>
  <si>
    <t>rajgr-klöver</t>
  </si>
  <si>
    <t>klöver</t>
  </si>
  <si>
    <t>Gröngödsling</t>
  </si>
  <si>
    <t>gräs</t>
  </si>
  <si>
    <t>500-1000</t>
  </si>
  <si>
    <t>Havre</t>
  </si>
  <si>
    <t>Ärter</t>
  </si>
  <si>
    <t>Sockerbetor</t>
  </si>
  <si>
    <t>Inmatning av ändrade kostnader</t>
  </si>
  <si>
    <t>Fånggr</t>
  </si>
  <si>
    <t>värde</t>
  </si>
  <si>
    <t>Summa växtföljd</t>
  </si>
  <si>
    <t>Utsäde</t>
  </si>
  <si>
    <t>Bearb.</t>
  </si>
  <si>
    <t>Lejt</t>
  </si>
  <si>
    <t>N förfr</t>
  </si>
  <si>
    <t>Ändrad</t>
  </si>
  <si>
    <t>Övrigt</t>
  </si>
  <si>
    <t>Körning</t>
  </si>
  <si>
    <t>påverkan</t>
  </si>
  <si>
    <t>gödsling</t>
  </si>
  <si>
    <t>bekämp</t>
  </si>
  <si>
    <t>arbete</t>
  </si>
  <si>
    <t>Ändrat värde</t>
  </si>
  <si>
    <t>Riktvärden ur bidragskalkyler</t>
  </si>
  <si>
    <t>Växtnäring</t>
  </si>
  <si>
    <t>Växtskydd</t>
  </si>
  <si>
    <t>Drivmedel</t>
  </si>
  <si>
    <t>kostn.</t>
  </si>
  <si>
    <t>Sum kostn</t>
  </si>
  <si>
    <t>Kr/kg</t>
  </si>
  <si>
    <t>Höstvete bröd</t>
  </si>
  <si>
    <t>Höstvete, foder</t>
  </si>
  <si>
    <t xml:space="preserve">Netto </t>
  </si>
  <si>
    <t>justering</t>
  </si>
  <si>
    <t>Maltkorn</t>
  </si>
  <si>
    <t>Vårvete</t>
  </si>
  <si>
    <t>Vårraps</t>
  </si>
  <si>
    <t>Foderärt</t>
  </si>
  <si>
    <t>Matpotatis</t>
  </si>
  <si>
    <t>Konservärter</t>
  </si>
  <si>
    <t>Grönträda vall, putsning</t>
  </si>
  <si>
    <t>Gröngödsling senap</t>
  </si>
  <si>
    <t>Fånggröda rajgräs</t>
  </si>
  <si>
    <t>Fånggröda rättika/senap etc</t>
  </si>
  <si>
    <t>Inkl förare och omkostnader</t>
  </si>
  <si>
    <t>Från Exarbeten SLU Alnarp 2005</t>
  </si>
  <si>
    <t>Plöjning</t>
  </si>
  <si>
    <t>700-1200</t>
  </si>
  <si>
    <t>30-38 l diesel vid plöjning, 2,5 tim/ha</t>
  </si>
  <si>
    <t>Sttubbearbetning</t>
  </si>
  <si>
    <t>210-270</t>
  </si>
  <si>
    <t>20-22 vid plogfritt, 1 tim/ha</t>
  </si>
  <si>
    <t>Harvning</t>
  </si>
  <si>
    <t>126-200</t>
  </si>
  <si>
    <t>Konstgödselspridning</t>
  </si>
  <si>
    <t>72-146</t>
  </si>
  <si>
    <t>Sprutning</t>
  </si>
  <si>
    <t>107-151</t>
  </si>
  <si>
    <t>Grund plöj</t>
  </si>
  <si>
    <t>Slåtterkrossning</t>
  </si>
  <si>
    <t>282-467</t>
  </si>
  <si>
    <t>Kultivator</t>
  </si>
  <si>
    <t>Hövändning</t>
  </si>
  <si>
    <t>Tallriks</t>
  </si>
  <si>
    <t>Pressning</t>
  </si>
  <si>
    <t>563-676</t>
  </si>
  <si>
    <t>Harv</t>
  </si>
  <si>
    <t>Pressplastare</t>
  </si>
  <si>
    <t>762-914</t>
  </si>
  <si>
    <t>Tröskning</t>
  </si>
  <si>
    <t>740-940</t>
  </si>
  <si>
    <t>Carrier</t>
  </si>
  <si>
    <t>Uppdelade kostnader, (Bas HIR)</t>
  </si>
  <si>
    <t>Diesel kr/l</t>
  </si>
  <si>
    <t>Korrigerade för dieselpris 2008-10-04 Göte B</t>
  </si>
  <si>
    <t>kr/tim tot</t>
  </si>
  <si>
    <t>Ha/tim</t>
  </si>
  <si>
    <t>diesel/ha</t>
  </si>
  <si>
    <t>tim/ha</t>
  </si>
  <si>
    <t>kr/ha tot</t>
  </si>
  <si>
    <t>Kr/ha</t>
  </si>
  <si>
    <t>Kr/ha -för</t>
  </si>
  <si>
    <t>Underh</t>
  </si>
  <si>
    <t>Underh+</t>
  </si>
  <si>
    <t>-förare</t>
  </si>
  <si>
    <t>-diesel</t>
  </si>
  <si>
    <t>diesel</t>
  </si>
  <si>
    <t>Jordbearbetning</t>
  </si>
  <si>
    <t>(190kr/t</t>
  </si>
  <si>
    <t>Sådd</t>
  </si>
  <si>
    <t>Vältn</t>
  </si>
  <si>
    <t>sum jordbearb för sådd</t>
  </si>
  <si>
    <t>Gödsling</t>
  </si>
  <si>
    <t>totalt</t>
  </si>
  <si>
    <t>ej tröskn</t>
  </si>
  <si>
    <t>tröskn</t>
  </si>
  <si>
    <t>1 kultiv</t>
  </si>
  <si>
    <t>2 kultiv</t>
  </si>
  <si>
    <t>Diesel</t>
  </si>
  <si>
    <t>underh</t>
  </si>
  <si>
    <t>torkn</t>
  </si>
  <si>
    <t>Arb.tim</t>
  </si>
  <si>
    <t>Cpersp,  beräkningsprogram kol i marken</t>
  </si>
  <si>
    <t xml:space="preserve">            ã</t>
  </si>
  <si>
    <t>Exempel på mineralisering i försök</t>
  </si>
  <si>
    <t>Förändrad kolmängd</t>
  </si>
  <si>
    <t xml:space="preserve">C-halt </t>
  </si>
  <si>
    <t>Mull (%)</t>
  </si>
  <si>
    <t>C (%)</t>
  </si>
  <si>
    <t>1,0-1,2</t>
  </si>
  <si>
    <t>Orup,Ekebo,Bollerup,Lanna, Ultuna ram</t>
  </si>
  <si>
    <t>i växtföljden</t>
  </si>
  <si>
    <t>per år</t>
  </si>
  <si>
    <t>vid jämvikt</t>
  </si>
  <si>
    <t>Jordart mm:</t>
  </si>
  <si>
    <t xml:space="preserve">mullfattig  </t>
  </si>
  <si>
    <t>under 2</t>
  </si>
  <si>
    <t>1,21-1,4</t>
  </si>
  <si>
    <t>S Uggl, Högåsa,Vreta, Kungsäng,Borgeb,Hvi</t>
  </si>
  <si>
    <t>ton jord/ha:</t>
  </si>
  <si>
    <t>%C:</t>
  </si>
  <si>
    <t>%min./år:</t>
  </si>
  <si>
    <t>något mullhaltig</t>
  </si>
  <si>
    <t xml:space="preserve"> 2-3</t>
  </si>
  <si>
    <t>1,41-1,6</t>
  </si>
  <si>
    <t>Fjärdingsl,Bjertorp,Säby,  Askov</t>
  </si>
  <si>
    <t xml:space="preserve">måttligt mullhaltig </t>
  </si>
  <si>
    <t xml:space="preserve"> 3-6</t>
  </si>
  <si>
    <t>1,61-1,8</t>
  </si>
  <si>
    <t>Örja, Önnestad</t>
  </si>
  <si>
    <t xml:space="preserve">mullrik </t>
  </si>
  <si>
    <t xml:space="preserve"> 6-12</t>
  </si>
  <si>
    <t>1,8-2</t>
  </si>
  <si>
    <t>Höstbearbetning till 25 cm</t>
  </si>
  <si>
    <t>ger årlig C-förlust</t>
  </si>
  <si>
    <t>Kg C/ha</t>
  </si>
  <si>
    <t>Antal år</t>
  </si>
  <si>
    <t>Tillskott fånggr., insådd etc.</t>
  </si>
  <si>
    <t>Tillskott via stallgödsel</t>
  </si>
  <si>
    <t>Summering</t>
  </si>
  <si>
    <t>Tillskott</t>
  </si>
  <si>
    <t>Brutto</t>
  </si>
  <si>
    <t>Netto</t>
  </si>
  <si>
    <t>Massa</t>
  </si>
  <si>
    <t>Typ</t>
  </si>
  <si>
    <t>Mineral.</t>
  </si>
  <si>
    <t>Giva</t>
  </si>
  <si>
    <t>Torr</t>
  </si>
  <si>
    <t>Förväntad C-halt</t>
  </si>
  <si>
    <t>mån</t>
  </si>
  <si>
    <t>substans</t>
  </si>
  <si>
    <t>i marken</t>
  </si>
  <si>
    <t>kg/ha</t>
  </si>
  <si>
    <t>kg C/ha</t>
  </si>
  <si>
    <t>kg ts/ha</t>
  </si>
  <si>
    <t>ton/ha</t>
  </si>
  <si>
    <t>% ts</t>
  </si>
  <si>
    <t>Jämviktsvärde:</t>
  </si>
  <si>
    <t>Om 10 år</t>
  </si>
  <si>
    <t>Om 50 år</t>
  </si>
  <si>
    <t>Vila i växtföljden</t>
  </si>
  <si>
    <t>per år i snitt</t>
  </si>
  <si>
    <t xml:space="preserve"> </t>
  </si>
  <si>
    <t>SAMMANFATTANDE OM MULLHALT OCH SKÖRDEUTVECKLING</t>
  </si>
  <si>
    <t>2007-07-15 Göte Bertilsson</t>
  </si>
  <si>
    <t>Referenser:</t>
  </si>
  <si>
    <t>Mattsson, Lennart.  Databasen för försök på Inst för Markvetenskap, SLU. www.mv.slu.se/vaxtnaring/forsok/index.htm</t>
  </si>
  <si>
    <t>Försöksprojektet Miljövänliga och uthålliga odlingsformer. Hushållningssällskapet i Kristianstad.  Rapport under arbete.</t>
  </si>
  <si>
    <t>A E Johnston och P R Poulton 2005. Soil organic matter: its importance in sustainable agricultural systems. The International Fertiliser Society, Proceedings 565.</t>
  </si>
  <si>
    <t>Nelly Blair, R D Faulkner, A R Till and P R Poulton. 2006. Longterm management impacts on soil C, N and physical fertility.  I. Broadbalk Experiment. Soil and Tillage Research, in press.</t>
  </si>
  <si>
    <t>Capriel, Peter. Humusversorgung der Böden.  Lfl, Inst für Agrarökologie, Freising.     Från Internet</t>
  </si>
  <si>
    <t>Spannmål</t>
  </si>
  <si>
    <t>Potatis</t>
  </si>
  <si>
    <t>stallgödsel</t>
  </si>
  <si>
    <t xml:space="preserve"> Bekämpning</t>
  </si>
  <si>
    <t>Mångfaldsindex</t>
  </si>
  <si>
    <t>Dos jmf</t>
  </si>
  <si>
    <t>Antal körningar, skattat</t>
  </si>
  <si>
    <t>Antal grödor</t>
  </si>
  <si>
    <t>normal=1</t>
  </si>
  <si>
    <t>Tunga</t>
  </si>
  <si>
    <t>Medel</t>
  </si>
  <si>
    <t>Lätta</t>
  </si>
  <si>
    <t>År stråsäd</t>
  </si>
  <si>
    <t>Stråsädes%</t>
  </si>
  <si>
    <t>Godsl.o Kalkn</t>
  </si>
  <si>
    <t>N-effekt</t>
  </si>
  <si>
    <t>Vete, korn</t>
  </si>
  <si>
    <t>Höstraps</t>
  </si>
  <si>
    <t>1000-1200</t>
  </si>
  <si>
    <t>Våroljev</t>
  </si>
  <si>
    <t>700-1000</t>
  </si>
  <si>
    <t>Åkerböna</t>
  </si>
  <si>
    <t>900-1000</t>
  </si>
  <si>
    <t>Blandvall</t>
  </si>
  <si>
    <t>Gräsvall</t>
  </si>
  <si>
    <t>Klövervall</t>
  </si>
  <si>
    <t>Höstvete monokultur</t>
  </si>
  <si>
    <t>-10-20%</t>
  </si>
  <si>
    <t>0-400</t>
  </si>
  <si>
    <t>500-700</t>
  </si>
  <si>
    <t>500-950</t>
  </si>
  <si>
    <t>600-1000</t>
  </si>
  <si>
    <t>0-300</t>
  </si>
  <si>
    <t>400-650</t>
  </si>
  <si>
    <t xml:space="preserve">Klöver </t>
  </si>
  <si>
    <t xml:space="preserve">3,5 ton </t>
  </si>
  <si>
    <t>korn+fg klöv.</t>
  </si>
  <si>
    <t xml:space="preserve">2 ton </t>
  </si>
  <si>
    <t xml:space="preserve">VÄXTFÖLJDS- OCH FÖRFRUKTSEFFEKTER  </t>
  </si>
  <si>
    <t>B Lindén</t>
  </si>
  <si>
    <t>Långsiktigare</t>
  </si>
  <si>
    <t>Konservärt</t>
  </si>
  <si>
    <t>Majs</t>
  </si>
  <si>
    <t>Jämfört med förfrukt korn-vete.</t>
  </si>
  <si>
    <t>500-800</t>
  </si>
  <si>
    <t>2-4 års</t>
  </si>
  <si>
    <t xml:space="preserve">Höstraps </t>
  </si>
  <si>
    <t>Erfarenheterna stämmer väl med senare försök.</t>
  </si>
  <si>
    <t>Förfruktsverkan till höstvete vid olika bearbetning</t>
  </si>
  <si>
    <t>Kultivering</t>
  </si>
  <si>
    <t>Dir. sådd</t>
  </si>
  <si>
    <t>10 cm</t>
  </si>
  <si>
    <t>halm bort</t>
  </si>
  <si>
    <t>halm kvar</t>
  </si>
  <si>
    <t>Vete</t>
  </si>
  <si>
    <t>Korn</t>
  </si>
  <si>
    <t>Raps</t>
  </si>
  <si>
    <t>Börja med normalvärde 1,3 för Östsverige eller torrare lokaler, 1,5 för Syd och Väst.</t>
  </si>
  <si>
    <t>Om det är läge för diskussion, kör varianter med plus minus 0,2-0,3.</t>
  </si>
  <si>
    <t>Om mineralisering</t>
  </si>
  <si>
    <t>BERÄKNINGSUNDERLAG</t>
  </si>
  <si>
    <t xml:space="preserve">KR/KG </t>
  </si>
  <si>
    <t>SORT</t>
  </si>
  <si>
    <t>GÖDSEL:</t>
  </si>
  <si>
    <t>KR/KG</t>
  </si>
  <si>
    <t>VÄXTSKYDD:</t>
  </si>
  <si>
    <t>KR/KG el L el G</t>
  </si>
  <si>
    <t xml:space="preserve">UTSÄDE:    </t>
  </si>
  <si>
    <t>HÖSTVETE, kvarn</t>
  </si>
  <si>
    <t xml:space="preserve">Kväve </t>
  </si>
  <si>
    <t>Ariane S</t>
  </si>
  <si>
    <t>Fosfor</t>
  </si>
  <si>
    <t>HÖSTVETE, foder</t>
  </si>
  <si>
    <t>Kalium</t>
  </si>
  <si>
    <t>Biowet</t>
  </si>
  <si>
    <t>RÅG</t>
  </si>
  <si>
    <t>Svavel</t>
  </si>
  <si>
    <t>HYBRIDRÅG</t>
  </si>
  <si>
    <t>Comet</t>
  </si>
  <si>
    <t>HÖSTKORN</t>
  </si>
  <si>
    <t>RÅGVETE</t>
  </si>
  <si>
    <t>Flexity</t>
  </si>
  <si>
    <t>VÅRKORN, foder</t>
  </si>
  <si>
    <t>VÅRKORN, malt</t>
  </si>
  <si>
    <t>Mavrik 2F</t>
  </si>
  <si>
    <t>VÅRVETE</t>
  </si>
  <si>
    <t>HAVRE</t>
  </si>
  <si>
    <t>Proline</t>
  </si>
  <si>
    <t>Starane XL</t>
  </si>
  <si>
    <t>Arbete:</t>
  </si>
  <si>
    <t>RÄNTA</t>
  </si>
  <si>
    <t>h-åtgärd</t>
  </si>
  <si>
    <t>RÖR.KAP</t>
  </si>
  <si>
    <t>v-åtgärd</t>
  </si>
  <si>
    <t>&lt;15% ler</t>
  </si>
  <si>
    <t>LL</t>
  </si>
  <si>
    <t>ML</t>
  </si>
  <si>
    <t>SL</t>
  </si>
  <si>
    <t xml:space="preserve"> LL</t>
  </si>
  <si>
    <t xml:space="preserve"> ML</t>
  </si>
  <si>
    <t xml:space="preserve"> SL</t>
  </si>
  <si>
    <t>HÖSTVETE</t>
  </si>
  <si>
    <t>VÅRKORN</t>
  </si>
  <si>
    <t>kvarn 12,5%</t>
  </si>
  <si>
    <t>foder 10%</t>
  </si>
  <si>
    <t>hybrid</t>
  </si>
  <si>
    <t>foder</t>
  </si>
  <si>
    <t>malt</t>
  </si>
  <si>
    <t>kvarn 13,5%</t>
  </si>
  <si>
    <t>kg / ha</t>
  </si>
  <si>
    <t>kr / kg</t>
  </si>
  <si>
    <t>TB 2</t>
  </si>
  <si>
    <t>kr / ha</t>
  </si>
  <si>
    <t>kväve</t>
  </si>
  <si>
    <t xml:space="preserve">HÖSTVETE </t>
  </si>
  <si>
    <t>KVARN</t>
  </si>
  <si>
    <t>FODER</t>
  </si>
  <si>
    <t>Hybrid</t>
  </si>
  <si>
    <t>MALT</t>
  </si>
  <si>
    <t>KG / HA</t>
  </si>
  <si>
    <t>KR / KG</t>
  </si>
  <si>
    <t>KR/HA</t>
  </si>
  <si>
    <t>SKÖRD</t>
  </si>
  <si>
    <t xml:space="preserve">INTÄKT                </t>
  </si>
  <si>
    <t>ÅTGÄRD</t>
  </si>
  <si>
    <t>PER HA</t>
  </si>
  <si>
    <t>UTSÄDE</t>
  </si>
  <si>
    <t>N</t>
  </si>
  <si>
    <t>P</t>
  </si>
  <si>
    <t>K</t>
  </si>
  <si>
    <t>S</t>
  </si>
  <si>
    <t>OGRÄS</t>
  </si>
  <si>
    <t>SVAMP</t>
  </si>
  <si>
    <t>INSEKT</t>
  </si>
  <si>
    <t>INSEKTER</t>
  </si>
  <si>
    <t>KOSTNAD 1</t>
  </si>
  <si>
    <t>på rörelsekapital</t>
  </si>
  <si>
    <t>TORKN.</t>
  </si>
  <si>
    <t>TRÖSKA</t>
  </si>
  <si>
    <t>UH+diesel</t>
  </si>
  <si>
    <t>ARBETE</t>
  </si>
  <si>
    <t>KOSTNAD 2</t>
  </si>
  <si>
    <t>TB 1</t>
  </si>
  <si>
    <t>Råg, hybrid</t>
  </si>
  <si>
    <t>Rågvete</t>
  </si>
  <si>
    <t>Höstkorn</t>
  </si>
  <si>
    <t>Vårkorn, foder</t>
  </si>
  <si>
    <t>KOSTNAD</t>
  </si>
  <si>
    <t>Svinflyt</t>
  </si>
  <si>
    <t>Nötflyt</t>
  </si>
  <si>
    <t>Kycklinggödsel</t>
  </si>
  <si>
    <t>NH4-N</t>
  </si>
  <si>
    <t>Vårbruk</t>
  </si>
  <si>
    <t>Svinfast</t>
  </si>
  <si>
    <t>Svinurin</t>
  </si>
  <si>
    <t>Nötfast</t>
  </si>
  <si>
    <t>Nötdjupströ</t>
  </si>
  <si>
    <t>Svindjupströ</t>
  </si>
  <si>
    <t>ts-halt</t>
  </si>
  <si>
    <t>Sa</t>
  </si>
  <si>
    <t>tillskott</t>
  </si>
  <si>
    <t>tid höst</t>
  </si>
  <si>
    <t>Tidig</t>
  </si>
  <si>
    <t>vår</t>
  </si>
  <si>
    <t>Om plöjning utbytes mot kultivering</t>
  </si>
  <si>
    <t>Om korn utbytes mot gröngödslingsvall :</t>
  </si>
  <si>
    <t>mullhalt</t>
  </si>
  <si>
    <t>Kostn.  för</t>
  </si>
  <si>
    <t>Om bioenergi.</t>
  </si>
  <si>
    <t>Halm kan ge bioenergi, vilket sparar fossila bränslen och växthusgaser</t>
  </si>
  <si>
    <t>Men halm som ger humus i marken binder också kol och minskar växthusgaser</t>
  </si>
  <si>
    <t>I mullberäkningssystemet här används sambandet: 100 kg kol i växtmaterial ger 20 kg humuskol</t>
  </si>
  <si>
    <t>100 kg halm innehåller 40 kg kol. Återgång till marken ger 8 kg humuskol,  sparar 29 kg GHG.</t>
  </si>
  <si>
    <t xml:space="preserve">Bränning av 10,6 kg olja ger också 29 kg GHG. </t>
  </si>
  <si>
    <t>För att spara det får vi bränna 39 kg halm</t>
  </si>
  <si>
    <t>Användning av 100 kg halm som bränsle sparar 70 kg bränsle-GHG men kostar 29 Mull-GHG</t>
  </si>
  <si>
    <t>Netto inkl mulleffekt sparas 41 GHG per 100 kg halm som används som bränsle.</t>
  </si>
  <si>
    <t>Bioenergisummering,  MJ per ha och år</t>
  </si>
  <si>
    <t>Fr biomassa</t>
  </si>
  <si>
    <t>Produktiion av halm som biobränsle</t>
  </si>
  <si>
    <t>Fr biogas</t>
  </si>
  <si>
    <t>Halmens klimatgaseffekt om den ersätter olja</t>
  </si>
  <si>
    <t>GHG-komp bioenergi (jfrt olja)</t>
  </si>
  <si>
    <t>Summering efter halmenergi</t>
  </si>
  <si>
    <t>Klimatgaser efter bioenergikomp.</t>
  </si>
  <si>
    <t>Kompensationsproduktion</t>
  </si>
  <si>
    <t xml:space="preserve">Ersättningsproduktion: Minskad i Nyll läge ska ersättas av nyodling.  Utsläpp där de första 30 åren, kg C/ha*år  </t>
  </si>
  <si>
    <t>Sum bioen.MJ</t>
  </si>
  <si>
    <t>för att spara det får vi bränna 39 kg halm</t>
  </si>
  <si>
    <t>Skörd kg/ha</t>
  </si>
  <si>
    <t xml:space="preserve">          kwh:</t>
  </si>
  <si>
    <t>Markutsläpp för kompensationsproduktion</t>
  </si>
  <si>
    <t>Värde bioenergi, kr/ha och år</t>
  </si>
  <si>
    <t>för att alt 2 ska ge mat/foder som Basläge</t>
  </si>
  <si>
    <t>Kr)kwh</t>
  </si>
  <si>
    <t>Om Biogas</t>
  </si>
  <si>
    <t>För allmän information</t>
  </si>
  <si>
    <t xml:space="preserve">Egna sammanfattningar grundade på arbeten av Pål Börjesson och Maria Berglund (LTH Rapporter 44.45,54) </t>
  </si>
  <si>
    <t>Grönmassa per ton ts</t>
  </si>
  <si>
    <t>Halm per ton ts</t>
  </si>
  <si>
    <t>Energi GJ</t>
  </si>
  <si>
    <t>Kol, kg</t>
  </si>
  <si>
    <t>N, kg</t>
  </si>
  <si>
    <t>Innehåll</t>
  </si>
  <si>
    <t>r</t>
  </si>
  <si>
    <t>Insats i jordbruksproduktionen</t>
  </si>
  <si>
    <t>to</t>
  </si>
  <si>
    <t>Transport till anläggning, 15 km</t>
  </si>
  <si>
    <t>Insats vid tillverkningen</t>
  </si>
  <si>
    <t>Biogasutbyte</t>
  </si>
  <si>
    <t>Rötrest, ca 10 ton med 7% ts</t>
  </si>
  <si>
    <t>Transpot rötrest 15 km</t>
  </si>
  <si>
    <r>
      <t>Nettoutbyte energ</t>
    </r>
    <r>
      <rPr>
        <b/>
        <sz val="10"/>
        <rFont val="Arial"/>
        <family val="2"/>
      </rPr>
      <t>i, insatsen i jordbruket oräknad</t>
    </r>
  </si>
  <si>
    <t>Kol resp kväve som återcirkulerar</t>
  </si>
  <si>
    <t>250 (55%)</t>
  </si>
  <si>
    <t>Effektivt kväve efter förluster vid transport och spridning</t>
  </si>
  <si>
    <t>70-80%</t>
  </si>
  <si>
    <t>Om vi har 1 ton biomassa ts;</t>
  </si>
  <si>
    <t>Bränning ger 18 GJ i princip, men effektivt i verk kanske 12.</t>
  </si>
  <si>
    <t>Biogas ger 7 GJ netto (orenad).</t>
  </si>
  <si>
    <t>60-70% av energin vid bränning.  55% av kolet kan återgå till marken och ge en mulleffekt motsvarande 80% av nedbrukad biomassa</t>
  </si>
  <si>
    <t>Om det gäller halm:</t>
  </si>
  <si>
    <t>Knappt 40% av förbränningsenergin kan fångas som biogas. 70% av kolet återgå och ger en humuseffekt lika stor som nedplöjning av ett ton halm.</t>
  </si>
  <si>
    <t>Kg Ts  till</t>
  </si>
  <si>
    <t>Rester o rötter</t>
  </si>
  <si>
    <t>Stallg.</t>
  </si>
  <si>
    <t>N  kg/ha</t>
  </si>
  <si>
    <t>Reserv</t>
  </si>
  <si>
    <t>N2O-N</t>
  </si>
  <si>
    <t>bioenergi</t>
  </si>
  <si>
    <t>Ts-halt</t>
  </si>
  <si>
    <t>ev faktor kg</t>
  </si>
  <si>
    <t>ts kg</t>
  </si>
  <si>
    <t>N-faktor</t>
  </si>
  <si>
    <t>N i rester</t>
  </si>
  <si>
    <t>*GHG/ha</t>
  </si>
  <si>
    <t>o rötter</t>
  </si>
  <si>
    <t>diff fr grund</t>
  </si>
  <si>
    <t>Förbättringsmöjligheter</t>
  </si>
  <si>
    <t>Effektivare N</t>
  </si>
  <si>
    <t>Spara diesel</t>
  </si>
  <si>
    <t>kolbalans</t>
  </si>
  <si>
    <t>Sum ts till bioenergi</t>
  </si>
  <si>
    <t>Sum ts</t>
  </si>
  <si>
    <t>Summor:</t>
  </si>
  <si>
    <t>kg  C/år</t>
  </si>
  <si>
    <t>Biogas lägges i alt 2.</t>
  </si>
  <si>
    <t>Sum/år</t>
  </si>
  <si>
    <t>Växthusgas från olika komponenter, kg koldioxidekv/ha och år:</t>
  </si>
  <si>
    <t>:</t>
  </si>
  <si>
    <t>Pris N och diesel</t>
  </si>
  <si>
    <t>Kostnadsber. N</t>
  </si>
  <si>
    <t>Kostnadsber diesel</t>
  </si>
  <si>
    <t>Klimat.AE20</t>
  </si>
  <si>
    <t>Därav grönmassa t. Biogas</t>
  </si>
  <si>
    <t>Hlam till biogas</t>
  </si>
  <si>
    <t>Justering för biogasproduktion</t>
  </si>
  <si>
    <t>N-förlust bioslam,       %:</t>
  </si>
  <si>
    <t>Övr klimatgasjuserirngar</t>
  </si>
  <si>
    <t>N-giva medel</t>
  </si>
  <si>
    <t>Metanavgång sommarlagr:</t>
  </si>
  <si>
    <t>Indir frå ammoniak</t>
  </si>
  <si>
    <t>Metanförlsut tillvekning</t>
  </si>
  <si>
    <t>kg/m3</t>
  </si>
  <si>
    <t>GHG kg</t>
  </si>
  <si>
    <t xml:space="preserve">, </t>
  </si>
  <si>
    <t>Koefficienter</t>
  </si>
  <si>
    <t>Translpört</t>
  </si>
  <si>
    <t>Rötter o rester</t>
  </si>
  <si>
    <t>kwh/tonkm</t>
  </si>
  <si>
    <t>Mineralgödsel mark</t>
  </si>
  <si>
    <t>motsv GHG</t>
  </si>
  <si>
    <t>Stallgödsel mark</t>
  </si>
  <si>
    <t>mots MJ</t>
  </si>
  <si>
    <t>Schablon fasta arbeten</t>
  </si>
  <si>
    <t>GHG/ha</t>
  </si>
  <si>
    <t>Därav diesel</t>
  </si>
  <si>
    <t>Tillverkning mineralgödsel</t>
  </si>
  <si>
    <t>GHG/kgN</t>
  </si>
  <si>
    <t>N-faktorer för "Rester o rötter"</t>
  </si>
  <si>
    <t xml:space="preserve">Anpassade för att stämma med IPCC, utom för </t>
  </si>
  <si>
    <t>Biogas grund.  (från Börjesson, Berglund, Lantz, 2003,2004, 2010)</t>
  </si>
  <si>
    <t>oljeväxter, betor och potatis där data från svenska försök ligger bakom</t>
  </si>
  <si>
    <t>Per ts ingående substrat</t>
  </si>
  <si>
    <t>För flerårig vall räknas bara brytningsåret, mellanår är det 0,</t>
  </si>
  <si>
    <t>Gäller hela växtföljden</t>
  </si>
  <si>
    <t>Halm kvar</t>
  </si>
  <si>
    <t>Halm bort</t>
  </si>
  <si>
    <t>Grönmassa,ts</t>
  </si>
  <si>
    <t>halm, ts</t>
  </si>
  <si>
    <t>MJ/kg ts</t>
  </si>
  <si>
    <t>Oljeväxt</t>
  </si>
  <si>
    <t>Transport 15km</t>
  </si>
  <si>
    <t>Biogasprod.</t>
  </si>
  <si>
    <t>Ärter etc, frö</t>
  </si>
  <si>
    <t>Biogiasutbyte</t>
  </si>
  <si>
    <t>Transp rötrest</t>
  </si>
  <si>
    <t>Foderväxt, Nfix</t>
  </si>
  <si>
    <t>Foderv. Ej Nfix</t>
  </si>
  <si>
    <t>Korr. för längre transport,</t>
  </si>
  <si>
    <t>Vall klöverrik</t>
  </si>
  <si>
    <t>Avstånd km</t>
  </si>
  <si>
    <t>Vall, 1/3 klöver</t>
  </si>
  <si>
    <t>Ny summa MJ/ts</t>
  </si>
  <si>
    <t>Långv. Gräs</t>
  </si>
  <si>
    <t>MJ i biogas</t>
  </si>
  <si>
    <t>Nedbr. grönmassa</t>
  </si>
  <si>
    <t>Uppgradering</t>
  </si>
  <si>
    <t>Fånggrödor, ej Nfix</t>
  </si>
  <si>
    <t>0 (nollsummespel)</t>
  </si>
  <si>
    <t>netto dter uppgr.</t>
  </si>
  <si>
    <t>MJ efter uppgradering</t>
  </si>
  <si>
    <t>kwh i biogas</t>
  </si>
  <si>
    <t>Per ton ingående substrat</t>
  </si>
  <si>
    <t>Om man nedbrukar gröngröda  som gödslats</t>
  </si>
  <si>
    <t>Kol i i ton ts, kg</t>
  </si>
  <si>
    <t>eller fixerat kväve</t>
  </si>
  <si>
    <t>Kol i metan</t>
  </si>
  <si>
    <t>Skörd som nedbrukas</t>
  </si>
  <si>
    <t>CO2- C i biogas</t>
  </si>
  <si>
    <t>N i växtmassa</t>
  </si>
  <si>
    <t>Rest i rötrest</t>
  </si>
  <si>
    <t>N i rester o rötter</t>
  </si>
  <si>
    <t>Rötrest-ts, 50% C</t>
  </si>
  <si>
    <t>Totalt växt-N till mark</t>
  </si>
  <si>
    <t>Ingående grönmassa</t>
  </si>
  <si>
    <t xml:space="preserve">     Ing. halm</t>
  </si>
  <si>
    <t>Förutsättningar för hantering i arket (gäller för växtföljden):</t>
  </si>
  <si>
    <t>I Mullberäkning kan rötresten läggas på en rad. Ange 5% ts och mängd i ton enl Ag30</t>
  </si>
  <si>
    <t>Rötrest ton</t>
  </si>
  <si>
    <t>Siffran i v29 sättes i kol I. Skördesiffran i kol C skall vara 1.</t>
  </si>
  <si>
    <t>Kväve: Vi räknar med att allt ingående kväve hamnar i rötrest: 20 kg per ton ts grönm, 5 halm</t>
  </si>
  <si>
    <t>N att sätta i N35 här</t>
  </si>
  <si>
    <t>En annan fråga är kväveeffekten till grödan. Vi atar att 80% av totalen är ammonium eller lättillgänglt organiskt</t>
  </si>
  <si>
    <t>Sedan ser vi på två fall:</t>
  </si>
  <si>
    <t>Kväveeff av växtföljdens biogasrest</t>
  </si>
  <si>
    <t>e</t>
  </si>
  <si>
    <t>1. Snabb nedbrukning, 10% förluster</t>
  </si>
  <si>
    <t>2, Senare nedbr. 30% förluster</t>
  </si>
  <si>
    <t>Något av dessa alternativ får ersätta mineralgödsel i kol M</t>
  </si>
  <si>
    <t>Det behöver inte anpassas grödvis, bara kvantiteten kommer in</t>
  </si>
  <si>
    <t>Om</t>
  </si>
  <si>
    <t>NO3-NH4</t>
  </si>
  <si>
    <t>GHG</t>
  </si>
  <si>
    <t>10% Nförlust</t>
  </si>
  <si>
    <t>30%</t>
  </si>
  <si>
    <t>VÄXHUSGASBERÄKNING, ett överslag.</t>
  </si>
  <si>
    <t>Baserat på normer från IPCC</t>
  </si>
  <si>
    <t>Det mesta som behövs för en överslagskalkyl finns finns i tidigare flikar. Det hämtas in hit automatiskt.</t>
  </si>
  <si>
    <t>Beräkning göres på 4 nivåer:</t>
  </si>
  <si>
    <t xml:space="preserve">1. Utan mullhänsyn  .  </t>
  </si>
  <si>
    <t>2. Med mullhänsyn.</t>
  </si>
  <si>
    <t>3. Med hänsyn till mull och bioenergi</t>
  </si>
  <si>
    <t>4. Med mull och kompensationsprod.</t>
  </si>
  <si>
    <t>För bioenergi inräknas ej i detta steg användning av huvudprodukt (t ex vete) till etanol etc</t>
  </si>
  <si>
    <t>I tillägg behövs gödslingen uttryckt i kg N (för stallgödsel total N). Det lägges in här.</t>
  </si>
  <si>
    <t>Vidare behövs för vissa grödor en omräkning till TS (det hårddras ej för spannmål)</t>
  </si>
  <si>
    <t>Samt en kvävefaktor för N i skörderester och rötter</t>
  </si>
  <si>
    <t>För bakgrund: Word-filen Klimatgaser i Odlingsperspektiv</t>
  </si>
  <si>
    <t>Vd beräkning av växthusgaser per produktion räknas inte gröngödsling och biomassa som produktion</t>
  </si>
  <si>
    <t>Specificering, per ha och år, kg GHG</t>
  </si>
  <si>
    <t>Alt 1</t>
  </si>
  <si>
    <t>Alt 2</t>
  </si>
  <si>
    <t>Växtrester och rötter</t>
  </si>
  <si>
    <t>Mineralgödsel tillv+mark</t>
  </si>
  <si>
    <t>Övrigt gemensamt</t>
  </si>
  <si>
    <t>Mullförändring, C + N</t>
  </si>
  <si>
    <t>Annat</t>
  </si>
  <si>
    <t>Korr för tillfört kol:</t>
  </si>
  <si>
    <t>SAMMANFATTNING</t>
  </si>
  <si>
    <t>kg CO2e/ha</t>
  </si>
  <si>
    <t>kg CO"e/kg ts</t>
  </si>
  <si>
    <t>Steg 1</t>
  </si>
  <si>
    <t>Utan mullförändring</t>
  </si>
  <si>
    <t>Steg 2</t>
  </si>
  <si>
    <t>Med mullförändring (mf)</t>
  </si>
  <si>
    <t>Steg 3</t>
  </si>
  <si>
    <t>Med m och bioenergi</t>
  </si>
  <si>
    <t>Steg 4</t>
  </si>
  <si>
    <t>Med mf,efter kompensationsproduktion</t>
  </si>
  <si>
    <t>Enbart rörliga kostnader kr/ha</t>
  </si>
  <si>
    <t>Enklast som skillnad i Nytt läge.</t>
  </si>
  <si>
    <t>Nöturin</t>
  </si>
  <si>
    <t>ts %</t>
  </si>
  <si>
    <t>Tot N</t>
  </si>
  <si>
    <t>NH4-N-värde</t>
  </si>
  <si>
    <t>Flyt/urin</t>
  </si>
  <si>
    <t>Fastgödsel</t>
  </si>
  <si>
    <t>Spridning</t>
  </si>
  <si>
    <t>Innehåll och spridningskostnad per ton</t>
  </si>
  <si>
    <t>Mineralgöd</t>
  </si>
  <si>
    <t>kg N/ha</t>
  </si>
  <si>
    <t>Stallgödsel</t>
  </si>
  <si>
    <t>oljeväxter, betor och potatis där data från svenska</t>
  </si>
  <si>
    <t xml:space="preserve"> försök ligger bakom</t>
  </si>
  <si>
    <t>per ha</t>
  </si>
  <si>
    <t>Totalkväve i stallgödsel</t>
  </si>
  <si>
    <t>Växthusgas, kg koldioxidekv/ha och år:</t>
  </si>
  <si>
    <t>Schablon fasta arbeten exkl. diesel</t>
  </si>
  <si>
    <t>Diesel (normalförbrukning)</t>
  </si>
  <si>
    <t>GHG/l diesel</t>
  </si>
  <si>
    <t>Mullförändring</t>
  </si>
  <si>
    <t>Underlag</t>
  </si>
  <si>
    <t>Omräkning lustgas</t>
  </si>
  <si>
    <t>kostnad</t>
  </si>
  <si>
    <t>kg tot-N/ton</t>
  </si>
  <si>
    <t>Grödor</t>
  </si>
  <si>
    <t>Pris</t>
  </si>
  <si>
    <t>skörd</t>
  </si>
  <si>
    <t>ökad skörd</t>
  </si>
  <si>
    <t xml:space="preserve">Summa </t>
  </si>
  <si>
    <t>just</t>
  </si>
  <si>
    <t>Kostn per ton</t>
  </si>
  <si>
    <t>Org. Mtrl</t>
  </si>
  <si>
    <t>Org. Utan "halm"</t>
  </si>
  <si>
    <t>Kostnad</t>
  </si>
  <si>
    <t>enl</t>
  </si>
  <si>
    <t>Skörde</t>
  </si>
  <si>
    <t>Ny Gröda</t>
  </si>
  <si>
    <t>per ton</t>
  </si>
  <si>
    <t>Ändrade kostnader i nytt läge</t>
  </si>
  <si>
    <t>finns</t>
  </si>
  <si>
    <t>Kvar el</t>
  </si>
  <si>
    <t>Packning</t>
  </si>
  <si>
    <t>Rapshalm</t>
  </si>
  <si>
    <t>kg/ton</t>
  </si>
  <si>
    <t>kr/ton</t>
  </si>
  <si>
    <t>Kvävevärdet räknat till 50% och övriga till 100 %</t>
  </si>
  <si>
    <t>Baljväxthalm</t>
  </si>
  <si>
    <t>Ärtrev</t>
  </si>
  <si>
    <t>Betblast</t>
  </si>
  <si>
    <t>Spridningstidpunkt</t>
  </si>
  <si>
    <t>Skörde-</t>
  </si>
  <si>
    <t>typ</t>
  </si>
  <si>
    <t>Vn-värde</t>
  </si>
  <si>
    <t xml:space="preserve">Skörderester </t>
  </si>
  <si>
    <t>Kvar</t>
  </si>
  <si>
    <t>bortförs</t>
  </si>
  <si>
    <t>prod</t>
  </si>
  <si>
    <t xml:space="preserve">Fånggröda </t>
  </si>
  <si>
    <t>Inköpspris</t>
  </si>
  <si>
    <t>% effekt</t>
  </si>
  <si>
    <t>P-värde</t>
  </si>
  <si>
    <t>K-värde</t>
  </si>
  <si>
    <t>Växtnäringsinnehåll</t>
  </si>
  <si>
    <t>slag</t>
  </si>
  <si>
    <t>Värde enl Gröddata</t>
  </si>
  <si>
    <t>per kg N</t>
  </si>
  <si>
    <t>per kg P</t>
  </si>
  <si>
    <t>per kg K</t>
  </si>
  <si>
    <t>Tidig höst</t>
  </si>
  <si>
    <t>Sen höst</t>
  </si>
  <si>
    <t>Försommar</t>
  </si>
  <si>
    <t>Stallgödseldata</t>
  </si>
  <si>
    <t>Vår f. plöjn.</t>
  </si>
  <si>
    <t>Öppen växtodling</t>
  </si>
  <si>
    <t>15 m3 spridare med 12m arbetsbredd,  2 axlar och ringtryck 2 bar</t>
  </si>
  <si>
    <t>1 stegsspridare med 2 valsar, 7 ton lastkapacitet, 6 m arbetsbredd, 2 axlar och ringtryck 2 bar</t>
  </si>
  <si>
    <t>Vald teknik</t>
  </si>
  <si>
    <t>går ej</t>
  </si>
  <si>
    <t>Flyt=1</t>
  </si>
  <si>
    <t>Fast=2</t>
  </si>
  <si>
    <t>Packningskostnad vid ett skördevärde på</t>
  </si>
  <si>
    <t>Flyt</t>
  </si>
  <si>
    <t>Fast</t>
  </si>
  <si>
    <t>Tidpunkt</t>
  </si>
  <si>
    <t>tidpunkt</t>
  </si>
  <si>
    <t>Övrig kostn.</t>
  </si>
  <si>
    <t>Netto exkl.</t>
  </si>
  <si>
    <t>mulleffekt</t>
  </si>
  <si>
    <t>Tillskott av stallgödsel</t>
  </si>
  <si>
    <t>Vid tillskott fånggröda</t>
  </si>
  <si>
    <t>Utveckling av mullhalten</t>
  </si>
  <si>
    <t xml:space="preserve">Pris </t>
  </si>
  <si>
    <t>Bearbetning</t>
  </si>
  <si>
    <t>Grund</t>
  </si>
  <si>
    <t>Annan gröda</t>
  </si>
  <si>
    <t>utlakning</t>
  </si>
  <si>
    <t>fångg</t>
  </si>
  <si>
    <t>tidigt</t>
  </si>
  <si>
    <t xml:space="preserve">sent </t>
  </si>
  <si>
    <t>ej möjligt</t>
  </si>
  <si>
    <t>20 ton</t>
  </si>
  <si>
    <t>Utlakningsökning  per ton</t>
  </si>
  <si>
    <t>10 ton</t>
  </si>
  <si>
    <t>justerat</t>
  </si>
  <si>
    <t>Jordarts-</t>
  </si>
  <si>
    <t>Bas</t>
  </si>
  <si>
    <t>Totalt</t>
  </si>
  <si>
    <t>Vår</t>
  </si>
  <si>
    <t>Ingen</t>
  </si>
  <si>
    <t>bearbetning</t>
  </si>
  <si>
    <t>Öppen</t>
  </si>
  <si>
    <t>Bearbetningseffekt (se ovan)</t>
  </si>
  <si>
    <t>Grödtyp</t>
  </si>
  <si>
    <t>faktor</t>
  </si>
  <si>
    <t>Bearbetningstidpunkt</t>
  </si>
  <si>
    <t>Effekt</t>
  </si>
  <si>
    <t>spridning</t>
  </si>
  <si>
    <t>Tillskott tidig höst</t>
  </si>
  <si>
    <t>Typ 1 (öppen)</t>
  </si>
  <si>
    <t>Tillskott stg</t>
  </si>
  <si>
    <t>Kyckling_1</t>
  </si>
  <si>
    <t>Svinflyt_1</t>
  </si>
  <si>
    <t>Nötflyt_1</t>
  </si>
  <si>
    <t>Svinfast_1</t>
  </si>
  <si>
    <t>Nötfast_1</t>
  </si>
  <si>
    <t>Svinurin_2</t>
  </si>
  <si>
    <t>Nöturin_1</t>
  </si>
  <si>
    <t>Svindjup_1</t>
  </si>
  <si>
    <t>Nötdjup_1</t>
  </si>
  <si>
    <t>Svinflyt_2</t>
  </si>
  <si>
    <t>Nötflyt_2</t>
  </si>
  <si>
    <t>Svinfast_2</t>
  </si>
  <si>
    <t>Nötfast_2</t>
  </si>
  <si>
    <t>Nöturin_2</t>
  </si>
  <si>
    <t>Svindjup_2</t>
  </si>
  <si>
    <t>Nötdjup_2</t>
  </si>
  <si>
    <t>Kyckling_2</t>
  </si>
  <si>
    <t>Svinflyt_3</t>
  </si>
  <si>
    <t>Nötflyt_3</t>
  </si>
  <si>
    <t>Svinfast_3</t>
  </si>
  <si>
    <t>Nötfast_3</t>
  </si>
  <si>
    <t>Svinurin_3</t>
  </si>
  <si>
    <t>Svinurin_1</t>
  </si>
  <si>
    <t>Nöturin_3</t>
  </si>
  <si>
    <t>Svindjup_3</t>
  </si>
  <si>
    <t>Nötdjup_3</t>
  </si>
  <si>
    <t>Kyckling_3</t>
  </si>
  <si>
    <t xml:space="preserve"> +gröda</t>
  </si>
  <si>
    <t>Stallgödseltyp</t>
  </si>
  <si>
    <t>Kombinering stallgödseltyp och gröda</t>
  </si>
  <si>
    <t>Spridningsfaktor</t>
  </si>
  <si>
    <t>Fånggrödeeffekt</t>
  </si>
  <si>
    <t>Fånggröda</t>
  </si>
  <si>
    <t>före stallgödsel</t>
  </si>
  <si>
    <t>Nytt</t>
  </si>
  <si>
    <t>Grönträda</t>
  </si>
  <si>
    <t>Övriga</t>
  </si>
  <si>
    <t xml:space="preserve">Grunddata för olika jordarter och grödor </t>
  </si>
  <si>
    <t>Jordart enl. flik Grunddata</t>
  </si>
  <si>
    <t>Faktorer för beräkning av utlakningen</t>
  </si>
  <si>
    <t>Beräkning av utlakning</t>
  </si>
  <si>
    <t>Utlakningsberäkning</t>
  </si>
  <si>
    <t>Beräkning sker automatiskt utifrån de fakta som matats in i Växtföljd och pris med ett litet undantag. Ändrad bränsle-</t>
  </si>
  <si>
    <t>Bekämpning, drivmedel, andel stråsäd, höstbevuxen mark</t>
  </si>
  <si>
    <t>Lustgas omräknas till</t>
  </si>
  <si>
    <t>intäkter</t>
  </si>
  <si>
    <t>Halmintäkt</t>
  </si>
  <si>
    <t>Pris (kr/kg)</t>
  </si>
  <si>
    <t>Skörderest</t>
  </si>
  <si>
    <t>Nettovärdet i skörderester</t>
  </si>
  <si>
    <t xml:space="preserve">Klimateffekt </t>
  </si>
  <si>
    <t>kg CO2-ekv</t>
  </si>
  <si>
    <t xml:space="preserve">Utlakning </t>
  </si>
  <si>
    <t xml:space="preserve"> kg N/ha</t>
  </si>
  <si>
    <t>Stödsida för beräkning (inget att fylla i är!)</t>
  </si>
  <si>
    <t>Justering (Försöksdata)</t>
  </si>
  <si>
    <t>ändrad skörd</t>
  </si>
  <si>
    <t>kg ts stallgödsel</t>
  </si>
  <si>
    <t>Skörd om</t>
  </si>
  <si>
    <t>10 år  , %</t>
  </si>
  <si>
    <t>Mullhalt/</t>
  </si>
  <si>
    <t>Rapport</t>
  </si>
  <si>
    <t>Flikarnas innehåll</t>
  </si>
  <si>
    <t>org. mat.</t>
  </si>
  <si>
    <t>Tekniskt underlag till gröddata</t>
  </si>
  <si>
    <t>Kväve-</t>
  </si>
  <si>
    <t>Försäljningspris</t>
  </si>
  <si>
    <t>Effekt av markvila</t>
  </si>
  <si>
    <t>kg C i matjorden</t>
  </si>
  <si>
    <t>Förändringar i Nytt läge:</t>
  </si>
  <si>
    <t>Basläge:</t>
  </si>
  <si>
    <t>Förändring i nytt läge (syns i rapporten)</t>
  </si>
  <si>
    <t>Markförutsättningar</t>
  </si>
  <si>
    <t>Höstbear-</t>
  </si>
  <si>
    <t>betad mark</t>
  </si>
  <si>
    <t>Mångfalds-</t>
  </si>
  <si>
    <t xml:space="preserve">Ange pris </t>
  </si>
  <si>
    <t>Beräkning av växthusgasutsläpp</t>
  </si>
  <si>
    <t>Lustgas från marken</t>
  </si>
  <si>
    <t>Tillverkning av N-mineralgödsel</t>
  </si>
  <si>
    <t>Lustgas pga kväveutlakning</t>
  </si>
  <si>
    <t>Molvikt CO2</t>
  </si>
  <si>
    <t>Molvikt N2O</t>
  </si>
  <si>
    <t>Växthusgas</t>
  </si>
  <si>
    <t>CO2e</t>
  </si>
  <si>
    <t xml:space="preserve">Växthusgaser, CO2e per ha och år </t>
  </si>
  <si>
    <t>Utlakning</t>
  </si>
  <si>
    <t>Rötslam</t>
  </si>
  <si>
    <t>TS, %</t>
  </si>
  <si>
    <t>pH</t>
  </si>
  <si>
    <t>Tot P</t>
  </si>
  <si>
    <t>Tot K</t>
  </si>
  <si>
    <t>Ca</t>
  </si>
  <si>
    <t>Mg</t>
  </si>
  <si>
    <t>&lt;0,1</t>
  </si>
  <si>
    <t>2001*</t>
  </si>
  <si>
    <t>&lt;0,5</t>
  </si>
  <si>
    <t>Rötslam_1</t>
  </si>
  <si>
    <t>Rötslam_2</t>
  </si>
  <si>
    <t>Rötslam_3</t>
  </si>
  <si>
    <t>% av ts till organisk pool</t>
  </si>
  <si>
    <t>% av ts till organiskt pool</t>
  </si>
  <si>
    <t>Rötslam (Slamspridning på åkermark, Hushållningssällskapens rapportserie nr 16, 2012)</t>
  </si>
  <si>
    <t>Övriga insatsvaror</t>
  </si>
  <si>
    <t>1. Lustgasavgång vid tillverkning av mineralgödsel.</t>
  </si>
  <si>
    <r>
      <t>Mullförändring +/- CO</t>
    </r>
    <r>
      <rPr>
        <b/>
        <sz val="7"/>
        <rFont val="Arial"/>
        <family val="2"/>
      </rPr>
      <t>2</t>
    </r>
  </si>
  <si>
    <t xml:space="preserve">åtgång mellan alternativen måste registreras i fliken Miljösammanfattning. </t>
  </si>
  <si>
    <t>Jordartsanpassad</t>
  </si>
  <si>
    <t>packningskostnad   kr/ton</t>
  </si>
  <si>
    <r>
      <t xml:space="preserve">        </t>
    </r>
    <r>
      <rPr>
        <sz val="12"/>
        <rFont val="Symbol"/>
        <family val="1"/>
        <charset val="2"/>
      </rPr>
      <t xml:space="preserve">ã </t>
    </r>
  </si>
  <si>
    <t>Bearbetning/</t>
  </si>
  <si>
    <t>kg CO2e /ha</t>
  </si>
  <si>
    <t>Klicka och välj alternativ via listpilen till höger</t>
  </si>
  <si>
    <t>Schablon</t>
  </si>
  <si>
    <t>Använd</t>
  </si>
  <si>
    <t>Hjälpdata för att hantera angiven skörd</t>
  </si>
  <si>
    <t>Ny gröda</t>
  </si>
  <si>
    <t>Schablonvärde</t>
  </si>
  <si>
    <t>Gröddata</t>
  </si>
  <si>
    <t>Extra</t>
  </si>
  <si>
    <t>org.mtrl</t>
  </si>
  <si>
    <t>Rödklöver</t>
  </si>
  <si>
    <t>Rödklöver Eko</t>
  </si>
  <si>
    <t>Timotej</t>
  </si>
  <si>
    <t>Ängssvingel</t>
  </si>
  <si>
    <t>Ängssvingel Eko</t>
  </si>
  <si>
    <t>Hundäxing</t>
  </si>
  <si>
    <t>Vitklöver</t>
  </si>
  <si>
    <t>Vitklöver Eko</t>
  </si>
  <si>
    <t>Rödsvingel</t>
  </si>
  <si>
    <t>Ängsgröe</t>
  </si>
  <si>
    <t>Eng. rajgräs</t>
  </si>
  <si>
    <t>Rajsvingel</t>
  </si>
  <si>
    <t>Rörsvingel</t>
  </si>
  <si>
    <t>Skördeuppskattning Vallfrö 2013 för södra Sverige (Svensk Raps)</t>
  </si>
  <si>
    <t>Halmskörd enl Svensk Raps</t>
  </si>
  <si>
    <t>ton ts/ha</t>
  </si>
  <si>
    <t xml:space="preserve"> 5-6</t>
  </si>
  <si>
    <t xml:space="preserve"> 8-11</t>
  </si>
  <si>
    <t xml:space="preserve"> 6,5-7,5</t>
  </si>
  <si>
    <t xml:space="preserve">Ängsgröe </t>
  </si>
  <si>
    <t xml:space="preserve">Rörsvingel </t>
  </si>
  <si>
    <t>Gräsfröhalm</t>
  </si>
  <si>
    <t>I programmet räknas med en halmskörd på 6 ton/ha allmänt för vallfrö</t>
  </si>
  <si>
    <t>Pris/kg</t>
  </si>
  <si>
    <t>Djupströgödsel</t>
  </si>
  <si>
    <t>Urin=3</t>
  </si>
  <si>
    <t>Djupströ=4</t>
  </si>
  <si>
    <t>Urin</t>
  </si>
  <si>
    <t>Flytgödsel</t>
  </si>
  <si>
    <t>Gödseltyp</t>
  </si>
  <si>
    <t>kg ts /ha</t>
  </si>
  <si>
    <r>
      <t>2. CO</t>
    </r>
    <r>
      <rPr>
        <b/>
        <sz val="7"/>
        <rFont val="Arial"/>
        <family val="2"/>
      </rPr>
      <t>2</t>
    </r>
    <r>
      <rPr>
        <b/>
        <sz val="10"/>
        <rFont val="Arial"/>
        <family val="2"/>
      </rPr>
      <t>-avgång pga diselanvändning. Skillnad i dieselanvändning från Miljösammanfattning.</t>
    </r>
  </si>
  <si>
    <t>koldioxidekvivalenter (CO2e)</t>
  </si>
  <si>
    <t xml:space="preserve"> + halm</t>
  </si>
  <si>
    <t>Mängd skörderester</t>
  </si>
  <si>
    <t>Faktor Mullhalt/kolhalt</t>
  </si>
  <si>
    <t>under</t>
  </si>
  <si>
    <t>Består av 6 poster</t>
  </si>
  <si>
    <t xml:space="preserve">5. Lustgasavgång från marken pga kväve  från rötter och växtrester, stallgödsel och mineralgödsel. </t>
  </si>
  <si>
    <t>6. Mullförändring (inlagring i organisk pool-mineralisering) som ger koldioxidinbindning resp avgång.</t>
  </si>
  <si>
    <t>3. Lustgas pga kväveutlakning</t>
  </si>
  <si>
    <t xml:space="preserve">4. Övriga insatsvaror. Växthusgaser pga PK, bekämpning, maskinunderhåll och torkning. </t>
  </si>
  <si>
    <t>Baserat på gröda och jordart</t>
  </si>
  <si>
    <t>Övriga rörliga</t>
  </si>
  <si>
    <t>kostnader*</t>
  </si>
  <si>
    <t>KALKNING</t>
  </si>
  <si>
    <t>ö</t>
  </si>
  <si>
    <t>TRANSPORT</t>
  </si>
  <si>
    <t>ANALYS</t>
  </si>
  <si>
    <t>Kostnad/ton</t>
  </si>
  <si>
    <t>Oljeväxter</t>
  </si>
  <si>
    <t>Trindsäd</t>
  </si>
  <si>
    <t>Sockerbetor och potatis</t>
  </si>
  <si>
    <t>Grovfoder</t>
  </si>
  <si>
    <t>Boxer</t>
  </si>
  <si>
    <t>Legacy</t>
  </si>
  <si>
    <t>Sumi-Alpha SFW</t>
  </si>
  <si>
    <t>Glyfonova plus</t>
  </si>
  <si>
    <t>Hussar</t>
  </si>
  <si>
    <t>Karate</t>
  </si>
  <si>
    <t>Forbel</t>
  </si>
  <si>
    <t>bekämpning vartannat år</t>
  </si>
  <si>
    <t>foderkorn</t>
  </si>
  <si>
    <t>HÖSTRAPS</t>
  </si>
  <si>
    <t>VÅRRAPS</t>
  </si>
  <si>
    <t>FODERÄRT</t>
  </si>
  <si>
    <t>KONSERVÄRT</t>
  </si>
  <si>
    <t>ÅKERBÖNA</t>
  </si>
  <si>
    <t>OLJELIN</t>
  </si>
  <si>
    <t>Oljelin</t>
  </si>
  <si>
    <t>Åkerbönor</t>
  </si>
  <si>
    <t>Butisan Top</t>
  </si>
  <si>
    <t>Focus Ultra</t>
  </si>
  <si>
    <t>Biscaya</t>
  </si>
  <si>
    <t>Galera</t>
  </si>
  <si>
    <t>PG26N</t>
  </si>
  <si>
    <t>Avaunt</t>
  </si>
  <si>
    <t>Basagran SG</t>
  </si>
  <si>
    <t>Fenix</t>
  </si>
  <si>
    <t>Pirimor</t>
  </si>
  <si>
    <t>Ally 50 ST</t>
  </si>
  <si>
    <t>Gratil 75 WG</t>
  </si>
  <si>
    <t>tillägg för oljehalt</t>
  </si>
  <si>
    <t>Kvävesimulatorn - underlag för att bedöma kvävegivan</t>
  </si>
  <si>
    <t>Bygger på Riktlinjer för gödsling och kalkning 2014</t>
  </si>
  <si>
    <t>Uppdaterad 20140110</t>
  </si>
  <si>
    <t>Steg 1:</t>
  </si>
  <si>
    <t>Ange region och aktuellt kvävepris</t>
  </si>
  <si>
    <t>Steg 3:</t>
  </si>
  <si>
    <t>Steg 4:</t>
  </si>
  <si>
    <t>Klicka på rutan för att ändra</t>
  </si>
  <si>
    <t>N-pris</t>
  </si>
  <si>
    <t>Justering förfrukt</t>
  </si>
  <si>
    <t xml:space="preserve">Rek giva </t>
  </si>
  <si>
    <t>Norra Götaland o Svealand</t>
  </si>
  <si>
    <t>och långsiktigt</t>
  </si>
  <si>
    <t xml:space="preserve">för frisk </t>
  </si>
  <si>
    <t>kväve från stallg</t>
  </si>
  <si>
    <t>gröda</t>
  </si>
  <si>
    <t>Steg 2:</t>
  </si>
  <si>
    <t xml:space="preserve">Ange antalet </t>
  </si>
  <si>
    <t>Markera förfrukt och ange skördenivå och produktpriser</t>
  </si>
  <si>
    <t>djurenheter/ha</t>
  </si>
  <si>
    <t>kg N/ hektar</t>
  </si>
  <si>
    <t xml:space="preserve">    Gröda</t>
  </si>
  <si>
    <t>Protein-</t>
  </si>
  <si>
    <t>Normal</t>
  </si>
  <si>
    <t>Förfrukts-</t>
  </si>
  <si>
    <t>Avr.-</t>
  </si>
  <si>
    <t>Rörlig</t>
  </si>
  <si>
    <t>Efter-</t>
  </si>
  <si>
    <t>Vårgiva</t>
  </si>
  <si>
    <t>halt</t>
  </si>
  <si>
    <t xml:space="preserve">Klicka på rutorna nedan och </t>
  </si>
  <si>
    <t>effekt</t>
  </si>
  <si>
    <t>avräkn.</t>
  </si>
  <si>
    <t>pris</t>
  </si>
  <si>
    <t>prod.</t>
  </si>
  <si>
    <t>tillgång</t>
  </si>
  <si>
    <t>verkan</t>
  </si>
  <si>
    <t>ff korn</t>
  </si>
  <si>
    <t>sedan på listpilen</t>
  </si>
  <si>
    <t>v.h.</t>
  </si>
  <si>
    <t>DE / ha</t>
  </si>
  <si>
    <t>förfrukt</t>
  </si>
  <si>
    <t>OBS!</t>
  </si>
  <si>
    <t>nöt</t>
  </si>
  <si>
    <t>dt / ha</t>
  </si>
  <si>
    <t>övriga</t>
  </si>
  <si>
    <t>kg N / ha</t>
  </si>
  <si>
    <t xml:space="preserve"> Höstvete foder</t>
  </si>
  <si>
    <t>Korn el höstsäd</t>
  </si>
  <si>
    <t xml:space="preserve"> Höstvete kvarn</t>
  </si>
  <si>
    <t xml:space="preserve"> Vårvete</t>
  </si>
  <si>
    <t xml:space="preserve"> Höstkorn</t>
  </si>
  <si>
    <t xml:space="preserve"> Vårkorn foder</t>
  </si>
  <si>
    <t xml:space="preserve"> Vårkorn malt</t>
  </si>
  <si>
    <t xml:space="preserve"> Råg</t>
  </si>
  <si>
    <t xml:space="preserve"> Rågvete</t>
  </si>
  <si>
    <t xml:space="preserve"> Havre</t>
  </si>
  <si>
    <t xml:space="preserve"> Höstraps</t>
  </si>
  <si>
    <t xml:space="preserve"> Vårraps</t>
  </si>
  <si>
    <t>Förväntad</t>
  </si>
  <si>
    <t>Valltyp</t>
  </si>
  <si>
    <t>Klöver-</t>
  </si>
  <si>
    <t>Prod</t>
  </si>
  <si>
    <t>Rörl.</t>
  </si>
  <si>
    <t>OBS! Glöm inte</t>
  </si>
  <si>
    <t>kr/kg ts</t>
  </si>
  <si>
    <t>ange djurtäthet!</t>
  </si>
  <si>
    <t>Alla skördar</t>
  </si>
  <si>
    <t>Vall, 2 skördar</t>
  </si>
  <si>
    <t>Vall, 3 skördar</t>
  </si>
  <si>
    <t>Fodervete_Syd</t>
  </si>
  <si>
    <t>Kvarnvete_Syd</t>
  </si>
  <si>
    <t>Vårvete_Syd</t>
  </si>
  <si>
    <t>Höstkorn_Syd</t>
  </si>
  <si>
    <t>Vårkorn_foder_Syd</t>
  </si>
  <si>
    <t>Vårkorn_malt_Syd</t>
  </si>
  <si>
    <t>Råg_Syd</t>
  </si>
  <si>
    <t>Rågvete_Syd</t>
  </si>
  <si>
    <t>Havre_Syd</t>
  </si>
  <si>
    <t>Optimal giva för olika skördenivå</t>
  </si>
  <si>
    <t>Optimal giva för olika skördeniva</t>
  </si>
  <si>
    <t>Pris vara:</t>
  </si>
  <si>
    <t>dt/ha</t>
  </si>
  <si>
    <t>Pris kväve:</t>
  </si>
  <si>
    <t>Rörl. kostn:</t>
  </si>
  <si>
    <t>Priskvot:</t>
  </si>
  <si>
    <t>Optimal giva 0-300 kg:</t>
  </si>
  <si>
    <t>inkl. justering</t>
  </si>
  <si>
    <t>Skörd vid optimal giva:</t>
  </si>
  <si>
    <t>Justering per dt</t>
  </si>
  <si>
    <t>kg N/dt</t>
  </si>
  <si>
    <t>Produktionsfunktion</t>
  </si>
  <si>
    <t xml:space="preserve">Använd produktionsfunktion för </t>
  </si>
  <si>
    <t>Regression</t>
  </si>
  <si>
    <t>höstvete Skåne</t>
  </si>
  <si>
    <t>korn Skåne</t>
  </si>
  <si>
    <t>a</t>
  </si>
  <si>
    <t>b</t>
  </si>
  <si>
    <t>c</t>
  </si>
  <si>
    <t>Marginalvinst</t>
  </si>
  <si>
    <t>kr/kg N</t>
  </si>
  <si>
    <t>Skörd beräknad från produktionsfunktionerna</t>
  </si>
  <si>
    <t>Ändrad skörd</t>
  </si>
  <si>
    <t>Normal skörd (inkl. förfuktseffekt)</t>
  </si>
  <si>
    <t>Normalpris kvot</t>
  </si>
  <si>
    <t>Pris N/Pris vara</t>
  </si>
  <si>
    <t>vid högre kvot</t>
  </si>
  <si>
    <t>vid lägre kvot</t>
  </si>
  <si>
    <t>Förväntad skörd</t>
  </si>
  <si>
    <t xml:space="preserve"> skörd</t>
  </si>
  <si>
    <t>Priskvot</t>
  </si>
  <si>
    <t>diff</t>
  </si>
  <si>
    <t>per kvotenh</t>
  </si>
  <si>
    <t>Underlag till beräkning av N-giva för Sydsverige</t>
  </si>
  <si>
    <t>Kopia av flik 1</t>
  </si>
  <si>
    <t>Grundförutsättning för maxberäkning</t>
  </si>
  <si>
    <t>Optimum vid</t>
  </si>
  <si>
    <t>Maxgiva</t>
  </si>
  <si>
    <t>Produkt</t>
  </si>
  <si>
    <t>Maxpåslag</t>
  </si>
  <si>
    <t>vid angiven</t>
  </si>
  <si>
    <t>Rekommendation</t>
  </si>
  <si>
    <t>kr/dt</t>
  </si>
  <si>
    <t>utan tak</t>
  </si>
  <si>
    <t>12 kr/kg N</t>
  </si>
  <si>
    <t>kgN/ha</t>
  </si>
  <si>
    <t>skörd i G</t>
  </si>
  <si>
    <t>neråt</t>
  </si>
  <si>
    <t>uppåt</t>
  </si>
  <si>
    <t>skörd i flik1</t>
  </si>
  <si>
    <t>Vid angiven</t>
  </si>
  <si>
    <t>0% klöver</t>
  </si>
  <si>
    <t>klöverhalt</t>
  </si>
  <si>
    <t>Råg</t>
  </si>
  <si>
    <t>Våraps</t>
  </si>
  <si>
    <t>Foder</t>
  </si>
  <si>
    <t>Kvarn</t>
  </si>
  <si>
    <t>H-korn</t>
  </si>
  <si>
    <t>Malt</t>
  </si>
  <si>
    <t>maxgiva</t>
  </si>
  <si>
    <t>2 skördar</t>
  </si>
  <si>
    <t>3 skördar</t>
  </si>
  <si>
    <t>Speciell anpassaning av maxgivan för 3 skördar</t>
  </si>
  <si>
    <t xml:space="preserve">8 -9 ton      </t>
  </si>
  <si>
    <t>9-10 ton</t>
  </si>
  <si>
    <t>10-11 ton</t>
  </si>
  <si>
    <t>Fodervete_Mellan</t>
  </si>
  <si>
    <t>Kvarnvete_Mellan</t>
  </si>
  <si>
    <t>Vårvete_Mellan</t>
  </si>
  <si>
    <t>Höstkorn_Mellan</t>
  </si>
  <si>
    <t>Vårkorn_foder_Mellan</t>
  </si>
  <si>
    <t>Vårkorn_malt_Mellan</t>
  </si>
  <si>
    <t>Råg_Mellan</t>
  </si>
  <si>
    <t>Rågvete_Mellan</t>
  </si>
  <si>
    <t>Havre_Mellan</t>
  </si>
  <si>
    <t>höstvete Mellansverige</t>
  </si>
  <si>
    <t>korn Mellansverige</t>
  </si>
  <si>
    <t>Underlag till beräkning av N-giva för Norra Götaland och Svealand</t>
  </si>
  <si>
    <t>Vall, 4 skördar</t>
  </si>
  <si>
    <t>4 skördar</t>
  </si>
  <si>
    <t xml:space="preserve">Produktionsfunktion för höstraps finns för </t>
  </si>
  <si>
    <t xml:space="preserve">Produktionsfunktion för vårraps finns för </t>
  </si>
  <si>
    <t>fröskörd och omräknad</t>
  </si>
  <si>
    <t>Använd omräknad</t>
  </si>
  <si>
    <t>Beräknad N-giva</t>
  </si>
  <si>
    <t>Vall 2 skördar</t>
  </si>
  <si>
    <t>Vall 3 skördar</t>
  </si>
  <si>
    <t>Klöverhalt</t>
  </si>
  <si>
    <t>enl. flik 1</t>
  </si>
  <si>
    <t>Givor vid 1 de/ha</t>
  </si>
  <si>
    <t>0 %kl</t>
  </si>
  <si>
    <t>Enl. kl.halt</t>
  </si>
  <si>
    <t>Justering, 0% klöver</t>
  </si>
  <si>
    <t>kg N/ton</t>
  </si>
  <si>
    <t>Justering enl klöverhalt</t>
  </si>
  <si>
    <t>av givan</t>
  </si>
  <si>
    <t>Beräkning optimumgiva</t>
  </si>
  <si>
    <t>Beräkning av kvävesteg vid olika klöverhalt</t>
  </si>
  <si>
    <t>Ekvation</t>
  </si>
  <si>
    <t>x=klöverhalt</t>
  </si>
  <si>
    <t>Produktionsfunktion för Vall 2 skördar</t>
  </si>
  <si>
    <t>Produktionsfunktion för Vall 3 skördar</t>
  </si>
  <si>
    <t>x=N-giva</t>
  </si>
  <si>
    <t>Förfruktseffekter</t>
  </si>
  <si>
    <t>vårsäd</t>
  </si>
  <si>
    <t>A</t>
  </si>
  <si>
    <t>Foderärter</t>
  </si>
  <si>
    <t xml:space="preserve">Gräsvall </t>
  </si>
  <si>
    <t xml:space="preserve">Våroljeväxter </t>
  </si>
  <si>
    <t>Förfrukt till spannmål</t>
  </si>
  <si>
    <t>Förfrukt till oljeväxter</t>
  </si>
  <si>
    <t>Stallgödseleffekt</t>
  </si>
  <si>
    <t>Nötkreatur</t>
  </si>
  <si>
    <t xml:space="preserve">övriga </t>
  </si>
  <si>
    <t>Plats</t>
  </si>
  <si>
    <t>Nedre skördegräns</t>
  </si>
  <si>
    <t>Södra Götaland</t>
  </si>
  <si>
    <t>Vallskördar</t>
  </si>
  <si>
    <t>Mängd vall</t>
  </si>
  <si>
    <t>Färskpotatis</t>
  </si>
  <si>
    <t>Fabrikspotatis</t>
  </si>
  <si>
    <t>Radmyllning</t>
  </si>
  <si>
    <t>Bredspritt</t>
  </si>
  <si>
    <t>Radmyllat</t>
  </si>
  <si>
    <t>Klöverjustering 2-skördar</t>
  </si>
  <si>
    <t>Klöver</t>
  </si>
  <si>
    <t>Klöverjustering 3-skördar</t>
  </si>
  <si>
    <t>Kopplas till Kvävesimulatorn</t>
  </si>
  <si>
    <t>Kopplas till Gröddata</t>
  </si>
  <si>
    <t>dt</t>
  </si>
  <si>
    <t>I</t>
  </si>
  <si>
    <t>II</t>
  </si>
  <si>
    <t>III</t>
  </si>
  <si>
    <t>IVA</t>
  </si>
  <si>
    <t>IVB</t>
  </si>
  <si>
    <t>V</t>
  </si>
  <si>
    <t>IV</t>
  </si>
  <si>
    <t>P-AL</t>
  </si>
  <si>
    <t>K-AL</t>
  </si>
  <si>
    <t>Huvudsakligaste PK-klass</t>
  </si>
  <si>
    <t>Listor</t>
  </si>
  <si>
    <t>Huvudsakligaste klass enligt Grunddata</t>
  </si>
  <si>
    <t>PK-giva efter vald klass</t>
  </si>
  <si>
    <t>grundgiva</t>
  </si>
  <si>
    <t>justerad</t>
  </si>
  <si>
    <t>giva</t>
  </si>
  <si>
    <t xml:space="preserve">Grund </t>
  </si>
  <si>
    <t>kolhalt, kr/ha</t>
  </si>
  <si>
    <t>Intäkt</t>
  </si>
  <si>
    <t>Inmatning av växtföljd, skörderestbehandling,</t>
  </si>
  <si>
    <t>Org. utan 
"halm/blast"</t>
  </si>
  <si>
    <t>Arbete</t>
  </si>
  <si>
    <t>varav mulleffekt</t>
  </si>
  <si>
    <t>övrigt</t>
  </si>
  <si>
    <t>Slåttervall, ensilage</t>
  </si>
  <si>
    <t>Helsädesensilage</t>
  </si>
  <si>
    <t>Fröodling</t>
  </si>
  <si>
    <t>Kostnader för ett antal oljeväxt och trindsädesgrödor</t>
  </si>
  <si>
    <t>1. Öppen</t>
  </si>
  <si>
    <t>2. Höstraps</t>
  </si>
  <si>
    <t>3. Vall</t>
  </si>
  <si>
    <t>1. Övriga</t>
  </si>
  <si>
    <t>2. Pot/s-bet</t>
  </si>
  <si>
    <t>Förväntad förändring om</t>
  </si>
  <si>
    <t>2 = s-bet/pot</t>
  </si>
  <si>
    <t>1 = övriga</t>
  </si>
  <si>
    <t>2 = höstraps</t>
  </si>
  <si>
    <t>3 = vall</t>
  </si>
  <si>
    <t xml:space="preserve">1 = öppen </t>
  </si>
  <si>
    <t>Priset i sträng på fältet!</t>
  </si>
  <si>
    <t>30 år</t>
  </si>
  <si>
    <t>50 år</t>
  </si>
  <si>
    <t>Procentuell skillnad efter</t>
  </si>
  <si>
    <t>Höstgiva</t>
  </si>
  <si>
    <t>utsläpp</t>
  </si>
  <si>
    <t>Klimatgas-</t>
  </si>
  <si>
    <t>och Utlakning kompletteras med fakta kring grödans utlakning.</t>
  </si>
  <si>
    <t xml:space="preserve">Resultat efter </t>
  </si>
  <si>
    <t>år</t>
  </si>
  <si>
    <t>Valt år</t>
  </si>
  <si>
    <t>25 år</t>
  </si>
  <si>
    <t>diff mull</t>
  </si>
  <si>
    <t>diff skörd</t>
  </si>
  <si>
    <t>mullförändring</t>
  </si>
  <si>
    <t>Mullförändring efter valt antal år</t>
  </si>
  <si>
    <t>Nettovärde, kr/kg</t>
  </si>
  <si>
    <t>Biogödsel</t>
  </si>
  <si>
    <t xml:space="preserve">Lagt in mullberäkning för Åkerböna som saknades </t>
  </si>
  <si>
    <t>Lagt in möjlighet att variera antal år för mullberäkningen</t>
  </si>
  <si>
    <t>Version</t>
  </si>
  <si>
    <t>Ny kvävesimulator</t>
  </si>
  <si>
    <r>
      <t>y =c + bx - ax</t>
    </r>
    <r>
      <rPr>
        <vertAlign val="superscript"/>
        <sz val="10"/>
        <rFont val="Arial"/>
        <family val="2"/>
      </rPr>
      <t>2</t>
    </r>
    <r>
      <rPr>
        <sz val="10"/>
        <rFont val="Arial"/>
        <family val="2"/>
      </rPr>
      <t xml:space="preserve"> + ex</t>
    </r>
    <r>
      <rPr>
        <vertAlign val="superscript"/>
        <sz val="10"/>
        <rFont val="Arial"/>
        <family val="2"/>
      </rPr>
      <t>3</t>
    </r>
  </si>
  <si>
    <r>
      <t>y =</t>
    </r>
    <r>
      <rPr>
        <sz val="10"/>
        <rFont val="Arial"/>
        <family val="2"/>
      </rPr>
      <t>ax</t>
    </r>
    <r>
      <rPr>
        <vertAlign val="superscript"/>
        <sz val="10"/>
        <rFont val="Arial"/>
        <family val="2"/>
      </rPr>
      <t>2</t>
    </r>
    <r>
      <rPr>
        <sz val="10"/>
        <rFont val="Arial"/>
        <family val="2"/>
      </rPr>
      <t>+ bx +c</t>
    </r>
  </si>
  <si>
    <r>
      <t>y=4000+46,6x-0,09x</t>
    </r>
    <r>
      <rPr>
        <vertAlign val="superscript"/>
        <sz val="10"/>
        <rFont val="Arial"/>
        <family val="2"/>
      </rPr>
      <t>2</t>
    </r>
    <r>
      <rPr>
        <sz val="10"/>
        <rFont val="Arial"/>
        <family val="2"/>
      </rPr>
      <t>+0x</t>
    </r>
    <r>
      <rPr>
        <vertAlign val="superscript"/>
        <sz val="10"/>
        <rFont val="Arial"/>
        <family val="2"/>
      </rPr>
      <t>3</t>
    </r>
  </si>
  <si>
    <r>
      <t>y=3290+33,8x-0,046x</t>
    </r>
    <r>
      <rPr>
        <vertAlign val="superscript"/>
        <sz val="10"/>
        <rFont val="Arial"/>
        <family val="2"/>
      </rPr>
      <t>2</t>
    </r>
    <r>
      <rPr>
        <sz val="10"/>
        <rFont val="Arial"/>
        <family val="2"/>
      </rPr>
      <t>+0x</t>
    </r>
    <r>
      <rPr>
        <vertAlign val="superscript"/>
        <sz val="10"/>
        <rFont val="Arial"/>
        <family val="2"/>
      </rPr>
      <t>3</t>
    </r>
  </si>
  <si>
    <t>Ton ts</t>
  </si>
  <si>
    <t>Mull</t>
  </si>
  <si>
    <t>Fast mängd</t>
  </si>
  <si>
    <t>Hjälpruta för grödtyp</t>
  </si>
  <si>
    <t>Gjort om mullberäkningen för grödor med fast mängd. Grödtyp 1 resp 2 i "Gröddata" anger dynamiskt tillförsel efter skörd resp fast mängd.</t>
  </si>
  <si>
    <t>Grödtyp 1</t>
  </si>
  <si>
    <t>Faktor ggr skörd</t>
  </si>
  <si>
    <t>Grödtyp 2</t>
  </si>
  <si>
    <t>Djupströ</t>
  </si>
  <si>
    <t>Styrning till</t>
  </si>
  <si>
    <t>flytande eller fast</t>
  </si>
  <si>
    <t>Fixat ett fel i markpackningsberäkningen där urin och djupströbädd missades</t>
  </si>
  <si>
    <t>Maskinkostnader Danmark</t>
  </si>
  <si>
    <t>Justerat i Nettovärdet av skörderester under Gröddata</t>
  </si>
  <si>
    <t>Kaliumvärdena för stallgödsel rätt kopplade till % utnyttjande under Stallgödseldata:Ändrat diagrammen så att Basläget ligger överst när man startar. Flyttat Utlakning och Växthusgasfliken längre till vänster så de är mer lättillgängliga</t>
  </si>
  <si>
    <t>Justerat grödfaktorena under Mullberäkning. Effekten av vårspannmål, potatis och majs är nedvärderad.</t>
  </si>
  <si>
    <t>Yl</t>
  </si>
  <si>
    <t>Yr</t>
  </si>
  <si>
    <t>Koeff relaterade till fältskörd (spm 86%ts,pot. Betor 20%)</t>
  </si>
  <si>
    <t>Ovanj(ky)</t>
  </si>
  <si>
    <t>Underj</t>
  </si>
  <si>
    <t xml:space="preserve">under 1,2 </t>
  </si>
  <si>
    <t>1,2 - 1,8</t>
  </si>
  <si>
    <t xml:space="preserve"> 1,8 - 3,6</t>
  </si>
  <si>
    <t xml:space="preserve"> 3,6-7,2</t>
  </si>
  <si>
    <t>BERÄKNINGSARK FÖR VÄXTFÖLJD</t>
  </si>
  <si>
    <t>Kg C i matjordslagret:</t>
  </si>
  <si>
    <t>Tillskott skörderester</t>
  </si>
  <si>
    <t>r - justering (mark - klimat)</t>
  </si>
  <si>
    <t>andel</t>
  </si>
  <si>
    <t>Ovanjord</t>
  </si>
  <si>
    <t>Underj,</t>
  </si>
  <si>
    <t>Auto-</t>
  </si>
  <si>
    <t>matisk</t>
  </si>
  <si>
    <t>Slutlig</t>
  </si>
  <si>
    <t>lämnad</t>
  </si>
  <si>
    <t>(mål)</t>
  </si>
  <si>
    <r>
      <t>Y</t>
    </r>
    <r>
      <rPr>
        <i/>
        <sz val="10"/>
        <rFont val="Arial"/>
        <family val="2"/>
      </rPr>
      <t xml:space="preserve"> l eller I l</t>
    </r>
  </si>
  <si>
    <r>
      <t>Y</t>
    </r>
    <r>
      <rPr>
        <i/>
        <sz val="10"/>
        <rFont val="Arial"/>
        <family val="2"/>
      </rPr>
      <t xml:space="preserve"> r eller i r</t>
    </r>
  </si>
  <si>
    <t>Ung ovan</t>
  </si>
  <si>
    <t>C i skörd</t>
  </si>
  <si>
    <t>Rs</t>
  </si>
  <si>
    <t>Rr</t>
  </si>
  <si>
    <t>Re</t>
  </si>
  <si>
    <t>korn</t>
  </si>
  <si>
    <t>havre</t>
  </si>
  <si>
    <t>vete</t>
  </si>
  <si>
    <t>gräs, år1</t>
  </si>
  <si>
    <t>gräs avbrott</t>
  </si>
  <si>
    <t>andel av NPP (totala kolproduktionen)</t>
  </si>
  <si>
    <t>Enl</t>
  </si>
  <si>
    <t xml:space="preserve"> Bolinder</t>
  </si>
  <si>
    <t>rötter</t>
  </si>
  <si>
    <t>extra</t>
  </si>
  <si>
    <t>kg C per m2</t>
  </si>
  <si>
    <t>Rp</t>
  </si>
  <si>
    <t>Tot ovan</t>
  </si>
  <si>
    <t>Rötter</t>
  </si>
  <si>
    <t>sum und</t>
  </si>
  <si>
    <t>NPP</t>
  </si>
  <si>
    <t>Tot tillsk</t>
  </si>
  <si>
    <t>ovanj</t>
  </si>
  <si>
    <t>Underjj</t>
  </si>
  <si>
    <t>sum</t>
  </si>
  <si>
    <t>korn insådd</t>
  </si>
  <si>
    <t>yy</t>
  </si>
  <si>
    <t>+</t>
  </si>
  <si>
    <t>Insådd</t>
  </si>
  <si>
    <t>Vallavbrott</t>
  </si>
  <si>
    <t>Initial värde för</t>
  </si>
  <si>
    <t>hr</t>
  </si>
  <si>
    <t>hm</t>
  </si>
  <si>
    <r>
      <t>r</t>
    </r>
    <r>
      <rPr>
        <i/>
        <vertAlign val="subscript"/>
        <sz val="12"/>
        <rFont val="Times New Roman"/>
        <family val="1"/>
      </rPr>
      <t>e</t>
    </r>
  </si>
  <si>
    <t>il</t>
  </si>
  <si>
    <t>ir</t>
  </si>
  <si>
    <t>m</t>
  </si>
  <si>
    <t>total markkol (SOC)</t>
  </si>
  <si>
    <r>
      <rPr>
        <i/>
        <sz val="12"/>
        <rFont val="Times New Roman"/>
        <family val="1"/>
      </rPr>
      <t>m</t>
    </r>
    <r>
      <rPr>
        <i/>
        <vertAlign val="subscript"/>
        <sz val="12"/>
        <rFont val="Times New Roman"/>
        <family val="1"/>
      </rPr>
      <t>0</t>
    </r>
  </si>
  <si>
    <r>
      <t>Yl</t>
    </r>
    <r>
      <rPr>
        <vertAlign val="subscript"/>
        <sz val="12"/>
        <rFont val="Times New Roman"/>
        <family val="1"/>
      </rPr>
      <t>0</t>
    </r>
  </si>
  <si>
    <r>
      <t>Yr</t>
    </r>
    <r>
      <rPr>
        <vertAlign val="subscript"/>
        <sz val="12"/>
        <rFont val="Times New Roman"/>
        <family val="1"/>
      </rPr>
      <t>0</t>
    </r>
  </si>
  <si>
    <r>
      <t>O</t>
    </r>
    <r>
      <rPr>
        <i/>
        <vertAlign val="subscript"/>
        <sz val="12"/>
        <rFont val="Times New Roman"/>
        <family val="1"/>
      </rPr>
      <t>0</t>
    </r>
  </si>
  <si>
    <t>BASLÄGE</t>
  </si>
  <si>
    <t>Man får skriva in steady-state värde</t>
  </si>
  <si>
    <t>Markkol</t>
  </si>
  <si>
    <t>djup</t>
  </si>
  <si>
    <t>Skrymdvikt</t>
  </si>
  <si>
    <t>Vid start, kg kol/ha</t>
  </si>
  <si>
    <t>(%)</t>
  </si>
  <si>
    <t>(cm)</t>
  </si>
  <si>
    <r>
      <t>(g/cm</t>
    </r>
    <r>
      <rPr>
        <vertAlign val="superscript"/>
        <sz val="12"/>
        <rFont val="Arial"/>
        <family val="2"/>
      </rPr>
      <t>3</t>
    </r>
    <r>
      <rPr>
        <sz val="12"/>
        <rFont val="Arial"/>
        <family val="2"/>
      </rPr>
      <t>)</t>
    </r>
  </si>
  <si>
    <r>
      <t>(kg C/m</t>
    </r>
    <r>
      <rPr>
        <vertAlign val="superscript"/>
        <sz val="12"/>
        <rFont val="Arial"/>
        <family val="2"/>
      </rPr>
      <t>2</t>
    </r>
    <r>
      <rPr>
        <sz val="12"/>
        <rFont val="Arial"/>
        <family val="2"/>
      </rPr>
      <t>)</t>
    </r>
  </si>
  <si>
    <t>Förändr./år, medel 10 år</t>
  </si>
  <si>
    <r>
      <t>k</t>
    </r>
    <r>
      <rPr>
        <i/>
        <vertAlign val="subscript"/>
        <sz val="12"/>
        <rFont val="Times New Roman"/>
        <family val="1"/>
      </rPr>
      <t>Y</t>
    </r>
  </si>
  <si>
    <r>
      <t>k</t>
    </r>
    <r>
      <rPr>
        <i/>
        <vertAlign val="subscript"/>
        <sz val="12"/>
        <rFont val="Times New Roman"/>
        <family val="1"/>
      </rPr>
      <t>O</t>
    </r>
  </si>
  <si>
    <t>hl</t>
  </si>
  <si>
    <t>Resultat i %C</t>
  </si>
  <si>
    <t>fånggr.</t>
  </si>
  <si>
    <r>
      <rPr>
        <i/>
        <sz val="12"/>
        <rFont val="Times New Roman"/>
        <family val="1"/>
      </rPr>
      <t>m</t>
    </r>
    <r>
      <rPr>
        <i/>
        <vertAlign val="subscript"/>
        <sz val="12"/>
        <rFont val="Times New Roman"/>
        <family val="1"/>
      </rPr>
      <t>t</t>
    </r>
  </si>
  <si>
    <r>
      <t>Yl</t>
    </r>
    <r>
      <rPr>
        <i/>
        <vertAlign val="subscript"/>
        <sz val="12"/>
        <rFont val="Times New Roman"/>
        <family val="1"/>
      </rPr>
      <t>t</t>
    </r>
  </si>
  <si>
    <r>
      <t>Yr</t>
    </r>
    <r>
      <rPr>
        <i/>
        <vertAlign val="subscript"/>
        <sz val="12"/>
        <rFont val="Times New Roman"/>
        <family val="1"/>
      </rPr>
      <t>t</t>
    </r>
  </si>
  <si>
    <r>
      <t>O</t>
    </r>
    <r>
      <rPr>
        <i/>
        <vertAlign val="subscript"/>
        <sz val="12"/>
        <rFont val="Times New Roman"/>
        <family val="1"/>
      </rPr>
      <t>t</t>
    </r>
  </si>
  <si>
    <r>
      <t>SOC</t>
    </r>
    <r>
      <rPr>
        <i/>
        <vertAlign val="subscript"/>
        <sz val="12"/>
        <rFont val="Times New Roman"/>
        <family val="1"/>
      </rPr>
      <t>t</t>
    </r>
  </si>
  <si>
    <t>kg C/ha*år</t>
  </si>
  <si>
    <t>%C</t>
  </si>
  <si>
    <t>im</t>
  </si>
  <si>
    <t>sum inp/å</t>
  </si>
  <si>
    <t>diff C30</t>
  </si>
  <si>
    <t>mullC/inpC</t>
  </si>
  <si>
    <t>ko*r ber</t>
  </si>
  <si>
    <t xml:space="preserve"> Ypool 30</t>
  </si>
  <si>
    <r>
      <t>Kalkylen av steady-state värdet för varje pool följer principen i ekvation (5) enligt Andr</t>
    </r>
    <r>
      <rPr>
        <sz val="12"/>
        <rFont val="Calibri"/>
        <family val="2"/>
      </rPr>
      <t>é</t>
    </r>
    <r>
      <rPr>
        <sz val="10.8"/>
        <rFont val="Arial"/>
        <family val="2"/>
      </rPr>
      <t>n &amp; Kätterer (1997):</t>
    </r>
  </si>
  <si>
    <t>NYTT LÄGE</t>
  </si>
  <si>
    <r>
      <t>men i den här versionen  av ICBM har vi tre young (Y) pooler och därmed 3 olika  värden vi sätter till Y</t>
    </r>
    <r>
      <rPr>
        <vertAlign val="subscript"/>
        <sz val="12"/>
        <rFont val="Arial"/>
        <family val="2"/>
      </rPr>
      <t>SS</t>
    </r>
    <r>
      <rPr>
        <sz val="12"/>
        <rFont val="Arial"/>
        <family val="2"/>
      </rPr>
      <t>:</t>
    </r>
  </si>
  <si>
    <t>Ett försök att använda en prel beräning för att få ingångsvärden på Yl o Yr</t>
  </si>
  <si>
    <t>Tot C</t>
  </si>
  <si>
    <t>därav Y</t>
  </si>
  <si>
    <t>därav O</t>
  </si>
  <si>
    <t>ungt</t>
  </si>
  <si>
    <t>gammalt</t>
  </si>
  <si>
    <t>Fördelning av kolpoolen</t>
  </si>
  <si>
    <t>Ung under</t>
  </si>
  <si>
    <t>Nu modifierat enl Bolinder 20170206</t>
  </si>
  <si>
    <t>FÖR ATT JUSTERA ALLOKERING:  KOL R - V</t>
  </si>
  <si>
    <t xml:space="preserve">skörd </t>
  </si>
  <si>
    <t>Ypool %av O</t>
  </si>
  <si>
    <t>Analystrender, se ICBM R96</t>
  </si>
  <si>
    <t xml:space="preserve">trend </t>
  </si>
  <si>
    <t>medel</t>
  </si>
  <si>
    <t>Y,% av O</t>
  </si>
  <si>
    <t>Analyser differenser kg C/ha*år</t>
  </si>
  <si>
    <t>%C/år</t>
  </si>
  <si>
    <t>betyder</t>
  </si>
  <si>
    <t>kg/år</t>
  </si>
  <si>
    <t>ANALYSER</t>
  </si>
  <si>
    <t>bas</t>
  </si>
  <si>
    <t>nytt</t>
  </si>
  <si>
    <t>analyser</t>
  </si>
  <si>
    <t>N-faktorer för kolumn I</t>
  </si>
  <si>
    <t xml:space="preserve"> 1. Utan mullhänsyn  2. Med mullhänsyn.  3 Med hänsyn till mull och bioenergi.  4 Med mull och kompensationsprod.</t>
  </si>
  <si>
    <t>MJ/kg</t>
  </si>
  <si>
    <t>Om N-ffix eller N-gödslad fång/eftergröda</t>
  </si>
  <si>
    <t>Per hektar</t>
  </si>
  <si>
    <t>Per skördad kg ts el spannmål</t>
  </si>
  <si>
    <t>Därtill effekt av utlakning</t>
  </si>
  <si>
    <t xml:space="preserve"> Nytt läge</t>
  </si>
  <si>
    <t xml:space="preserve">. </t>
  </si>
  <si>
    <t>++++++++++++++++++++++++++++++++++++++++++++++</t>
  </si>
  <si>
    <t>-</t>
  </si>
  <si>
    <t>Energiberäkningar</t>
  </si>
  <si>
    <t>Energidata</t>
  </si>
  <si>
    <t>MJ/ha</t>
  </si>
  <si>
    <t>I skördeprod</t>
  </si>
  <si>
    <t>Netto i ts</t>
  </si>
  <si>
    <t>Schablon diesel</t>
  </si>
  <si>
    <t>Maskiner</t>
  </si>
  <si>
    <t>Torkning 2%</t>
  </si>
  <si>
    <t xml:space="preserve">Kalk,,PK, </t>
  </si>
  <si>
    <t>Bekämpning, 2 l medel</t>
  </si>
  <si>
    <t>Avvikelser från schablon</t>
  </si>
  <si>
    <t>I arket Klimat har angetts förbättringsmöljiligheter</t>
  </si>
  <si>
    <t>torkning</t>
  </si>
  <si>
    <t>bekämpn</t>
  </si>
  <si>
    <t xml:space="preserve">Övrigt </t>
  </si>
  <si>
    <t>Netto MJ/ha</t>
  </si>
  <si>
    <t>Insats</t>
  </si>
  <si>
    <t>Vill du lilämma dem  här också skriv i kolumn U</t>
  </si>
  <si>
    <t>Fr Klimat</t>
  </si>
  <si>
    <t>I energi</t>
  </si>
  <si>
    <t>Insats kwh</t>
  </si>
  <si>
    <t>Insats/kg</t>
  </si>
  <si>
    <t>Energikvot</t>
  </si>
  <si>
    <t>I Energi</t>
  </si>
  <si>
    <t>Med hänsyn till bioenergiproduktion</t>
  </si>
  <si>
    <t>Produktion bioenergi MJ/ha</t>
  </si>
  <si>
    <t>Därav biogas</t>
  </si>
  <si>
    <t>Nettoenergi MJ/ha</t>
  </si>
  <si>
    <t>Antag ett pris kr/kwh</t>
  </si>
  <si>
    <t>Bioenergivärde kr/ha</t>
  </si>
  <si>
    <t>Förutsättningar</t>
  </si>
  <si>
    <t>Diff (skillnaden) är "Nytt läge" - "Basläge"</t>
  </si>
  <si>
    <t>Ändrat</t>
  </si>
  <si>
    <t>Diff som påverkar kolbalansen</t>
  </si>
  <si>
    <t>skördevärde</t>
  </si>
  <si>
    <t>Resultat, per år</t>
  </si>
  <si>
    <t>Input N</t>
  </si>
  <si>
    <t>Mångfald</t>
  </si>
  <si>
    <t>Höstbevux.</t>
  </si>
  <si>
    <t>N-utlak.</t>
  </si>
  <si>
    <t>Klimatgas</t>
  </si>
  <si>
    <t>Extern</t>
  </si>
  <si>
    <t>Min-g</t>
  </si>
  <si>
    <t>mark</t>
  </si>
  <si>
    <t>m mull+bio</t>
  </si>
  <si>
    <t>Org N</t>
  </si>
  <si>
    <t>kr/år</t>
  </si>
  <si>
    <t>kgCO2e/ha</t>
  </si>
  <si>
    <t>kwh/ha</t>
  </si>
  <si>
    <t>Fix N</t>
  </si>
  <si>
    <t>Output</t>
  </si>
  <si>
    <t>Produkter</t>
  </si>
  <si>
    <t>Därav C tillf:</t>
  </si>
  <si>
    <t>Till bioenergi</t>
  </si>
  <si>
    <t>övr Nförl</t>
  </si>
  <si>
    <t>Efter 5år</t>
  </si>
  <si>
    <t>Korr Nbal</t>
  </si>
  <si>
    <t>Biogas kwh</t>
  </si>
  <si>
    <t>Efter 30år</t>
  </si>
  <si>
    <t>Återcirk</t>
  </si>
  <si>
    <t>Odling med 4 år spannmål</t>
  </si>
  <si>
    <t>Medel per år</t>
  </si>
  <si>
    <t>Produktion</t>
  </si>
  <si>
    <t>Kwh</t>
  </si>
  <si>
    <t>Bioenergi</t>
  </si>
  <si>
    <t>Prel bal</t>
  </si>
  <si>
    <t>Mulluppb</t>
  </si>
  <si>
    <t>Utlakn diff</t>
  </si>
  <si>
    <t>Kväveberäkning, (kan överhoppas)</t>
  </si>
  <si>
    <t>Fixering</t>
  </si>
  <si>
    <t>N% i</t>
  </si>
  <si>
    <t>Efterv N</t>
  </si>
  <si>
    <t>bortf skörd</t>
  </si>
  <si>
    <t>På fält</t>
  </si>
  <si>
    <t>tot N/ha</t>
  </si>
  <si>
    <t>Prel Nbalans</t>
  </si>
  <si>
    <t>Kolbalans, N-effekt</t>
  </si>
  <si>
    <t>Hum.koeff 30 år</t>
  </si>
  <si>
    <t>Nytt är  kvar</t>
  </si>
  <si>
    <t>Inlagt ICBM</t>
  </si>
  <si>
    <t>Uppdaterat koefficienter enligt ICBM på flik Mull_ICBM</t>
  </si>
  <si>
    <t>Uppdaterat koefficienter enligt ICBM på flik Mull_ICBM enligt Martin Bolinder nya Allokering. En del nya flikar från Göte Rapport OP och Energi</t>
  </si>
  <si>
    <t>används</t>
  </si>
  <si>
    <t>Tillskott fånggröda</t>
  </si>
  <si>
    <t>lagt in justering för fånggröda och stallgödsel</t>
  </si>
  <si>
    <t>Stg</t>
  </si>
  <si>
    <t>i Basläge</t>
  </si>
  <si>
    <t>Lägga in tillskott i r om det är insådd eller vallavbrott</t>
  </si>
  <si>
    <t>Ange skörderest i vall. Återväxt 0,4?</t>
  </si>
  <si>
    <t>Träda innebär 32% högre r-värde</t>
  </si>
  <si>
    <t xml:space="preserve">Olika regioner Skåne 1,3, Norrland 0,7, </t>
  </si>
  <si>
    <t>Andreen et al 2008</t>
  </si>
  <si>
    <t>Andreen and Katterer 1997</t>
  </si>
  <si>
    <t>Allokering grödor</t>
  </si>
  <si>
    <t xml:space="preserve">Fodermajs </t>
  </si>
  <si>
    <t>lika med raps</t>
  </si>
  <si>
    <t>se Bolinder 2007</t>
  </si>
  <si>
    <t>samma som vall</t>
  </si>
  <si>
    <t>knepigt med avkastning</t>
  </si>
  <si>
    <t>lika spannmål</t>
  </si>
  <si>
    <t>Jensen et al 2010</t>
  </si>
  <si>
    <t>Gan mfl 2009</t>
  </si>
  <si>
    <t>Chickpea</t>
  </si>
  <si>
    <t>Dry pea</t>
  </si>
  <si>
    <t>Rp 0,243</t>
  </si>
  <si>
    <t>Rs 0,564</t>
  </si>
  <si>
    <t xml:space="preserve">Rp 0,389 </t>
  </si>
  <si>
    <t>Rs 0,515</t>
  </si>
  <si>
    <t>Rr 0,058</t>
  </si>
  <si>
    <t>Re 0,038</t>
  </si>
  <si>
    <t>Rp 0,497</t>
  </si>
  <si>
    <t>Rs 0,478</t>
  </si>
  <si>
    <t>Rr 0,015</t>
  </si>
  <si>
    <t>Re 0,010</t>
  </si>
  <si>
    <t>Rr 0,117</t>
  </si>
  <si>
    <t>Re 0,076</t>
  </si>
  <si>
    <t>Rp 0,325</t>
  </si>
  <si>
    <t>Rs 0,487</t>
  </si>
  <si>
    <t>Rr 0,114</t>
  </si>
  <si>
    <t>Re 0,074</t>
  </si>
  <si>
    <t>Foderärt &amp; konserv</t>
  </si>
  <si>
    <t>Ändra till kg C per ha i MULL_ICBM</t>
  </si>
  <si>
    <t>Produktionsområde</t>
  </si>
  <si>
    <t>Götalands mellanbygder</t>
  </si>
  <si>
    <t>Götalands skogsbygder</t>
  </si>
  <si>
    <t>Götalands norra slättbygder</t>
  </si>
  <si>
    <t>Svealands slättbygder</t>
  </si>
  <si>
    <t>Svealands skogsbygder</t>
  </si>
  <si>
    <t>Nedre Norrland</t>
  </si>
  <si>
    <t>Övre Norrland</t>
  </si>
  <si>
    <t>Götalands södra slättbygder</t>
  </si>
  <si>
    <t>omr</t>
  </si>
  <si>
    <t>insådd</t>
  </si>
  <si>
    <t>Vall-</t>
  </si>
  <si>
    <t>brott</t>
  </si>
  <si>
    <t>foderärt</t>
  </si>
  <si>
    <t>konservärt</t>
  </si>
  <si>
    <t>åkerböna</t>
  </si>
  <si>
    <t>fodermajs</t>
  </si>
  <si>
    <t>rött=  tolkat av Hans utifrån Bolinder</t>
  </si>
  <si>
    <t>Lägg in kryss för insådd och vallbrott i Huvudinmatning</t>
  </si>
  <si>
    <t>Lägga in grödfaktorer i Mull_ICBM</t>
  </si>
  <si>
    <t>Klart</t>
  </si>
  <si>
    <t>Justering för produktionsområden</t>
  </si>
  <si>
    <t>Att göra</t>
  </si>
  <si>
    <t>fröodling</t>
  </si>
  <si>
    <t xml:space="preserve">Kolla Götes skrivning om insådd </t>
  </si>
  <si>
    <t>Halm/ grönmassa</t>
  </si>
  <si>
    <t xml:space="preserve">Halm </t>
  </si>
  <si>
    <t>In-</t>
  </si>
  <si>
    <t>sådd</t>
  </si>
  <si>
    <t>% kvar</t>
  </si>
  <si>
    <r>
      <t xml:space="preserve">        </t>
    </r>
    <r>
      <rPr>
        <sz val="11"/>
        <rFont val="Symbol"/>
        <family val="1"/>
        <charset val="2"/>
      </rPr>
      <t>ã</t>
    </r>
  </si>
  <si>
    <t>Lägga in svartträda med 0 i input i Mull_ICBM</t>
  </si>
  <si>
    <t xml:space="preserve">Fyll i värden </t>
  </si>
  <si>
    <t>Ändra endast i gröna och blå rutor!</t>
  </si>
  <si>
    <t>Prod.område</t>
  </si>
  <si>
    <t>Gss</t>
  </si>
  <si>
    <t>Gmb</t>
  </si>
  <si>
    <t>Gns</t>
  </si>
  <si>
    <t>Ss</t>
  </si>
  <si>
    <t>Gsk</t>
  </si>
  <si>
    <t>Ssk</t>
  </si>
  <si>
    <t>Nn</t>
  </si>
  <si>
    <t>Nö</t>
  </si>
  <si>
    <t>Omräkningsfaktor kol/mullhalt</t>
  </si>
  <si>
    <t>Cp</t>
  </si>
  <si>
    <t>Yp</t>
  </si>
  <si>
    <t>Cr</t>
  </si>
  <si>
    <t>Ce</t>
  </si>
  <si>
    <t>Cs</t>
  </si>
  <si>
    <t>Cp+Cs+Cr+Ce</t>
  </si>
  <si>
    <t>Cr+Ce</t>
  </si>
  <si>
    <t>rhizosfär</t>
  </si>
  <si>
    <t>rest kvar</t>
  </si>
  <si>
    <t>Rev 180227</t>
  </si>
  <si>
    <t>Gräs alt 2</t>
  </si>
  <si>
    <t>Avbrott alt 2</t>
  </si>
  <si>
    <t>Koltillskott</t>
  </si>
  <si>
    <t xml:space="preserve">Diff  </t>
  </si>
  <si>
    <t>Kolutflöde</t>
  </si>
  <si>
    <t>Kol</t>
  </si>
  <si>
    <t>Bas in</t>
  </si>
  <si>
    <t>Nytt  in</t>
  </si>
  <si>
    <t>Bas ut</t>
  </si>
  <si>
    <t>Nytt ut</t>
  </si>
  <si>
    <t>Koltillförsel</t>
  </si>
  <si>
    <t>humifieringsgrad för ovanjordiska skörderester</t>
  </si>
  <si>
    <t xml:space="preserve">  - " -                            rötter</t>
  </si>
  <si>
    <t>humifiering</t>
  </si>
  <si>
    <t>Nedbrytning</t>
  </si>
  <si>
    <t>Skörderester</t>
  </si>
  <si>
    <t>Ts</t>
  </si>
  <si>
    <t>Nedbrytningsfaktor</t>
  </si>
  <si>
    <t>ned-
brytning</t>
  </si>
  <si>
    <t xml:space="preserve">  - " -                            stallgödsel</t>
  </si>
  <si>
    <t>Justerat efter GB, Yl och Yr satt till 500</t>
  </si>
  <si>
    <t>Inlagt möjlighet att markera insådd, vallbrott</t>
  </si>
  <si>
    <t>%           Diff</t>
  </si>
  <si>
    <t>år         Nytt</t>
  </si>
  <si>
    <t>Enl Bolinder et al</t>
  </si>
  <si>
    <t>Värden uppdaterade 2011</t>
  </si>
  <si>
    <t>DITT
NYTT-BAS</t>
  </si>
  <si>
    <t>Faktor</t>
  </si>
  <si>
    <t>Principskiss för ICBM</t>
  </si>
  <si>
    <t>Tillskott
stall-
gödsel</t>
  </si>
  <si>
    <t>Tillskott
ovanjord</t>
  </si>
  <si>
    <t>Tillskott
rötter</t>
  </si>
  <si>
    <t>Tillskott
fånggröda</t>
  </si>
  <si>
    <t>Ursprunglig
pool</t>
  </si>
  <si>
    <t>Pool efter
årets netto
input</t>
  </si>
  <si>
    <t>Organisk
pool i
basalt.</t>
  </si>
  <si>
    <t>Organisk
pool i
nytt alt.</t>
  </si>
  <si>
    <t>tillförsel</t>
  </si>
  <si>
    <t>Kol-</t>
  </si>
  <si>
    <t>nedbrytningshastighet i ungt materila</t>
  </si>
  <si>
    <t>nedbrytningshastighet i stabilt organiskt material</t>
  </si>
  <si>
    <t>Föränd-
ring pga
stallg</t>
  </si>
  <si>
    <t>Föränd-ringar pga
ovanjord</t>
  </si>
  <si>
    <t>Ändrad 
kolmängd</t>
  </si>
  <si>
    <t>Föränd-ringar pga
rötter</t>
  </si>
  <si>
    <t>från sköderester</t>
  </si>
  <si>
    <t>från rötter</t>
  </si>
  <si>
    <t>från  stallg</t>
  </si>
  <si>
    <t>från fånggröda</t>
  </si>
  <si>
    <t>re</t>
  </si>
  <si>
    <t>Resultat
Bas</t>
  </si>
  <si>
    <t>Resultat
Nytt</t>
  </si>
  <si>
    <t xml:space="preserve">Kolflödet in/ut efter </t>
  </si>
  <si>
    <t xml:space="preserve">Gjort om </t>
  </si>
  <si>
    <t>Kopplat diagram till ICBM</t>
  </si>
  <si>
    <t>Lagt in r-faktor efter ICBM</t>
  </si>
  <si>
    <t>Sammanfattning och underlag till diagram efter</t>
  </si>
  <si>
    <t>Tillskott, kg kol/ha</t>
  </si>
  <si>
    <t>kg kol per ha</t>
  </si>
  <si>
    <t>Vallinsådd</t>
  </si>
  <si>
    <t>Vallbrott</t>
  </si>
  <si>
    <t>kvar</t>
  </si>
  <si>
    <t xml:space="preserve">  ton</t>
  </si>
  <si>
    <t>IN</t>
  </si>
  <si>
    <t>Ändring</t>
  </si>
  <si>
    <t>Skörde-rester</t>
  </si>
  <si>
    <t>efter</t>
  </si>
  <si>
    <t>Ändring bas</t>
  </si>
  <si>
    <t>Ändring nytt</t>
  </si>
  <si>
    <t>Lägg inte in mer än 2-åriga vallar</t>
  </si>
  <si>
    <t>Observera att programmet inte tillämpligt för långvariga vallar</t>
  </si>
  <si>
    <t>Potatis/
sockerbetor</t>
  </si>
  <si>
    <t>Efter</t>
  </si>
  <si>
    <t>typ-</t>
  </si>
  <si>
    <t>Göte Bertilsson och Hans Nilsson</t>
  </si>
  <si>
    <t>nedbrytning</t>
  </si>
  <si>
    <t xml:space="preserve">GREENGARD/ Greppa Näringen ODLINGSPERSPEKTIV.    </t>
  </si>
  <si>
    <t>Kolförändring i två alternativ</t>
  </si>
  <si>
    <t>Beräkningsprogram kol i marken</t>
  </si>
  <si>
    <t>BERÄKNING</t>
  </si>
  <si>
    <t>enl ICBM</t>
  </si>
  <si>
    <t>Förändring över tid för kolhalt, mullhalt och skörd</t>
  </si>
  <si>
    <t>INTRODUCTORY CARBON BALANCE MODEL</t>
  </si>
  <si>
    <t>Lagt in ny grödgrupp 3 för Potatis och sockerbetor. Städat i flikarna. Gjort om Rapporten. Finns två versioner med nedbrytning enl ICBM resp anpassning till sydsvenska försök (Göte B)</t>
  </si>
  <si>
    <t>Lika med version 36_GB</t>
  </si>
  <si>
    <t>Om Miljösammanfattning fylls i</t>
  </si>
  <si>
    <t>Justering av r efter produktionsområde</t>
  </si>
  <si>
    <t>Inmatning av gårdsspecifika data och försöksresultat för att visa effekt av av att byta gröda, ta bort/lämna skörderester, införa fånggröda och tillföra stallgödsel</t>
  </si>
  <si>
    <t>Bakgrund till mullberäkningarna</t>
  </si>
  <si>
    <t>Gröd- och stallgödseldata. Justera efter lantbrukarens förutsättningar. Möjlighet att lägga in nya grödor och stallgödselslag</t>
  </si>
  <si>
    <t>Utlaknings- och klimatberäkning som främst baseras på uppgifterna i de gröna flikarna. Om nya  grödor läggs till i de blå flikarna behöver Växthusgaser kompletteras med N-faktor</t>
  </si>
  <si>
    <t>Vallskörd</t>
  </si>
  <si>
    <r>
      <t xml:space="preserve">        </t>
    </r>
    <r>
      <rPr>
        <b/>
        <sz val="11"/>
        <rFont val="Symbol"/>
        <family val="1"/>
        <charset val="2"/>
      </rPr>
      <t>ã</t>
    </r>
  </si>
  <si>
    <t>Typgröda</t>
  </si>
  <si>
    <t>Ange typgröda</t>
  </si>
  <si>
    <t>2= Vall</t>
  </si>
  <si>
    <t>3= Potatis/sockerbetor/grönsaker</t>
  </si>
  <si>
    <t>vall</t>
  </si>
  <si>
    <t>1= Spannmål</t>
  </si>
  <si>
    <t>Spannmål
oljeväxter</t>
  </si>
  <si>
    <t>Vallhantering</t>
  </si>
  <si>
    <t xml:space="preserve">    Samband mullhalt-skörd</t>
  </si>
  <si>
    <t>3.0</t>
  </si>
  <si>
    <t>Halm/vallskörd</t>
  </si>
  <si>
    <t>Fixat bugg i MullICBM under stallgödsel i basläge, lagt till rubrik kg ts/ha för fånggröda, fixat skydd i alla flikar inkl Huvudinmatning (special för kryssrutor - skyddas via Startfliken/grupp celler/format/skydd)</t>
  </si>
  <si>
    <t>3.01</t>
  </si>
  <si>
    <t>3.02</t>
  </si>
  <si>
    <t>B</t>
  </si>
  <si>
    <t>C</t>
  </si>
  <si>
    <t>D</t>
  </si>
  <si>
    <t>E</t>
  </si>
  <si>
    <t>F</t>
  </si>
  <si>
    <t>stallg</t>
  </si>
  <si>
    <t>Ovan</t>
  </si>
  <si>
    <t>EXP</t>
  </si>
  <si>
    <t>EXP y</t>
  </si>
  <si>
    <t>Pool</t>
  </si>
  <si>
    <t>Pool minus ABC</t>
  </si>
  <si>
    <t>EXP o</t>
  </si>
  <si>
    <t>ovan</t>
  </si>
  <si>
    <t>Exp o</t>
  </si>
  <si>
    <t>EXPy</t>
  </si>
  <si>
    <t>steg 1</t>
  </si>
  <si>
    <t>Fångg</t>
  </si>
  <si>
    <t>ateg 2</t>
  </si>
  <si>
    <t>EXPo</t>
  </si>
  <si>
    <t>nedbrytning gammal pool</t>
  </si>
  <si>
    <t>In stallg</t>
  </si>
  <si>
    <t>In ovan</t>
  </si>
  <si>
    <t>In rötter</t>
  </si>
  <si>
    <t>vid bortförsel</t>
  </si>
  <si>
    <t>Fixat ett fel i utlakningsberäkningen som påverkade fånggrödeeffekten. Gjort om underlag till diagram i Mull_ICBM</t>
  </si>
  <si>
    <t>3.03</t>
  </si>
  <si>
    <t>Fixat fel i rapporten för att ange skördarna rätt i nytt läge. Fixat en ruta för r-faktorn under Mull_ICBM. Skivit ny text om slam under Mull_info</t>
  </si>
  <si>
    <t>3.04</t>
  </si>
  <si>
    <t>3.05</t>
  </si>
  <si>
    <t>Sänkt lägsta skördenivå från 49 till 39 dt/ha i fliken listor för höstvete (kvarn 0 foder) samt höstvete</t>
  </si>
  <si>
    <t>Fixat ett fel i rapporten kring halmbortförsel</t>
  </si>
  <si>
    <t>hv</t>
  </si>
  <si>
    <t>fg</t>
  </si>
  <si>
    <t>vallhantering  och stallgödsel</t>
  </si>
  <si>
    <t>ODLINGSPERSPEKTIV 3.09</t>
  </si>
  <si>
    <t>PK-rekommendationer</t>
  </si>
  <si>
    <t xml:space="preserve">Vårvete </t>
  </si>
  <si>
    <t>Riktgivor för kvävegödsling i kg N/ha till stråsäd 2021. Gäller för mineraljord och med förfrukt stråsäd.</t>
  </si>
  <si>
    <t>Korn, Norrland</t>
  </si>
  <si>
    <t>Höstvete foder</t>
  </si>
  <si>
    <t>Korn foder</t>
  </si>
  <si>
    <t>Korn malt</t>
  </si>
  <si>
    <t xml:space="preserve">Höstvete foder </t>
  </si>
  <si>
    <t xml:space="preserve">Råg </t>
  </si>
  <si>
    <t>Södra Götaland (Gss och Gmb)</t>
  </si>
  <si>
    <t>Norra Götaland &amp; Svealand (Gns,Gsk, Ss, Ssk)</t>
  </si>
  <si>
    <t xml:space="preserve">Riktgivor för kvävegödsling i kg N/ha till oljeväxter 2021. </t>
  </si>
  <si>
    <t>vårgödsling</t>
  </si>
  <si>
    <t>höstgödsling</t>
  </si>
  <si>
    <t>Kvävegivor till höstoljeväxter utifrån antagandena ovan</t>
  </si>
  <si>
    <t>Våroljeväxter</t>
  </si>
  <si>
    <t>Lin</t>
  </si>
  <si>
    <t>enl. Rekommendationer för gödsling och kalkning 2021</t>
  </si>
  <si>
    <t>Kvävegivor till ensilagevall</t>
  </si>
  <si>
    <t>3.09</t>
  </si>
  <si>
    <t xml:space="preserve">Riktgivor för kvävegödsling i kg N/ha till potatis och sockerbetor 2021. </t>
  </si>
  <si>
    <t>Kvävegiva</t>
  </si>
  <si>
    <t>Kvävegivor till våroljeväxter</t>
  </si>
  <si>
    <t>Kvävegiva till Potatis</t>
  </si>
  <si>
    <t>Kvävegiva till Sockerbetor</t>
  </si>
  <si>
    <t>Teknik</t>
  </si>
  <si>
    <t>Procentuell skördesänkning</t>
  </si>
  <si>
    <t>Matpotatis (parti)*</t>
  </si>
  <si>
    <t>Från Rekommendationer för gödsling ocjh kalkning 2021</t>
  </si>
  <si>
    <t>Bladlus</t>
  </si>
  <si>
    <t>Fritfluga</t>
  </si>
  <si>
    <t>SPRUTNING</t>
  </si>
  <si>
    <t>Brodd</t>
  </si>
  <si>
    <t>Tillväxtreg</t>
  </si>
  <si>
    <t>Stråknäckare</t>
  </si>
  <si>
    <t>Riktgivor för kvävegödsling i kg N/ha till ensilagevall</t>
  </si>
  <si>
    <t>Riktgivor för kvävegödsling i kg N/ha till helsädesensilage 2021</t>
  </si>
  <si>
    <t>Riktgivor för kvävegödsling i kg N/ha till fodermajs 2021</t>
  </si>
  <si>
    <t>Kvävegivor till fodermajs</t>
  </si>
  <si>
    <t>Rapsbagge</t>
  </si>
  <si>
    <t>Odlaravgift</t>
  </si>
  <si>
    <t>Bladlöss</t>
  </si>
  <si>
    <t>SPRUTA</t>
  </si>
  <si>
    <t xml:space="preserve">UH </t>
  </si>
  <si>
    <t>TRAKTOR</t>
  </si>
  <si>
    <t>Axgång</t>
  </si>
  <si>
    <t>HÖSTRÅG</t>
  </si>
  <si>
    <t>BLASTDÖD</t>
  </si>
  <si>
    <t>Uppdaterade värden okt 2021, kopplat till fliken Underlag spannmål och Underlag oljeväxter, trindsäd</t>
  </si>
  <si>
    <t>SOCKERBETOR</t>
  </si>
  <si>
    <t>MATPOTATIS</t>
  </si>
  <si>
    <t>SLÅTTERVALL, ENSILAGE</t>
  </si>
  <si>
    <t>3-skördesystem, 10 % klöver</t>
  </si>
  <si>
    <t>HELSÄDESENSILAGE</t>
  </si>
  <si>
    <t>FODERMAJS</t>
  </si>
  <si>
    <t>Lejd</t>
  </si>
  <si>
    <t>UPPTAGNING</t>
  </si>
  <si>
    <t>SÅDD</t>
  </si>
  <si>
    <t>RADRENSNING</t>
  </si>
  <si>
    <t>STUKA</t>
  </si>
  <si>
    <t>UH+avskrivning+ränta</t>
  </si>
  <si>
    <t>Bladmögel</t>
  </si>
  <si>
    <t>Blastdödning</t>
  </si>
  <si>
    <t>SÄTTNING</t>
  </si>
  <si>
    <t>BEVATTNING</t>
  </si>
  <si>
    <t>KUPNING</t>
  </si>
  <si>
    <t>ODLARAVGIFT</t>
  </si>
  <si>
    <t>UH + avskrivning+ränta</t>
  </si>
  <si>
    <t>El+avskrivning + ränta</t>
  </si>
  <si>
    <t>UH+avskrivning +ränta</t>
  </si>
  <si>
    <t>LÅDOR, SORTERING</t>
  </si>
  <si>
    <t>ENSILERING</t>
  </si>
  <si>
    <t>Ens-medel</t>
  </si>
  <si>
    <t>Plast</t>
  </si>
  <si>
    <t>UH</t>
  </si>
  <si>
    <t>LASTMASKIN</t>
  </si>
  <si>
    <t>SLÅTTERKROSS</t>
  </si>
  <si>
    <t>ROTERSTRÄNG</t>
  </si>
  <si>
    <t>Avskrivning+UH+ränta</t>
  </si>
  <si>
    <t>FÄLTHACK</t>
  </si>
  <si>
    <t>ENS-VAGN</t>
  </si>
  <si>
    <t>PLANSILO</t>
  </si>
  <si>
    <t>RUNDBALSPRESS</t>
  </si>
  <si>
    <t>STORBALSVAGN</t>
  </si>
  <si>
    <t>HACKNING</t>
  </si>
  <si>
    <t>VAGNAR</t>
  </si>
  <si>
    <t>Kvävegivor till helsädesensilage</t>
  </si>
  <si>
    <t>Ny förenklad beräkning av växtnäringsbehovet som dessutom uppdaterats till 2021 års Rekommendtioner för gödsling och kalkning. Uppdatering av Tbkalkyler enl Agriwise. Fliken Gröddata uppdaterad och kopplad till NPK-rekommendationer och TB-kalkyler</t>
  </si>
  <si>
    <t>Täckningsbidragskakyler för spannmål</t>
  </si>
  <si>
    <t>Täckningsbidragskakyler för sockerbetor, potatis  och grovfoder</t>
  </si>
  <si>
    <t>5-årsmedeltal</t>
  </si>
  <si>
    <t>Data hämtat från Greppas Gödselkalkyl på www.greppa.nu</t>
  </si>
  <si>
    <t xml:space="preserve">Priser och kostnader för olika grödor uppdaterade hösten 2021. </t>
  </si>
  <si>
    <t>Tagit bort ord som knyter an till jordbearbetning som hängt kvar sen reducerad bearbetning ansågs ge mer mull i marken. Samt uppdaterat manualen så den är anpassad för utskrift/EH</t>
  </si>
  <si>
    <t>Spannmålspriser och priser på växtnäring är medelpriser enligt Rekommendationer för gödsling och kalkning 2021 från Jordbruksverket</t>
  </si>
  <si>
    <t>Övriga kostnader enligt TB från Agriwise (mer info på www.agriwise.se)</t>
  </si>
  <si>
    <t>OBS! Viktig siffra!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</si>
</sst>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64" formatCode="0.000"/>
    <numFmt numFmtId="165" formatCode="0.0"/>
    <numFmt numFmtId="166" formatCode="0.000&quot; t/ha&quot;"/>
    <numFmt numFmtId="167" formatCode="0&quot; kr/ha&quot;"/>
    <numFmt numFmtId="168" formatCode="0.00&quot; Euro/t&quot;"/>
    <numFmt numFmtId="169" formatCode="0&quot; kr/t&quot;"/>
    <numFmt numFmtId="170" formatCode="0&quot; kr/t betor&quot;"/>
    <numFmt numFmtId="171" formatCode="0&quot; kr/h&quot;"/>
    <numFmt numFmtId="172" formatCode="#,##0.00\ &quot;kr&quot;"/>
    <numFmt numFmtId="173" formatCode="0.0%"/>
    <numFmt numFmtId="174" formatCode="0&quot; kg&quot;"/>
    <numFmt numFmtId="175" formatCode="0&quot; HÖSTVETE kvarn&quot;"/>
    <numFmt numFmtId="176" formatCode="0&quot; enheter&quot;"/>
    <numFmt numFmtId="177" formatCode="#,###.00"/>
    <numFmt numFmtId="178" formatCode="0.0000"/>
    <numFmt numFmtId="179" formatCode="0.0000000"/>
    <numFmt numFmtId="180" formatCode="0.00000000"/>
    <numFmt numFmtId="181" formatCode="0.00000"/>
    <numFmt numFmtId="182" formatCode="yy/mm/dd"/>
    <numFmt numFmtId="183" formatCode="0.0&quot; enheter&quot;"/>
  </numFmts>
  <fonts count="154">
    <font>
      <sz val="10"/>
      <name val="Arial"/>
      <family val="2"/>
    </font>
    <font>
      <sz val="11"/>
      <color theme="1"/>
      <name val="Calibri"/>
      <family val="2"/>
      <scheme val="minor"/>
    </font>
    <font>
      <sz val="11"/>
      <color theme="1"/>
      <name val="Calibri"/>
      <family val="2"/>
      <scheme val="minor"/>
    </font>
    <font>
      <sz val="10"/>
      <name val="Arial"/>
      <family val="2"/>
    </font>
    <font>
      <b/>
      <sz val="14"/>
      <name val="Arial"/>
      <family val="2"/>
    </font>
    <font>
      <sz val="12"/>
      <name val="Times New Roman"/>
      <family val="1"/>
    </font>
    <font>
      <sz val="12"/>
      <name val="Symbol"/>
      <family val="1"/>
      <charset val="2"/>
    </font>
    <font>
      <sz val="12"/>
      <name val="Arial"/>
      <family val="2"/>
    </font>
    <font>
      <sz val="10"/>
      <color indexed="10"/>
      <name val="Arial"/>
      <family val="2"/>
    </font>
    <font>
      <b/>
      <sz val="10"/>
      <name val="Arial"/>
      <family val="2"/>
    </font>
    <font>
      <b/>
      <sz val="8"/>
      <color indexed="8"/>
      <name val="Tahoma"/>
      <family val="2"/>
    </font>
    <font>
      <sz val="8"/>
      <color indexed="8"/>
      <name val="Tahoma"/>
      <family val="2"/>
    </font>
    <font>
      <b/>
      <sz val="12"/>
      <name val="Arial"/>
      <family val="2"/>
    </font>
    <font>
      <sz val="12"/>
      <color indexed="10"/>
      <name val="Arial"/>
      <family val="2"/>
    </font>
    <font>
      <b/>
      <sz val="12"/>
      <name val="Times New Roman"/>
      <family val="1"/>
    </font>
    <font>
      <b/>
      <sz val="12"/>
      <color indexed="10"/>
      <name val="Arial"/>
      <family val="2"/>
    </font>
    <font>
      <sz val="12"/>
      <color indexed="8"/>
      <name val="Arial"/>
      <family val="2"/>
    </font>
    <font>
      <b/>
      <sz val="12"/>
      <color indexed="8"/>
      <name val="Arial"/>
      <family val="2"/>
    </font>
    <font>
      <sz val="8"/>
      <color indexed="8"/>
      <name val="Tahoma"/>
      <family val="2"/>
      <charset val="1"/>
    </font>
    <font>
      <b/>
      <sz val="10"/>
      <color indexed="10"/>
      <name val="Arial"/>
      <family val="2"/>
    </font>
    <font>
      <sz val="10"/>
      <color indexed="57"/>
      <name val="Arial"/>
      <family val="2"/>
    </font>
    <font>
      <sz val="10"/>
      <color indexed="11"/>
      <name val="Arial"/>
      <family val="2"/>
    </font>
    <font>
      <b/>
      <sz val="16"/>
      <name val="Arial"/>
      <family val="2"/>
    </font>
    <font>
      <sz val="10"/>
      <name val="Symbol"/>
      <family val="1"/>
      <charset val="2"/>
    </font>
    <font>
      <sz val="8"/>
      <name val="Arial"/>
      <family val="2"/>
    </font>
    <font>
      <sz val="10"/>
      <color indexed="8"/>
      <name val="Arial"/>
      <family val="2"/>
    </font>
    <font>
      <b/>
      <sz val="22"/>
      <name val="Arial-BoldMT"/>
    </font>
    <font>
      <b/>
      <sz val="11.5"/>
      <name val="Arial-BoldMT"/>
    </font>
    <font>
      <sz val="14"/>
      <name val="Arial"/>
      <family val="2"/>
    </font>
    <font>
      <sz val="8"/>
      <color indexed="81"/>
      <name val="Tahoma"/>
      <family val="2"/>
    </font>
    <font>
      <b/>
      <sz val="8"/>
      <color indexed="81"/>
      <name val="Tahoma"/>
      <family val="2"/>
    </font>
    <font>
      <i/>
      <sz val="10"/>
      <name val="Arial"/>
      <family val="2"/>
    </font>
    <font>
      <b/>
      <i/>
      <sz val="10"/>
      <name val="Arial"/>
      <family val="2"/>
    </font>
    <font>
      <sz val="10"/>
      <name val="Times New Roman"/>
      <family val="1"/>
    </font>
    <font>
      <b/>
      <sz val="10"/>
      <name val="Times New Roman"/>
      <family val="1"/>
    </font>
    <font>
      <b/>
      <sz val="10"/>
      <name val="MS Sans Serif"/>
      <family val="2"/>
    </font>
    <font>
      <sz val="10"/>
      <color indexed="10"/>
      <name val="Times New Roman"/>
      <family val="1"/>
    </font>
    <font>
      <sz val="8"/>
      <color indexed="10"/>
      <name val="Times New Roman"/>
      <family val="1"/>
    </font>
    <font>
      <b/>
      <sz val="10"/>
      <color indexed="10"/>
      <name val="Times New Roman"/>
      <family val="1"/>
    </font>
    <font>
      <b/>
      <sz val="10"/>
      <color indexed="10"/>
      <name val="Arial Narrow"/>
      <family val="2"/>
    </font>
    <font>
      <sz val="10"/>
      <color indexed="10"/>
      <name val="Arial Narrow"/>
      <family val="2"/>
    </font>
    <font>
      <sz val="10"/>
      <name val="Arial Narrow"/>
      <family val="2"/>
    </font>
    <font>
      <b/>
      <sz val="20"/>
      <name val="Helvetica"/>
      <family val="2"/>
    </font>
    <font>
      <b/>
      <sz val="14"/>
      <color indexed="10"/>
      <name val="MS Sans Serif"/>
      <family val="2"/>
    </font>
    <font>
      <b/>
      <sz val="14"/>
      <color indexed="10"/>
      <name val="Arial"/>
      <family val="2"/>
    </font>
    <font>
      <sz val="14"/>
      <color indexed="10"/>
      <name val="Arial"/>
      <family val="2"/>
    </font>
    <font>
      <b/>
      <sz val="12"/>
      <name val="MS Sans Serif"/>
      <family val="2"/>
    </font>
    <font>
      <b/>
      <sz val="8"/>
      <name val="Arial"/>
      <family val="2"/>
    </font>
    <font>
      <b/>
      <sz val="10"/>
      <color indexed="10"/>
      <name val="MS Sans Serif"/>
      <family val="2"/>
    </font>
    <font>
      <sz val="10"/>
      <name val="MS Sans Serif"/>
      <family val="2"/>
    </font>
    <font>
      <b/>
      <sz val="8"/>
      <name val="Times New Roman"/>
      <family val="1"/>
    </font>
    <font>
      <sz val="8"/>
      <name val="Times New Roman"/>
      <family val="1"/>
    </font>
    <font>
      <sz val="9"/>
      <name val="Times New Roman"/>
      <family val="1"/>
    </font>
    <font>
      <i/>
      <sz val="14"/>
      <name val="Arial"/>
      <family val="2"/>
    </font>
    <font>
      <sz val="14"/>
      <color indexed="10"/>
      <name val="Times New Roman"/>
      <family val="1"/>
    </font>
    <font>
      <sz val="14"/>
      <name val="Times New Roman"/>
      <family val="1"/>
    </font>
    <font>
      <sz val="10"/>
      <name val="Arial"/>
      <family val="2"/>
    </font>
    <font>
      <b/>
      <u/>
      <sz val="10"/>
      <name val="Liberation Serif"/>
    </font>
    <font>
      <b/>
      <sz val="10"/>
      <name val="Liberation Serif"/>
    </font>
    <font>
      <sz val="10"/>
      <name val="Arial"/>
      <family val="2"/>
    </font>
    <font>
      <sz val="11"/>
      <name val="Arial"/>
      <family val="2"/>
    </font>
    <font>
      <sz val="11"/>
      <color indexed="8"/>
      <name val="Calibri"/>
      <family val="2"/>
    </font>
    <font>
      <sz val="11"/>
      <color indexed="9"/>
      <name val="Calibri"/>
      <family val="2"/>
    </font>
    <font>
      <b/>
      <sz val="11"/>
      <color indexed="52"/>
      <name val="Calibri"/>
      <family val="2"/>
    </font>
    <font>
      <sz val="11"/>
      <color indexed="17"/>
      <name val="Calibri"/>
      <family val="2"/>
    </font>
    <font>
      <sz val="11"/>
      <color indexed="20"/>
      <name val="Calibri"/>
      <family val="2"/>
    </font>
    <font>
      <i/>
      <sz val="11"/>
      <color indexed="23"/>
      <name val="Calibri"/>
      <family val="2"/>
    </font>
    <font>
      <sz val="11"/>
      <color indexed="62"/>
      <name val="Calibri"/>
      <family val="2"/>
    </font>
    <font>
      <b/>
      <sz val="11"/>
      <color indexed="9"/>
      <name val="Calibri"/>
      <family val="2"/>
    </font>
    <font>
      <sz val="11"/>
      <color indexed="52"/>
      <name val="Calibri"/>
      <family val="2"/>
    </font>
    <font>
      <sz val="11"/>
      <color indexed="60"/>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b/>
      <sz val="11"/>
      <color indexed="8"/>
      <name val="Calibri"/>
      <family val="2"/>
    </font>
    <font>
      <b/>
      <sz val="11"/>
      <color indexed="63"/>
      <name val="Calibri"/>
      <family val="2"/>
    </font>
    <font>
      <sz val="11"/>
      <color indexed="10"/>
      <name val="Calibri"/>
      <family val="2"/>
    </font>
    <font>
      <b/>
      <sz val="10"/>
      <color indexed="8"/>
      <name val="Arial"/>
      <family val="2"/>
    </font>
    <font>
      <sz val="16"/>
      <name val="Arial"/>
      <family val="2"/>
    </font>
    <font>
      <b/>
      <sz val="10"/>
      <color indexed="12"/>
      <name val="Arial"/>
      <family val="2"/>
    </font>
    <font>
      <b/>
      <sz val="14"/>
      <color indexed="59"/>
      <name val="Arial"/>
      <family val="2"/>
    </font>
    <font>
      <sz val="9"/>
      <color indexed="81"/>
      <name val="Tahoma"/>
      <family val="2"/>
    </font>
    <font>
      <b/>
      <sz val="9"/>
      <color indexed="8"/>
      <name val="Tahoma"/>
      <family val="2"/>
    </font>
    <font>
      <sz val="9"/>
      <color indexed="8"/>
      <name val="Tahoma"/>
      <family val="2"/>
    </font>
    <font>
      <b/>
      <sz val="9"/>
      <color indexed="81"/>
      <name val="Tahoma"/>
      <family val="2"/>
    </font>
    <font>
      <b/>
      <sz val="18"/>
      <name val="Arial"/>
      <family val="2"/>
    </font>
    <font>
      <b/>
      <sz val="11"/>
      <name val="Arial"/>
      <family val="2"/>
    </font>
    <font>
      <sz val="8"/>
      <color rgb="FFFF0000"/>
      <name val="Arial"/>
      <family val="2"/>
    </font>
    <font>
      <sz val="11"/>
      <color indexed="10"/>
      <name val="Arial"/>
      <family val="2"/>
    </font>
    <font>
      <sz val="11"/>
      <color indexed="8"/>
      <name val="Arial"/>
      <family val="2"/>
    </font>
    <font>
      <sz val="11"/>
      <color rgb="FFC00000"/>
      <name val="Arial"/>
      <family val="2"/>
    </font>
    <font>
      <sz val="11"/>
      <color rgb="FF99FF99"/>
      <name val="Arial"/>
      <family val="2"/>
    </font>
    <font>
      <b/>
      <sz val="11"/>
      <color indexed="8"/>
      <name val="Arial"/>
      <family val="2"/>
    </font>
    <font>
      <sz val="12"/>
      <color indexed="81"/>
      <name val="Tahoma"/>
      <family val="2"/>
    </font>
    <font>
      <b/>
      <sz val="10"/>
      <color rgb="FFFF0000"/>
      <name val="Arial"/>
      <family val="2"/>
    </font>
    <font>
      <sz val="11"/>
      <color rgb="FF000000"/>
      <name val="Arial"/>
      <family val="2"/>
    </font>
    <font>
      <sz val="14"/>
      <color rgb="FF000000"/>
      <name val="Arial"/>
      <family val="2"/>
    </font>
    <font>
      <b/>
      <sz val="7"/>
      <name val="Arial"/>
      <family val="2"/>
    </font>
    <font>
      <sz val="11"/>
      <color rgb="FFFF0000"/>
      <name val="Arial"/>
      <family val="2"/>
    </font>
    <font>
      <sz val="10"/>
      <color rgb="FFFF0000"/>
      <name val="Arial"/>
      <family val="2"/>
    </font>
    <font>
      <b/>
      <sz val="11"/>
      <color theme="1"/>
      <name val="Calibri"/>
      <family val="2"/>
      <scheme val="minor"/>
    </font>
    <font>
      <sz val="8"/>
      <color rgb="FF000000"/>
      <name val="Verdana"/>
      <family val="2"/>
    </font>
    <font>
      <sz val="8"/>
      <color theme="0"/>
      <name val="Arial"/>
      <family val="2"/>
    </font>
    <font>
      <sz val="10"/>
      <color theme="0"/>
      <name val="Arial"/>
      <family val="2"/>
    </font>
    <font>
      <i/>
      <sz val="10"/>
      <name val="Times New Roman"/>
      <family val="1"/>
    </font>
    <font>
      <sz val="10"/>
      <name val="Arial"/>
      <family val="2"/>
    </font>
    <font>
      <b/>
      <sz val="18"/>
      <color indexed="9"/>
      <name val="Arial"/>
      <family val="2"/>
    </font>
    <font>
      <b/>
      <sz val="12"/>
      <color indexed="9"/>
      <name val="Arial"/>
      <family val="2"/>
    </font>
    <font>
      <b/>
      <sz val="14"/>
      <color indexed="9"/>
      <name val="Arial"/>
      <family val="2"/>
    </font>
    <font>
      <b/>
      <sz val="8"/>
      <color indexed="9"/>
      <name val="Arial"/>
      <family val="2"/>
    </font>
    <font>
      <b/>
      <sz val="10"/>
      <color indexed="9"/>
      <name val="Arial Narrow"/>
      <family val="2"/>
    </font>
    <font>
      <b/>
      <sz val="10"/>
      <color indexed="62"/>
      <name val="Arial"/>
      <family val="2"/>
    </font>
    <font>
      <sz val="8"/>
      <name val="Arial Narrow"/>
      <family val="2"/>
    </font>
    <font>
      <b/>
      <sz val="10"/>
      <color indexed="9"/>
      <name val="Arial"/>
      <family val="2"/>
    </font>
    <font>
      <b/>
      <sz val="11"/>
      <color indexed="62"/>
      <name val="Arial"/>
      <family val="2"/>
    </font>
    <font>
      <sz val="12"/>
      <color indexed="81"/>
      <name val="Arial"/>
      <family val="2"/>
    </font>
    <font>
      <b/>
      <sz val="10"/>
      <color indexed="81"/>
      <name val="Tahoma"/>
      <family val="2"/>
    </font>
    <font>
      <sz val="20"/>
      <name val="Arial"/>
      <family val="2"/>
    </font>
    <font>
      <vertAlign val="superscript"/>
      <sz val="10"/>
      <name val="Arial"/>
      <family val="2"/>
    </font>
    <font>
      <sz val="10"/>
      <color rgb="FF3E6BFC"/>
      <name val="Arial"/>
      <family val="2"/>
    </font>
    <font>
      <b/>
      <sz val="10"/>
      <color rgb="FF3E6BFC"/>
      <name val="Arial"/>
      <family val="2"/>
    </font>
    <font>
      <sz val="11"/>
      <name val="Times New Roman"/>
      <family val="1"/>
    </font>
    <font>
      <sz val="11"/>
      <name val="Symbol"/>
      <family val="1"/>
      <charset val="2"/>
    </font>
    <font>
      <sz val="11"/>
      <color theme="1"/>
      <name val="Arial"/>
      <family val="2"/>
    </font>
    <font>
      <b/>
      <sz val="18"/>
      <name val="Helvetica"/>
      <family val="2"/>
    </font>
    <font>
      <b/>
      <sz val="14"/>
      <color rgb="FFFF0000"/>
      <name val="Arial"/>
      <family val="2"/>
    </font>
    <font>
      <b/>
      <sz val="12"/>
      <color rgb="FFFF0000"/>
      <name val="Arial"/>
      <family val="2"/>
    </font>
    <font>
      <sz val="9"/>
      <name val="Arial"/>
      <family val="2"/>
    </font>
    <font>
      <b/>
      <sz val="20"/>
      <name val="Arial"/>
      <family val="2"/>
    </font>
    <font>
      <i/>
      <sz val="12"/>
      <name val="Arial"/>
      <family val="2"/>
    </font>
    <font>
      <i/>
      <sz val="12"/>
      <name val="Times New Roman"/>
      <family val="1"/>
    </font>
    <font>
      <i/>
      <vertAlign val="subscript"/>
      <sz val="12"/>
      <name val="Times New Roman"/>
      <family val="1"/>
    </font>
    <font>
      <vertAlign val="subscript"/>
      <sz val="12"/>
      <name val="Times New Roman"/>
      <family val="1"/>
    </font>
    <font>
      <b/>
      <sz val="22"/>
      <name val="Arial"/>
      <family val="2"/>
    </font>
    <font>
      <b/>
      <sz val="12"/>
      <color indexed="8"/>
      <name val="Calibri"/>
      <family val="2"/>
    </font>
    <font>
      <vertAlign val="superscript"/>
      <sz val="12"/>
      <name val="Arial"/>
      <family val="2"/>
    </font>
    <font>
      <sz val="12"/>
      <name val="Calibri"/>
      <family val="2"/>
    </font>
    <font>
      <sz val="10.8"/>
      <name val="Arial"/>
      <family val="2"/>
    </font>
    <font>
      <b/>
      <sz val="36"/>
      <name val="Arial"/>
      <family val="2"/>
    </font>
    <font>
      <vertAlign val="subscript"/>
      <sz val="12"/>
      <name val="Arial"/>
      <family val="2"/>
    </font>
    <font>
      <b/>
      <sz val="15"/>
      <name val="Arial"/>
      <family val="2"/>
    </font>
    <font>
      <sz val="11"/>
      <color rgb="FF8EFC70"/>
      <name val="Arial"/>
      <family val="2"/>
    </font>
    <font>
      <sz val="10"/>
      <color theme="1"/>
      <name val="Arial"/>
      <family val="2"/>
    </font>
    <font>
      <b/>
      <sz val="10"/>
      <color indexed="8"/>
      <name val="Calibri"/>
      <family val="2"/>
    </font>
    <font>
      <b/>
      <sz val="24"/>
      <name val="Arial"/>
      <family val="2"/>
    </font>
    <font>
      <b/>
      <sz val="11"/>
      <name val="Times New Roman"/>
      <family val="1"/>
    </font>
    <font>
      <b/>
      <sz val="11"/>
      <name val="Symbol"/>
      <family val="1"/>
      <charset val="2"/>
    </font>
    <font>
      <sz val="11"/>
      <color rgb="FF00B050"/>
      <name val="Arial"/>
      <family val="2"/>
    </font>
    <font>
      <sz val="10"/>
      <color theme="3" tint="0.39997558519241921"/>
      <name val="Arial"/>
      <family val="2"/>
    </font>
    <font>
      <sz val="10"/>
      <color theme="1"/>
      <name val="Calibri"/>
      <family val="2"/>
      <scheme val="minor"/>
    </font>
    <font>
      <b/>
      <sz val="12"/>
      <color rgb="FF000000"/>
      <name val="Calibri"/>
      <family val="2"/>
    </font>
    <font>
      <b/>
      <sz val="10"/>
      <color theme="3"/>
      <name val="Arial"/>
      <family val="2"/>
    </font>
    <font>
      <sz val="10"/>
      <color theme="3"/>
      <name val="Arial"/>
      <family val="2"/>
    </font>
  </fonts>
  <fills count="112">
    <fill>
      <patternFill patternType="none"/>
    </fill>
    <fill>
      <patternFill patternType="gray125"/>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42"/>
      </patternFill>
    </fill>
    <fill>
      <patternFill patternType="solid">
        <fgColor indexed="4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55"/>
      </patternFill>
    </fill>
    <fill>
      <patternFill patternType="solid">
        <fgColor indexed="9"/>
        <bgColor indexed="26"/>
      </patternFill>
    </fill>
    <fill>
      <patternFill patternType="solid">
        <fgColor indexed="43"/>
        <bgColor indexed="26"/>
      </patternFill>
    </fill>
    <fill>
      <patternFill patternType="solid">
        <fgColor indexed="27"/>
        <bgColor indexed="41"/>
      </patternFill>
    </fill>
    <fill>
      <patternFill patternType="solid">
        <fgColor indexed="42"/>
        <bgColor indexed="27"/>
      </patternFill>
    </fill>
    <fill>
      <patternFill patternType="solid">
        <fgColor indexed="51"/>
        <bgColor indexed="13"/>
      </patternFill>
    </fill>
    <fill>
      <patternFill patternType="solid">
        <fgColor indexed="22"/>
        <bgColor indexed="31"/>
      </patternFill>
    </fill>
    <fill>
      <patternFill patternType="solid">
        <fgColor indexed="49"/>
        <bgColor indexed="64"/>
      </patternFill>
    </fill>
    <fill>
      <patternFill patternType="solid">
        <fgColor indexed="9"/>
        <bgColor indexed="64"/>
      </patternFill>
    </fill>
    <fill>
      <patternFill patternType="solid">
        <fgColor indexed="43"/>
        <bgColor indexed="64"/>
      </patternFill>
    </fill>
    <fill>
      <patternFill patternType="solid">
        <fgColor indexed="42"/>
        <bgColor indexed="64"/>
      </patternFill>
    </fill>
    <fill>
      <patternFill patternType="solid">
        <fgColor indexed="41"/>
        <bgColor indexed="64"/>
      </patternFill>
    </fill>
    <fill>
      <patternFill patternType="solid">
        <fgColor indexed="41"/>
        <bgColor indexed="41"/>
      </patternFill>
    </fill>
    <fill>
      <patternFill patternType="solid">
        <fgColor indexed="13"/>
        <bgColor indexed="64"/>
      </patternFill>
    </fill>
    <fill>
      <patternFill patternType="solid">
        <fgColor indexed="13"/>
        <bgColor indexed="26"/>
      </patternFill>
    </fill>
    <fill>
      <patternFill patternType="solid">
        <fgColor indexed="42"/>
        <bgColor indexed="26"/>
      </patternFill>
    </fill>
    <fill>
      <patternFill patternType="solid">
        <fgColor indexed="9"/>
        <bgColor indexed="41"/>
      </patternFill>
    </fill>
    <fill>
      <patternFill patternType="solid">
        <fgColor indexed="47"/>
        <bgColor indexed="26"/>
      </patternFill>
    </fill>
    <fill>
      <patternFill patternType="solid">
        <fgColor indexed="47"/>
        <bgColor indexed="64"/>
      </patternFill>
    </fill>
    <fill>
      <patternFill patternType="solid">
        <fgColor indexed="43"/>
        <bgColor indexed="13"/>
      </patternFill>
    </fill>
    <fill>
      <patternFill patternType="solid">
        <fgColor rgb="FFFFFF99"/>
        <bgColor indexed="41"/>
      </patternFill>
    </fill>
    <fill>
      <patternFill patternType="solid">
        <fgColor rgb="FFFFFF99"/>
        <bgColor indexed="26"/>
      </patternFill>
    </fill>
    <fill>
      <patternFill patternType="solid">
        <fgColor theme="6" tint="0.79998168889431442"/>
        <bgColor indexed="27"/>
      </patternFill>
    </fill>
    <fill>
      <patternFill patternType="solid">
        <fgColor theme="6" tint="0.79998168889431442"/>
        <bgColor indexed="64"/>
      </patternFill>
    </fill>
    <fill>
      <patternFill patternType="solid">
        <fgColor rgb="FFFFFF99"/>
        <bgColor indexed="64"/>
      </patternFill>
    </fill>
    <fill>
      <patternFill patternType="solid">
        <fgColor rgb="FFFFFF00"/>
        <bgColor indexed="64"/>
      </patternFill>
    </fill>
    <fill>
      <patternFill patternType="solid">
        <fgColor theme="2"/>
        <bgColor indexed="64"/>
      </patternFill>
    </fill>
    <fill>
      <patternFill patternType="solid">
        <fgColor theme="2"/>
        <bgColor indexed="27"/>
      </patternFill>
    </fill>
    <fill>
      <patternFill patternType="solid">
        <fgColor rgb="FFCCFFFF"/>
        <bgColor indexed="64"/>
      </patternFill>
    </fill>
    <fill>
      <patternFill patternType="solid">
        <fgColor theme="0"/>
        <bgColor indexed="26"/>
      </patternFill>
    </fill>
    <fill>
      <patternFill patternType="solid">
        <fgColor theme="0"/>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indexed="34"/>
        <bgColor indexed="13"/>
      </patternFill>
    </fill>
    <fill>
      <patternFill patternType="solid">
        <fgColor theme="5" tint="0.79998168889431442"/>
        <bgColor indexed="64"/>
      </patternFill>
    </fill>
    <fill>
      <patternFill patternType="solid">
        <fgColor theme="5" tint="0.79998168889431442"/>
        <bgColor indexed="41"/>
      </patternFill>
    </fill>
    <fill>
      <patternFill patternType="solid">
        <fgColor theme="9" tint="0.39997558519241921"/>
        <bgColor indexed="64"/>
      </patternFill>
    </fill>
    <fill>
      <patternFill patternType="solid">
        <fgColor theme="8" tint="0.79998168889431442"/>
        <bgColor indexed="64"/>
      </patternFill>
    </fill>
    <fill>
      <patternFill patternType="solid">
        <fgColor theme="0"/>
        <bgColor indexed="41"/>
      </patternFill>
    </fill>
    <fill>
      <patternFill patternType="solid">
        <fgColor theme="4" tint="0.79998168889431442"/>
        <bgColor indexed="64"/>
      </patternFill>
    </fill>
    <fill>
      <patternFill patternType="solid">
        <fgColor theme="4" tint="0.79998168889431442"/>
        <bgColor indexed="41"/>
      </patternFill>
    </fill>
    <fill>
      <patternFill patternType="solid">
        <fgColor theme="2"/>
        <bgColor indexed="26"/>
      </patternFill>
    </fill>
    <fill>
      <patternFill patternType="solid">
        <fgColor rgb="FFCCFFFF"/>
        <bgColor indexed="26"/>
      </patternFill>
    </fill>
    <fill>
      <patternFill patternType="solid">
        <fgColor rgb="FFFFFF99"/>
        <bgColor indexed="13"/>
      </patternFill>
    </fill>
    <fill>
      <patternFill patternType="solid">
        <fgColor rgb="FF99FF99"/>
        <bgColor indexed="64"/>
      </patternFill>
    </fill>
    <fill>
      <patternFill patternType="solid">
        <fgColor rgb="FF99FF99"/>
        <bgColor indexed="13"/>
      </patternFill>
    </fill>
    <fill>
      <patternFill patternType="solid">
        <fgColor rgb="FFFFFF99"/>
        <bgColor indexed="27"/>
      </patternFill>
    </fill>
    <fill>
      <patternFill patternType="solid">
        <fgColor rgb="FFFF0000"/>
        <bgColor indexed="64"/>
      </patternFill>
    </fill>
    <fill>
      <patternFill patternType="solid">
        <fgColor rgb="FFCCFF99"/>
        <bgColor indexed="64"/>
      </patternFill>
    </fill>
    <fill>
      <patternFill patternType="solid">
        <fgColor rgb="FFCCFF99"/>
        <bgColor indexed="26"/>
      </patternFill>
    </fill>
    <fill>
      <patternFill patternType="solid">
        <fgColor theme="2" tint="-9.9978637043366805E-2"/>
        <bgColor indexed="64"/>
      </patternFill>
    </fill>
    <fill>
      <patternFill patternType="solid">
        <fgColor theme="2" tint="-9.9978637043366805E-2"/>
        <bgColor indexed="27"/>
      </patternFill>
    </fill>
    <fill>
      <patternFill patternType="solid">
        <fgColor theme="0"/>
        <bgColor indexed="22"/>
      </patternFill>
    </fill>
    <fill>
      <patternFill patternType="solid">
        <fgColor rgb="FFFFCC66"/>
        <bgColor indexed="22"/>
      </patternFill>
    </fill>
    <fill>
      <patternFill patternType="solid">
        <fgColor rgb="FFFFCC66"/>
        <bgColor indexed="64"/>
      </patternFill>
    </fill>
    <fill>
      <patternFill patternType="solid">
        <fgColor rgb="FFFFCC66"/>
        <bgColor indexed="26"/>
      </patternFill>
    </fill>
    <fill>
      <patternFill patternType="solid">
        <fgColor theme="0" tint="-4.9989318521683403E-2"/>
        <bgColor indexed="22"/>
      </patternFill>
    </fill>
    <fill>
      <patternFill patternType="solid">
        <fgColor theme="0" tint="-4.9989318521683403E-2"/>
        <bgColor indexed="64"/>
      </patternFill>
    </fill>
    <fill>
      <patternFill patternType="solid">
        <fgColor theme="0" tint="-4.9989318521683403E-2"/>
        <bgColor indexed="26"/>
      </patternFill>
    </fill>
    <fill>
      <patternFill patternType="solid">
        <fgColor rgb="FFCCFFFF"/>
        <bgColor indexed="41"/>
      </patternFill>
    </fill>
    <fill>
      <patternFill patternType="solid">
        <fgColor rgb="FFCCFFFF"/>
        <bgColor indexed="27"/>
      </patternFill>
    </fill>
    <fill>
      <patternFill patternType="solid">
        <fgColor theme="0"/>
        <bgColor indexed="27"/>
      </patternFill>
    </fill>
    <fill>
      <patternFill patternType="solid">
        <fgColor theme="3" tint="0.59999389629810485"/>
        <bgColor indexed="64"/>
      </patternFill>
    </fill>
    <fill>
      <patternFill patternType="solid">
        <fgColor rgb="FF37ED05"/>
        <bgColor indexed="26"/>
      </patternFill>
    </fill>
    <fill>
      <patternFill patternType="solid">
        <fgColor theme="9" tint="0.59999389629810485"/>
        <bgColor indexed="26"/>
      </patternFill>
    </fill>
    <fill>
      <patternFill patternType="solid">
        <fgColor theme="0" tint="-4.9989318521683403E-2"/>
        <bgColor indexed="27"/>
      </patternFill>
    </fill>
    <fill>
      <patternFill patternType="solid">
        <fgColor theme="0"/>
        <bgColor indexed="31"/>
      </patternFill>
    </fill>
    <fill>
      <patternFill patternType="solid">
        <fgColor theme="9" tint="0.39997558519241921"/>
        <bgColor indexed="22"/>
      </patternFill>
    </fill>
    <fill>
      <patternFill patternType="solid">
        <fgColor theme="9" tint="0.39997558519241921"/>
        <bgColor indexed="13"/>
      </patternFill>
    </fill>
    <fill>
      <patternFill patternType="solid">
        <fgColor theme="9" tint="0.39997558519241921"/>
        <bgColor indexed="26"/>
      </patternFill>
    </fill>
    <fill>
      <patternFill patternType="solid">
        <fgColor theme="9" tint="0.39997558519241921"/>
        <bgColor indexed="34"/>
      </patternFill>
    </fill>
    <fill>
      <patternFill patternType="solid">
        <fgColor rgb="FFFFFF00"/>
        <bgColor indexed="26"/>
      </patternFill>
    </fill>
    <fill>
      <patternFill patternType="solid">
        <fgColor rgb="FFFBB697"/>
        <bgColor indexed="64"/>
      </patternFill>
    </fill>
    <fill>
      <patternFill patternType="solid">
        <fgColor theme="0" tint="-0.14999847407452621"/>
        <bgColor indexed="64"/>
      </patternFill>
    </fill>
    <fill>
      <patternFill patternType="solid">
        <fgColor theme="0" tint="-0.14999847407452621"/>
        <bgColor indexed="26"/>
      </patternFill>
    </fill>
    <fill>
      <patternFill patternType="solid">
        <fgColor theme="0" tint="-4.9989318521683403E-2"/>
        <bgColor indexed="41"/>
      </patternFill>
    </fill>
    <fill>
      <patternFill patternType="solid">
        <fgColor indexed="21"/>
        <bgColor indexed="64"/>
      </patternFill>
    </fill>
    <fill>
      <patternFill patternType="solid">
        <fgColor theme="9" tint="-0.249977111117893"/>
        <bgColor indexed="64"/>
      </patternFill>
    </fill>
    <fill>
      <patternFill patternType="solid">
        <fgColor indexed="51"/>
        <bgColor indexed="64"/>
      </patternFill>
    </fill>
    <fill>
      <patternFill patternType="solid">
        <fgColor indexed="11"/>
        <bgColor indexed="64"/>
      </patternFill>
    </fill>
    <fill>
      <patternFill patternType="solid">
        <fgColor indexed="53"/>
        <bgColor indexed="64"/>
      </patternFill>
    </fill>
    <fill>
      <patternFill patternType="solid">
        <fgColor theme="5" tint="0.59999389629810485"/>
        <bgColor indexed="64"/>
      </patternFill>
    </fill>
    <fill>
      <patternFill patternType="solid">
        <fgColor rgb="FF8EFC70"/>
        <bgColor indexed="64"/>
      </patternFill>
    </fill>
    <fill>
      <patternFill patternType="solid">
        <fgColor theme="3" tint="0.79998168889431442"/>
        <bgColor indexed="64"/>
      </patternFill>
    </fill>
    <fill>
      <patternFill patternType="solid">
        <fgColor indexed="22"/>
        <bgColor indexed="64"/>
      </patternFill>
    </fill>
    <fill>
      <patternFill patternType="solid">
        <fgColor theme="0"/>
        <bgColor indexed="34"/>
      </patternFill>
    </fill>
    <fill>
      <patternFill patternType="solid">
        <fgColor rgb="FF99FF99"/>
        <bgColor indexed="26"/>
      </patternFill>
    </fill>
    <fill>
      <patternFill patternType="solid">
        <fgColor rgb="FF92D050"/>
        <bgColor indexed="64"/>
      </patternFill>
    </fill>
    <fill>
      <patternFill patternType="solid">
        <fgColor rgb="FF92D050"/>
        <bgColor indexed="26"/>
      </patternFill>
    </fill>
    <fill>
      <patternFill patternType="solid">
        <fgColor theme="0"/>
        <bgColor indexed="13"/>
      </patternFill>
    </fill>
    <fill>
      <patternFill patternType="solid">
        <fgColor rgb="FFFFCC00"/>
        <bgColor indexed="27"/>
      </patternFill>
    </fill>
    <fill>
      <patternFill patternType="solid">
        <fgColor rgb="FFFFCC00"/>
        <bgColor indexed="64"/>
      </patternFill>
    </fill>
    <fill>
      <patternFill patternType="solid">
        <fgColor rgb="FFFFCC00"/>
        <bgColor indexed="26"/>
      </patternFill>
    </fill>
    <fill>
      <patternFill patternType="solid">
        <fgColor rgb="FF8EFC70"/>
        <bgColor indexed="26"/>
      </patternFill>
    </fill>
    <fill>
      <patternFill patternType="solid">
        <fgColor theme="4" tint="0.59999389629810485"/>
        <bgColor indexed="64"/>
      </patternFill>
    </fill>
  </fills>
  <borders count="177">
    <border>
      <left/>
      <right/>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3"/>
      </left>
      <right style="thin">
        <color indexed="63"/>
      </right>
      <top style="thin">
        <color indexed="63"/>
      </top>
      <bottom style="thin">
        <color indexed="63"/>
      </bottom>
      <diagonal/>
    </border>
    <border>
      <left style="medium">
        <color indexed="63"/>
      </left>
      <right/>
      <top style="medium">
        <color indexed="63"/>
      </top>
      <bottom/>
      <diagonal/>
    </border>
    <border>
      <left/>
      <right/>
      <top style="medium">
        <color indexed="63"/>
      </top>
      <bottom/>
      <diagonal/>
    </border>
    <border>
      <left style="medium">
        <color indexed="63"/>
      </left>
      <right/>
      <top/>
      <bottom style="medium">
        <color indexed="63"/>
      </bottom>
      <diagonal/>
    </border>
    <border>
      <left/>
      <right/>
      <top/>
      <bottom style="medium">
        <color indexed="63"/>
      </bottom>
      <diagonal/>
    </border>
    <border>
      <left style="thin">
        <color indexed="63"/>
      </left>
      <right style="thin">
        <color indexed="63"/>
      </right>
      <top style="thin">
        <color indexed="63"/>
      </top>
      <bottom/>
      <diagonal/>
    </border>
    <border>
      <left style="thin">
        <color indexed="63"/>
      </left>
      <right style="thin">
        <color indexed="63"/>
      </right>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diagonal/>
    </border>
    <border>
      <left style="thin">
        <color indexed="63"/>
      </left>
      <right/>
      <top style="thin">
        <color indexed="63"/>
      </top>
      <bottom style="thin">
        <color indexed="63"/>
      </bottom>
      <diagonal/>
    </border>
    <border>
      <left/>
      <right/>
      <top style="thin">
        <color indexed="63"/>
      </top>
      <bottom style="thin">
        <color indexed="63"/>
      </bottom>
      <diagonal/>
    </border>
    <border>
      <left style="thin">
        <color indexed="63"/>
      </left>
      <right/>
      <top/>
      <bottom style="thin">
        <color indexed="63"/>
      </bottom>
      <diagonal/>
    </border>
    <border>
      <left/>
      <right style="thin">
        <color indexed="63"/>
      </right>
      <top style="thin">
        <color indexed="63"/>
      </top>
      <bottom/>
      <diagonal/>
    </border>
    <border>
      <left/>
      <right/>
      <top style="thin">
        <color indexed="63"/>
      </top>
      <bottom/>
      <diagonal/>
    </border>
    <border>
      <left style="thin">
        <color indexed="63"/>
      </left>
      <right/>
      <top/>
      <bottom/>
      <diagonal/>
    </border>
    <border>
      <left/>
      <right style="thin">
        <color indexed="63"/>
      </right>
      <top/>
      <bottom/>
      <diagonal/>
    </border>
    <border>
      <left/>
      <right style="thin">
        <color indexed="63"/>
      </right>
      <top/>
      <bottom style="thin">
        <color indexed="63"/>
      </bottom>
      <diagonal/>
    </border>
    <border>
      <left/>
      <right/>
      <top/>
      <bottom style="thin">
        <color indexed="63"/>
      </bottom>
      <diagonal/>
    </border>
    <border>
      <left style="thin">
        <color indexed="63"/>
      </left>
      <right style="thin">
        <color indexed="63"/>
      </right>
      <top/>
      <bottom/>
      <diagonal/>
    </border>
    <border>
      <left style="medium">
        <color indexed="63"/>
      </left>
      <right style="medium">
        <color indexed="63"/>
      </right>
      <top style="medium">
        <color indexed="63"/>
      </top>
      <bottom style="medium">
        <color indexed="63"/>
      </bottom>
      <diagonal/>
    </border>
    <border>
      <left style="medium">
        <color indexed="63"/>
      </left>
      <right style="thin">
        <color indexed="63"/>
      </right>
      <top style="thin">
        <color indexed="63"/>
      </top>
      <bottom/>
      <diagonal/>
    </border>
    <border>
      <left style="medium">
        <color indexed="63"/>
      </left>
      <right style="thin">
        <color indexed="63"/>
      </right>
      <top/>
      <bottom style="thin">
        <color indexed="63"/>
      </bottom>
      <diagonal/>
    </border>
    <border>
      <left style="medium">
        <color indexed="63"/>
      </left>
      <right/>
      <top style="thin">
        <color indexed="63"/>
      </top>
      <bottom style="thin">
        <color indexed="63"/>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medium">
        <color indexed="10"/>
      </left>
      <right style="medium">
        <color indexed="10"/>
      </right>
      <top style="medium">
        <color indexed="10"/>
      </top>
      <bottom style="medium">
        <color indexed="10"/>
      </bottom>
      <diagonal/>
    </border>
    <border>
      <left style="medium">
        <color indexed="64"/>
      </left>
      <right style="medium">
        <color indexed="64"/>
      </right>
      <top style="medium">
        <color indexed="64"/>
      </top>
      <bottom style="medium">
        <color indexed="64"/>
      </bottom>
      <diagonal/>
    </border>
    <border>
      <left style="medium">
        <color indexed="10"/>
      </left>
      <right/>
      <top style="medium">
        <color indexed="10"/>
      </top>
      <bottom style="medium">
        <color indexed="10"/>
      </bottom>
      <diagonal/>
    </border>
    <border>
      <left/>
      <right style="medium">
        <color indexed="10"/>
      </right>
      <top style="medium">
        <color indexed="10"/>
      </top>
      <bottom style="medium">
        <color indexed="10"/>
      </bottom>
      <diagonal/>
    </border>
    <border>
      <left style="medium">
        <color indexed="64"/>
      </left>
      <right style="thin">
        <color indexed="64"/>
      </right>
      <top style="medium">
        <color indexed="64"/>
      </top>
      <bottom/>
      <diagonal/>
    </border>
    <border>
      <left style="medium">
        <color indexed="64"/>
      </left>
      <right/>
      <top/>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right style="thin">
        <color indexed="64"/>
      </right>
      <top style="thin">
        <color indexed="64"/>
      </top>
      <bottom/>
      <diagonal/>
    </border>
    <border>
      <left/>
      <right style="medium">
        <color indexed="64"/>
      </right>
      <top/>
      <bottom/>
      <diagonal/>
    </border>
    <border>
      <left style="medium">
        <color indexed="64"/>
      </left>
      <right style="medium">
        <color indexed="64"/>
      </right>
      <top/>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12"/>
      </left>
      <right/>
      <top/>
      <bottom style="medium">
        <color indexed="12"/>
      </bottom>
      <diagonal/>
    </border>
    <border>
      <left/>
      <right/>
      <top/>
      <bottom style="medium">
        <color indexed="12"/>
      </bottom>
      <diagonal/>
    </border>
    <border>
      <left/>
      <right style="medium">
        <color indexed="12"/>
      </right>
      <top/>
      <bottom style="medium">
        <color indexed="12"/>
      </bottom>
      <diagonal/>
    </border>
    <border>
      <left style="medium">
        <color indexed="12"/>
      </left>
      <right/>
      <top style="medium">
        <color indexed="12"/>
      </top>
      <bottom/>
      <diagonal/>
    </border>
    <border>
      <left/>
      <right/>
      <top style="medium">
        <color indexed="12"/>
      </top>
      <bottom/>
      <diagonal/>
    </border>
    <border>
      <left/>
      <right style="medium">
        <color indexed="12"/>
      </right>
      <top style="medium">
        <color indexed="12"/>
      </top>
      <bottom/>
      <diagonal/>
    </border>
    <border>
      <left style="thin">
        <color indexed="58"/>
      </left>
      <right style="thin">
        <color indexed="58"/>
      </right>
      <top style="thin">
        <color indexed="58"/>
      </top>
      <bottom style="thin">
        <color indexed="58"/>
      </bottom>
      <diagonal/>
    </border>
    <border>
      <left/>
      <right style="thin">
        <color indexed="58"/>
      </right>
      <top style="thin">
        <color indexed="58"/>
      </top>
      <bottom style="thin">
        <color indexed="58"/>
      </bottom>
      <diagonal/>
    </border>
    <border>
      <left style="thin">
        <color indexed="58"/>
      </left>
      <right style="thin">
        <color indexed="58"/>
      </right>
      <top/>
      <bottom style="thin">
        <color indexed="58"/>
      </bottom>
      <diagonal/>
    </border>
    <border>
      <left/>
      <right style="thin">
        <color indexed="58"/>
      </right>
      <top/>
      <bottom style="thin">
        <color indexed="58"/>
      </bottom>
      <diagonal/>
    </border>
    <border>
      <left style="thin">
        <color indexed="58"/>
      </left>
      <right/>
      <top style="thin">
        <color indexed="58"/>
      </top>
      <bottom style="thin">
        <color indexed="58"/>
      </bottom>
      <diagonal/>
    </border>
    <border>
      <left style="thin">
        <color indexed="58"/>
      </left>
      <right style="thin">
        <color indexed="58"/>
      </right>
      <top/>
      <bottom/>
      <diagonal/>
    </border>
    <border>
      <left style="medium">
        <color indexed="64"/>
      </left>
      <right style="thin">
        <color indexed="63"/>
      </right>
      <top style="thin">
        <color indexed="63"/>
      </top>
      <bottom style="thin">
        <color indexed="63"/>
      </bottom>
      <diagonal/>
    </border>
    <border>
      <left style="thin">
        <color indexed="64"/>
      </left>
      <right style="thin">
        <color indexed="63"/>
      </right>
      <top style="thin">
        <color indexed="63"/>
      </top>
      <bottom style="thin">
        <color indexed="63"/>
      </bottom>
      <diagonal/>
    </border>
    <border>
      <left style="thin">
        <color indexed="63"/>
      </left>
      <right style="thin">
        <color indexed="63"/>
      </right>
      <top style="thin">
        <color indexed="63"/>
      </top>
      <bottom style="thin">
        <color indexed="64"/>
      </bottom>
      <diagonal/>
    </border>
    <border>
      <left style="medium">
        <color indexed="64"/>
      </left>
      <right/>
      <top/>
      <bottom style="thin">
        <color indexed="63"/>
      </bottom>
      <diagonal/>
    </border>
    <border>
      <left style="medium">
        <color indexed="64"/>
      </left>
      <right/>
      <top style="thin">
        <color indexed="63"/>
      </top>
      <bottom style="thin">
        <color indexed="63"/>
      </bottom>
      <diagonal/>
    </border>
    <border>
      <left style="thin">
        <color indexed="64"/>
      </left>
      <right style="thin">
        <color indexed="63"/>
      </right>
      <top style="thin">
        <color indexed="64"/>
      </top>
      <bottom/>
      <diagonal/>
    </border>
    <border>
      <left style="thin">
        <color indexed="64"/>
      </left>
      <right style="thin">
        <color indexed="63"/>
      </right>
      <top style="thin">
        <color indexed="63"/>
      </top>
      <bottom/>
      <diagonal/>
    </border>
    <border>
      <left style="medium">
        <color indexed="64"/>
      </left>
      <right style="thin">
        <color indexed="63"/>
      </right>
      <top style="thin">
        <color indexed="63"/>
      </top>
      <bottom/>
      <diagonal/>
    </border>
    <border>
      <left style="thin">
        <color indexed="63"/>
      </left>
      <right style="medium">
        <color indexed="64"/>
      </right>
      <top style="thin">
        <color indexed="63"/>
      </top>
      <bottom/>
      <diagonal/>
    </border>
    <border>
      <left style="medium">
        <color indexed="64"/>
      </left>
      <right style="thin">
        <color indexed="63"/>
      </right>
      <top/>
      <bottom style="thin">
        <color indexed="63"/>
      </bottom>
      <diagonal/>
    </border>
    <border>
      <left style="thin">
        <color indexed="63"/>
      </left>
      <right style="medium">
        <color indexed="64"/>
      </right>
      <top/>
      <bottom style="thin">
        <color indexed="63"/>
      </bottom>
      <diagonal/>
    </border>
    <border>
      <left style="thin">
        <color indexed="63"/>
      </left>
      <right style="medium">
        <color indexed="64"/>
      </right>
      <top style="thin">
        <color indexed="63"/>
      </top>
      <bottom style="thin">
        <color indexed="63"/>
      </bottom>
      <diagonal/>
    </border>
    <border>
      <left/>
      <right style="thin">
        <color indexed="63"/>
      </right>
      <top style="medium">
        <color indexed="64"/>
      </top>
      <bottom/>
      <diagonal/>
    </border>
    <border>
      <left style="medium">
        <color indexed="64"/>
      </left>
      <right style="thin">
        <color indexed="63"/>
      </right>
      <top/>
      <bottom/>
      <diagonal/>
    </border>
    <border>
      <left style="thin">
        <color indexed="64"/>
      </left>
      <right style="thin">
        <color indexed="63"/>
      </right>
      <top style="thin">
        <color indexed="64"/>
      </top>
      <bottom style="thin">
        <color indexed="63"/>
      </bottom>
      <diagonal/>
    </border>
    <border>
      <left style="thin">
        <color indexed="63"/>
      </left>
      <right style="thin">
        <color indexed="64"/>
      </right>
      <top style="thin">
        <color indexed="64"/>
      </top>
      <bottom style="thin">
        <color indexed="63"/>
      </bottom>
      <diagonal/>
    </border>
    <border>
      <left style="thin">
        <color indexed="64"/>
      </left>
      <right style="thin">
        <color indexed="63"/>
      </right>
      <top style="thin">
        <color indexed="63"/>
      </top>
      <bottom style="thin">
        <color indexed="64"/>
      </bottom>
      <diagonal/>
    </border>
    <border>
      <left style="thin">
        <color indexed="63"/>
      </left>
      <right style="thin">
        <color indexed="64"/>
      </right>
      <top style="thin">
        <color indexed="63"/>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thin">
        <color indexed="63"/>
      </bottom>
      <diagonal/>
    </border>
    <border>
      <left style="thin">
        <color indexed="64"/>
      </left>
      <right style="medium">
        <color indexed="64"/>
      </right>
      <top/>
      <bottom style="thin">
        <color indexed="64"/>
      </bottom>
      <diagonal/>
    </border>
    <border>
      <left style="medium">
        <color indexed="61"/>
      </left>
      <right/>
      <top style="medium">
        <color indexed="61"/>
      </top>
      <bottom/>
      <diagonal/>
    </border>
    <border>
      <left/>
      <right/>
      <top style="medium">
        <color indexed="61"/>
      </top>
      <bottom/>
      <diagonal/>
    </border>
    <border>
      <left/>
      <right style="medium">
        <color indexed="61"/>
      </right>
      <top style="medium">
        <color indexed="61"/>
      </top>
      <bottom/>
      <diagonal/>
    </border>
    <border>
      <left style="medium">
        <color indexed="61"/>
      </left>
      <right style="medium">
        <color indexed="61"/>
      </right>
      <top/>
      <bottom/>
      <diagonal/>
    </border>
    <border>
      <left style="medium">
        <color indexed="61"/>
      </left>
      <right/>
      <top/>
      <bottom/>
      <diagonal/>
    </border>
    <border>
      <left/>
      <right style="medium">
        <color indexed="61"/>
      </right>
      <top/>
      <bottom/>
      <diagonal/>
    </border>
    <border>
      <left style="medium">
        <color indexed="61"/>
      </left>
      <right/>
      <top/>
      <bottom style="medium">
        <color indexed="61"/>
      </bottom>
      <diagonal/>
    </border>
    <border>
      <left/>
      <right/>
      <top/>
      <bottom style="medium">
        <color indexed="61"/>
      </bottom>
      <diagonal/>
    </border>
    <border>
      <left/>
      <right style="medium">
        <color indexed="61"/>
      </right>
      <top/>
      <bottom style="medium">
        <color indexed="61"/>
      </bottom>
      <diagonal/>
    </border>
    <border>
      <left/>
      <right/>
      <top style="medium">
        <color indexed="61"/>
      </top>
      <bottom style="medium">
        <color indexed="61"/>
      </bottom>
      <diagonal/>
    </border>
    <border>
      <left style="medium">
        <color indexed="10"/>
      </left>
      <right/>
      <top style="thin">
        <color indexed="10"/>
      </top>
      <bottom/>
      <diagonal/>
    </border>
    <border>
      <left/>
      <right style="medium">
        <color indexed="10"/>
      </right>
      <top style="thin">
        <color indexed="10"/>
      </top>
      <bottom/>
      <diagonal/>
    </border>
    <border>
      <left style="medium">
        <color indexed="10"/>
      </left>
      <right/>
      <top/>
      <bottom/>
      <diagonal/>
    </border>
    <border>
      <left/>
      <right style="medium">
        <color indexed="10"/>
      </right>
      <top/>
      <bottom/>
      <diagonal/>
    </border>
    <border>
      <left style="medium">
        <color indexed="10"/>
      </left>
      <right style="medium">
        <color indexed="10"/>
      </right>
      <top style="medium">
        <color indexed="10"/>
      </top>
      <bottom style="thin">
        <color indexed="10"/>
      </bottom>
      <diagonal/>
    </border>
    <border>
      <left style="medium">
        <color indexed="10"/>
      </left>
      <right/>
      <top/>
      <bottom style="thin">
        <color indexed="10"/>
      </bottom>
      <diagonal/>
    </border>
    <border>
      <left style="thin">
        <color indexed="63"/>
      </left>
      <right/>
      <top style="thin">
        <color indexed="64"/>
      </top>
      <bottom style="thin">
        <color indexed="63"/>
      </bottom>
      <diagonal/>
    </border>
    <border>
      <left/>
      <right style="thin">
        <color indexed="63"/>
      </right>
      <top style="thin">
        <color indexed="64"/>
      </top>
      <bottom style="thin">
        <color indexed="63"/>
      </bottom>
      <diagonal/>
    </border>
    <border>
      <left/>
      <right/>
      <top/>
      <bottom style="thin">
        <color indexed="58"/>
      </bottom>
      <diagonal/>
    </border>
    <border>
      <left/>
      <right/>
      <top style="thin">
        <color indexed="58"/>
      </top>
      <bottom style="thin">
        <color indexed="58"/>
      </bottom>
      <diagonal/>
    </border>
    <border>
      <left style="thin">
        <color indexed="63"/>
      </left>
      <right style="thin">
        <color indexed="63"/>
      </right>
      <top style="medium">
        <color indexed="63"/>
      </top>
      <bottom style="thin">
        <color indexed="63"/>
      </bottom>
      <diagonal/>
    </border>
    <border>
      <left style="thin">
        <color indexed="63"/>
      </left>
      <right style="medium">
        <color indexed="63"/>
      </right>
      <top style="medium">
        <color indexed="63"/>
      </top>
      <bottom style="thin">
        <color indexed="63"/>
      </bottom>
      <diagonal/>
    </border>
    <border>
      <left style="medium">
        <color indexed="63"/>
      </left>
      <right/>
      <top/>
      <bottom/>
      <diagonal/>
    </border>
    <border>
      <left style="thin">
        <color indexed="63"/>
      </left>
      <right style="medium">
        <color indexed="63"/>
      </right>
      <top style="thin">
        <color indexed="63"/>
      </top>
      <bottom style="thin">
        <color indexed="63"/>
      </bottom>
      <diagonal/>
    </border>
    <border>
      <left style="thin">
        <color indexed="63"/>
      </left>
      <right style="thin">
        <color indexed="63"/>
      </right>
      <top style="thin">
        <color indexed="63"/>
      </top>
      <bottom style="medium">
        <color indexed="63"/>
      </bottom>
      <diagonal/>
    </border>
    <border>
      <left style="thin">
        <color indexed="63"/>
      </left>
      <right style="medium">
        <color indexed="63"/>
      </right>
      <top style="thin">
        <color indexed="63"/>
      </top>
      <bottom style="medium">
        <color indexed="63"/>
      </bottom>
      <diagonal/>
    </border>
    <border>
      <left/>
      <right style="thin">
        <color indexed="58"/>
      </right>
      <top style="thin">
        <color indexed="58"/>
      </top>
      <bottom/>
      <diagonal/>
    </border>
    <border>
      <left style="thin">
        <color indexed="58"/>
      </left>
      <right style="thin">
        <color indexed="58"/>
      </right>
      <top style="thin">
        <color indexed="58"/>
      </top>
      <bottom/>
      <diagonal/>
    </border>
    <border>
      <left style="thin">
        <color indexed="58"/>
      </left>
      <right/>
      <top/>
      <bottom/>
      <diagonal/>
    </border>
    <border>
      <left style="thin">
        <color indexed="58"/>
      </left>
      <right/>
      <top/>
      <bottom style="thin">
        <color indexed="58"/>
      </bottom>
      <diagonal/>
    </border>
    <border>
      <left/>
      <right style="thin">
        <color indexed="58"/>
      </right>
      <top/>
      <bottom/>
      <diagonal/>
    </border>
    <border>
      <left/>
      <right/>
      <top style="thin">
        <color indexed="58"/>
      </top>
      <bottom/>
      <diagonal/>
    </border>
    <border>
      <left style="thin">
        <color indexed="58"/>
      </left>
      <right style="thin">
        <color indexed="64"/>
      </right>
      <top style="thin">
        <color indexed="64"/>
      </top>
      <bottom style="thin">
        <color indexed="64"/>
      </bottom>
      <diagonal/>
    </border>
    <border>
      <left/>
      <right/>
      <top style="thin">
        <color indexed="64"/>
      </top>
      <bottom style="thin">
        <color indexed="63"/>
      </bottom>
      <diagonal/>
    </border>
    <border>
      <left/>
      <right style="thin">
        <color indexed="64"/>
      </right>
      <top style="thin">
        <color indexed="64"/>
      </top>
      <bottom style="thin">
        <color indexed="63"/>
      </bottom>
      <diagonal/>
    </border>
    <border>
      <left style="thin">
        <color indexed="64"/>
      </left>
      <right/>
      <top style="thin">
        <color indexed="63"/>
      </top>
      <bottom/>
      <diagonal/>
    </border>
    <border>
      <left/>
      <right style="thin">
        <color indexed="64"/>
      </right>
      <top style="thin">
        <color indexed="63"/>
      </top>
      <bottom/>
      <diagonal/>
    </border>
    <border>
      <left style="thin">
        <color indexed="64"/>
      </left>
      <right/>
      <top style="thin">
        <color indexed="63"/>
      </top>
      <bottom style="thin">
        <color indexed="63"/>
      </bottom>
      <diagonal/>
    </border>
    <border>
      <left/>
      <right style="thin">
        <color indexed="64"/>
      </right>
      <top style="thin">
        <color indexed="63"/>
      </top>
      <bottom style="thin">
        <color indexed="63"/>
      </bottom>
      <diagonal/>
    </border>
    <border>
      <left style="thin">
        <color indexed="64"/>
      </left>
      <right/>
      <top style="thin">
        <color indexed="63"/>
      </top>
      <bottom style="thin">
        <color indexed="64"/>
      </bottom>
      <diagonal/>
    </border>
    <border>
      <left/>
      <right/>
      <top style="thin">
        <color indexed="63"/>
      </top>
      <bottom style="thin">
        <color indexed="64"/>
      </bottom>
      <diagonal/>
    </border>
    <border>
      <left/>
      <right style="thin">
        <color indexed="64"/>
      </right>
      <top style="thin">
        <color indexed="63"/>
      </top>
      <bottom style="thin">
        <color indexed="64"/>
      </bottom>
      <diagonal/>
    </border>
    <border>
      <left/>
      <right style="thin">
        <color indexed="63"/>
      </right>
      <top style="thin">
        <color indexed="64"/>
      </top>
      <bottom/>
      <diagonal/>
    </border>
    <border>
      <left style="thin">
        <color indexed="63"/>
      </left>
      <right style="thin">
        <color indexed="63"/>
      </right>
      <top style="thin">
        <color indexed="64"/>
      </top>
      <bottom/>
      <diagonal/>
    </border>
    <border>
      <left style="thin">
        <color indexed="58"/>
      </left>
      <right style="thin">
        <color indexed="58"/>
      </right>
      <top style="thin">
        <color indexed="64"/>
      </top>
      <bottom/>
      <diagonal/>
    </border>
    <border>
      <left style="thin">
        <color indexed="63"/>
      </left>
      <right style="thin">
        <color indexed="63"/>
      </right>
      <top style="thin">
        <color indexed="64"/>
      </top>
      <bottom style="thin">
        <color indexed="63"/>
      </bottom>
      <diagonal/>
    </border>
    <border>
      <left style="thin">
        <color indexed="63"/>
      </left>
      <right style="thin">
        <color indexed="64"/>
      </right>
      <top style="thin">
        <color indexed="64"/>
      </top>
      <bottom/>
      <diagonal/>
    </border>
    <border>
      <left style="thin">
        <color indexed="64"/>
      </left>
      <right style="thin">
        <color indexed="63"/>
      </right>
      <top/>
      <bottom/>
      <diagonal/>
    </border>
    <border>
      <left style="thin">
        <color indexed="63"/>
      </left>
      <right style="thin">
        <color indexed="64"/>
      </right>
      <top/>
      <bottom/>
      <diagonal/>
    </border>
    <border>
      <left style="thin">
        <color indexed="63"/>
      </left>
      <right style="thin">
        <color indexed="64"/>
      </right>
      <top/>
      <bottom style="thin">
        <color indexed="63"/>
      </bottom>
      <diagonal/>
    </border>
    <border>
      <left style="thin">
        <color indexed="63"/>
      </left>
      <right style="thin">
        <color indexed="64"/>
      </right>
      <top style="thin">
        <color indexed="63"/>
      </top>
      <bottom style="thin">
        <color indexed="63"/>
      </bottom>
      <diagonal/>
    </border>
    <border>
      <left style="thin">
        <color indexed="58"/>
      </left>
      <right style="thin">
        <color indexed="58"/>
      </right>
      <top style="thin">
        <color indexed="58"/>
      </top>
      <bottom style="thin">
        <color indexed="64"/>
      </bottom>
      <diagonal/>
    </border>
    <border>
      <left/>
      <right style="thin">
        <color indexed="64"/>
      </right>
      <top/>
      <bottom style="thin">
        <color indexed="63"/>
      </bottom>
      <diagonal/>
    </border>
    <border>
      <left style="thin">
        <color indexed="63"/>
      </left>
      <right/>
      <top style="thin">
        <color indexed="63"/>
      </top>
      <bottom style="thin">
        <color indexed="64"/>
      </bottom>
      <diagonal/>
    </border>
    <border>
      <left style="thin">
        <color indexed="64"/>
      </left>
      <right style="thin">
        <color indexed="63"/>
      </right>
      <top/>
      <bottom style="thin">
        <color indexed="63"/>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49">
    <xf numFmtId="0" fontId="0" fillId="0" borderId="0"/>
    <xf numFmtId="0" fontId="61" fillId="2" borderId="0" applyNumberFormat="0" applyBorder="0" applyAlignment="0" applyProtection="0"/>
    <xf numFmtId="0" fontId="61" fillId="3" borderId="0" applyNumberFormat="0" applyBorder="0" applyAlignment="0" applyProtection="0"/>
    <xf numFmtId="0" fontId="61" fillId="4" borderId="0" applyNumberFormat="0" applyBorder="0" applyAlignment="0" applyProtection="0"/>
    <xf numFmtId="0" fontId="61" fillId="2" borderId="0" applyNumberFormat="0" applyBorder="0" applyAlignment="0" applyProtection="0"/>
    <xf numFmtId="0" fontId="61" fillId="5" borderId="0" applyNumberFormat="0" applyBorder="0" applyAlignment="0" applyProtection="0"/>
    <xf numFmtId="0" fontId="61" fillId="3" borderId="0" applyNumberFormat="0" applyBorder="0" applyAlignment="0" applyProtection="0"/>
    <xf numFmtId="0" fontId="61" fillId="6" borderId="0" applyNumberFormat="0" applyBorder="0" applyAlignment="0" applyProtection="0"/>
    <xf numFmtId="0" fontId="61" fillId="7" borderId="0" applyNumberFormat="0" applyBorder="0" applyAlignment="0" applyProtection="0"/>
    <xf numFmtId="0" fontId="61" fillId="8" borderId="0" applyNumberFormat="0" applyBorder="0" applyAlignment="0" applyProtection="0"/>
    <xf numFmtId="0" fontId="61" fillId="6" borderId="0" applyNumberFormat="0" applyBorder="0" applyAlignment="0" applyProtection="0"/>
    <xf numFmtId="0" fontId="61" fillId="9" borderId="0" applyNumberFormat="0" applyBorder="0" applyAlignment="0" applyProtection="0"/>
    <xf numFmtId="0" fontId="61" fillId="3" borderId="0" applyNumberFormat="0" applyBorder="0" applyAlignment="0" applyProtection="0"/>
    <xf numFmtId="0" fontId="62" fillId="10" borderId="0" applyNumberFormat="0" applyBorder="0" applyAlignment="0" applyProtection="0"/>
    <xf numFmtId="0" fontId="62" fillId="7" borderId="0" applyNumberFormat="0" applyBorder="0" applyAlignment="0" applyProtection="0"/>
    <xf numFmtId="0" fontId="62" fillId="8" borderId="0" applyNumberFormat="0" applyBorder="0" applyAlignment="0" applyProtection="0"/>
    <xf numFmtId="0" fontId="62" fillId="6" borderId="0" applyNumberFormat="0" applyBorder="0" applyAlignment="0" applyProtection="0"/>
    <xf numFmtId="0" fontId="62" fillId="10" borderId="0" applyNumberFormat="0" applyBorder="0" applyAlignment="0" applyProtection="0"/>
    <xf numFmtId="0" fontId="62" fillId="3" borderId="0" applyNumberFormat="0" applyBorder="0" applyAlignment="0" applyProtection="0"/>
    <xf numFmtId="0" fontId="56" fillId="4" borderId="1" applyNumberFormat="0" applyFont="0" applyAlignment="0" applyProtection="0"/>
    <xf numFmtId="0" fontId="63" fillId="2" borderId="2" applyNumberFormat="0" applyAlignment="0" applyProtection="0"/>
    <xf numFmtId="0" fontId="64" fillId="11" borderId="0" applyNumberFormat="0" applyBorder="0" applyAlignment="0" applyProtection="0"/>
    <xf numFmtId="0" fontId="65" fillId="12" borderId="0" applyNumberFormat="0" applyBorder="0" applyAlignment="0" applyProtection="0"/>
    <xf numFmtId="0" fontId="62" fillId="10" borderId="0" applyNumberFormat="0" applyBorder="0" applyAlignment="0" applyProtection="0"/>
    <xf numFmtId="0" fontId="62" fillId="13" borderId="0" applyNumberFormat="0" applyBorder="0" applyAlignment="0" applyProtection="0"/>
    <xf numFmtId="0" fontId="62" fillId="14" borderId="0" applyNumberFormat="0" applyBorder="0" applyAlignment="0" applyProtection="0"/>
    <xf numFmtId="0" fontId="62" fillId="15" borderId="0" applyNumberFormat="0" applyBorder="0" applyAlignment="0" applyProtection="0"/>
    <xf numFmtId="0" fontId="62" fillId="10" borderId="0" applyNumberFormat="0" applyBorder="0" applyAlignment="0" applyProtection="0"/>
    <xf numFmtId="0" fontId="62" fillId="16" borderId="0" applyNumberFormat="0" applyBorder="0" applyAlignment="0" applyProtection="0"/>
    <xf numFmtId="0" fontId="66" fillId="0" borderId="0" applyNumberFormat="0" applyFill="0" applyBorder="0" applyAlignment="0" applyProtection="0"/>
    <xf numFmtId="0" fontId="67" fillId="3" borderId="2" applyNumberFormat="0" applyAlignment="0" applyProtection="0"/>
    <xf numFmtId="0" fontId="68" fillId="17" borderId="3" applyNumberFormat="0" applyAlignment="0" applyProtection="0"/>
    <xf numFmtId="0" fontId="69" fillId="0" borderId="4" applyNumberFormat="0" applyFill="0" applyAlignment="0" applyProtection="0"/>
    <xf numFmtId="0" fontId="70" fillId="8" borderId="0" applyNumberFormat="0" applyBorder="0" applyAlignment="0" applyProtection="0"/>
    <xf numFmtId="9" fontId="56" fillId="0" borderId="0" applyFill="0" applyBorder="0" applyAlignment="0" applyProtection="0"/>
    <xf numFmtId="0" fontId="71" fillId="0" borderId="0" applyNumberFormat="0" applyFill="0" applyBorder="0" applyAlignment="0" applyProtection="0"/>
    <xf numFmtId="0" fontId="72" fillId="0" borderId="5" applyNumberFormat="0" applyFill="0" applyAlignment="0" applyProtection="0"/>
    <xf numFmtId="0" fontId="73" fillId="0" borderId="6" applyNumberFormat="0" applyFill="0" applyAlignment="0" applyProtection="0"/>
    <xf numFmtId="0" fontId="74" fillId="0" borderId="7" applyNumberFormat="0" applyFill="0" applyAlignment="0" applyProtection="0"/>
    <xf numFmtId="0" fontId="74" fillId="0" borderId="0" applyNumberFormat="0" applyFill="0" applyBorder="0" applyAlignment="0" applyProtection="0"/>
    <xf numFmtId="0" fontId="75" fillId="0" borderId="8" applyNumberFormat="0" applyFill="0" applyAlignment="0" applyProtection="0"/>
    <xf numFmtId="0" fontId="76" fillId="2" borderId="9" applyNumberFormat="0" applyAlignment="0" applyProtection="0"/>
    <xf numFmtId="0" fontId="77" fillId="0" borderId="0" applyNumberFormat="0" applyFill="0" applyBorder="0" applyAlignment="0" applyProtection="0"/>
    <xf numFmtId="0" fontId="106" fillId="0" borderId="0"/>
    <xf numFmtId="9" fontId="3" fillId="0" borderId="0" applyFont="0" applyFill="0" applyBorder="0" applyAlignment="0" applyProtection="0"/>
    <xf numFmtId="0" fontId="3" fillId="4" borderId="1" applyNumberFormat="0" applyFont="0" applyAlignment="0" applyProtection="0"/>
    <xf numFmtId="9" fontId="3" fillId="0" borderId="0" applyFill="0" applyBorder="0" applyAlignment="0" applyProtection="0"/>
    <xf numFmtId="0" fontId="2" fillId="0" borderId="0"/>
    <xf numFmtId="0" fontId="1" fillId="0" borderId="0"/>
  </cellStyleXfs>
  <cellXfs count="3041">
    <xf numFmtId="0" fontId="0" fillId="0" borderId="0" xfId="0"/>
    <xf numFmtId="0" fontId="4" fillId="18" borderId="0" xfId="0" applyFont="1" applyFill="1"/>
    <xf numFmtId="0" fontId="0" fillId="18" borderId="0" xfId="0" applyFill="1"/>
    <xf numFmtId="0" fontId="5" fillId="18" borderId="0" xfId="0" applyFont="1" applyFill="1" applyAlignment="1">
      <alignment horizontal="right"/>
    </xf>
    <xf numFmtId="0" fontId="7" fillId="18" borderId="0" xfId="0" applyFont="1" applyFill="1"/>
    <xf numFmtId="0" fontId="0" fillId="18" borderId="0" xfId="0" applyFill="1" applyProtection="1">
      <protection locked="0"/>
    </xf>
    <xf numFmtId="0" fontId="9" fillId="18" borderId="0" xfId="0" applyFont="1" applyFill="1"/>
    <xf numFmtId="0" fontId="9" fillId="19" borderId="0" xfId="0" applyFont="1" applyFill="1" applyBorder="1"/>
    <xf numFmtId="0" fontId="0" fillId="19" borderId="0" xfId="0" applyFill="1" applyBorder="1"/>
    <xf numFmtId="0" fontId="0" fillId="18" borderId="0" xfId="0" applyFill="1" applyBorder="1"/>
    <xf numFmtId="0" fontId="0" fillId="19" borderId="9" xfId="0" applyFill="1" applyBorder="1"/>
    <xf numFmtId="0" fontId="0" fillId="19" borderId="9" xfId="0" applyFont="1" applyFill="1" applyBorder="1" applyAlignment="1">
      <alignment horizontal="center"/>
    </xf>
    <xf numFmtId="9" fontId="0" fillId="20" borderId="9" xfId="34" applyFont="1" applyFill="1" applyBorder="1" applyAlignment="1" applyProtection="1">
      <alignment horizontal="center"/>
    </xf>
    <xf numFmtId="0" fontId="0" fillId="0" borderId="0" xfId="0" applyProtection="1">
      <protection locked="0"/>
    </xf>
    <xf numFmtId="0" fontId="12" fillId="19" borderId="0" xfId="0" applyFont="1" applyFill="1" applyBorder="1"/>
    <xf numFmtId="0" fontId="7" fillId="19" borderId="9" xfId="0" applyFont="1" applyFill="1" applyBorder="1" applyProtection="1">
      <protection locked="0"/>
    </xf>
    <xf numFmtId="0" fontId="7" fillId="19" borderId="0" xfId="0" applyFont="1" applyFill="1" applyBorder="1"/>
    <xf numFmtId="0" fontId="7" fillId="19" borderId="14" xfId="0" applyFont="1" applyFill="1" applyBorder="1"/>
    <xf numFmtId="0" fontId="7" fillId="19" borderId="14" xfId="0" applyFont="1" applyFill="1" applyBorder="1" applyAlignment="1">
      <alignment horizontal="center"/>
    </xf>
    <xf numFmtId="0" fontId="7" fillId="19" borderId="15" xfId="0" applyFont="1" applyFill="1" applyBorder="1"/>
    <xf numFmtId="0" fontId="0" fillId="0" borderId="0" xfId="0" applyFill="1"/>
    <xf numFmtId="0" fontId="7" fillId="19" borderId="0" xfId="0" applyFont="1" applyFill="1" applyBorder="1" applyProtection="1">
      <protection locked="0"/>
    </xf>
    <xf numFmtId="0" fontId="16" fillId="19" borderId="0" xfId="0" applyFont="1" applyFill="1" applyBorder="1"/>
    <xf numFmtId="0" fontId="7" fillId="19" borderId="20" xfId="0" applyFont="1" applyFill="1" applyBorder="1" applyAlignment="1">
      <alignment horizontal="center"/>
    </xf>
    <xf numFmtId="0" fontId="16" fillId="19" borderId="9" xfId="0" applyFont="1" applyFill="1" applyBorder="1"/>
    <xf numFmtId="0" fontId="0" fillId="0" borderId="0" xfId="0" applyAlignment="1">
      <alignment horizontal="left"/>
    </xf>
    <xf numFmtId="0" fontId="0" fillId="0" borderId="0" xfId="0" applyFont="1"/>
    <xf numFmtId="0" fontId="0" fillId="18" borderId="0" xfId="0" applyFont="1" applyFill="1"/>
    <xf numFmtId="0" fontId="5" fillId="18" borderId="0" xfId="0" applyFont="1" applyFill="1"/>
    <xf numFmtId="0" fontId="0" fillId="21" borderId="17" xfId="0" applyFill="1" applyBorder="1"/>
    <xf numFmtId="0" fontId="0" fillId="21" borderId="22" xfId="0" applyFill="1" applyBorder="1"/>
    <xf numFmtId="0" fontId="0" fillId="21" borderId="21" xfId="0" applyFill="1" applyBorder="1"/>
    <xf numFmtId="0" fontId="0" fillId="21" borderId="23" xfId="0" applyFill="1" applyBorder="1"/>
    <xf numFmtId="0" fontId="0" fillId="21" borderId="0" xfId="0" applyFill="1" applyBorder="1"/>
    <xf numFmtId="0" fontId="0" fillId="21" borderId="24" xfId="0" applyFill="1" applyBorder="1"/>
    <xf numFmtId="0" fontId="0" fillId="19" borderId="16" xfId="0" applyFill="1" applyBorder="1"/>
    <xf numFmtId="0" fontId="9" fillId="21" borderId="0" xfId="0" applyFont="1" applyFill="1" applyBorder="1"/>
    <xf numFmtId="0" fontId="0" fillId="19" borderId="9" xfId="0" applyFont="1" applyFill="1" applyBorder="1" applyAlignment="1">
      <alignment horizontal="left"/>
    </xf>
    <xf numFmtId="0" fontId="0" fillId="19" borderId="9" xfId="0" applyFont="1" applyFill="1" applyBorder="1"/>
    <xf numFmtId="0" fontId="0" fillId="21" borderId="0" xfId="0" applyFont="1" applyFill="1" applyBorder="1"/>
    <xf numFmtId="0" fontId="0" fillId="21" borderId="14" xfId="0" applyFont="1" applyFill="1" applyBorder="1"/>
    <xf numFmtId="0" fontId="0" fillId="21" borderId="15" xfId="0" applyFill="1" applyBorder="1"/>
    <xf numFmtId="0" fontId="0" fillId="21" borderId="9" xfId="0" applyFont="1" applyFill="1" applyBorder="1"/>
    <xf numFmtId="0" fontId="0" fillId="21" borderId="9" xfId="0" applyFill="1" applyBorder="1" applyAlignment="1">
      <alignment horizontal="center"/>
    </xf>
    <xf numFmtId="0" fontId="0" fillId="21" borderId="0" xfId="0" applyFill="1" applyBorder="1" applyAlignment="1">
      <alignment horizontal="center"/>
    </xf>
    <xf numFmtId="0" fontId="0" fillId="21" borderId="20" xfId="0" applyFill="1" applyBorder="1"/>
    <xf numFmtId="0" fontId="0" fillId="21" borderId="26" xfId="0" applyFill="1" applyBorder="1"/>
    <xf numFmtId="0" fontId="0" fillId="21" borderId="25" xfId="0" applyFill="1" applyBorder="1"/>
    <xf numFmtId="0" fontId="9" fillId="19" borderId="18" xfId="0" applyFont="1" applyFill="1" applyBorder="1"/>
    <xf numFmtId="0" fontId="0" fillId="19" borderId="21" xfId="0" applyFill="1" applyBorder="1"/>
    <xf numFmtId="0" fontId="0" fillId="18" borderId="0" xfId="0" applyFill="1" applyBorder="1" applyAlignment="1">
      <alignment horizontal="center"/>
    </xf>
    <xf numFmtId="0" fontId="7" fillId="0" borderId="0" xfId="0" applyFont="1"/>
    <xf numFmtId="0" fontId="0" fillId="19" borderId="22" xfId="0" applyFill="1" applyBorder="1"/>
    <xf numFmtId="0" fontId="7" fillId="19" borderId="23" xfId="0" applyFont="1" applyFill="1" applyBorder="1"/>
    <xf numFmtId="0" fontId="7" fillId="19" borderId="24" xfId="0" applyFont="1" applyFill="1" applyBorder="1"/>
    <xf numFmtId="0" fontId="7" fillId="18" borderId="0" xfId="0" applyFont="1" applyFill="1" applyBorder="1" applyAlignment="1">
      <alignment horizontal="left"/>
    </xf>
    <xf numFmtId="0" fontId="15" fillId="18" borderId="0" xfId="0" applyFont="1" applyFill="1"/>
    <xf numFmtId="0" fontId="7" fillId="19" borderId="24" xfId="0" applyFont="1" applyFill="1" applyBorder="1" applyAlignment="1">
      <alignment horizontal="left"/>
    </xf>
    <xf numFmtId="0" fontId="7" fillId="18" borderId="0" xfId="0" applyFont="1" applyFill="1" applyProtection="1">
      <protection locked="0"/>
    </xf>
    <xf numFmtId="0" fontId="7" fillId="19" borderId="17" xfId="0" applyFont="1" applyFill="1" applyBorder="1"/>
    <xf numFmtId="0" fontId="0" fillId="19" borderId="19" xfId="0" applyFill="1" applyBorder="1"/>
    <xf numFmtId="1" fontId="7" fillId="19" borderId="14" xfId="0" applyNumberFormat="1" applyFont="1" applyFill="1" applyBorder="1"/>
    <xf numFmtId="1" fontId="12" fillId="19" borderId="28" xfId="0" applyNumberFormat="1" applyFont="1" applyFill="1" applyBorder="1"/>
    <xf numFmtId="0" fontId="7" fillId="0" borderId="0" xfId="0" applyFont="1" applyProtection="1">
      <protection locked="0"/>
    </xf>
    <xf numFmtId="0" fontId="0" fillId="0" borderId="0" xfId="0" applyNumberFormat="1"/>
    <xf numFmtId="0" fontId="0" fillId="18" borderId="9" xfId="0" applyFont="1" applyFill="1" applyBorder="1"/>
    <xf numFmtId="0" fontId="0" fillId="19" borderId="14" xfId="0" applyFont="1" applyFill="1" applyBorder="1"/>
    <xf numFmtId="0" fontId="0" fillId="20" borderId="9" xfId="0" applyFill="1" applyBorder="1" applyAlignment="1" applyProtection="1">
      <alignment horizontal="center"/>
      <protection locked="0"/>
    </xf>
    <xf numFmtId="0" fontId="0" fillId="19" borderId="0" xfId="0" applyFill="1" applyBorder="1" applyAlignment="1">
      <alignment horizontal="center"/>
    </xf>
    <xf numFmtId="0" fontId="0" fillId="18" borderId="9" xfId="0" applyFont="1" applyFill="1" applyBorder="1" applyAlignment="1">
      <alignment horizontal="center"/>
    </xf>
    <xf numFmtId="0" fontId="0" fillId="18" borderId="0" xfId="0" applyFill="1" applyAlignment="1">
      <alignment horizontal="center"/>
    </xf>
    <xf numFmtId="0" fontId="12" fillId="18" borderId="0" xfId="0" applyFont="1" applyFill="1"/>
    <xf numFmtId="1" fontId="0" fillId="18" borderId="0" xfId="0" applyNumberFormat="1" applyFill="1"/>
    <xf numFmtId="0" fontId="0" fillId="0" borderId="0" xfId="0" applyBorder="1"/>
    <xf numFmtId="0" fontId="0" fillId="0" borderId="0" xfId="0" applyFill="1" applyBorder="1"/>
    <xf numFmtId="0" fontId="22" fillId="18" borderId="0" xfId="0" applyFont="1" applyFill="1"/>
    <xf numFmtId="0" fontId="23" fillId="18" borderId="0" xfId="0" applyFont="1" applyFill="1"/>
    <xf numFmtId="0" fontId="0" fillId="18" borderId="0" xfId="0" applyFill="1" applyBorder="1" applyAlignment="1" applyProtection="1">
      <alignment horizontal="center"/>
      <protection locked="0"/>
    </xf>
    <xf numFmtId="0" fontId="0" fillId="22" borderId="0" xfId="0" applyFill="1" applyBorder="1"/>
    <xf numFmtId="0" fontId="9" fillId="19" borderId="19" xfId="0" applyFont="1" applyFill="1" applyBorder="1" applyAlignment="1">
      <alignment horizontal="center"/>
    </xf>
    <xf numFmtId="0" fontId="7" fillId="22" borderId="0" xfId="0" applyFont="1" applyFill="1" applyBorder="1"/>
    <xf numFmtId="0" fontId="7" fillId="19" borderId="27" xfId="0" applyFont="1" applyFill="1" applyBorder="1"/>
    <xf numFmtId="0" fontId="7" fillId="19" borderId="14" xfId="0" applyFont="1" applyFill="1" applyBorder="1" applyAlignment="1">
      <alignment horizontal="left"/>
    </xf>
    <xf numFmtId="0" fontId="7" fillId="19" borderId="27" xfId="0" applyFont="1" applyFill="1" applyBorder="1" applyAlignment="1">
      <alignment horizontal="center"/>
    </xf>
    <xf numFmtId="0" fontId="7" fillId="19" borderId="25" xfId="0" applyFont="1" applyFill="1" applyBorder="1"/>
    <xf numFmtId="0" fontId="0" fillId="19" borderId="15" xfId="0" applyFont="1" applyFill="1" applyBorder="1"/>
    <xf numFmtId="0" fontId="25" fillId="19" borderId="9" xfId="0" applyFont="1" applyFill="1" applyBorder="1"/>
    <xf numFmtId="0" fontId="0" fillId="22" borderId="0" xfId="0" applyFont="1" applyFill="1" applyBorder="1" applyProtection="1">
      <protection locked="0"/>
    </xf>
    <xf numFmtId="0" fontId="0" fillId="22" borderId="0" xfId="0" applyFont="1" applyFill="1" applyBorder="1"/>
    <xf numFmtId="0" fontId="0" fillId="19" borderId="0" xfId="0" applyFill="1" applyBorder="1" applyProtection="1">
      <protection locked="0"/>
    </xf>
    <xf numFmtId="0" fontId="7" fillId="19" borderId="23" xfId="0" applyFont="1" applyFill="1" applyBorder="1" applyAlignment="1">
      <alignment horizontal="center"/>
    </xf>
    <xf numFmtId="0" fontId="0" fillId="20" borderId="0" xfId="0" applyFill="1"/>
    <xf numFmtId="1" fontId="0" fillId="19" borderId="9" xfId="0" applyNumberFormat="1" applyFill="1" applyBorder="1"/>
    <xf numFmtId="0" fontId="0" fillId="19" borderId="0" xfId="0" applyFont="1" applyFill="1" applyBorder="1"/>
    <xf numFmtId="165" fontId="9" fillId="18" borderId="0" xfId="0" applyNumberFormat="1" applyFont="1" applyFill="1"/>
    <xf numFmtId="165" fontId="0" fillId="18" borderId="0" xfId="0" applyNumberFormat="1" applyFill="1"/>
    <xf numFmtId="165" fontId="9" fillId="0" borderId="0" xfId="0" applyNumberFormat="1" applyFont="1"/>
    <xf numFmtId="1" fontId="0" fillId="0" borderId="0" xfId="0" applyNumberFormat="1"/>
    <xf numFmtId="165" fontId="0" fillId="0" borderId="0" xfId="0" applyNumberFormat="1"/>
    <xf numFmtId="1" fontId="9" fillId="0" borderId="0" xfId="0" applyNumberFormat="1" applyFont="1"/>
    <xf numFmtId="2" fontId="0" fillId="0" borderId="0" xfId="0" applyNumberFormat="1"/>
    <xf numFmtId="164" fontId="0" fillId="0" borderId="0" xfId="0" applyNumberFormat="1"/>
    <xf numFmtId="0" fontId="26" fillId="0" borderId="0" xfId="0" applyFont="1"/>
    <xf numFmtId="0" fontId="27" fillId="0" borderId="0" xfId="0" applyFont="1"/>
    <xf numFmtId="0" fontId="0" fillId="0" borderId="0" xfId="0" applyAlignment="1">
      <alignment horizontal="center"/>
    </xf>
    <xf numFmtId="0" fontId="9" fillId="0" borderId="0" xfId="0" applyFont="1" applyAlignment="1">
      <alignment horizontal="center"/>
    </xf>
    <xf numFmtId="0" fontId="0" fillId="0" borderId="0" xfId="0" applyFont="1" applyAlignment="1">
      <alignment horizontal="center"/>
    </xf>
    <xf numFmtId="0" fontId="9" fillId="0" borderId="0" xfId="0" applyFont="1" applyFill="1" applyAlignment="1">
      <alignment horizontal="center"/>
    </xf>
    <xf numFmtId="0" fontId="0" fillId="0" borderId="0" xfId="0" applyAlignment="1" applyProtection="1">
      <alignment horizontal="center"/>
      <protection locked="0"/>
    </xf>
    <xf numFmtId="0" fontId="0" fillId="0" borderId="0" xfId="0" applyAlignment="1" applyProtection="1">
      <alignment horizontal="left"/>
      <protection locked="0"/>
    </xf>
    <xf numFmtId="0" fontId="15" fillId="18" borderId="0" xfId="0" applyFont="1" applyFill="1" applyBorder="1" applyAlignment="1">
      <alignment horizontal="left"/>
    </xf>
    <xf numFmtId="0" fontId="0" fillId="18" borderId="0" xfId="0" applyFill="1" applyAlignment="1">
      <alignment horizontal="left"/>
    </xf>
    <xf numFmtId="0" fontId="12" fillId="19" borderId="0" xfId="0" applyFont="1" applyFill="1" applyBorder="1" applyAlignment="1">
      <alignment horizontal="left"/>
    </xf>
    <xf numFmtId="0" fontId="0" fillId="19" borderId="0" xfId="0" applyFill="1" applyBorder="1" applyAlignment="1">
      <alignment horizontal="left"/>
    </xf>
    <xf numFmtId="0" fontId="16" fillId="19" borderId="9" xfId="0" applyFont="1" applyFill="1" applyBorder="1" applyAlignment="1">
      <alignment horizontal="center"/>
    </xf>
    <xf numFmtId="0" fontId="9" fillId="19" borderId="0" xfId="0" applyFont="1" applyFill="1" applyBorder="1" applyAlignment="1">
      <alignment horizontal="center"/>
    </xf>
    <xf numFmtId="0" fontId="9" fillId="19" borderId="0" xfId="0" applyFont="1" applyFill="1" applyBorder="1" applyAlignment="1">
      <alignment horizontal="left"/>
    </xf>
    <xf numFmtId="0" fontId="0" fillId="19" borderId="14" xfId="0" applyFill="1" applyBorder="1" applyAlignment="1">
      <alignment horizontal="center"/>
    </xf>
    <xf numFmtId="0" fontId="0" fillId="19" borderId="14" xfId="0" applyFont="1" applyFill="1" applyBorder="1" applyAlignment="1">
      <alignment horizontal="center"/>
    </xf>
    <xf numFmtId="0" fontId="0" fillId="19" borderId="18" xfId="0" applyFont="1" applyFill="1" applyBorder="1" applyAlignment="1">
      <alignment horizontal="left"/>
    </xf>
    <xf numFmtId="0" fontId="0" fillId="19" borderId="16" xfId="0" applyFill="1" applyBorder="1" applyAlignment="1">
      <alignment horizontal="center"/>
    </xf>
    <xf numFmtId="0" fontId="0" fillId="19" borderId="15" xfId="0" applyFont="1" applyFill="1" applyBorder="1" applyAlignment="1">
      <alignment horizontal="center"/>
    </xf>
    <xf numFmtId="0" fontId="16" fillId="19" borderId="0" xfId="0" applyFont="1" applyFill="1" applyBorder="1" applyAlignment="1">
      <alignment horizontal="center"/>
    </xf>
    <xf numFmtId="0" fontId="0" fillId="19" borderId="0" xfId="0" applyFont="1" applyFill="1" applyBorder="1" applyAlignment="1">
      <alignment horizontal="right"/>
    </xf>
    <xf numFmtId="0" fontId="7" fillId="19" borderId="0" xfId="0" applyFont="1" applyFill="1" applyBorder="1" applyAlignment="1">
      <alignment horizontal="left"/>
    </xf>
    <xf numFmtId="0" fontId="13" fillId="19" borderId="0" xfId="0" applyFont="1" applyFill="1" applyBorder="1" applyAlignment="1" applyProtection="1">
      <alignment horizontal="center"/>
      <protection locked="0"/>
    </xf>
    <xf numFmtId="0" fontId="0" fillId="18" borderId="0" xfId="0" applyFill="1" applyBorder="1" applyAlignment="1">
      <alignment horizontal="left"/>
    </xf>
    <xf numFmtId="0" fontId="7" fillId="19" borderId="0" xfId="0" applyFont="1" applyFill="1" applyBorder="1" applyAlignment="1" applyProtection="1">
      <alignment horizontal="center"/>
      <protection locked="0"/>
    </xf>
    <xf numFmtId="0" fontId="0" fillId="0" borderId="0" xfId="0" applyBorder="1" applyAlignment="1">
      <alignment horizontal="center"/>
    </xf>
    <xf numFmtId="0" fontId="0" fillId="19" borderId="14" xfId="0" applyFill="1" applyBorder="1" applyAlignment="1">
      <alignment horizontal="left"/>
    </xf>
    <xf numFmtId="0" fontId="7" fillId="19" borderId="15" xfId="0" applyFont="1" applyFill="1" applyBorder="1" applyAlignment="1">
      <alignment horizontal="left"/>
    </xf>
    <xf numFmtId="0" fontId="0" fillId="20" borderId="18" xfId="0" applyFill="1" applyBorder="1" applyAlignment="1">
      <alignment horizontal="center"/>
    </xf>
    <xf numFmtId="1" fontId="0" fillId="19" borderId="28" xfId="0" applyNumberFormat="1" applyFill="1" applyBorder="1" applyAlignment="1">
      <alignment horizontal="center"/>
    </xf>
    <xf numFmtId="9" fontId="0" fillId="18" borderId="9" xfId="34" applyFont="1" applyFill="1" applyBorder="1" applyAlignment="1" applyProtection="1"/>
    <xf numFmtId="165" fontId="0" fillId="18" borderId="9" xfId="0" applyNumberFormat="1" applyFill="1" applyBorder="1" applyAlignment="1">
      <alignment horizontal="center"/>
    </xf>
    <xf numFmtId="0" fontId="0" fillId="18" borderId="15" xfId="0" applyFont="1" applyFill="1" applyBorder="1" applyAlignment="1">
      <alignment horizontal="center"/>
    </xf>
    <xf numFmtId="1" fontId="16" fillId="18" borderId="9" xfId="0" applyNumberFormat="1" applyFont="1" applyFill="1" applyBorder="1" applyAlignment="1">
      <alignment horizontal="center"/>
    </xf>
    <xf numFmtId="0" fontId="0" fillId="18" borderId="24" xfId="0" applyFont="1" applyFill="1" applyBorder="1" applyAlignment="1">
      <alignment horizontal="center"/>
    </xf>
    <xf numFmtId="0" fontId="0" fillId="18" borderId="27" xfId="0" applyFont="1" applyFill="1" applyBorder="1" applyAlignment="1">
      <alignment horizontal="center"/>
    </xf>
    <xf numFmtId="165" fontId="0" fillId="18" borderId="27" xfId="0" applyNumberFormat="1" applyFont="1" applyFill="1" applyBorder="1" applyAlignment="1" applyProtection="1">
      <alignment horizontal="center"/>
      <protection locked="0"/>
    </xf>
    <xf numFmtId="0" fontId="0" fillId="18" borderId="25" xfId="0" applyFont="1" applyFill="1" applyBorder="1"/>
    <xf numFmtId="0" fontId="0" fillId="18" borderId="15" xfId="0" applyFont="1" applyFill="1" applyBorder="1"/>
    <xf numFmtId="1" fontId="0" fillId="18" borderId="15" xfId="0" applyNumberFormat="1" applyFont="1" applyFill="1" applyBorder="1" applyAlignment="1" applyProtection="1">
      <alignment horizontal="center"/>
      <protection locked="0"/>
    </xf>
    <xf numFmtId="0" fontId="0" fillId="23" borderId="9" xfId="0" applyFont="1" applyFill="1" applyBorder="1" applyAlignment="1">
      <alignment horizontal="center"/>
    </xf>
    <xf numFmtId="1" fontId="7" fillId="18" borderId="9" xfId="0" applyNumberFormat="1" applyFont="1" applyFill="1" applyBorder="1" applyAlignment="1">
      <alignment horizontal="center"/>
    </xf>
    <xf numFmtId="165" fontId="7" fillId="18" borderId="9" xfId="0" applyNumberFormat="1" applyFont="1" applyFill="1" applyBorder="1" applyAlignment="1">
      <alignment horizontal="center"/>
    </xf>
    <xf numFmtId="0" fontId="0" fillId="0" borderId="22" xfId="0" applyFill="1" applyBorder="1"/>
    <xf numFmtId="0" fontId="0" fillId="0" borderId="21" xfId="0" applyFill="1" applyBorder="1"/>
    <xf numFmtId="0" fontId="0" fillId="0" borderId="0" xfId="0" applyFont="1" applyFill="1"/>
    <xf numFmtId="0" fontId="0" fillId="0" borderId="20" xfId="0" applyFill="1" applyBorder="1"/>
    <xf numFmtId="0" fontId="0" fillId="0" borderId="25" xfId="0" applyFill="1" applyBorder="1"/>
    <xf numFmtId="0" fontId="0" fillId="0" borderId="0" xfId="0" applyFill="1" applyBorder="1" applyAlignment="1">
      <alignment horizontal="center"/>
    </xf>
    <xf numFmtId="9" fontId="0" fillId="0" borderId="0" xfId="0" applyNumberFormat="1" applyFill="1" applyBorder="1" applyAlignment="1">
      <alignment horizontal="center"/>
    </xf>
    <xf numFmtId="0" fontId="0" fillId="0" borderId="0" xfId="0" applyFont="1" applyFill="1" applyBorder="1"/>
    <xf numFmtId="0" fontId="9" fillId="0" borderId="17" xfId="0" applyFont="1" applyFill="1" applyBorder="1"/>
    <xf numFmtId="0" fontId="0" fillId="0" borderId="24" xfId="0" applyFill="1" applyBorder="1"/>
    <xf numFmtId="0" fontId="0" fillId="0" borderId="0" xfId="0" applyFont="1" applyFill="1" applyBorder="1" applyAlignment="1">
      <alignment horizontal="center"/>
    </xf>
    <xf numFmtId="0" fontId="9" fillId="0" borderId="0" xfId="0" applyFont="1" applyFill="1" applyBorder="1"/>
    <xf numFmtId="1" fontId="0" fillId="0" borderId="0" xfId="0" applyNumberFormat="1" applyFill="1" applyBorder="1" applyAlignment="1">
      <alignment horizontal="center"/>
    </xf>
    <xf numFmtId="0" fontId="0" fillId="0" borderId="0" xfId="0" applyFill="1" applyBorder="1" applyAlignment="1">
      <alignment horizontal="left"/>
    </xf>
    <xf numFmtId="0" fontId="0" fillId="0" borderId="22" xfId="0" applyFont="1" applyFill="1" applyBorder="1"/>
    <xf numFmtId="0" fontId="0" fillId="0" borderId="23" xfId="0" applyFill="1" applyBorder="1"/>
    <xf numFmtId="0" fontId="0" fillId="0" borderId="26" xfId="0" applyFill="1" applyBorder="1"/>
    <xf numFmtId="0" fontId="0" fillId="0" borderId="26" xfId="0" applyFont="1" applyFill="1" applyBorder="1"/>
    <xf numFmtId="0" fontId="9" fillId="0" borderId="0" xfId="0" applyFont="1"/>
    <xf numFmtId="0" fontId="14" fillId="0" borderId="0" xfId="0" applyFont="1" applyBorder="1"/>
    <xf numFmtId="0" fontId="33" fillId="0" borderId="0" xfId="0" applyFont="1" applyBorder="1"/>
    <xf numFmtId="0" fontId="33" fillId="0" borderId="0" xfId="0" applyFont="1" applyBorder="1" applyAlignment="1">
      <alignment horizontal="center"/>
    </xf>
    <xf numFmtId="0" fontId="34" fillId="0" borderId="0" xfId="0" applyFont="1" applyBorder="1"/>
    <xf numFmtId="0" fontId="0" fillId="24" borderId="0" xfId="0" applyFill="1"/>
    <xf numFmtId="0" fontId="34" fillId="0" borderId="32" xfId="0" applyFont="1" applyBorder="1"/>
    <xf numFmtId="0" fontId="33" fillId="0" borderId="33" xfId="0" applyFont="1" applyBorder="1"/>
    <xf numFmtId="0" fontId="33" fillId="0" borderId="33" xfId="0" applyFont="1" applyBorder="1" applyAlignment="1">
      <alignment horizontal="center"/>
    </xf>
    <xf numFmtId="0" fontId="0" fillId="0" borderId="33" xfId="0" applyBorder="1" applyAlignment="1">
      <alignment horizontal="center"/>
    </xf>
    <xf numFmtId="0" fontId="0" fillId="0" borderId="33" xfId="0" applyBorder="1"/>
    <xf numFmtId="0" fontId="33" fillId="0" borderId="34" xfId="0" applyFont="1" applyBorder="1"/>
    <xf numFmtId="0" fontId="34" fillId="0" borderId="34" xfId="0" applyFont="1" applyBorder="1" applyAlignment="1">
      <alignment horizontal="center"/>
    </xf>
    <xf numFmtId="0" fontId="34" fillId="0" borderId="34" xfId="0" applyFont="1" applyBorder="1"/>
    <xf numFmtId="0" fontId="34" fillId="0" borderId="35" xfId="0" applyFont="1" applyBorder="1"/>
    <xf numFmtId="0" fontId="33" fillId="0" borderId="34" xfId="0" applyFont="1" applyBorder="1" applyAlignment="1">
      <alignment horizontal="center"/>
    </xf>
    <xf numFmtId="0" fontId="34" fillId="0" borderId="35" xfId="0" applyFont="1" applyBorder="1" applyAlignment="1">
      <alignment horizontal="right"/>
    </xf>
    <xf numFmtId="0" fontId="0" fillId="0" borderId="36" xfId="0" applyBorder="1"/>
    <xf numFmtId="0" fontId="0" fillId="0" borderId="37" xfId="0" applyBorder="1"/>
    <xf numFmtId="0" fontId="33" fillId="0" borderId="35" xfId="0" applyFont="1" applyBorder="1" applyAlignment="1">
      <alignment horizontal="right"/>
    </xf>
    <xf numFmtId="2" fontId="33" fillId="0" borderId="35" xfId="0" applyNumberFormat="1" applyFont="1" applyBorder="1" applyAlignment="1">
      <alignment horizontal="center"/>
    </xf>
    <xf numFmtId="0" fontId="33" fillId="0" borderId="35" xfId="0" applyFont="1" applyBorder="1" applyAlignment="1"/>
    <xf numFmtId="49" fontId="34" fillId="0" borderId="34" xfId="0" applyNumberFormat="1" applyFont="1" applyBorder="1" applyAlignment="1">
      <alignment horizontal="center"/>
    </xf>
    <xf numFmtId="0" fontId="33" fillId="0" borderId="35" xfId="0" applyFont="1" applyBorder="1" applyAlignment="1">
      <alignment horizontal="center"/>
    </xf>
    <xf numFmtId="0" fontId="35" fillId="0" borderId="36" xfId="0" applyFont="1" applyBorder="1" applyAlignment="1">
      <alignment horizontal="right"/>
    </xf>
    <xf numFmtId="0" fontId="33" fillId="0" borderId="35" xfId="0" applyFont="1" applyBorder="1"/>
    <xf numFmtId="49" fontId="36" fillId="0" borderId="35" xfId="0" applyNumberFormat="1" applyFont="1" applyBorder="1" applyAlignment="1">
      <alignment horizontal="center"/>
    </xf>
    <xf numFmtId="0" fontId="36" fillId="0" borderId="35" xfId="0" applyFont="1" applyBorder="1" applyAlignment="1">
      <alignment horizontal="right"/>
    </xf>
    <xf numFmtId="2" fontId="36" fillId="0" borderId="35" xfId="0" applyNumberFormat="1" applyFont="1" applyBorder="1" applyAlignment="1">
      <alignment horizontal="center"/>
    </xf>
    <xf numFmtId="0" fontId="33" fillId="0" borderId="35" xfId="0" applyFont="1" applyBorder="1" applyAlignment="1">
      <alignment horizontal="left"/>
    </xf>
    <xf numFmtId="0" fontId="36" fillId="0" borderId="35" xfId="0" applyFont="1" applyBorder="1" applyAlignment="1">
      <alignment horizontal="center"/>
    </xf>
    <xf numFmtId="49" fontId="33" fillId="0" borderId="35" xfId="0" applyNumberFormat="1" applyFont="1" applyBorder="1" applyAlignment="1">
      <alignment horizontal="center"/>
    </xf>
    <xf numFmtId="0" fontId="0" fillId="0" borderId="0" xfId="0" applyAlignment="1">
      <alignment horizontal="right"/>
    </xf>
    <xf numFmtId="2" fontId="33" fillId="0" borderId="35" xfId="0" applyNumberFormat="1" applyFont="1" applyFill="1" applyBorder="1" applyAlignment="1">
      <alignment horizontal="center"/>
    </xf>
    <xf numFmtId="0" fontId="37" fillId="0" borderId="35" xfId="0" applyFont="1" applyBorder="1" applyAlignment="1">
      <alignment horizontal="right"/>
    </xf>
    <xf numFmtId="0" fontId="34" fillId="0" borderId="39" xfId="0" applyFont="1" applyBorder="1"/>
    <xf numFmtId="0" fontId="33" fillId="0" borderId="39" xfId="0" applyFont="1" applyBorder="1" applyAlignment="1">
      <alignment horizontal="right"/>
    </xf>
    <xf numFmtId="2" fontId="33" fillId="0" borderId="39" xfId="0" applyNumberFormat="1" applyFont="1" applyBorder="1" applyAlignment="1">
      <alignment horizontal="center"/>
    </xf>
    <xf numFmtId="0" fontId="33" fillId="0" borderId="39" xfId="0" applyFont="1" applyBorder="1" applyAlignment="1"/>
    <xf numFmtId="0" fontId="33" fillId="0" borderId="39" xfId="0" applyFont="1" applyBorder="1"/>
    <xf numFmtId="0" fontId="33" fillId="0" borderId="39" xfId="0" applyFont="1" applyBorder="1" applyAlignment="1">
      <alignment horizontal="center"/>
    </xf>
    <xf numFmtId="0" fontId="38" fillId="0" borderId="34" xfId="0" applyFont="1" applyBorder="1"/>
    <xf numFmtId="0" fontId="36" fillId="0" borderId="34" xfId="0" applyFont="1" applyBorder="1" applyAlignment="1">
      <alignment horizontal="right"/>
    </xf>
    <xf numFmtId="0" fontId="38" fillId="0" borderId="34" xfId="0" applyFont="1" applyBorder="1" applyAlignment="1">
      <alignment horizontal="center"/>
    </xf>
    <xf numFmtId="0" fontId="39" fillId="0" borderId="34" xfId="0" applyFont="1" applyBorder="1" applyAlignment="1">
      <alignment horizontal="center"/>
    </xf>
    <xf numFmtId="0" fontId="33" fillId="0" borderId="40" xfId="0" applyFont="1" applyBorder="1" applyAlignment="1">
      <alignment horizontal="center"/>
    </xf>
    <xf numFmtId="166" fontId="36" fillId="0" borderId="34" xfId="0" applyNumberFormat="1" applyFont="1" applyBorder="1" applyAlignment="1">
      <alignment horizontal="center"/>
    </xf>
    <xf numFmtId="0" fontId="8" fillId="0" borderId="34" xfId="0" applyFont="1" applyBorder="1"/>
    <xf numFmtId="0" fontId="35" fillId="0" borderId="34" xfId="0" applyFont="1" applyBorder="1"/>
    <xf numFmtId="167" fontId="37" fillId="0" borderId="34" xfId="0" applyNumberFormat="1" applyFont="1" applyBorder="1" applyAlignment="1">
      <alignment horizontal="center"/>
    </xf>
    <xf numFmtId="168" fontId="40" fillId="0" borderId="34" xfId="0" applyNumberFormat="1" applyFont="1" applyBorder="1" applyAlignment="1">
      <alignment horizontal="center"/>
    </xf>
    <xf numFmtId="0" fontId="33" fillId="0" borderId="36" xfId="0" applyFont="1" applyBorder="1" applyAlignment="1">
      <alignment horizontal="center"/>
    </xf>
    <xf numFmtId="168" fontId="41" fillId="0" borderId="34" xfId="0" applyNumberFormat="1" applyFont="1" applyBorder="1" applyAlignment="1">
      <alignment horizontal="center"/>
    </xf>
    <xf numFmtId="169" fontId="33" fillId="0" borderId="34" xfId="0" applyNumberFormat="1" applyFont="1" applyBorder="1" applyAlignment="1">
      <alignment horizontal="center"/>
    </xf>
    <xf numFmtId="170" fontId="33" fillId="0" borderId="34" xfId="0" applyNumberFormat="1" applyFont="1" applyBorder="1" applyAlignment="1">
      <alignment horizontal="center"/>
    </xf>
    <xf numFmtId="171" fontId="33" fillId="0" borderId="35" xfId="0" applyNumberFormat="1" applyFont="1" applyBorder="1" applyAlignment="1">
      <alignment horizontal="center"/>
    </xf>
    <xf numFmtId="10" fontId="33" fillId="0" borderId="35" xfId="0" applyNumberFormat="1" applyFont="1" applyBorder="1" applyAlignment="1">
      <alignment horizontal="center"/>
    </xf>
    <xf numFmtId="172" fontId="36" fillId="0" borderId="34" xfId="0" applyNumberFormat="1" applyFont="1" applyBorder="1" applyAlignment="1">
      <alignment horizontal="center"/>
    </xf>
    <xf numFmtId="173" fontId="33" fillId="0" borderId="35" xfId="0" applyNumberFormat="1" applyFont="1" applyBorder="1"/>
    <xf numFmtId="0" fontId="35" fillId="0" borderId="0" xfId="0" applyFont="1"/>
    <xf numFmtId="0" fontId="33" fillId="0" borderId="0" xfId="0" applyFont="1" applyBorder="1" applyAlignment="1">
      <alignment horizontal="right"/>
    </xf>
    <xf numFmtId="49" fontId="0" fillId="0" borderId="0" xfId="0" applyNumberFormat="1" applyAlignment="1">
      <alignment horizontal="left"/>
    </xf>
    <xf numFmtId="0" fontId="43" fillId="0" borderId="0" xfId="0" applyFont="1"/>
    <xf numFmtId="0" fontId="44" fillId="0" borderId="0" xfId="0" applyFont="1"/>
    <xf numFmtId="0" fontId="44" fillId="0" borderId="0" xfId="0" applyFont="1" applyBorder="1"/>
    <xf numFmtId="0" fontId="46" fillId="0" borderId="0" xfId="0" applyFont="1" applyAlignment="1">
      <alignment vertical="center"/>
    </xf>
    <xf numFmtId="0" fontId="7" fillId="0" borderId="0" xfId="0" applyFont="1" applyAlignment="1">
      <alignment vertical="center"/>
    </xf>
    <xf numFmtId="0" fontId="7" fillId="24" borderId="0" xfId="0" applyFont="1" applyFill="1" applyAlignment="1">
      <alignment vertical="center"/>
    </xf>
    <xf numFmtId="0" fontId="0" fillId="0" borderId="0" xfId="0" applyAlignment="1">
      <alignment vertical="center"/>
    </xf>
    <xf numFmtId="0" fontId="7" fillId="0" borderId="0" xfId="0" applyFont="1" applyBorder="1" applyAlignment="1">
      <alignment vertical="center"/>
    </xf>
    <xf numFmtId="0" fontId="35" fillId="0" borderId="0" xfId="0" applyFont="1" applyBorder="1" applyAlignment="1">
      <alignment horizontal="center"/>
    </xf>
    <xf numFmtId="0" fontId="35" fillId="0" borderId="0" xfId="0" applyFont="1" applyBorder="1" applyAlignment="1">
      <alignment horizontal="centerContinuous"/>
    </xf>
    <xf numFmtId="0" fontId="0" fillId="0" borderId="0" xfId="0" applyBorder="1" applyAlignment="1">
      <alignment horizontal="centerContinuous"/>
    </xf>
    <xf numFmtId="0" fontId="48" fillId="0" borderId="0" xfId="0" applyFont="1" applyBorder="1" applyAlignment="1">
      <alignment horizontal="center"/>
    </xf>
    <xf numFmtId="0" fontId="35" fillId="0" borderId="0" xfId="0" applyFont="1" applyBorder="1"/>
    <xf numFmtId="0" fontId="35" fillId="0" borderId="0" xfId="0" applyFont="1" applyAlignment="1">
      <alignment horizontal="center"/>
    </xf>
    <xf numFmtId="0" fontId="49" fillId="0" borderId="0" xfId="0" applyFont="1" applyAlignment="1">
      <alignment horizontal="right"/>
    </xf>
    <xf numFmtId="0" fontId="34" fillId="0" borderId="0" xfId="0" applyFont="1" applyBorder="1" applyAlignment="1">
      <alignment horizontal="center"/>
    </xf>
    <xf numFmtId="1" fontId="0" fillId="0" borderId="0" xfId="0" applyNumberFormat="1" applyBorder="1"/>
    <xf numFmtId="1" fontId="33" fillId="0" borderId="0" xfId="0" applyNumberFormat="1" applyFont="1" applyBorder="1" applyAlignment="1">
      <alignment horizontal="center"/>
    </xf>
    <xf numFmtId="1" fontId="33" fillId="0" borderId="0" xfId="0" applyNumberFormat="1" applyFont="1" applyBorder="1"/>
    <xf numFmtId="9" fontId="33" fillId="0" borderId="0" xfId="0" applyNumberFormat="1" applyFont="1" applyBorder="1" applyAlignment="1">
      <alignment horizontal="center"/>
    </xf>
    <xf numFmtId="0" fontId="50" fillId="0" borderId="0" xfId="0" applyFont="1" applyBorder="1"/>
    <xf numFmtId="1" fontId="34" fillId="0" borderId="0" xfId="0" applyNumberFormat="1" applyFont="1" applyBorder="1" applyAlignment="1">
      <alignment horizontal="center"/>
    </xf>
    <xf numFmtId="0" fontId="51" fillId="0" borderId="0" xfId="0" applyFont="1" applyBorder="1" applyAlignment="1">
      <alignment horizontal="center"/>
    </xf>
    <xf numFmtId="0" fontId="52" fillId="0" borderId="0" xfId="0" applyFont="1" applyBorder="1"/>
    <xf numFmtId="0" fontId="51" fillId="0" borderId="0" xfId="0" applyFont="1" applyBorder="1"/>
    <xf numFmtId="1" fontId="49" fillId="0" borderId="0" xfId="0" applyNumberFormat="1" applyFont="1" applyAlignment="1">
      <alignment horizontal="right"/>
    </xf>
    <xf numFmtId="0" fontId="0" fillId="0" borderId="0" xfId="0" applyBorder="1" applyAlignment="1">
      <alignment horizontal="right"/>
    </xf>
    <xf numFmtId="1" fontId="31" fillId="0" borderId="0" xfId="0" applyNumberFormat="1" applyFont="1"/>
    <xf numFmtId="1" fontId="31" fillId="0" borderId="0" xfId="0" applyNumberFormat="1" applyFont="1" applyAlignment="1">
      <alignment horizontal="right"/>
    </xf>
    <xf numFmtId="0" fontId="14" fillId="0" borderId="0" xfId="0" applyFont="1" applyBorder="1" applyAlignment="1">
      <alignment horizontal="center"/>
    </xf>
    <xf numFmtId="1" fontId="14" fillId="0" borderId="0" xfId="0" applyNumberFormat="1" applyFont="1" applyBorder="1" applyAlignment="1">
      <alignment horizontal="center"/>
    </xf>
    <xf numFmtId="0" fontId="28" fillId="0" borderId="0" xfId="0" applyFont="1" applyAlignment="1">
      <alignment horizontal="right"/>
    </xf>
    <xf numFmtId="1" fontId="28" fillId="0" borderId="0" xfId="0" applyNumberFormat="1" applyFont="1"/>
    <xf numFmtId="1" fontId="53" fillId="0" borderId="0" xfId="0" applyNumberFormat="1" applyFont="1" applyAlignment="1">
      <alignment horizontal="right"/>
    </xf>
    <xf numFmtId="0" fontId="0" fillId="24" borderId="0" xfId="0" applyFill="1" applyBorder="1" applyAlignment="1">
      <alignment horizontal="right"/>
    </xf>
    <xf numFmtId="1" fontId="0" fillId="24" borderId="0" xfId="0" applyNumberFormat="1" applyFill="1" applyBorder="1"/>
    <xf numFmtId="0" fontId="35" fillId="24" borderId="0" xfId="0" applyFont="1" applyFill="1"/>
    <xf numFmtId="0" fontId="0" fillId="25" borderId="0" xfId="0" applyFill="1"/>
    <xf numFmtId="0" fontId="0" fillId="25" borderId="0" xfId="0" applyFont="1" applyFill="1" applyBorder="1" applyAlignment="1">
      <alignment horizontal="center"/>
    </xf>
    <xf numFmtId="0" fontId="31" fillId="25" borderId="0" xfId="0" applyFont="1" applyFill="1"/>
    <xf numFmtId="0" fontId="0" fillId="25" borderId="0" xfId="0" applyFont="1" applyFill="1" applyBorder="1"/>
    <xf numFmtId="0" fontId="0" fillId="25" borderId="0" xfId="0" applyFill="1" applyBorder="1"/>
    <xf numFmtId="0" fontId="0" fillId="21" borderId="67" xfId="0" applyFill="1" applyBorder="1"/>
    <xf numFmtId="0" fontId="0" fillId="21" borderId="40" xfId="0" applyFill="1" applyBorder="1"/>
    <xf numFmtId="0" fontId="0" fillId="21" borderId="59" xfId="0" applyFill="1" applyBorder="1"/>
    <xf numFmtId="0" fontId="0" fillId="21" borderId="68" xfId="0" applyFill="1" applyBorder="1"/>
    <xf numFmtId="0" fontId="0" fillId="21" borderId="69" xfId="0" applyFill="1" applyBorder="1"/>
    <xf numFmtId="0" fontId="0" fillId="21" borderId="32" xfId="0" applyFill="1" applyBorder="1"/>
    <xf numFmtId="0" fontId="0" fillId="21" borderId="33" xfId="0" applyFill="1" applyBorder="1"/>
    <xf numFmtId="0" fontId="0" fillId="21" borderId="42" xfId="0" applyFill="1" applyBorder="1"/>
    <xf numFmtId="0" fontId="0" fillId="18" borderId="0" xfId="0" applyFont="1" applyFill="1" applyBorder="1"/>
    <xf numFmtId="0" fontId="33" fillId="0" borderId="0" xfId="0" applyFont="1" applyFill="1" applyBorder="1"/>
    <xf numFmtId="0" fontId="33" fillId="0" borderId="0" xfId="0" applyFont="1" applyFill="1" applyBorder="1" applyAlignment="1">
      <alignment horizontal="center"/>
    </xf>
    <xf numFmtId="1" fontId="34" fillId="0" borderId="0" xfId="0" applyNumberFormat="1" applyFont="1" applyFill="1" applyBorder="1" applyAlignment="1">
      <alignment horizontal="center"/>
    </xf>
    <xf numFmtId="0" fontId="34" fillId="0" borderId="0" xfId="0" applyFont="1" applyFill="1" applyBorder="1"/>
    <xf numFmtId="1" fontId="0" fillId="0" borderId="0" xfId="0" applyNumberFormat="1" applyFill="1" applyBorder="1"/>
    <xf numFmtId="0" fontId="0" fillId="0" borderId="0" xfId="0" applyFill="1" applyAlignment="1">
      <alignment horizontal="right"/>
    </xf>
    <xf numFmtId="1" fontId="0" fillId="0" borderId="0" xfId="0" applyNumberFormat="1" applyFill="1"/>
    <xf numFmtId="1" fontId="33" fillId="0" borderId="0" xfId="0" applyNumberFormat="1" applyFont="1" applyFill="1" applyBorder="1" applyAlignment="1">
      <alignment horizontal="center"/>
    </xf>
    <xf numFmtId="0" fontId="5" fillId="0" borderId="0" xfId="0" applyFont="1" applyFill="1" applyBorder="1"/>
    <xf numFmtId="0" fontId="5" fillId="0" borderId="0" xfId="0" applyFont="1" applyFill="1" applyBorder="1" applyAlignment="1">
      <alignment horizontal="center"/>
    </xf>
    <xf numFmtId="0" fontId="14" fillId="0" borderId="0" xfId="0" applyFont="1" applyFill="1" applyBorder="1"/>
    <xf numFmtId="0" fontId="0" fillId="0" borderId="0" xfId="0" applyFill="1" applyBorder="1" applyAlignment="1">
      <alignment horizontal="right"/>
    </xf>
    <xf numFmtId="0" fontId="14" fillId="0" borderId="0" xfId="0" applyFont="1" applyFill="1" applyBorder="1" applyAlignment="1">
      <alignment horizontal="center"/>
    </xf>
    <xf numFmtId="1" fontId="14" fillId="0" borderId="0" xfId="0" applyNumberFormat="1" applyFont="1" applyFill="1" applyBorder="1" applyAlignment="1">
      <alignment horizontal="center"/>
    </xf>
    <xf numFmtId="0" fontId="55" fillId="0" borderId="0" xfId="0" applyFont="1" applyFill="1" applyBorder="1"/>
    <xf numFmtId="0" fontId="55" fillId="0" borderId="0" xfId="0" applyFont="1" applyFill="1" applyBorder="1" applyAlignment="1">
      <alignment horizontal="center"/>
    </xf>
    <xf numFmtId="1" fontId="55" fillId="0" borderId="0" xfId="0" applyNumberFormat="1" applyFont="1" applyFill="1" applyBorder="1" applyAlignment="1">
      <alignment horizontal="center"/>
    </xf>
    <xf numFmtId="0" fontId="28" fillId="0" borderId="0" xfId="0" applyFont="1" applyFill="1" applyBorder="1"/>
    <xf numFmtId="1" fontId="28" fillId="0" borderId="0" xfId="0" applyNumberFormat="1" applyFont="1" applyFill="1" applyBorder="1"/>
    <xf numFmtId="0" fontId="28" fillId="0" borderId="0" xfId="0" applyFont="1" applyFill="1"/>
    <xf numFmtId="0" fontId="28" fillId="0" borderId="0" xfId="0" applyFont="1" applyFill="1" applyAlignment="1">
      <alignment horizontal="right"/>
    </xf>
    <xf numFmtId="1" fontId="28" fillId="0" borderId="0" xfId="0" applyNumberFormat="1" applyFont="1" applyFill="1"/>
    <xf numFmtId="0" fontId="28" fillId="0" borderId="0" xfId="0" applyFont="1" applyFill="1" applyBorder="1" applyAlignment="1">
      <alignment horizontal="right"/>
    </xf>
    <xf numFmtId="0" fontId="35" fillId="0" borderId="0" xfId="0" applyFont="1" applyFill="1" applyBorder="1"/>
    <xf numFmtId="0" fontId="46" fillId="24" borderId="0" xfId="0" applyFont="1" applyFill="1" applyAlignment="1">
      <alignment vertical="center"/>
    </xf>
    <xf numFmtId="0" fontId="0" fillId="19" borderId="67" xfId="0" applyFill="1" applyBorder="1"/>
    <xf numFmtId="0" fontId="0" fillId="19" borderId="32" xfId="0" applyFill="1" applyBorder="1"/>
    <xf numFmtId="0" fontId="9" fillId="27" borderId="34" xfId="0" applyFont="1" applyFill="1" applyBorder="1"/>
    <xf numFmtId="0" fontId="9" fillId="27" borderId="34" xfId="0" applyFont="1" applyFill="1" applyBorder="1" applyAlignment="1">
      <alignment horizontal="center"/>
    </xf>
    <xf numFmtId="0" fontId="0" fillId="27" borderId="34" xfId="0" applyFill="1" applyBorder="1"/>
    <xf numFmtId="0" fontId="0" fillId="27" borderId="34" xfId="0" applyFont="1" applyFill="1" applyBorder="1" applyAlignment="1">
      <alignment horizontal="center"/>
    </xf>
    <xf numFmtId="0" fontId="0" fillId="27" borderId="0" xfId="0" applyFill="1"/>
    <xf numFmtId="0" fontId="0" fillId="26" borderId="0" xfId="0" applyFill="1" applyBorder="1"/>
    <xf numFmtId="0" fontId="0" fillId="27" borderId="34" xfId="0" applyFill="1" applyBorder="1" applyAlignment="1">
      <alignment horizontal="center"/>
    </xf>
    <xf numFmtId="0" fontId="0" fillId="19" borderId="34" xfId="0" applyFont="1" applyFill="1" applyBorder="1"/>
    <xf numFmtId="0" fontId="0" fillId="19" borderId="34" xfId="0" applyFill="1" applyBorder="1"/>
    <xf numFmtId="0" fontId="56" fillId="19" borderId="34" xfId="0" applyFont="1" applyFill="1" applyBorder="1"/>
    <xf numFmtId="0" fontId="59" fillId="18" borderId="0" xfId="0" applyFont="1" applyFill="1"/>
    <xf numFmtId="0" fontId="19" fillId="19" borderId="0" xfId="0" applyFont="1" applyFill="1" applyBorder="1" applyAlignment="1">
      <alignment horizontal="left"/>
    </xf>
    <xf numFmtId="0" fontId="56" fillId="27" borderId="34" xfId="0" applyFont="1" applyFill="1" applyBorder="1"/>
    <xf numFmtId="0" fontId="0" fillId="19" borderId="0" xfId="0" applyFont="1" applyFill="1" applyBorder="1" applyAlignment="1">
      <alignment horizontal="center"/>
    </xf>
    <xf numFmtId="0" fontId="0" fillId="18" borderId="0" xfId="0" applyFill="1" applyAlignment="1">
      <alignment horizontal="right"/>
    </xf>
    <xf numFmtId="0" fontId="0" fillId="27" borderId="67" xfId="0" applyFill="1" applyBorder="1"/>
    <xf numFmtId="0" fontId="0" fillId="27" borderId="40" xfId="0" applyFill="1" applyBorder="1"/>
    <xf numFmtId="0" fontId="0" fillId="32" borderId="40" xfId="0" applyFill="1" applyBorder="1"/>
    <xf numFmtId="0" fontId="0" fillId="32" borderId="59" xfId="0" applyFill="1" applyBorder="1"/>
    <xf numFmtId="0" fontId="0" fillId="27" borderId="68" xfId="0" applyFill="1" applyBorder="1"/>
    <xf numFmtId="0" fontId="0" fillId="32" borderId="0" xfId="0" applyFill="1" applyBorder="1"/>
    <xf numFmtId="0" fontId="0" fillId="32" borderId="69" xfId="0" applyFill="1" applyBorder="1"/>
    <xf numFmtId="0" fontId="0" fillId="27" borderId="0" xfId="0" applyFill="1" applyBorder="1"/>
    <xf numFmtId="0" fontId="0" fillId="27" borderId="32" xfId="0" applyFill="1" applyBorder="1"/>
    <xf numFmtId="0" fontId="0" fillId="27" borderId="33" xfId="0" applyFill="1" applyBorder="1"/>
    <xf numFmtId="0" fontId="0" fillId="32" borderId="33" xfId="0" applyFill="1" applyBorder="1"/>
    <xf numFmtId="0" fontId="0" fillId="32" borderId="42" xfId="0" applyFill="1" applyBorder="1"/>
    <xf numFmtId="0" fontId="9" fillId="27" borderId="0" xfId="0" applyFont="1" applyFill="1" applyBorder="1"/>
    <xf numFmtId="0" fontId="56" fillId="32" borderId="0" xfId="0" applyFont="1" applyFill="1" applyBorder="1"/>
    <xf numFmtId="0" fontId="56" fillId="32" borderId="38" xfId="0" applyFont="1" applyFill="1" applyBorder="1"/>
    <xf numFmtId="0" fontId="56" fillId="32" borderId="37" xfId="0" applyFont="1" applyFill="1" applyBorder="1"/>
    <xf numFmtId="0" fontId="0" fillId="27" borderId="0" xfId="0" applyFont="1" applyFill="1" applyBorder="1" applyAlignment="1">
      <alignment horizontal="center"/>
    </xf>
    <xf numFmtId="0" fontId="0" fillId="27" borderId="0" xfId="0" applyFont="1" applyFill="1" applyBorder="1"/>
    <xf numFmtId="0" fontId="12" fillId="27" borderId="0" xfId="0" applyFont="1" applyFill="1" applyBorder="1"/>
    <xf numFmtId="9" fontId="0" fillId="27" borderId="0" xfId="0" applyNumberFormat="1" applyFill="1" applyBorder="1" applyAlignment="1">
      <alignment horizontal="center"/>
    </xf>
    <xf numFmtId="0" fontId="0" fillId="27" borderId="0" xfId="0" applyFill="1" applyBorder="1" applyAlignment="1">
      <alignment horizontal="center"/>
    </xf>
    <xf numFmtId="0" fontId="31" fillId="27" borderId="40" xfId="0" applyFont="1" applyFill="1" applyBorder="1"/>
    <xf numFmtId="0" fontId="0" fillId="27" borderId="40" xfId="0" applyFont="1" applyFill="1" applyBorder="1" applyAlignment="1">
      <alignment horizontal="center"/>
    </xf>
    <xf numFmtId="0" fontId="0" fillId="27" borderId="40" xfId="0" applyFont="1" applyFill="1" applyBorder="1"/>
    <xf numFmtId="0" fontId="0" fillId="27" borderId="68" xfId="0" applyFont="1" applyFill="1" applyBorder="1"/>
    <xf numFmtId="0" fontId="9" fillId="32" borderId="69" xfId="0" applyFont="1" applyFill="1" applyBorder="1"/>
    <xf numFmtId="0" fontId="0" fillId="27" borderId="32" xfId="0" applyFont="1" applyFill="1" applyBorder="1"/>
    <xf numFmtId="0" fontId="0" fillId="27" borderId="33" xfId="0" applyFont="1" applyFill="1" applyBorder="1"/>
    <xf numFmtId="0" fontId="0" fillId="27" borderId="33" xfId="0" applyFill="1" applyBorder="1" applyAlignment="1">
      <alignment horizontal="center"/>
    </xf>
    <xf numFmtId="0" fontId="9" fillId="27" borderId="33" xfId="0" applyFont="1" applyFill="1" applyBorder="1"/>
    <xf numFmtId="0" fontId="12" fillId="26" borderId="0" xfId="0" applyFont="1" applyFill="1" applyBorder="1"/>
    <xf numFmtId="0" fontId="7" fillId="26" borderId="0" xfId="0" applyFont="1" applyFill="1" applyBorder="1"/>
    <xf numFmtId="0" fontId="7" fillId="19" borderId="67" xfId="0" applyFont="1" applyFill="1" applyBorder="1"/>
    <xf numFmtId="0" fontId="7" fillId="19" borderId="40" xfId="0" applyFont="1" applyFill="1" applyBorder="1"/>
    <xf numFmtId="0" fontId="7" fillId="26" borderId="40" xfId="0" applyFont="1" applyFill="1" applyBorder="1"/>
    <xf numFmtId="0" fontId="7" fillId="26" borderId="59" xfId="0" applyFont="1" applyFill="1" applyBorder="1"/>
    <xf numFmtId="0" fontId="7" fillId="26" borderId="68" xfId="0" applyFont="1" applyFill="1" applyBorder="1"/>
    <xf numFmtId="0" fontId="7" fillId="26" borderId="69" xfId="0" applyFont="1" applyFill="1" applyBorder="1"/>
    <xf numFmtId="0" fontId="0" fillId="26" borderId="0" xfId="0" applyFill="1" applyBorder="1" applyAlignment="1">
      <alignment horizontal="center"/>
    </xf>
    <xf numFmtId="0" fontId="7" fillId="26" borderId="32" xfId="0" applyFont="1" applyFill="1" applyBorder="1"/>
    <xf numFmtId="0" fontId="7" fillId="26" borderId="33" xfId="0" applyFont="1" applyFill="1" applyBorder="1"/>
    <xf numFmtId="0" fontId="7" fillId="26" borderId="42" xfId="0" applyFont="1" applyFill="1" applyBorder="1"/>
    <xf numFmtId="0" fontId="25" fillId="19" borderId="34" xfId="0" applyFont="1" applyFill="1" applyBorder="1"/>
    <xf numFmtId="0" fontId="9" fillId="19" borderId="34" xfId="0" applyFont="1" applyFill="1" applyBorder="1"/>
    <xf numFmtId="0" fontId="0" fillId="0" borderId="0" xfId="0" applyFill="1" applyAlignment="1">
      <alignment vertical="center"/>
    </xf>
    <xf numFmtId="0" fontId="0" fillId="31" borderId="40" xfId="0" applyFill="1" applyBorder="1"/>
    <xf numFmtId="0" fontId="0" fillId="31" borderId="33" xfId="0" applyFill="1" applyBorder="1"/>
    <xf numFmtId="0" fontId="0" fillId="31" borderId="42" xfId="0" applyFill="1" applyBorder="1"/>
    <xf numFmtId="0" fontId="0" fillId="31" borderId="59" xfId="0" applyFill="1" applyBorder="1"/>
    <xf numFmtId="0" fontId="19" fillId="19" borderId="9" xfId="0" applyFont="1" applyFill="1" applyBorder="1" applyAlignment="1">
      <alignment horizontal="center"/>
    </xf>
    <xf numFmtId="0" fontId="0" fillId="18" borderId="0" xfId="0" applyFont="1" applyFill="1" applyBorder="1" applyAlignment="1"/>
    <xf numFmtId="0" fontId="0" fillId="33" borderId="0" xfId="0" applyFill="1" applyBorder="1" applyAlignment="1" applyProtection="1">
      <alignment horizontal="center"/>
      <protection locked="0"/>
    </xf>
    <xf numFmtId="0" fontId="0" fillId="25" borderId="37" xfId="0" applyFill="1" applyBorder="1"/>
    <xf numFmtId="0" fontId="0" fillId="34" borderId="0" xfId="0" applyFont="1" applyFill="1" applyBorder="1"/>
    <xf numFmtId="0" fontId="57" fillId="35" borderId="67" xfId="0" applyFont="1" applyFill="1" applyBorder="1"/>
    <xf numFmtId="0" fontId="0" fillId="35" borderId="40" xfId="0" applyFill="1" applyBorder="1"/>
    <xf numFmtId="0" fontId="0" fillId="34" borderId="40" xfId="0" applyFill="1" applyBorder="1"/>
    <xf numFmtId="0" fontId="0" fillId="34" borderId="59" xfId="0" applyFill="1" applyBorder="1"/>
    <xf numFmtId="0" fontId="58" fillId="35" borderId="68" xfId="0" applyFont="1" applyFill="1" applyBorder="1"/>
    <xf numFmtId="0" fontId="0" fillId="35" borderId="0" xfId="0" applyFill="1" applyBorder="1"/>
    <xf numFmtId="0" fontId="0" fillId="34" borderId="0" xfId="0" applyFill="1" applyBorder="1"/>
    <xf numFmtId="0" fontId="0" fillId="34" borderId="69" xfId="0" applyFill="1" applyBorder="1"/>
    <xf numFmtId="0" fontId="58" fillId="35" borderId="0" xfId="0" applyFont="1" applyFill="1" applyBorder="1"/>
    <xf numFmtId="0" fontId="58" fillId="35" borderId="32" xfId="0" applyFont="1" applyFill="1" applyBorder="1"/>
    <xf numFmtId="0" fontId="0" fillId="34" borderId="33" xfId="0" applyFont="1" applyFill="1" applyBorder="1"/>
    <xf numFmtId="0" fontId="58" fillId="35" borderId="33" xfId="0" applyFont="1" applyFill="1" applyBorder="1"/>
    <xf numFmtId="0" fontId="0" fillId="35" borderId="33" xfId="0" applyFill="1" applyBorder="1"/>
    <xf numFmtId="0" fontId="0" fillId="34" borderId="33" xfId="0" applyFill="1" applyBorder="1"/>
    <xf numFmtId="0" fontId="0" fillId="34" borderId="42" xfId="0" applyFill="1" applyBorder="1"/>
    <xf numFmtId="0" fontId="0" fillId="34" borderId="18" xfId="0" applyFill="1" applyBorder="1" applyAlignment="1"/>
    <xf numFmtId="0" fontId="0" fillId="34" borderId="19" xfId="0" applyFill="1" applyBorder="1" applyAlignment="1"/>
    <xf numFmtId="0" fontId="0" fillId="35" borderId="37" xfId="0" applyFill="1" applyBorder="1"/>
    <xf numFmtId="0" fontId="14" fillId="34" borderId="18" xfId="0" applyFont="1" applyFill="1" applyBorder="1" applyAlignment="1"/>
    <xf numFmtId="0" fontId="0" fillId="18" borderId="38" xfId="0" applyFill="1" applyBorder="1"/>
    <xf numFmtId="0" fontId="0" fillId="18" borderId="36" xfId="0" applyFill="1" applyBorder="1"/>
    <xf numFmtId="0" fontId="0" fillId="18" borderId="67" xfId="0" applyFont="1" applyFill="1" applyBorder="1"/>
    <xf numFmtId="0" fontId="0" fillId="25" borderId="59" xfId="0" applyFill="1" applyBorder="1"/>
    <xf numFmtId="0" fontId="0" fillId="29" borderId="38" xfId="0" applyFill="1" applyBorder="1" applyAlignment="1" applyProtection="1">
      <alignment horizontal="center"/>
      <protection locked="0"/>
    </xf>
    <xf numFmtId="0" fontId="0" fillId="28" borderId="37" xfId="0" applyFill="1" applyBorder="1"/>
    <xf numFmtId="0" fontId="31" fillId="27" borderId="34" xfId="0" applyFont="1" applyFill="1" applyBorder="1"/>
    <xf numFmtId="0" fontId="32" fillId="27" borderId="34" xfId="0" applyFont="1" applyFill="1" applyBorder="1"/>
    <xf numFmtId="0" fontId="32" fillId="27" borderId="34" xfId="0" applyFont="1" applyFill="1" applyBorder="1" applyAlignment="1">
      <alignment horizontal="center"/>
    </xf>
    <xf numFmtId="0" fontId="0" fillId="27" borderId="34" xfId="0" applyFont="1" applyFill="1" applyBorder="1"/>
    <xf numFmtId="0" fontId="0" fillId="34" borderId="38" xfId="0" applyFont="1" applyFill="1" applyBorder="1"/>
    <xf numFmtId="0" fontId="0" fillId="35" borderId="38" xfId="0" applyFill="1" applyBorder="1"/>
    <xf numFmtId="0" fontId="0" fillId="35" borderId="67" xfId="0" applyFill="1" applyBorder="1"/>
    <xf numFmtId="0" fontId="0" fillId="34" borderId="59" xfId="0" applyFont="1" applyFill="1" applyBorder="1"/>
    <xf numFmtId="0" fontId="0" fillId="18" borderId="26" xfId="0" applyFont="1" applyFill="1" applyBorder="1" applyAlignment="1" applyProtection="1">
      <alignment horizontal="center"/>
      <protection locked="0"/>
    </xf>
    <xf numFmtId="0" fontId="0" fillId="0" borderId="67" xfId="0" applyBorder="1"/>
    <xf numFmtId="0" fontId="0" fillId="18" borderId="59" xfId="0" applyFont="1" applyFill="1" applyBorder="1" applyAlignment="1" applyProtection="1">
      <alignment horizontal="center"/>
      <protection locked="0"/>
    </xf>
    <xf numFmtId="0" fontId="9" fillId="34" borderId="38" xfId="0" applyFont="1" applyFill="1" applyBorder="1"/>
    <xf numFmtId="0" fontId="0" fillId="34" borderId="36" xfId="0" applyFill="1" applyBorder="1"/>
    <xf numFmtId="0" fontId="0" fillId="35" borderId="36" xfId="0" applyFill="1" applyBorder="1"/>
    <xf numFmtId="0" fontId="0" fillId="34" borderId="20" xfId="0" applyFont="1" applyFill="1" applyBorder="1"/>
    <xf numFmtId="0" fontId="0" fillId="34" borderId="18" xfId="0" applyFont="1" applyFill="1" applyBorder="1"/>
    <xf numFmtId="0" fontId="0" fillId="34" borderId="38" xfId="0" applyFill="1" applyBorder="1"/>
    <xf numFmtId="0" fontId="28" fillId="18" borderId="0" xfId="0" applyFont="1" applyFill="1" applyBorder="1"/>
    <xf numFmtId="0" fontId="0" fillId="36" borderId="0" xfId="0" applyFill="1" applyBorder="1"/>
    <xf numFmtId="0" fontId="80" fillId="25" borderId="0" xfId="0" applyFont="1" applyFill="1" applyBorder="1"/>
    <xf numFmtId="0" fontId="22" fillId="25" borderId="0" xfId="0" applyFont="1" applyFill="1"/>
    <xf numFmtId="0" fontId="4" fillId="30" borderId="38" xfId="0" applyFont="1" applyFill="1" applyBorder="1"/>
    <xf numFmtId="0" fontId="28" fillId="30" borderId="36" xfId="0" applyFont="1" applyFill="1" applyBorder="1"/>
    <xf numFmtId="0" fontId="28" fillId="30" borderId="37" xfId="0" applyFont="1" applyFill="1" applyBorder="1"/>
    <xf numFmtId="0" fontId="22" fillId="31" borderId="67" xfId="0" applyFont="1" applyFill="1" applyBorder="1"/>
    <xf numFmtId="0" fontId="0" fillId="31" borderId="32" xfId="0" applyFill="1" applyBorder="1"/>
    <xf numFmtId="0" fontId="0" fillId="30" borderId="40" xfId="0" applyFill="1" applyBorder="1"/>
    <xf numFmtId="0" fontId="0" fillId="30" borderId="33" xfId="0" applyFill="1" applyBorder="1"/>
    <xf numFmtId="0" fontId="81" fillId="18" borderId="0" xfId="0" applyFont="1" applyFill="1"/>
    <xf numFmtId="0" fontId="0" fillId="18" borderId="34" xfId="0" applyFill="1" applyBorder="1"/>
    <xf numFmtId="0" fontId="0" fillId="19" borderId="70" xfId="0" applyFill="1" applyBorder="1" applyAlignment="1">
      <alignment horizontal="center"/>
    </xf>
    <xf numFmtId="0" fontId="0" fillId="19" borderId="71" xfId="0" applyFill="1" applyBorder="1" applyAlignment="1">
      <alignment horizontal="left"/>
    </xf>
    <xf numFmtId="0" fontId="0" fillId="19" borderId="71" xfId="0" applyFill="1" applyBorder="1" applyAlignment="1">
      <alignment horizontal="center"/>
    </xf>
    <xf numFmtId="0" fontId="0" fillId="19" borderId="72" xfId="0" applyFill="1" applyBorder="1" applyAlignment="1">
      <alignment horizontal="center"/>
    </xf>
    <xf numFmtId="0" fontId="0" fillId="19" borderId="48" xfId="0" applyFill="1" applyBorder="1" applyAlignment="1">
      <alignment horizontal="center"/>
    </xf>
    <xf numFmtId="0" fontId="0" fillId="19" borderId="60" xfId="0" applyFill="1" applyBorder="1" applyAlignment="1">
      <alignment horizontal="center"/>
    </xf>
    <xf numFmtId="0" fontId="9" fillId="19" borderId="60" xfId="0" applyFont="1" applyFill="1" applyBorder="1" applyAlignment="1">
      <alignment horizontal="center"/>
    </xf>
    <xf numFmtId="0" fontId="0" fillId="19" borderId="73" xfId="0" applyFill="1" applyBorder="1" applyAlignment="1">
      <alignment horizontal="center"/>
    </xf>
    <xf numFmtId="0" fontId="0" fillId="19" borderId="74" xfId="0" applyFill="1" applyBorder="1" applyAlignment="1">
      <alignment horizontal="left"/>
    </xf>
    <xf numFmtId="0" fontId="0" fillId="19" borderId="74" xfId="0" applyFill="1" applyBorder="1" applyAlignment="1">
      <alignment horizontal="center"/>
    </xf>
    <xf numFmtId="0" fontId="0" fillId="19" borderId="65" xfId="0" applyFill="1" applyBorder="1" applyAlignment="1">
      <alignment horizontal="center"/>
    </xf>
    <xf numFmtId="0" fontId="0" fillId="19" borderId="0" xfId="0" applyFont="1" applyFill="1" applyBorder="1" applyAlignment="1">
      <alignment horizontal="left"/>
    </xf>
    <xf numFmtId="0" fontId="0" fillId="20" borderId="34" xfId="0" applyFill="1" applyBorder="1" applyAlignment="1">
      <alignment horizontal="center"/>
    </xf>
    <xf numFmtId="0" fontId="0" fillId="20" borderId="34" xfId="0" applyFill="1" applyBorder="1" applyAlignment="1" applyProtection="1">
      <alignment horizontal="center"/>
      <protection locked="0"/>
    </xf>
    <xf numFmtId="0" fontId="0" fillId="19" borderId="81" xfId="0" applyFill="1" applyBorder="1" applyAlignment="1">
      <alignment horizontal="center"/>
    </xf>
    <xf numFmtId="0" fontId="0" fillId="19" borderId="34" xfId="0" applyFill="1" applyBorder="1" applyAlignment="1">
      <alignment horizontal="center"/>
    </xf>
    <xf numFmtId="0" fontId="0" fillId="19" borderId="41" xfId="0" applyFont="1" applyFill="1" applyBorder="1" applyAlignment="1">
      <alignment horizontal="center"/>
    </xf>
    <xf numFmtId="0" fontId="0" fillId="19" borderId="35" xfId="0" applyFont="1" applyFill="1" applyBorder="1" applyAlignment="1">
      <alignment horizontal="center"/>
    </xf>
    <xf numFmtId="0" fontId="0" fillId="19" borderId="41" xfId="0" applyFill="1" applyBorder="1" applyAlignment="1">
      <alignment horizontal="center"/>
    </xf>
    <xf numFmtId="0" fontId="16" fillId="19" borderId="35" xfId="0" applyFont="1" applyFill="1" applyBorder="1" applyAlignment="1">
      <alignment horizontal="left"/>
    </xf>
    <xf numFmtId="0" fontId="0" fillId="18" borderId="0" xfId="0" applyFill="1" applyProtection="1"/>
    <xf numFmtId="0" fontId="5" fillId="18" borderId="0" xfId="0" applyFont="1" applyFill="1" applyAlignment="1" applyProtection="1">
      <alignment horizontal="right"/>
    </xf>
    <xf numFmtId="0" fontId="7" fillId="18" borderId="0" xfId="0" applyFont="1" applyFill="1" applyProtection="1"/>
    <xf numFmtId="0" fontId="0" fillId="0" borderId="0" xfId="0" applyProtection="1"/>
    <xf numFmtId="0" fontId="9" fillId="18" borderId="0" xfId="0" applyFont="1" applyFill="1" applyProtection="1"/>
    <xf numFmtId="0" fontId="0" fillId="19" borderId="70" xfId="0" applyFill="1" applyBorder="1" applyProtection="1"/>
    <xf numFmtId="0" fontId="0" fillId="19" borderId="71" xfId="0" applyFill="1" applyBorder="1" applyProtection="1"/>
    <xf numFmtId="0" fontId="0" fillId="19" borderId="72" xfId="0" applyFill="1" applyBorder="1" applyProtection="1"/>
    <xf numFmtId="0" fontId="0" fillId="19" borderId="48" xfId="0" applyFill="1" applyBorder="1" applyProtection="1"/>
    <xf numFmtId="0" fontId="9" fillId="19" borderId="0" xfId="0" applyFont="1" applyFill="1" applyBorder="1" applyProtection="1"/>
    <xf numFmtId="0" fontId="0" fillId="19" borderId="0" xfId="0" applyFill="1" applyBorder="1" applyProtection="1"/>
    <xf numFmtId="0" fontId="0" fillId="19" borderId="60" xfId="0" applyFill="1" applyBorder="1" applyProtection="1"/>
    <xf numFmtId="0" fontId="0" fillId="18" borderId="0" xfId="0" applyFill="1" applyAlignment="1" applyProtection="1"/>
    <xf numFmtId="0" fontId="0" fillId="19" borderId="60" xfId="0" applyFill="1" applyBorder="1" applyAlignment="1" applyProtection="1"/>
    <xf numFmtId="0" fontId="0" fillId="19" borderId="73" xfId="0" applyFill="1" applyBorder="1" applyProtection="1"/>
    <xf numFmtId="0" fontId="0" fillId="19" borderId="74" xfId="0" applyFill="1" applyBorder="1" applyProtection="1"/>
    <xf numFmtId="0" fontId="0" fillId="19" borderId="65" xfId="0" applyFill="1" applyBorder="1" applyProtection="1"/>
    <xf numFmtId="0" fontId="0" fillId="19" borderId="9" xfId="0" applyFill="1" applyBorder="1" applyProtection="1"/>
    <xf numFmtId="0" fontId="0" fillId="19" borderId="9" xfId="0" applyFont="1" applyFill="1" applyBorder="1" applyAlignment="1" applyProtection="1">
      <alignment horizontal="center"/>
    </xf>
    <xf numFmtId="0" fontId="0" fillId="19" borderId="0" xfId="0" applyFont="1" applyFill="1" applyBorder="1" applyAlignment="1" applyProtection="1">
      <alignment horizontal="center"/>
    </xf>
    <xf numFmtId="0" fontId="8" fillId="18" borderId="0" xfId="0" applyFont="1" applyFill="1" applyProtection="1"/>
    <xf numFmtId="0" fontId="0" fillId="0" borderId="0" xfId="0" applyFont="1" applyAlignment="1">
      <alignment horizontal="left"/>
    </xf>
    <xf numFmtId="0" fontId="0" fillId="0" borderId="38" xfId="0" applyBorder="1" applyAlignment="1">
      <alignment horizontal="center"/>
    </xf>
    <xf numFmtId="0" fontId="0" fillId="0" borderId="34" xfId="0" applyBorder="1" applyAlignment="1">
      <alignment horizontal="center"/>
    </xf>
    <xf numFmtId="0" fontId="0" fillId="38" borderId="0" xfId="0" applyFill="1" applyBorder="1" applyAlignment="1">
      <alignment horizontal="center"/>
    </xf>
    <xf numFmtId="0" fontId="0" fillId="0" borderId="34" xfId="0" applyBorder="1"/>
    <xf numFmtId="0" fontId="16" fillId="19" borderId="34" xfId="0" applyFont="1" applyFill="1" applyBorder="1" applyAlignment="1">
      <alignment horizontal="center"/>
    </xf>
    <xf numFmtId="0" fontId="7" fillId="19" borderId="34" xfId="0" applyFont="1" applyFill="1" applyBorder="1" applyProtection="1">
      <protection locked="0"/>
    </xf>
    <xf numFmtId="9" fontId="56" fillId="0" borderId="34" xfId="34" applyBorder="1"/>
    <xf numFmtId="9" fontId="0" fillId="0" borderId="34" xfId="0" applyNumberFormat="1" applyBorder="1"/>
    <xf numFmtId="0" fontId="0" fillId="0" borderId="38" xfId="0" applyBorder="1"/>
    <xf numFmtId="0" fontId="0" fillId="38" borderId="60" xfId="0" applyFill="1" applyBorder="1" applyAlignment="1">
      <alignment horizontal="center"/>
    </xf>
    <xf numFmtId="0" fontId="9" fillId="38" borderId="0" xfId="0" applyFont="1" applyFill="1" applyBorder="1" applyAlignment="1">
      <alignment horizontal="left"/>
    </xf>
    <xf numFmtId="0" fontId="0" fillId="41" borderId="0" xfId="0" applyFill="1" applyBorder="1" applyAlignment="1">
      <alignment horizontal="center"/>
    </xf>
    <xf numFmtId="0" fontId="0" fillId="41" borderId="72" xfId="0" applyFill="1" applyBorder="1" applyAlignment="1">
      <alignment horizontal="center"/>
    </xf>
    <xf numFmtId="0" fontId="0" fillId="41" borderId="60" xfId="0" applyFill="1" applyBorder="1" applyAlignment="1">
      <alignment horizontal="center"/>
    </xf>
    <xf numFmtId="0" fontId="0" fillId="45" borderId="34" xfId="0" applyFill="1" applyBorder="1" applyAlignment="1">
      <alignment horizontal="center"/>
    </xf>
    <xf numFmtId="0" fontId="0" fillId="46" borderId="0" xfId="0" applyFill="1"/>
    <xf numFmtId="0" fontId="0" fillId="47" borderId="0" xfId="0" applyFill="1"/>
    <xf numFmtId="0" fontId="12" fillId="46" borderId="0" xfId="0" applyFont="1" applyFill="1"/>
    <xf numFmtId="0" fontId="0" fillId="46" borderId="9" xfId="0" applyFont="1" applyFill="1" applyBorder="1"/>
    <xf numFmtId="0" fontId="0" fillId="46" borderId="0" xfId="0" applyFont="1" applyFill="1" applyBorder="1"/>
    <xf numFmtId="0" fontId="20" fillId="46" borderId="0" xfId="0" applyFont="1" applyFill="1"/>
    <xf numFmtId="0" fontId="0" fillId="46" borderId="9" xfId="0" applyFont="1" applyFill="1" applyBorder="1" applyAlignment="1">
      <alignment horizontal="center"/>
    </xf>
    <xf numFmtId="0" fontId="0" fillId="46" borderId="0" xfId="0" applyFont="1" applyFill="1" applyBorder="1" applyAlignment="1">
      <alignment horizontal="center"/>
    </xf>
    <xf numFmtId="0" fontId="0" fillId="46" borderId="14" xfId="0" applyFont="1" applyFill="1" applyBorder="1" applyAlignment="1">
      <alignment horizontal="center"/>
    </xf>
    <xf numFmtId="0" fontId="0" fillId="46" borderId="17" xfId="0" applyFont="1" applyFill="1" applyBorder="1" applyAlignment="1">
      <alignment horizontal="center"/>
    </xf>
    <xf numFmtId="0" fontId="0" fillId="46" borderId="41" xfId="0" applyFont="1" applyFill="1" applyBorder="1" applyAlignment="1">
      <alignment horizontal="center"/>
    </xf>
    <xf numFmtId="0" fontId="0" fillId="46" borderId="27" xfId="0" applyFill="1" applyBorder="1" applyAlignment="1">
      <alignment horizontal="center"/>
    </xf>
    <xf numFmtId="9" fontId="0" fillId="46" borderId="23" xfId="0" applyNumberFormat="1" applyFill="1" applyBorder="1" applyAlignment="1">
      <alignment horizontal="center"/>
    </xf>
    <xf numFmtId="0" fontId="0" fillId="46" borderId="39" xfId="0" applyFill="1" applyBorder="1" applyAlignment="1">
      <alignment horizontal="center"/>
    </xf>
    <xf numFmtId="9" fontId="0" fillId="46" borderId="0" xfId="0" applyNumberFormat="1" applyFill="1" applyBorder="1" applyAlignment="1">
      <alignment horizontal="center"/>
    </xf>
    <xf numFmtId="0" fontId="9" fillId="46" borderId="0" xfId="0" applyFont="1" applyFill="1"/>
    <xf numFmtId="0" fontId="0" fillId="46" borderId="15" xfId="0" applyFill="1" applyBorder="1" applyAlignment="1">
      <alignment horizontal="center"/>
    </xf>
    <xf numFmtId="0" fontId="0" fillId="46" borderId="20" xfId="0" applyFill="1" applyBorder="1" applyAlignment="1">
      <alignment horizontal="center"/>
    </xf>
    <xf numFmtId="0" fontId="0" fillId="46" borderId="35" xfId="0" applyFill="1" applyBorder="1" applyAlignment="1">
      <alignment horizontal="center"/>
    </xf>
    <xf numFmtId="0" fontId="0" fillId="46" borderId="0" xfId="0" applyFill="1" applyBorder="1" applyAlignment="1">
      <alignment horizontal="center"/>
    </xf>
    <xf numFmtId="2" fontId="0" fillId="46" borderId="9" xfId="0" applyNumberFormat="1" applyFill="1" applyBorder="1" applyAlignment="1">
      <alignment horizontal="center"/>
    </xf>
    <xf numFmtId="1" fontId="0" fillId="46" borderId="9" xfId="0" applyNumberFormat="1" applyFill="1" applyBorder="1" applyAlignment="1">
      <alignment horizontal="center"/>
    </xf>
    <xf numFmtId="1" fontId="0" fillId="46" borderId="18" xfId="0" applyNumberFormat="1" applyFill="1" applyBorder="1" applyAlignment="1">
      <alignment horizontal="center"/>
    </xf>
    <xf numFmtId="1" fontId="0" fillId="46" borderId="34" xfId="0" applyNumberFormat="1" applyFill="1" applyBorder="1" applyAlignment="1">
      <alignment horizontal="center"/>
    </xf>
    <xf numFmtId="1" fontId="0" fillId="46" borderId="0" xfId="0" applyNumberFormat="1" applyFill="1" applyBorder="1" applyAlignment="1">
      <alignment horizontal="center"/>
    </xf>
    <xf numFmtId="0" fontId="9" fillId="46" borderId="9" xfId="0" applyFont="1" applyFill="1" applyBorder="1"/>
    <xf numFmtId="1" fontId="9" fillId="46" borderId="9" xfId="0" applyNumberFormat="1" applyFont="1" applyFill="1" applyBorder="1" applyAlignment="1">
      <alignment horizontal="center"/>
    </xf>
    <xf numFmtId="0" fontId="9" fillId="46" borderId="9" xfId="0" applyFont="1" applyFill="1" applyBorder="1" applyAlignment="1">
      <alignment horizontal="center"/>
    </xf>
    <xf numFmtId="165" fontId="9" fillId="46" borderId="9" xfId="0" applyNumberFormat="1" applyFont="1" applyFill="1" applyBorder="1" applyAlignment="1">
      <alignment horizontal="center"/>
    </xf>
    <xf numFmtId="1" fontId="9" fillId="46" borderId="18" xfId="0" applyNumberFormat="1" applyFont="1" applyFill="1" applyBorder="1" applyAlignment="1">
      <alignment horizontal="center"/>
    </xf>
    <xf numFmtId="1" fontId="9" fillId="46" borderId="34" xfId="0" applyNumberFormat="1" applyFont="1" applyFill="1" applyBorder="1" applyAlignment="1">
      <alignment horizontal="center"/>
    </xf>
    <xf numFmtId="1" fontId="9" fillId="46" borderId="0" xfId="0" applyNumberFormat="1" applyFont="1" applyFill="1" applyBorder="1" applyAlignment="1">
      <alignment horizontal="center"/>
    </xf>
    <xf numFmtId="1" fontId="0" fillId="46" borderId="9" xfId="0" applyNumberFormat="1" applyFont="1" applyFill="1" applyBorder="1" applyAlignment="1">
      <alignment horizontal="center"/>
    </xf>
    <xf numFmtId="0" fontId="0" fillId="46" borderId="0" xfId="0" applyFill="1" applyBorder="1"/>
    <xf numFmtId="0" fontId="9" fillId="46" borderId="0" xfId="0" applyFont="1" applyFill="1" applyBorder="1"/>
    <xf numFmtId="0" fontId="0" fillId="47" borderId="34" xfId="0" applyFill="1" applyBorder="1"/>
    <xf numFmtId="0" fontId="0" fillId="46" borderId="34" xfId="0" applyFill="1" applyBorder="1" applyAlignment="1">
      <alignment horizontal="center"/>
    </xf>
    <xf numFmtId="0" fontId="0" fillId="46" borderId="34" xfId="0" applyFill="1" applyBorder="1"/>
    <xf numFmtId="2" fontId="0" fillId="46" borderId="34" xfId="0" applyNumberFormat="1" applyFill="1" applyBorder="1" applyAlignment="1">
      <alignment horizontal="center"/>
    </xf>
    <xf numFmtId="0" fontId="0" fillId="0" borderId="0" xfId="0" applyFill="1" applyAlignment="1">
      <alignment horizontal="center"/>
    </xf>
    <xf numFmtId="0" fontId="0" fillId="41" borderId="48" xfId="0" applyFill="1" applyBorder="1"/>
    <xf numFmtId="0" fontId="0" fillId="41" borderId="0" xfId="0" applyFill="1" applyBorder="1"/>
    <xf numFmtId="0" fontId="0" fillId="41" borderId="60" xfId="0" applyFill="1" applyBorder="1"/>
    <xf numFmtId="0" fontId="0" fillId="41" borderId="70" xfId="0" applyFill="1" applyBorder="1"/>
    <xf numFmtId="0" fontId="0" fillId="41" borderId="71" xfId="0" applyFill="1" applyBorder="1"/>
    <xf numFmtId="0" fontId="0" fillId="41" borderId="72" xfId="0" applyFill="1" applyBorder="1"/>
    <xf numFmtId="0" fontId="9" fillId="41" borderId="48" xfId="0" applyFont="1" applyFill="1" applyBorder="1"/>
    <xf numFmtId="164" fontId="0" fillId="41" borderId="0" xfId="0" applyNumberFormat="1" applyFill="1" applyBorder="1"/>
    <xf numFmtId="1" fontId="0" fillId="48" borderId="70" xfId="0" applyNumberFormat="1" applyFill="1" applyBorder="1" applyAlignment="1">
      <alignment horizontal="center"/>
    </xf>
    <xf numFmtId="0" fontId="0" fillId="48" borderId="71" xfId="0" applyFill="1" applyBorder="1"/>
    <xf numFmtId="0" fontId="0" fillId="48" borderId="72" xfId="0" applyFill="1" applyBorder="1"/>
    <xf numFmtId="0" fontId="0" fillId="48" borderId="48" xfId="0" applyFill="1" applyBorder="1" applyAlignment="1">
      <alignment horizontal="center"/>
    </xf>
    <xf numFmtId="0" fontId="15" fillId="48" borderId="0" xfId="0" applyFont="1" applyFill="1" applyBorder="1"/>
    <xf numFmtId="0" fontId="0" fillId="48" borderId="0" xfId="0" applyFill="1" applyBorder="1"/>
    <xf numFmtId="0" fontId="0" fillId="48" borderId="60" xfId="0" applyFill="1" applyBorder="1"/>
    <xf numFmtId="0" fontId="8" fillId="48" borderId="0" xfId="0" applyFont="1" applyFill="1" applyBorder="1" applyAlignment="1">
      <alignment horizontal="center"/>
    </xf>
    <xf numFmtId="0" fontId="0" fillId="48" borderId="67" xfId="0" applyFill="1" applyBorder="1"/>
    <xf numFmtId="0" fontId="0" fillId="48" borderId="59" xfId="0" applyFill="1" applyBorder="1"/>
    <xf numFmtId="0" fontId="0" fillId="48" borderId="38" xfId="0" applyFill="1" applyBorder="1"/>
    <xf numFmtId="0" fontId="0" fillId="48" borderId="37" xfId="0" applyFill="1" applyBorder="1"/>
    <xf numFmtId="2" fontId="9" fillId="48" borderId="48" xfId="0" applyNumberFormat="1" applyFont="1" applyFill="1" applyBorder="1" applyAlignment="1">
      <alignment horizontal="center"/>
    </xf>
    <xf numFmtId="0" fontId="0" fillId="48" borderId="0" xfId="0" applyFill="1" applyBorder="1" applyAlignment="1">
      <alignment horizontal="left"/>
    </xf>
    <xf numFmtId="0" fontId="0" fillId="48" borderId="34" xfId="0" applyFill="1" applyBorder="1" applyAlignment="1">
      <alignment horizontal="center"/>
    </xf>
    <xf numFmtId="0" fontId="0" fillId="48" borderId="48" xfId="0" applyFill="1" applyBorder="1" applyAlignment="1" applyProtection="1">
      <alignment horizontal="right"/>
      <protection locked="0"/>
    </xf>
    <xf numFmtId="0" fontId="19" fillId="48" borderId="38" xfId="0" applyFont="1" applyFill="1" applyBorder="1" applyAlignment="1">
      <alignment horizontal="left"/>
    </xf>
    <xf numFmtId="0" fontId="19" fillId="48" borderId="36" xfId="0" applyFont="1" applyFill="1" applyBorder="1" applyAlignment="1">
      <alignment horizontal="left"/>
    </xf>
    <xf numFmtId="0" fontId="0" fillId="48" borderId="36" xfId="0" applyFill="1" applyBorder="1"/>
    <xf numFmtId="1" fontId="19" fillId="48" borderId="34" xfId="0" applyNumberFormat="1" applyFont="1" applyFill="1" applyBorder="1" applyAlignment="1">
      <alignment horizontal="center"/>
    </xf>
    <xf numFmtId="2" fontId="19" fillId="48" borderId="34" xfId="0" applyNumberFormat="1" applyFont="1" applyFill="1" applyBorder="1" applyAlignment="1">
      <alignment horizontal="center"/>
    </xf>
    <xf numFmtId="0" fontId="0" fillId="48" borderId="48" xfId="0" applyFill="1" applyBorder="1" applyAlignment="1">
      <alignment horizontal="right"/>
    </xf>
    <xf numFmtId="0" fontId="0" fillId="48" borderId="73" xfId="0" applyFill="1" applyBorder="1" applyAlignment="1">
      <alignment horizontal="right"/>
    </xf>
    <xf numFmtId="0" fontId="0" fillId="48" borderId="74" xfId="0" applyFill="1" applyBorder="1"/>
    <xf numFmtId="0" fontId="0" fillId="48" borderId="65" xfId="0" applyFill="1" applyBorder="1"/>
    <xf numFmtId="1" fontId="0" fillId="49" borderId="71" xfId="0" applyNumberFormat="1" applyFill="1" applyBorder="1" applyAlignment="1" applyProtection="1">
      <alignment horizontal="center"/>
      <protection locked="0"/>
    </xf>
    <xf numFmtId="0" fontId="0" fillId="49" borderId="72" xfId="0" applyFill="1" applyBorder="1" applyAlignment="1" applyProtection="1">
      <alignment horizontal="center"/>
      <protection locked="0"/>
    </xf>
    <xf numFmtId="0" fontId="0" fillId="49" borderId="0" xfId="0" applyFill="1" applyBorder="1"/>
    <xf numFmtId="0" fontId="0" fillId="41" borderId="73" xfId="0" applyFill="1" applyBorder="1"/>
    <xf numFmtId="0" fontId="0" fillId="41" borderId="74" xfId="0" applyFill="1" applyBorder="1"/>
    <xf numFmtId="0" fontId="0" fillId="41" borderId="65" xfId="0" applyFill="1" applyBorder="1"/>
    <xf numFmtId="0" fontId="9" fillId="49" borderId="0" xfId="0" applyFont="1" applyFill="1" applyBorder="1"/>
    <xf numFmtId="2" fontId="19" fillId="0" borderId="0" xfId="0" applyNumberFormat="1" applyFont="1" applyFill="1" applyBorder="1" applyAlignment="1">
      <alignment horizontal="center"/>
    </xf>
    <xf numFmtId="0" fontId="9" fillId="48" borderId="0" xfId="0" applyFont="1" applyFill="1"/>
    <xf numFmtId="0" fontId="0" fillId="48" borderId="0" xfId="0" applyFill="1"/>
    <xf numFmtId="0" fontId="5" fillId="48" borderId="88" xfId="0" applyFont="1" applyFill="1" applyBorder="1" applyAlignment="1">
      <alignment vertical="top" wrapText="1"/>
    </xf>
    <xf numFmtId="0" fontId="0" fillId="20" borderId="0" xfId="0" applyFill="1" applyProtection="1">
      <protection locked="0"/>
    </xf>
    <xf numFmtId="0" fontId="5" fillId="48" borderId="90" xfId="0" applyFont="1" applyFill="1" applyBorder="1" applyAlignment="1">
      <alignment vertical="top" wrapText="1"/>
    </xf>
    <xf numFmtId="2" fontId="0" fillId="0" borderId="0" xfId="0" applyNumberFormat="1" applyFill="1" applyAlignment="1">
      <alignment horizontal="center"/>
    </xf>
    <xf numFmtId="165" fontId="0" fillId="0" borderId="0" xfId="0" applyNumberFormat="1" applyFill="1" applyAlignment="1">
      <alignment horizontal="center"/>
    </xf>
    <xf numFmtId="164" fontId="9" fillId="0" borderId="0" xfId="0" applyNumberFormat="1" applyFont="1" applyAlignment="1">
      <alignment horizontal="center"/>
    </xf>
    <xf numFmtId="164" fontId="0" fillId="0" borderId="0" xfId="0" applyNumberFormat="1" applyFont="1" applyAlignment="1">
      <alignment horizontal="left"/>
    </xf>
    <xf numFmtId="0" fontId="16" fillId="0" borderId="34" xfId="0" applyFont="1" applyBorder="1" applyAlignment="1">
      <alignment horizontal="center"/>
    </xf>
    <xf numFmtId="164" fontId="0" fillId="0" borderId="0" xfId="0" applyNumberFormat="1" applyFont="1" applyAlignment="1">
      <alignment horizontal="center"/>
    </xf>
    <xf numFmtId="165" fontId="0" fillId="0" borderId="34" xfId="0" applyNumberFormat="1" applyFill="1" applyBorder="1" applyAlignment="1">
      <alignment horizontal="center"/>
    </xf>
    <xf numFmtId="165" fontId="16" fillId="0" borderId="0" xfId="0" applyNumberFormat="1" applyFont="1" applyAlignment="1">
      <alignment horizontal="center"/>
    </xf>
    <xf numFmtId="164" fontId="16" fillId="0" borderId="0" xfId="0" applyNumberFormat="1" applyFont="1" applyAlignment="1">
      <alignment horizontal="center"/>
    </xf>
    <xf numFmtId="0" fontId="16" fillId="0" borderId="0" xfId="0" applyFont="1" applyAlignment="1">
      <alignment horizontal="center"/>
    </xf>
    <xf numFmtId="0" fontId="16" fillId="20" borderId="92" xfId="0" applyFont="1" applyFill="1" applyBorder="1" applyAlignment="1">
      <alignment horizontal="center"/>
    </xf>
    <xf numFmtId="177" fontId="16" fillId="0" borderId="34" xfId="0" applyNumberFormat="1" applyFont="1" applyBorder="1" applyAlignment="1">
      <alignment horizontal="center"/>
    </xf>
    <xf numFmtId="0" fontId="0" fillId="20" borderId="89" xfId="0" applyFill="1" applyBorder="1" applyAlignment="1" applyProtection="1">
      <alignment horizontal="center"/>
      <protection locked="0"/>
    </xf>
    <xf numFmtId="0" fontId="0" fillId="20" borderId="88" xfId="0" applyFill="1" applyBorder="1" applyAlignment="1" applyProtection="1">
      <alignment horizontal="center"/>
      <protection locked="0"/>
    </xf>
    <xf numFmtId="164" fontId="9" fillId="20" borderId="0" xfId="0" applyNumberFormat="1" applyFont="1" applyFill="1" applyAlignment="1" applyProtection="1">
      <alignment horizontal="center"/>
      <protection locked="0"/>
    </xf>
    <xf numFmtId="1" fontId="0" fillId="0" borderId="0" xfId="0" applyNumberFormat="1" applyFill="1" applyAlignment="1">
      <alignment horizontal="center"/>
    </xf>
    <xf numFmtId="0" fontId="0" fillId="20" borderId="88" xfId="0" applyFill="1" applyBorder="1" applyAlignment="1">
      <alignment horizontal="center"/>
    </xf>
    <xf numFmtId="165" fontId="0" fillId="0" borderId="0" xfId="0" applyNumberFormat="1" applyFill="1" applyBorder="1" applyAlignment="1">
      <alignment horizontal="center"/>
    </xf>
    <xf numFmtId="0" fontId="0" fillId="20" borderId="88" xfId="0" applyFill="1" applyBorder="1" applyProtection="1">
      <protection locked="0"/>
    </xf>
    <xf numFmtId="1" fontId="0" fillId="20" borderId="88" xfId="0" applyNumberFormat="1" applyFill="1" applyBorder="1" applyAlignment="1" applyProtection="1">
      <alignment horizontal="center"/>
      <protection locked="0"/>
    </xf>
    <xf numFmtId="1" fontId="16" fillId="0" borderId="0" xfId="0" applyNumberFormat="1" applyFont="1" applyAlignment="1">
      <alignment horizontal="center"/>
    </xf>
    <xf numFmtId="0" fontId="7" fillId="0" borderId="0" xfId="0" applyFont="1" applyAlignment="1">
      <alignment horizontal="left"/>
    </xf>
    <xf numFmtId="164" fontId="9" fillId="20" borderId="88" xfId="0" applyNumberFormat="1" applyFont="1" applyFill="1" applyBorder="1" applyAlignment="1" applyProtection="1">
      <alignment horizontal="center"/>
      <protection locked="0"/>
    </xf>
    <xf numFmtId="0" fontId="0" fillId="0" borderId="0" xfId="0" applyFill="1" applyProtection="1">
      <protection locked="0"/>
    </xf>
    <xf numFmtId="164" fontId="9" fillId="20" borderId="0" xfId="0" applyNumberFormat="1" applyFont="1" applyFill="1" applyProtection="1">
      <protection locked="0"/>
    </xf>
    <xf numFmtId="0" fontId="25" fillId="0" borderId="0" xfId="0" applyFont="1" applyAlignment="1">
      <alignment horizontal="left"/>
    </xf>
    <xf numFmtId="164" fontId="0" fillId="0" borderId="0" xfId="0" applyNumberFormat="1" applyFont="1" applyFill="1" applyAlignment="1">
      <alignment horizontal="center"/>
    </xf>
    <xf numFmtId="0" fontId="0" fillId="0" borderId="0" xfId="0" applyFill="1" applyAlignment="1" applyProtection="1">
      <alignment horizontal="center"/>
      <protection locked="0"/>
    </xf>
    <xf numFmtId="0" fontId="0" fillId="0" borderId="0" xfId="0" applyNumberFormat="1" applyFill="1"/>
    <xf numFmtId="1" fontId="0" fillId="0" borderId="0" xfId="0" applyNumberFormat="1" applyFont="1" applyFill="1" applyBorder="1" applyAlignment="1">
      <alignment horizontal="center"/>
    </xf>
    <xf numFmtId="1" fontId="0" fillId="0" borderId="0" xfId="0" applyNumberFormat="1" applyFont="1" applyFill="1" applyAlignment="1">
      <alignment horizontal="center"/>
    </xf>
    <xf numFmtId="1" fontId="0" fillId="0" borderId="0" xfId="0" applyNumberFormat="1" applyFont="1"/>
    <xf numFmtId="0" fontId="0" fillId="0" borderId="88" xfId="0" applyFill="1" applyBorder="1" applyAlignment="1" applyProtection="1">
      <alignment horizontal="center"/>
      <protection locked="0"/>
    </xf>
    <xf numFmtId="1" fontId="24" fillId="0" borderId="0" xfId="0" applyNumberFormat="1" applyFont="1" applyFill="1" applyAlignment="1">
      <alignment horizontal="center"/>
    </xf>
    <xf numFmtId="0" fontId="7" fillId="0" borderId="0" xfId="0" applyFont="1" applyFill="1" applyAlignment="1" applyProtection="1">
      <alignment horizontal="center"/>
      <protection locked="0"/>
    </xf>
    <xf numFmtId="1" fontId="9" fillId="0" borderId="0" xfId="0" applyNumberFormat="1" applyFont="1" applyFill="1" applyAlignment="1">
      <alignment horizontal="center"/>
    </xf>
    <xf numFmtId="2" fontId="9" fillId="0" borderId="0" xfId="0" applyNumberFormat="1" applyFont="1" applyAlignment="1">
      <alignment horizontal="center"/>
    </xf>
    <xf numFmtId="1" fontId="0" fillId="0" borderId="0" xfId="0" applyNumberFormat="1" applyAlignment="1">
      <alignment horizontal="center"/>
    </xf>
    <xf numFmtId="0" fontId="16" fillId="20" borderId="88" xfId="0" applyFont="1" applyFill="1" applyBorder="1" applyAlignment="1">
      <alignment horizontal="center"/>
    </xf>
    <xf numFmtId="177" fontId="16" fillId="0" borderId="0" xfId="0" applyNumberFormat="1" applyFont="1" applyAlignment="1">
      <alignment horizontal="center"/>
    </xf>
    <xf numFmtId="14" fontId="0" fillId="0" borderId="0" xfId="0" applyNumberFormat="1" applyFont="1"/>
    <xf numFmtId="1" fontId="16" fillId="0" borderId="0" xfId="0" applyNumberFormat="1" applyFont="1" applyAlignment="1">
      <alignment horizontal="left"/>
    </xf>
    <xf numFmtId="0" fontId="7" fillId="0" borderId="0" xfId="0" applyFont="1" applyFill="1" applyAlignment="1" applyProtection="1">
      <alignment horizontal="left"/>
      <protection locked="0"/>
    </xf>
    <xf numFmtId="1" fontId="0" fillId="0" borderId="0" xfId="0" applyNumberFormat="1" applyFill="1" applyAlignment="1" applyProtection="1">
      <alignment horizontal="center"/>
      <protection locked="0"/>
    </xf>
    <xf numFmtId="0" fontId="9" fillId="50" borderId="0" xfId="0" applyFont="1" applyFill="1"/>
    <xf numFmtId="0" fontId="0" fillId="50" borderId="0" xfId="0" applyFill="1"/>
    <xf numFmtId="164" fontId="0" fillId="50" borderId="0" xfId="0" applyNumberFormat="1" applyFont="1" applyFill="1"/>
    <xf numFmtId="0" fontId="0" fillId="50" borderId="0" xfId="0" applyFill="1" applyAlignment="1">
      <alignment horizontal="center"/>
    </xf>
    <xf numFmtId="1" fontId="0" fillId="50" borderId="0" xfId="0" applyNumberFormat="1" applyFill="1" applyAlignment="1">
      <alignment horizontal="center"/>
    </xf>
    <xf numFmtId="1" fontId="0" fillId="50" borderId="0" xfId="0" applyNumberFormat="1" applyFill="1" applyAlignment="1" applyProtection="1">
      <alignment horizontal="center"/>
      <protection locked="0"/>
    </xf>
    <xf numFmtId="1" fontId="0" fillId="50" borderId="0" xfId="0" applyNumberFormat="1" applyFont="1" applyFill="1" applyAlignment="1">
      <alignment horizontal="center"/>
    </xf>
    <xf numFmtId="0" fontId="0" fillId="50" borderId="0" xfId="0" applyFont="1" applyFill="1" applyAlignment="1">
      <alignment horizontal="center"/>
    </xf>
    <xf numFmtId="164" fontId="0" fillId="50" borderId="0" xfId="0" applyNumberFormat="1" applyFont="1" applyFill="1" applyAlignment="1">
      <alignment horizontal="center"/>
    </xf>
    <xf numFmtId="0" fontId="0" fillId="20" borderId="0" xfId="0" applyFill="1" applyAlignment="1">
      <alignment horizontal="center"/>
    </xf>
    <xf numFmtId="1" fontId="0" fillId="20" borderId="0" xfId="0" applyNumberFormat="1" applyFont="1" applyFill="1" applyAlignment="1">
      <alignment horizontal="center"/>
    </xf>
    <xf numFmtId="1" fontId="9" fillId="0" borderId="0" xfId="0" applyNumberFormat="1" applyFont="1" applyFill="1" applyAlignment="1" applyProtection="1">
      <alignment horizontal="center"/>
      <protection locked="0"/>
    </xf>
    <xf numFmtId="0" fontId="9" fillId="0" borderId="0" xfId="0" applyFont="1" applyFill="1" applyAlignment="1" applyProtection="1">
      <alignment horizontal="center"/>
      <protection locked="0"/>
    </xf>
    <xf numFmtId="0" fontId="9" fillId="51" borderId="0" xfId="0" applyFont="1" applyFill="1" applyAlignment="1" applyProtection="1">
      <alignment horizontal="center"/>
      <protection locked="0"/>
    </xf>
    <xf numFmtId="0" fontId="0" fillId="51" borderId="0" xfId="0" applyFill="1" applyAlignment="1" applyProtection="1">
      <alignment horizontal="center"/>
      <protection locked="0"/>
    </xf>
    <xf numFmtId="0" fontId="0" fillId="51" borderId="0" xfId="0" applyFill="1"/>
    <xf numFmtId="164" fontId="0" fillId="51" borderId="0" xfId="0" applyNumberFormat="1" applyFill="1"/>
    <xf numFmtId="0" fontId="9" fillId="51" borderId="0" xfId="0" applyFont="1" applyFill="1"/>
    <xf numFmtId="1" fontId="0" fillId="51" borderId="0" xfId="0" applyNumberFormat="1" applyFill="1"/>
    <xf numFmtId="0" fontId="0" fillId="51" borderId="88" xfId="0" applyFill="1" applyBorder="1" applyAlignment="1" applyProtection="1">
      <alignment horizontal="center"/>
      <protection locked="0"/>
    </xf>
    <xf numFmtId="1" fontId="0" fillId="51" borderId="88" xfId="0" applyNumberFormat="1" applyFill="1" applyBorder="1" applyAlignment="1" applyProtection="1">
      <alignment horizontal="right"/>
      <protection locked="0"/>
    </xf>
    <xf numFmtId="1" fontId="9" fillId="51" borderId="0" xfId="0" applyNumberFormat="1" applyFont="1" applyFill="1"/>
    <xf numFmtId="0" fontId="0" fillId="52" borderId="0" xfId="0" applyFill="1" applyProtection="1">
      <protection locked="0"/>
    </xf>
    <xf numFmtId="0" fontId="0" fillId="52" borderId="0" xfId="0" applyFill="1"/>
    <xf numFmtId="0" fontId="0" fillId="51" borderId="0" xfId="0" applyFill="1" applyProtection="1">
      <protection locked="0"/>
    </xf>
    <xf numFmtId="0" fontId="0" fillId="51" borderId="0" xfId="0" applyNumberFormat="1" applyFill="1"/>
    <xf numFmtId="0" fontId="12" fillId="48" borderId="0" xfId="0" applyFont="1" applyFill="1"/>
    <xf numFmtId="164" fontId="0" fillId="48" borderId="0" xfId="0" applyNumberFormat="1" applyFill="1"/>
    <xf numFmtId="1" fontId="9" fillId="48" borderId="0" xfId="0" applyNumberFormat="1" applyFont="1" applyFill="1"/>
    <xf numFmtId="1" fontId="0" fillId="48" borderId="0" xfId="0" applyNumberFormat="1" applyFill="1"/>
    <xf numFmtId="165" fontId="0" fillId="48" borderId="0" xfId="0" applyNumberFormat="1" applyFill="1"/>
    <xf numFmtId="2" fontId="0" fillId="48" borderId="0" xfId="0" applyNumberFormat="1" applyFill="1"/>
    <xf numFmtId="0" fontId="0" fillId="48" borderId="0" xfId="0" applyNumberFormat="1" applyFill="1"/>
    <xf numFmtId="9" fontId="0" fillId="48" borderId="0" xfId="0" applyNumberFormat="1" applyFill="1"/>
    <xf numFmtId="0" fontId="17" fillId="0" borderId="34" xfId="0" applyFont="1" applyBorder="1" applyAlignment="1">
      <alignment horizontal="center"/>
    </xf>
    <xf numFmtId="1" fontId="0" fillId="49" borderId="0" xfId="0" applyNumberFormat="1" applyFont="1" applyFill="1" applyBorder="1" applyAlignment="1">
      <alignment horizontal="center"/>
    </xf>
    <xf numFmtId="1" fontId="0" fillId="49" borderId="60" xfId="0" applyNumberFormat="1" applyFill="1" applyBorder="1" applyAlignment="1">
      <alignment horizontal="center"/>
    </xf>
    <xf numFmtId="1" fontId="0" fillId="49" borderId="0" xfId="0" applyNumberFormat="1" applyFill="1" applyBorder="1" applyAlignment="1">
      <alignment horizontal="center"/>
    </xf>
    <xf numFmtId="0" fontId="0" fillId="49" borderId="0" xfId="0" applyNumberFormat="1" applyFill="1" applyBorder="1" applyAlignment="1">
      <alignment horizontal="center"/>
    </xf>
    <xf numFmtId="1" fontId="9" fillId="49" borderId="0" xfId="0" applyNumberFormat="1" applyFont="1" applyFill="1" applyBorder="1" applyAlignment="1">
      <alignment horizontal="center"/>
    </xf>
    <xf numFmtId="1" fontId="9" fillId="49" borderId="60" xfId="0" applyNumberFormat="1" applyFont="1" applyFill="1" applyBorder="1" applyAlignment="1">
      <alignment horizontal="center"/>
    </xf>
    <xf numFmtId="0" fontId="0" fillId="49" borderId="74" xfId="0" applyFill="1" applyBorder="1" applyAlignment="1">
      <alignment horizontal="center"/>
    </xf>
    <xf numFmtId="1" fontId="0" fillId="49" borderId="65" xfId="0" applyNumberFormat="1" applyFill="1" applyBorder="1" applyAlignment="1">
      <alignment horizontal="center"/>
    </xf>
    <xf numFmtId="0" fontId="0" fillId="18" borderId="93" xfId="0" applyFont="1" applyFill="1" applyBorder="1" applyAlignment="1">
      <alignment horizontal="center"/>
    </xf>
    <xf numFmtId="1" fontId="0" fillId="18" borderId="90" xfId="0" applyNumberFormat="1" applyFont="1" applyFill="1" applyBorder="1" applyAlignment="1" applyProtection="1">
      <alignment horizontal="center"/>
      <protection locked="0"/>
    </xf>
    <xf numFmtId="1" fontId="0" fillId="0" borderId="88" xfId="0" applyNumberFormat="1" applyFont="1" applyFill="1" applyBorder="1" applyAlignment="1">
      <alignment horizontal="center"/>
    </xf>
    <xf numFmtId="1" fontId="12" fillId="18" borderId="88" xfId="0" applyNumberFormat="1" applyFont="1" applyFill="1" applyBorder="1" applyAlignment="1">
      <alignment horizontal="center"/>
    </xf>
    <xf numFmtId="9" fontId="56" fillId="0" borderId="0" xfId="34"/>
    <xf numFmtId="0" fontId="0" fillId="41" borderId="0" xfId="0" applyFill="1" applyAlignment="1">
      <alignment horizontal="center"/>
    </xf>
    <xf numFmtId="0" fontId="9" fillId="0" borderId="0" xfId="0" applyFont="1" applyBorder="1" applyAlignment="1">
      <alignment horizontal="center"/>
    </xf>
    <xf numFmtId="0" fontId="0" fillId="41" borderId="0" xfId="0" applyFill="1"/>
    <xf numFmtId="0" fontId="5" fillId="0" borderId="0" xfId="0" applyFont="1" applyFill="1" applyBorder="1" applyAlignment="1">
      <alignment vertical="top" wrapText="1"/>
    </xf>
    <xf numFmtId="0" fontId="9" fillId="42" borderId="67" xfId="0" applyFont="1" applyFill="1" applyBorder="1"/>
    <xf numFmtId="0" fontId="9" fillId="42" borderId="40" xfId="0" applyFont="1" applyFill="1" applyBorder="1"/>
    <xf numFmtId="0" fontId="9" fillId="42" borderId="0" xfId="0" applyFont="1" applyFill="1" applyBorder="1"/>
    <xf numFmtId="0" fontId="9" fillId="42" borderId="32" xfId="0" applyFont="1" applyFill="1" applyBorder="1"/>
    <xf numFmtId="0" fontId="9" fillId="42" borderId="33" xfId="0" applyFont="1" applyFill="1" applyBorder="1"/>
    <xf numFmtId="0" fontId="9" fillId="41" borderId="67" xfId="0" applyFont="1" applyFill="1" applyBorder="1"/>
    <xf numFmtId="0" fontId="9" fillId="41" borderId="68" xfId="0" applyFont="1" applyFill="1" applyBorder="1"/>
    <xf numFmtId="0" fontId="9" fillId="41" borderId="0" xfId="0" applyFont="1" applyFill="1" applyBorder="1"/>
    <xf numFmtId="0" fontId="9" fillId="41" borderId="32" xfId="0" applyFont="1" applyFill="1" applyBorder="1"/>
    <xf numFmtId="0" fontId="9" fillId="41" borderId="33" xfId="0" applyFont="1" applyFill="1" applyBorder="1"/>
    <xf numFmtId="0" fontId="0" fillId="41" borderId="59" xfId="0" applyFill="1" applyBorder="1"/>
    <xf numFmtId="0" fontId="0" fillId="41" borderId="69" xfId="0" applyFill="1" applyBorder="1"/>
    <xf numFmtId="0" fontId="0" fillId="41" borderId="42" xfId="0" applyFill="1" applyBorder="1"/>
    <xf numFmtId="0" fontId="0" fillId="53" borderId="0" xfId="0" applyFill="1" applyBorder="1" applyAlignment="1">
      <alignment horizontal="center"/>
    </xf>
    <xf numFmtId="0" fontId="0" fillId="53" borderId="0" xfId="0" applyFill="1"/>
    <xf numFmtId="0" fontId="12" fillId="53" borderId="0" xfId="0" applyFont="1" applyFill="1" applyBorder="1" applyAlignment="1">
      <alignment horizontal="left"/>
    </xf>
    <xf numFmtId="0" fontId="0" fillId="53" borderId="0" xfId="0" applyFill="1" applyBorder="1"/>
    <xf numFmtId="0" fontId="0" fillId="53" borderId="70" xfId="0" applyFill="1" applyBorder="1" applyAlignment="1">
      <alignment horizontal="center"/>
    </xf>
    <xf numFmtId="0" fontId="0" fillId="53" borderId="71" xfId="0" applyFill="1" applyBorder="1" applyAlignment="1">
      <alignment horizontal="center"/>
    </xf>
    <xf numFmtId="0" fontId="0" fillId="53" borderId="71" xfId="0" applyFill="1" applyBorder="1"/>
    <xf numFmtId="0" fontId="0" fillId="53" borderId="72" xfId="0" applyFill="1" applyBorder="1"/>
    <xf numFmtId="0" fontId="0" fillId="53" borderId="48" xfId="0" applyFill="1" applyBorder="1" applyAlignment="1">
      <alignment horizontal="center"/>
    </xf>
    <xf numFmtId="0" fontId="0" fillId="53" borderId="60" xfId="0" applyFill="1" applyBorder="1"/>
    <xf numFmtId="0" fontId="0" fillId="53" borderId="48" xfId="0" applyFill="1" applyBorder="1"/>
    <xf numFmtId="0" fontId="0" fillId="53" borderId="73" xfId="0" applyFill="1" applyBorder="1" applyAlignment="1">
      <alignment horizontal="center"/>
    </xf>
    <xf numFmtId="0" fontId="0" fillId="53" borderId="74" xfId="0" applyFill="1" applyBorder="1"/>
    <xf numFmtId="0" fontId="0" fillId="53" borderId="65" xfId="0" applyFill="1" applyBorder="1"/>
    <xf numFmtId="0" fontId="0" fillId="41" borderId="34" xfId="0" applyFill="1" applyBorder="1"/>
    <xf numFmtId="0" fontId="0" fillId="45" borderId="34" xfId="0" applyFill="1" applyBorder="1"/>
    <xf numFmtId="0" fontId="0" fillId="41" borderId="34" xfId="0" applyFill="1" applyBorder="1" applyAlignment="1">
      <alignment horizontal="center"/>
    </xf>
    <xf numFmtId="0" fontId="0" fillId="41" borderId="41" xfId="0" applyFill="1" applyBorder="1"/>
    <xf numFmtId="0" fontId="9" fillId="41" borderId="41" xfId="0" applyFont="1" applyFill="1" applyBorder="1" applyAlignment="1">
      <alignment horizontal="center"/>
    </xf>
    <xf numFmtId="0" fontId="9" fillId="41" borderId="41" xfId="0" applyFont="1" applyFill="1" applyBorder="1"/>
    <xf numFmtId="0" fontId="9" fillId="41" borderId="38" xfId="0" applyFont="1" applyFill="1" applyBorder="1"/>
    <xf numFmtId="0" fontId="0" fillId="41" borderId="36" xfId="0" applyFill="1" applyBorder="1"/>
    <xf numFmtId="0" fontId="0" fillId="41" borderId="37" xfId="0" applyFill="1" applyBorder="1"/>
    <xf numFmtId="0" fontId="0" fillId="41" borderId="35" xfId="0" applyFill="1" applyBorder="1"/>
    <xf numFmtId="0" fontId="0" fillId="41" borderId="0" xfId="0" applyNumberFormat="1" applyFill="1" applyBorder="1"/>
    <xf numFmtId="0" fontId="0" fillId="41" borderId="0" xfId="0" applyNumberFormat="1" applyFill="1" applyBorder="1" applyAlignment="1">
      <alignment horizontal="center"/>
    </xf>
    <xf numFmtId="164" fontId="0" fillId="41" borderId="0" xfId="0" applyNumberFormat="1" applyFont="1" applyFill="1" applyBorder="1" applyAlignment="1" applyProtection="1">
      <alignment horizontal="center"/>
      <protection locked="0"/>
    </xf>
    <xf numFmtId="0" fontId="0" fillId="41" borderId="0" xfId="0" applyFill="1" applyBorder="1" applyAlignment="1">
      <alignment horizontal="right"/>
    </xf>
    <xf numFmtId="1" fontId="0" fillId="41" borderId="0" xfId="0" applyNumberFormat="1" applyFill="1" applyBorder="1" applyAlignment="1">
      <alignment horizontal="center"/>
    </xf>
    <xf numFmtId="0" fontId="86" fillId="47" borderId="0" xfId="0" applyFont="1" applyFill="1"/>
    <xf numFmtId="0" fontId="0" fillId="47" borderId="0" xfId="0" applyFill="1" applyBorder="1"/>
    <xf numFmtId="0" fontId="9" fillId="53" borderId="34" xfId="0" applyFont="1" applyFill="1" applyBorder="1"/>
    <xf numFmtId="0" fontId="9" fillId="53" borderId="34" xfId="0" applyFont="1" applyFill="1" applyBorder="1" applyAlignment="1">
      <alignment horizontal="center"/>
    </xf>
    <xf numFmtId="0" fontId="9" fillId="53" borderId="0" xfId="0" applyFont="1" applyFill="1" applyBorder="1"/>
    <xf numFmtId="0" fontId="0" fillId="38" borderId="0" xfId="0" applyFill="1"/>
    <xf numFmtId="0" fontId="0" fillId="38" borderId="71" xfId="0" applyFill="1" applyBorder="1"/>
    <xf numFmtId="0" fontId="0" fillId="38" borderId="0" xfId="0" applyFill="1" applyBorder="1"/>
    <xf numFmtId="0" fontId="0" fillId="38" borderId="36" xfId="0" applyFill="1" applyBorder="1"/>
    <xf numFmtId="0" fontId="0" fillId="38" borderId="37" xfId="0" applyFill="1" applyBorder="1"/>
    <xf numFmtId="0" fontId="0" fillId="0" borderId="40" xfId="0" applyBorder="1"/>
    <xf numFmtId="0" fontId="0" fillId="41" borderId="38" xfId="0" applyFill="1" applyBorder="1"/>
    <xf numFmtId="0" fontId="0" fillId="18" borderId="0" xfId="0" applyFont="1" applyFill="1" applyBorder="1" applyAlignment="1">
      <alignment horizontal="center"/>
    </xf>
    <xf numFmtId="0" fontId="0" fillId="54" borderId="34" xfId="0" applyFill="1" applyBorder="1"/>
    <xf numFmtId="0" fontId="56" fillId="19" borderId="38" xfId="0" applyFont="1" applyFill="1" applyBorder="1"/>
    <xf numFmtId="0" fontId="0" fillId="19" borderId="36" xfId="0" applyFill="1" applyBorder="1"/>
    <xf numFmtId="0" fontId="9" fillId="39" borderId="38" xfId="0" applyFont="1" applyFill="1" applyBorder="1"/>
    <xf numFmtId="0" fontId="9" fillId="39" borderId="41" xfId="0" applyFont="1" applyFill="1" applyBorder="1"/>
    <xf numFmtId="0" fontId="9" fillId="39" borderId="59" xfId="0" applyFont="1" applyFill="1" applyBorder="1"/>
    <xf numFmtId="0" fontId="9" fillId="39" borderId="35" xfId="0" applyFont="1" applyFill="1" applyBorder="1"/>
    <xf numFmtId="0" fontId="9" fillId="39" borderId="37" xfId="0" applyFont="1" applyFill="1" applyBorder="1"/>
    <xf numFmtId="1" fontId="7" fillId="41" borderId="34" xfId="0" applyNumberFormat="1" applyFont="1" applyFill="1" applyBorder="1"/>
    <xf numFmtId="0" fontId="0" fillId="47" borderId="34" xfId="0" applyFont="1" applyFill="1" applyBorder="1"/>
    <xf numFmtId="0" fontId="13" fillId="37" borderId="9" xfId="0" applyFont="1" applyFill="1" applyBorder="1" applyAlignment="1" applyProtection="1">
      <alignment horizontal="center"/>
      <protection locked="0"/>
    </xf>
    <xf numFmtId="0" fontId="0" fillId="19" borderId="70" xfId="0" applyFill="1" applyBorder="1"/>
    <xf numFmtId="0" fontId="0" fillId="19" borderId="71" xfId="0" applyFill="1" applyBorder="1"/>
    <xf numFmtId="0" fontId="12" fillId="19" borderId="48" xfId="0" applyFont="1" applyFill="1" applyBorder="1"/>
    <xf numFmtId="0" fontId="0" fillId="19" borderId="60" xfId="0" applyFill="1" applyBorder="1"/>
    <xf numFmtId="0" fontId="0" fillId="19" borderId="48" xfId="0" applyFill="1" applyBorder="1"/>
    <xf numFmtId="0" fontId="0" fillId="19" borderId="73" xfId="0" applyFill="1" applyBorder="1"/>
    <xf numFmtId="0" fontId="0" fillId="19" borderId="74" xfId="0" applyFill="1" applyBorder="1"/>
    <xf numFmtId="0" fontId="0" fillId="19" borderId="65" xfId="0" applyFill="1" applyBorder="1"/>
    <xf numFmtId="1" fontId="0" fillId="47" borderId="34" xfId="0" applyNumberFormat="1" applyFont="1" applyFill="1" applyBorder="1"/>
    <xf numFmtId="0" fontId="9" fillId="44" borderId="67" xfId="0" applyFont="1" applyFill="1" applyBorder="1"/>
    <xf numFmtId="0" fontId="0" fillId="58" borderId="38" xfId="0" applyFill="1" applyBorder="1"/>
    <xf numFmtId="0" fontId="25" fillId="58" borderId="36" xfId="0" applyFont="1" applyFill="1" applyBorder="1"/>
    <xf numFmtId="0" fontId="8" fillId="58" borderId="36" xfId="0" applyFont="1" applyFill="1" applyBorder="1"/>
    <xf numFmtId="0" fontId="0" fillId="58" borderId="37" xfId="0" applyFill="1" applyBorder="1"/>
    <xf numFmtId="0" fontId="0" fillId="43" borderId="36" xfId="0" applyFill="1" applyBorder="1"/>
    <xf numFmtId="0" fontId="0" fillId="58" borderId="36" xfId="0" applyFont="1" applyFill="1" applyBorder="1"/>
    <xf numFmtId="0" fontId="56" fillId="58" borderId="36" xfId="0" applyFont="1" applyFill="1" applyBorder="1"/>
    <xf numFmtId="0" fontId="0" fillId="58" borderId="36" xfId="0" applyFill="1" applyBorder="1"/>
    <xf numFmtId="0" fontId="21" fillId="58" borderId="36" xfId="0" applyFont="1" applyFill="1" applyBorder="1"/>
    <xf numFmtId="0" fontId="0" fillId="19" borderId="35" xfId="0" applyFont="1" applyFill="1" applyBorder="1"/>
    <xf numFmtId="0" fontId="9" fillId="19" borderId="35" xfId="0" applyFont="1" applyFill="1" applyBorder="1"/>
    <xf numFmtId="0" fontId="0" fillId="44" borderId="32" xfId="0" applyFill="1" applyBorder="1"/>
    <xf numFmtId="0" fontId="0" fillId="41" borderId="34" xfId="0" applyFont="1" applyFill="1" applyBorder="1"/>
    <xf numFmtId="0" fontId="19" fillId="19" borderId="25" xfId="0" applyFont="1" applyFill="1" applyBorder="1"/>
    <xf numFmtId="0" fontId="7" fillId="60" borderId="39" xfId="0" applyFont="1" applyFill="1" applyBorder="1"/>
    <xf numFmtId="0" fontId="7" fillId="60" borderId="35" xfId="0" applyFont="1" applyFill="1" applyBorder="1"/>
    <xf numFmtId="0" fontId="9" fillId="38" borderId="38" xfId="0" applyFont="1" applyFill="1" applyBorder="1"/>
    <xf numFmtId="0" fontId="9" fillId="38" borderId="36" xfId="0" applyFont="1" applyFill="1" applyBorder="1" applyAlignment="1" applyProtection="1">
      <protection locked="0"/>
    </xf>
    <xf numFmtId="0" fontId="9" fillId="38" borderId="37" xfId="0" applyFont="1" applyFill="1" applyBorder="1" applyAlignment="1" applyProtection="1">
      <protection locked="0"/>
    </xf>
    <xf numFmtId="0" fontId="25" fillId="19" borderId="0" xfId="0" applyFont="1" applyFill="1" applyBorder="1"/>
    <xf numFmtId="0" fontId="0" fillId="47" borderId="35" xfId="0" applyFont="1" applyFill="1" applyBorder="1"/>
    <xf numFmtId="0" fontId="25" fillId="46" borderId="15" xfId="0" applyFont="1" applyFill="1" applyBorder="1"/>
    <xf numFmtId="0" fontId="25" fillId="46" borderId="9" xfId="0" applyFont="1" applyFill="1" applyBorder="1"/>
    <xf numFmtId="0" fontId="0" fillId="41" borderId="33" xfId="0" applyFill="1" applyBorder="1"/>
    <xf numFmtId="1" fontId="0" fillId="47" borderId="35" xfId="0" applyNumberFormat="1" applyFont="1" applyFill="1" applyBorder="1"/>
    <xf numFmtId="0" fontId="0" fillId="46" borderId="18" xfId="0" applyFont="1" applyFill="1" applyBorder="1" applyAlignment="1">
      <alignment horizontal="center"/>
    </xf>
    <xf numFmtId="0" fontId="0" fillId="56" borderId="34" xfId="0" applyFill="1" applyBorder="1"/>
    <xf numFmtId="0" fontId="0" fillId="57" borderId="16" xfId="0" applyFont="1" applyFill="1" applyBorder="1" applyProtection="1">
      <protection locked="0"/>
    </xf>
    <xf numFmtId="0" fontId="0" fillId="57" borderId="9" xfId="0" applyFont="1" applyFill="1" applyBorder="1" applyProtection="1">
      <protection locked="0"/>
    </xf>
    <xf numFmtId="0" fontId="0" fillId="57" borderId="15" xfId="0" applyFont="1" applyFill="1" applyBorder="1" applyProtection="1">
      <protection locked="0"/>
    </xf>
    <xf numFmtId="0" fontId="9" fillId="41" borderId="0" xfId="0" applyFont="1" applyFill="1"/>
    <xf numFmtId="0" fontId="0" fillId="41" borderId="67" xfId="0" applyFill="1" applyBorder="1"/>
    <xf numFmtId="0" fontId="0" fillId="41" borderId="40" xfId="0" applyFill="1" applyBorder="1"/>
    <xf numFmtId="0" fontId="0" fillId="41" borderId="68" xfId="0" applyFill="1" applyBorder="1"/>
    <xf numFmtId="0" fontId="12" fillId="41" borderId="0" xfId="0" applyFont="1" applyFill="1" applyBorder="1"/>
    <xf numFmtId="0" fontId="7" fillId="41" borderId="34" xfId="0" applyFont="1" applyFill="1" applyBorder="1"/>
    <xf numFmtId="0" fontId="0" fillId="41" borderId="32" xfId="0" applyFill="1" applyBorder="1"/>
    <xf numFmtId="0" fontId="9" fillId="38" borderId="14" xfId="0" applyFont="1" applyFill="1" applyBorder="1" applyAlignment="1">
      <alignment horizontal="center"/>
    </xf>
    <xf numFmtId="0" fontId="9" fillId="38" borderId="27" xfId="0" applyFont="1" applyFill="1" applyBorder="1" applyAlignment="1">
      <alignment horizontal="center"/>
    </xf>
    <xf numFmtId="0" fontId="9" fillId="38" borderId="15" xfId="0" applyFont="1" applyFill="1" applyBorder="1"/>
    <xf numFmtId="0" fontId="87" fillId="41" borderId="0" xfId="0" applyFont="1" applyFill="1" applyBorder="1"/>
    <xf numFmtId="0" fontId="25" fillId="46" borderId="95" xfId="0" applyFont="1" applyFill="1" applyBorder="1"/>
    <xf numFmtId="0" fontId="0" fillId="38" borderId="9" xfId="0" applyFont="1" applyFill="1" applyBorder="1" applyAlignment="1">
      <alignment horizontal="center"/>
    </xf>
    <xf numFmtId="0" fontId="0" fillId="60" borderId="34" xfId="0" applyFont="1" applyFill="1" applyBorder="1"/>
    <xf numFmtId="0" fontId="0" fillId="37" borderId="16" xfId="0" applyFill="1" applyBorder="1" applyProtection="1">
      <protection locked="0"/>
    </xf>
    <xf numFmtId="0" fontId="7" fillId="38" borderId="0" xfId="0" applyFont="1" applyFill="1" applyBorder="1"/>
    <xf numFmtId="0" fontId="7" fillId="38" borderId="0" xfId="0" applyFont="1" applyFill="1" applyBorder="1" applyProtection="1">
      <protection locked="0"/>
    </xf>
    <xf numFmtId="1" fontId="0" fillId="60" borderId="35" xfId="0" applyNumberFormat="1" applyFont="1" applyFill="1" applyBorder="1" applyAlignment="1" applyProtection="1">
      <alignment horizontal="center"/>
      <protection locked="0"/>
    </xf>
    <xf numFmtId="0" fontId="88" fillId="38" borderId="39" xfId="0" applyFont="1" applyFill="1" applyBorder="1" applyProtection="1">
      <protection locked="0"/>
    </xf>
    <xf numFmtId="0" fontId="24" fillId="41" borderId="35" xfId="0" applyFont="1" applyFill="1" applyBorder="1"/>
    <xf numFmtId="0" fontId="60" fillId="41" borderId="42" xfId="0" applyFont="1" applyFill="1" applyBorder="1" applyAlignment="1">
      <alignment horizontal="left"/>
    </xf>
    <xf numFmtId="0" fontId="0" fillId="38" borderId="60" xfId="0" applyFill="1" applyBorder="1"/>
    <xf numFmtId="0" fontId="7" fillId="38" borderId="60" xfId="0" applyFont="1" applyFill="1" applyBorder="1"/>
    <xf numFmtId="0" fontId="0" fillId="41" borderId="39" xfId="0" applyFill="1" applyBorder="1"/>
    <xf numFmtId="0" fontId="0" fillId="38" borderId="38" xfId="0" applyFill="1" applyBorder="1"/>
    <xf numFmtId="0" fontId="0" fillId="38" borderId="41" xfId="0" applyFill="1" applyBorder="1" applyAlignment="1">
      <alignment horizontal="center"/>
    </xf>
    <xf numFmtId="0" fontId="0" fillId="41" borderId="35" xfId="0" applyFill="1" applyBorder="1" applyAlignment="1">
      <alignment horizontal="center"/>
    </xf>
    <xf numFmtId="2" fontId="0" fillId="41" borderId="34" xfId="0" applyNumberFormat="1" applyFill="1" applyBorder="1" applyAlignment="1">
      <alignment horizontal="center"/>
    </xf>
    <xf numFmtId="9" fontId="0" fillId="41" borderId="34" xfId="0" applyNumberFormat="1" applyFill="1" applyBorder="1"/>
    <xf numFmtId="0" fontId="0" fillId="38" borderId="34" xfId="0" applyFill="1" applyBorder="1" applyProtection="1"/>
    <xf numFmtId="0" fontId="0" fillId="41" borderId="34" xfId="0" applyFill="1" applyBorder="1" applyAlignment="1">
      <alignment horizontal="left"/>
    </xf>
    <xf numFmtId="0" fontId="0" fillId="42" borderId="0" xfId="0" applyFill="1"/>
    <xf numFmtId="0" fontId="0" fillId="47" borderId="35" xfId="0" applyFont="1" applyFill="1" applyBorder="1" applyAlignment="1">
      <alignment horizontal="center"/>
    </xf>
    <xf numFmtId="1" fontId="0" fillId="45" borderId="34" xfId="0" applyNumberFormat="1" applyFill="1" applyBorder="1" applyAlignment="1">
      <alignment horizontal="center"/>
    </xf>
    <xf numFmtId="9" fontId="56" fillId="45" borderId="39" xfId="34" applyFill="1" applyBorder="1" applyAlignment="1">
      <alignment horizontal="center"/>
    </xf>
    <xf numFmtId="0" fontId="0" fillId="41" borderId="0" xfId="0" applyFont="1" applyFill="1" applyBorder="1"/>
    <xf numFmtId="1" fontId="0" fillId="0" borderId="34" xfId="0" applyNumberFormat="1" applyBorder="1"/>
    <xf numFmtId="0" fontId="9" fillId="41" borderId="36" xfId="0" applyFont="1" applyFill="1" applyBorder="1"/>
    <xf numFmtId="0" fontId="9" fillId="19" borderId="0" xfId="0" applyFont="1" applyFill="1" applyBorder="1" applyAlignment="1" applyProtection="1">
      <alignment horizontal="right"/>
      <protection locked="0"/>
    </xf>
    <xf numFmtId="0" fontId="9" fillId="38" borderId="17" xfId="0" applyFont="1" applyFill="1" applyBorder="1"/>
    <xf numFmtId="0" fontId="9" fillId="38" borderId="23" xfId="0" applyFont="1" applyFill="1" applyBorder="1"/>
    <xf numFmtId="0" fontId="9" fillId="38" borderId="20" xfId="0" applyFont="1" applyFill="1" applyBorder="1"/>
    <xf numFmtId="0" fontId="9" fillId="38" borderId="41" xfId="0" applyFont="1" applyFill="1" applyBorder="1" applyAlignment="1"/>
    <xf numFmtId="0" fontId="9" fillId="41" borderId="39" xfId="0" applyFont="1" applyFill="1" applyBorder="1" applyAlignment="1"/>
    <xf numFmtId="0" fontId="9" fillId="41" borderId="35" xfId="0" applyFont="1" applyFill="1" applyBorder="1" applyAlignment="1"/>
    <xf numFmtId="0" fontId="9" fillId="38" borderId="22" xfId="0" applyFont="1" applyFill="1" applyBorder="1" applyAlignment="1">
      <alignment horizontal="center"/>
    </xf>
    <xf numFmtId="0" fontId="9" fillId="38" borderId="41" xfId="0" applyFont="1" applyFill="1" applyBorder="1" applyAlignment="1">
      <alignment horizontal="center"/>
    </xf>
    <xf numFmtId="0" fontId="9" fillId="41" borderId="39" xfId="0" applyFont="1" applyFill="1" applyBorder="1"/>
    <xf numFmtId="0" fontId="9" fillId="41" borderId="35" xfId="0" applyFont="1" applyFill="1" applyBorder="1" applyAlignment="1">
      <alignment horizontal="center"/>
    </xf>
    <xf numFmtId="0" fontId="0" fillId="41" borderId="39" xfId="0" applyFont="1" applyFill="1" applyBorder="1"/>
    <xf numFmtId="0" fontId="9" fillId="38" borderId="0" xfId="0" applyFont="1" applyFill="1" applyBorder="1" applyAlignment="1">
      <alignment horizontal="center"/>
    </xf>
    <xf numFmtId="0" fontId="9" fillId="38" borderId="26" xfId="0" applyFont="1" applyFill="1" applyBorder="1"/>
    <xf numFmtId="0" fontId="87" fillId="38" borderId="0" xfId="0" applyFont="1" applyFill="1" applyBorder="1" applyProtection="1">
      <protection locked="0"/>
    </xf>
    <xf numFmtId="0" fontId="9" fillId="38" borderId="24" xfId="0" applyFont="1" applyFill="1" applyBorder="1" applyProtection="1">
      <protection locked="0"/>
    </xf>
    <xf numFmtId="0" fontId="9" fillId="38" borderId="27" xfId="0" applyFont="1" applyFill="1" applyBorder="1" applyProtection="1">
      <protection locked="0"/>
    </xf>
    <xf numFmtId="0" fontId="9" fillId="19" borderId="27" xfId="0" applyFont="1" applyFill="1" applyBorder="1" applyProtection="1">
      <protection locked="0"/>
    </xf>
    <xf numFmtId="0" fontId="9" fillId="19" borderId="23" xfId="0" applyFont="1" applyFill="1" applyBorder="1" applyProtection="1">
      <protection locked="0"/>
    </xf>
    <xf numFmtId="0" fontId="12" fillId="38" borderId="0" xfId="0" applyFont="1" applyFill="1" applyBorder="1"/>
    <xf numFmtId="0" fontId="16" fillId="38" borderId="9" xfId="0" applyFont="1" applyFill="1" applyBorder="1"/>
    <xf numFmtId="0" fontId="15" fillId="38" borderId="0" xfId="0" applyFont="1" applyFill="1" applyBorder="1" applyAlignment="1" applyProtection="1">
      <alignment horizontal="right"/>
      <protection locked="0"/>
    </xf>
    <xf numFmtId="0" fontId="16" fillId="38" borderId="34" xfId="0" applyFont="1" applyFill="1" applyBorder="1"/>
    <xf numFmtId="0" fontId="0" fillId="41" borderId="68" xfId="0" applyFont="1" applyFill="1" applyBorder="1"/>
    <xf numFmtId="0" fontId="0" fillId="41" borderId="32" xfId="0" applyFont="1" applyFill="1" applyBorder="1"/>
    <xf numFmtId="0" fontId="0" fillId="41" borderId="42" xfId="0" applyFont="1" applyFill="1" applyBorder="1"/>
    <xf numFmtId="0" fontId="0" fillId="41" borderId="69" xfId="0" applyFont="1" applyFill="1" applyBorder="1"/>
    <xf numFmtId="0" fontId="0" fillId="41" borderId="33" xfId="0" applyFont="1" applyFill="1" applyBorder="1"/>
    <xf numFmtId="0" fontId="0" fillId="41" borderId="35" xfId="0" applyFont="1" applyFill="1" applyBorder="1"/>
    <xf numFmtId="0" fontId="0" fillId="41" borderId="41" xfId="0" applyFont="1" applyFill="1" applyBorder="1"/>
    <xf numFmtId="0" fontId="60" fillId="41" borderId="35" xfId="0" applyFont="1" applyFill="1" applyBorder="1"/>
    <xf numFmtId="0" fontId="9" fillId="38" borderId="24" xfId="0" applyFont="1" applyFill="1" applyBorder="1" applyAlignment="1" applyProtection="1">
      <alignment horizontal="left"/>
      <protection locked="0"/>
    </xf>
    <xf numFmtId="0" fontId="0" fillId="57" borderId="25" xfId="0" applyFont="1" applyFill="1" applyBorder="1" applyProtection="1">
      <protection locked="0"/>
    </xf>
    <xf numFmtId="0" fontId="9" fillId="38" borderId="39" xfId="0" applyFont="1" applyFill="1" applyBorder="1" applyProtection="1">
      <protection locked="0"/>
    </xf>
    <xf numFmtId="0" fontId="9" fillId="38" borderId="35" xfId="0" applyFont="1" applyFill="1" applyBorder="1" applyProtection="1">
      <protection locked="0"/>
    </xf>
    <xf numFmtId="0" fontId="60" fillId="41" borderId="0" xfId="0" applyFont="1" applyFill="1" applyBorder="1"/>
    <xf numFmtId="0" fontId="7" fillId="38" borderId="70" xfId="0" applyFont="1" applyFill="1" applyBorder="1"/>
    <xf numFmtId="0" fontId="7" fillId="38" borderId="71" xfId="0" applyFont="1" applyFill="1" applyBorder="1" applyProtection="1">
      <protection locked="0"/>
    </xf>
    <xf numFmtId="0" fontId="7" fillId="38" borderId="48" xfId="0" applyFont="1" applyFill="1" applyBorder="1"/>
    <xf numFmtId="0" fontId="0" fillId="38" borderId="48" xfId="0" applyFill="1" applyBorder="1"/>
    <xf numFmtId="1" fontId="15" fillId="19" borderId="48" xfId="0" applyNumberFormat="1" applyFont="1" applyFill="1" applyBorder="1"/>
    <xf numFmtId="0" fontId="7" fillId="19" borderId="48" xfId="0" applyFont="1" applyFill="1" applyBorder="1"/>
    <xf numFmtId="0" fontId="12" fillId="19" borderId="0" xfId="0" applyFont="1" applyFill="1" applyBorder="1" applyProtection="1">
      <protection locked="0"/>
    </xf>
    <xf numFmtId="0" fontId="7" fillId="19" borderId="73" xfId="0" applyFont="1" applyFill="1" applyBorder="1"/>
    <xf numFmtId="0" fontId="7" fillId="19" borderId="60" xfId="0" applyFont="1" applyFill="1" applyBorder="1"/>
    <xf numFmtId="0" fontId="7" fillId="19" borderId="60" xfId="0" applyFont="1" applyFill="1" applyBorder="1" applyAlignment="1">
      <alignment horizontal="left"/>
    </xf>
    <xf numFmtId="0" fontId="7" fillId="19" borderId="60" xfId="0" applyFont="1" applyFill="1" applyBorder="1" applyProtection="1">
      <protection locked="0"/>
    </xf>
    <xf numFmtId="0" fontId="16" fillId="19" borderId="74" xfId="0" applyFont="1" applyFill="1" applyBorder="1"/>
    <xf numFmtId="0" fontId="12" fillId="19" borderId="74" xfId="0" applyFont="1" applyFill="1" applyBorder="1" applyProtection="1">
      <protection locked="0"/>
    </xf>
    <xf numFmtId="0" fontId="7" fillId="19" borderId="74" xfId="0" applyFont="1" applyFill="1" applyBorder="1"/>
    <xf numFmtId="0" fontId="7" fillId="19" borderId="65" xfId="0" applyFont="1" applyFill="1" applyBorder="1" applyProtection="1">
      <protection locked="0"/>
    </xf>
    <xf numFmtId="0" fontId="7" fillId="41" borderId="0" xfId="0" applyFont="1" applyFill="1"/>
    <xf numFmtId="0" fontId="7" fillId="38" borderId="20" xfId="0" applyFont="1" applyFill="1" applyBorder="1"/>
    <xf numFmtId="0" fontId="7" fillId="38" borderId="25" xfId="0" applyFont="1" applyFill="1" applyBorder="1"/>
    <xf numFmtId="165" fontId="9" fillId="38" borderId="18" xfId="0" applyNumberFormat="1" applyFont="1" applyFill="1" applyBorder="1" applyAlignment="1">
      <alignment horizontal="center"/>
    </xf>
    <xf numFmtId="2" fontId="0" fillId="38" borderId="18" xfId="0" applyNumberFormat="1" applyFill="1" applyBorder="1" applyAlignment="1">
      <alignment horizontal="center"/>
    </xf>
    <xf numFmtId="165" fontId="9" fillId="38" borderId="9" xfId="0" applyNumberFormat="1" applyFont="1" applyFill="1" applyBorder="1" applyAlignment="1">
      <alignment horizontal="center"/>
    </xf>
    <xf numFmtId="0" fontId="56" fillId="38" borderId="0" xfId="0" applyFont="1" applyFill="1" applyBorder="1"/>
    <xf numFmtId="2" fontId="0" fillId="38" borderId="9" xfId="0" applyNumberFormat="1" applyFill="1" applyBorder="1" applyAlignment="1">
      <alignment horizontal="center"/>
    </xf>
    <xf numFmtId="164" fontId="0" fillId="38" borderId="0" xfId="0" applyNumberFormat="1" applyFill="1" applyBorder="1"/>
    <xf numFmtId="0" fontId="0" fillId="38" borderId="0" xfId="0" applyFont="1" applyFill="1" applyBorder="1"/>
    <xf numFmtId="0" fontId="0" fillId="61" borderId="34" xfId="0" applyFill="1" applyBorder="1"/>
    <xf numFmtId="0" fontId="9" fillId="38" borderId="23" xfId="0" applyFont="1" applyFill="1" applyBorder="1" applyAlignment="1">
      <alignment horizontal="left"/>
    </xf>
    <xf numFmtId="0" fontId="9" fillId="19" borderId="20" xfId="0" applyFont="1" applyFill="1" applyBorder="1" applyProtection="1">
      <protection locked="0"/>
    </xf>
    <xf numFmtId="0" fontId="12" fillId="38" borderId="60" xfId="0" applyFont="1" applyFill="1" applyBorder="1"/>
    <xf numFmtId="1" fontId="0" fillId="19" borderId="15" xfId="0" applyNumberFormat="1" applyFont="1" applyFill="1" applyBorder="1"/>
    <xf numFmtId="0" fontId="0" fillId="46" borderId="34" xfId="0" applyFont="1" applyFill="1" applyBorder="1" applyAlignment="1">
      <alignment horizontal="left"/>
    </xf>
    <xf numFmtId="0" fontId="0" fillId="46" borderId="34" xfId="0" applyFont="1" applyFill="1" applyBorder="1" applyAlignment="1">
      <alignment horizontal="center"/>
    </xf>
    <xf numFmtId="0" fontId="9" fillId="38" borderId="39" xfId="0" applyFont="1" applyFill="1" applyBorder="1" applyAlignment="1">
      <alignment horizontal="center"/>
    </xf>
    <xf numFmtId="0" fontId="9" fillId="38" borderId="35" xfId="0" applyFont="1" applyFill="1" applyBorder="1" applyAlignment="1">
      <alignment horizontal="center"/>
    </xf>
    <xf numFmtId="0" fontId="9" fillId="38" borderId="68" xfId="0" applyFont="1" applyFill="1" applyBorder="1" applyAlignment="1">
      <alignment horizontal="center"/>
    </xf>
    <xf numFmtId="0" fontId="9" fillId="38" borderId="32" xfId="0" applyFont="1" applyFill="1" applyBorder="1" applyAlignment="1">
      <alignment horizontal="center"/>
    </xf>
    <xf numFmtId="0" fontId="9" fillId="38" borderId="40" xfId="0" applyFont="1" applyFill="1" applyBorder="1" applyAlignment="1">
      <alignment horizontal="center"/>
    </xf>
    <xf numFmtId="0" fontId="9" fillId="38" borderId="67" xfId="0" applyFont="1" applyFill="1" applyBorder="1" applyAlignment="1">
      <alignment horizontal="center"/>
    </xf>
    <xf numFmtId="0" fontId="9" fillId="41" borderId="35" xfId="0" applyFont="1" applyFill="1" applyBorder="1"/>
    <xf numFmtId="0" fontId="9" fillId="38" borderId="59" xfId="0" applyFont="1" applyFill="1" applyBorder="1" applyAlignment="1">
      <alignment horizontal="center"/>
    </xf>
    <xf numFmtId="0" fontId="25" fillId="46" borderId="0" xfId="0" applyFont="1" applyFill="1" applyBorder="1"/>
    <xf numFmtId="0" fontId="8" fillId="46" borderId="0" xfId="0" applyFont="1" applyFill="1" applyBorder="1"/>
    <xf numFmtId="1" fontId="0" fillId="47" borderId="0" xfId="0" applyNumberFormat="1" applyFill="1" applyBorder="1"/>
    <xf numFmtId="0" fontId="78" fillId="46" borderId="0" xfId="0" applyFont="1" applyFill="1" applyBorder="1"/>
    <xf numFmtId="2" fontId="25" fillId="46" borderId="0" xfId="0" applyNumberFormat="1" applyFont="1" applyFill="1" applyBorder="1"/>
    <xf numFmtId="0" fontId="0" fillId="19" borderId="37" xfId="0" applyFill="1" applyBorder="1"/>
    <xf numFmtId="165" fontId="0" fillId="19" borderId="34" xfId="0" applyNumberFormat="1" applyFill="1" applyBorder="1"/>
    <xf numFmtId="0" fontId="9" fillId="44" borderId="38" xfId="0" applyFont="1" applyFill="1" applyBorder="1"/>
    <xf numFmtId="0" fontId="9" fillId="44" borderId="37" xfId="0" applyFont="1" applyFill="1" applyBorder="1"/>
    <xf numFmtId="0" fontId="9" fillId="44" borderId="35" xfId="0" applyFont="1" applyFill="1" applyBorder="1"/>
    <xf numFmtId="0" fontId="9" fillId="44" borderId="41" xfId="0" applyFont="1" applyFill="1" applyBorder="1"/>
    <xf numFmtId="0" fontId="0" fillId="0" borderId="35" xfId="0" applyBorder="1"/>
    <xf numFmtId="0" fontId="0" fillId="0" borderId="41" xfId="0" applyBorder="1"/>
    <xf numFmtId="0" fontId="0" fillId="0" borderId="39" xfId="0" applyBorder="1"/>
    <xf numFmtId="1" fontId="0" fillId="0" borderId="34" xfId="0" applyNumberFormat="1" applyBorder="1" applyAlignment="1">
      <alignment horizontal="center"/>
    </xf>
    <xf numFmtId="0" fontId="0" fillId="0" borderId="41" xfId="0" applyFill="1" applyBorder="1"/>
    <xf numFmtId="2" fontId="0" fillId="0" borderId="34" xfId="0" applyNumberFormat="1" applyBorder="1"/>
    <xf numFmtId="2" fontId="0" fillId="0" borderId="34" xfId="0" applyNumberFormat="1" applyFill="1" applyBorder="1"/>
    <xf numFmtId="0" fontId="0" fillId="0" borderId="39" xfId="0" applyFill="1" applyBorder="1" applyAlignment="1">
      <alignment horizontal="center"/>
    </xf>
    <xf numFmtId="0" fontId="0" fillId="64" borderId="34" xfId="0" applyFill="1" applyBorder="1" applyAlignment="1">
      <alignment horizontal="center"/>
    </xf>
    <xf numFmtId="0" fontId="0" fillId="41" borderId="34" xfId="0" applyFont="1" applyFill="1" applyBorder="1" applyAlignment="1">
      <alignment horizontal="center"/>
    </xf>
    <xf numFmtId="1" fontId="0" fillId="47" borderId="34" xfId="0" applyNumberFormat="1" applyFont="1" applyFill="1" applyBorder="1" applyAlignment="1">
      <alignment horizontal="center"/>
    </xf>
    <xf numFmtId="0" fontId="9" fillId="38" borderId="40" xfId="0" applyFont="1" applyFill="1" applyBorder="1" applyAlignment="1">
      <alignment horizontal="left"/>
    </xf>
    <xf numFmtId="0" fontId="9" fillId="38" borderId="38" xfId="0" applyFont="1" applyFill="1" applyBorder="1" applyAlignment="1">
      <alignment horizontal="left"/>
    </xf>
    <xf numFmtId="0" fontId="0" fillId="46" borderId="99" xfId="0" applyFont="1" applyFill="1" applyBorder="1" applyAlignment="1">
      <alignment horizontal="left"/>
    </xf>
    <xf numFmtId="1" fontId="0" fillId="0" borderId="34" xfId="0" applyNumberFormat="1" applyFont="1" applyBorder="1" applyAlignment="1">
      <alignment horizontal="center"/>
    </xf>
    <xf numFmtId="0" fontId="0" fillId="46" borderId="40" xfId="0" applyFont="1" applyFill="1" applyBorder="1" applyAlignment="1">
      <alignment horizontal="left"/>
    </xf>
    <xf numFmtId="0" fontId="0" fillId="46" borderId="100" xfId="0" applyFont="1" applyFill="1" applyBorder="1" applyAlignment="1">
      <alignment horizontal="left"/>
    </xf>
    <xf numFmtId="165" fontId="0" fillId="0" borderId="34" xfId="0" applyNumberFormat="1" applyBorder="1"/>
    <xf numFmtId="165" fontId="0" fillId="47" borderId="34" xfId="0" applyNumberFormat="1" applyFont="1" applyFill="1" applyBorder="1"/>
    <xf numFmtId="0" fontId="9" fillId="38" borderId="38" xfId="0" applyFont="1" applyFill="1" applyBorder="1" applyAlignment="1">
      <alignment horizontal="center"/>
    </xf>
    <xf numFmtId="0" fontId="0" fillId="38" borderId="72" xfId="0" applyFill="1" applyBorder="1"/>
    <xf numFmtId="0" fontId="0" fillId="65" borderId="0" xfId="0" applyFill="1"/>
    <xf numFmtId="0" fontId="12" fillId="65" borderId="0" xfId="0" applyFont="1" applyFill="1"/>
    <xf numFmtId="0" fontId="28" fillId="66" borderId="70" xfId="0" applyFont="1" applyFill="1" applyBorder="1"/>
    <xf numFmtId="0" fontId="0" fillId="66" borderId="71" xfId="0" applyFill="1" applyBorder="1"/>
    <xf numFmtId="0" fontId="0" fillId="66" borderId="72" xfId="0" applyFill="1" applyBorder="1"/>
    <xf numFmtId="0" fontId="9" fillId="66" borderId="101" xfId="0" applyFont="1" applyFill="1" applyBorder="1" applyAlignment="1">
      <alignment horizontal="center"/>
    </xf>
    <xf numFmtId="0" fontId="0" fillId="66" borderId="14" xfId="0" applyFont="1" applyFill="1" applyBorder="1" applyAlignment="1">
      <alignment horizontal="left"/>
    </xf>
    <xf numFmtId="0" fontId="0" fillId="66" borderId="102" xfId="0" applyFont="1" applyFill="1" applyBorder="1" applyAlignment="1">
      <alignment horizontal="left"/>
    </xf>
    <xf numFmtId="0" fontId="0" fillId="66" borderId="103" xfId="0" applyFill="1" applyBorder="1" applyAlignment="1">
      <alignment horizontal="center"/>
    </xf>
    <xf numFmtId="0" fontId="0" fillId="66" borderId="15" xfId="0" applyFill="1" applyBorder="1" applyAlignment="1">
      <alignment horizontal="left"/>
    </xf>
    <xf numFmtId="0" fontId="0" fillId="66" borderId="104" xfId="0" applyFill="1" applyBorder="1" applyAlignment="1">
      <alignment horizontal="left"/>
    </xf>
    <xf numFmtId="0" fontId="0" fillId="66" borderId="98" xfId="0" applyFont="1" applyFill="1" applyBorder="1" applyAlignment="1"/>
    <xf numFmtId="1" fontId="0" fillId="66" borderId="15" xfId="0" applyNumberFormat="1" applyFill="1" applyBorder="1" applyAlignment="1">
      <alignment horizontal="center"/>
    </xf>
    <xf numFmtId="0" fontId="0" fillId="66" borderId="16" xfId="0" applyFill="1" applyBorder="1" applyAlignment="1">
      <alignment horizontal="center"/>
    </xf>
    <xf numFmtId="0" fontId="0" fillId="66" borderId="9" xfId="0" applyFont="1" applyFill="1" applyBorder="1" applyAlignment="1">
      <alignment horizontal="center"/>
    </xf>
    <xf numFmtId="0" fontId="0" fillId="66" borderId="105" xfId="0" applyFont="1" applyFill="1" applyBorder="1" applyAlignment="1">
      <alignment horizontal="center"/>
    </xf>
    <xf numFmtId="0" fontId="0" fillId="66" borderId="98" xfId="0" applyFont="1" applyFill="1" applyBorder="1" applyAlignment="1" applyProtection="1">
      <protection locked="0"/>
    </xf>
    <xf numFmtId="1" fontId="0" fillId="66" borderId="9" xfId="0" applyNumberFormat="1" applyFill="1" applyBorder="1" applyAlignment="1" applyProtection="1">
      <alignment horizontal="center"/>
      <protection locked="0"/>
    </xf>
    <xf numFmtId="1" fontId="0" fillId="66" borderId="9" xfId="0" applyNumberFormat="1" applyFill="1" applyBorder="1" applyAlignment="1">
      <alignment horizontal="center"/>
    </xf>
    <xf numFmtId="0" fontId="0" fillId="66" borderId="9" xfId="0" applyFont="1" applyFill="1" applyBorder="1" applyAlignment="1" applyProtection="1">
      <alignment horizontal="center"/>
      <protection locked="0"/>
    </xf>
    <xf numFmtId="0" fontId="0" fillId="66" borderId="105" xfId="0" applyFont="1" applyFill="1" applyBorder="1" applyAlignment="1" applyProtection="1">
      <alignment horizontal="center"/>
      <protection locked="0"/>
    </xf>
    <xf numFmtId="0" fontId="0" fillId="66" borderId="98" xfId="0" applyFont="1" applyFill="1" applyBorder="1" applyAlignment="1">
      <alignment horizontal="left"/>
    </xf>
    <xf numFmtId="1" fontId="0" fillId="66" borderId="105" xfId="0" applyNumberFormat="1" applyFill="1" applyBorder="1" applyAlignment="1" applyProtection="1">
      <alignment horizontal="center"/>
      <protection locked="0"/>
    </xf>
    <xf numFmtId="0" fontId="0" fillId="66" borderId="98" xfId="0" applyFont="1" applyFill="1" applyBorder="1" applyAlignment="1" applyProtection="1">
      <alignment horizontal="left"/>
      <protection locked="0"/>
    </xf>
    <xf numFmtId="0" fontId="0" fillId="66" borderId="9" xfId="0" applyFont="1" applyFill="1" applyBorder="1"/>
    <xf numFmtId="0" fontId="0" fillId="66" borderId="105" xfId="0" applyFont="1" applyFill="1" applyBorder="1"/>
    <xf numFmtId="0" fontId="0" fillId="66" borderId="73" xfId="0" applyFill="1" applyBorder="1" applyAlignment="1" applyProtection="1">
      <protection locked="0"/>
    </xf>
    <xf numFmtId="0" fontId="0" fillId="66" borderId="74" xfId="0" applyFill="1" applyBorder="1"/>
    <xf numFmtId="1" fontId="0" fillId="66" borderId="74" xfId="0" applyNumberFormat="1" applyFill="1" applyBorder="1" applyAlignment="1" applyProtection="1">
      <alignment horizontal="center"/>
      <protection locked="0"/>
    </xf>
    <xf numFmtId="1" fontId="0" fillId="66" borderId="74" xfId="0" applyNumberFormat="1" applyFill="1" applyBorder="1" applyAlignment="1">
      <alignment horizontal="center"/>
    </xf>
    <xf numFmtId="0" fontId="0" fillId="66" borderId="65" xfId="0" applyFill="1" applyBorder="1"/>
    <xf numFmtId="0" fontId="0" fillId="66" borderId="0" xfId="0" applyFill="1" applyBorder="1" applyAlignment="1" applyProtection="1">
      <protection locked="0"/>
    </xf>
    <xf numFmtId="0" fontId="0" fillId="66" borderId="0" xfId="0" applyFill="1" applyBorder="1"/>
    <xf numFmtId="1" fontId="0" fillId="66" borderId="0" xfId="0" applyNumberFormat="1" applyFill="1" applyBorder="1" applyAlignment="1" applyProtection="1">
      <alignment horizontal="center"/>
      <protection locked="0"/>
    </xf>
    <xf numFmtId="1" fontId="0" fillId="66" borderId="0" xfId="0" applyNumberFormat="1" applyFill="1" applyBorder="1" applyAlignment="1">
      <alignment horizontal="center"/>
    </xf>
    <xf numFmtId="0" fontId="28" fillId="66" borderId="70" xfId="0" applyFont="1" applyFill="1" applyBorder="1" applyAlignment="1" applyProtection="1">
      <protection locked="0"/>
    </xf>
    <xf numFmtId="0" fontId="0" fillId="66" borderId="0" xfId="0" applyFill="1" applyBorder="1" applyAlignment="1">
      <alignment horizontal="left"/>
    </xf>
    <xf numFmtId="0" fontId="28" fillId="66" borderId="10" xfId="0" applyFont="1" applyFill="1" applyBorder="1"/>
    <xf numFmtId="0" fontId="0" fillId="66" borderId="11" xfId="0" applyFill="1" applyBorder="1"/>
    <xf numFmtId="0" fontId="9" fillId="66" borderId="29" xfId="0" applyFont="1" applyFill="1" applyBorder="1" applyAlignment="1">
      <alignment horizontal="center"/>
    </xf>
    <xf numFmtId="0" fontId="0" fillId="66" borderId="30" xfId="0" applyFill="1" applyBorder="1" applyAlignment="1">
      <alignment horizontal="center"/>
    </xf>
    <xf numFmtId="0" fontId="0" fillId="66" borderId="31" xfId="0" applyFont="1" applyFill="1" applyBorder="1" applyAlignment="1"/>
    <xf numFmtId="0" fontId="0" fillId="66" borderId="31" xfId="0" applyFont="1" applyFill="1" applyBorder="1" applyAlignment="1" applyProtection="1">
      <protection locked="0"/>
    </xf>
    <xf numFmtId="0" fontId="0" fillId="66" borderId="31" xfId="0" applyFont="1" applyFill="1" applyBorder="1" applyAlignment="1">
      <alignment horizontal="left"/>
    </xf>
    <xf numFmtId="0" fontId="0" fillId="66" borderId="31" xfId="0" applyFont="1" applyFill="1" applyBorder="1" applyAlignment="1" applyProtection="1">
      <alignment horizontal="left"/>
      <protection locked="0"/>
    </xf>
    <xf numFmtId="0" fontId="0" fillId="66" borderId="12" xfId="0" applyFill="1" applyBorder="1" applyAlignment="1" applyProtection="1">
      <protection locked="0"/>
    </xf>
    <xf numFmtId="0" fontId="0" fillId="66" borderId="13" xfId="0" applyFill="1" applyBorder="1"/>
    <xf numFmtId="1" fontId="0" fillId="66" borderId="13" xfId="0" applyNumberFormat="1" applyFill="1" applyBorder="1" applyAlignment="1" applyProtection="1">
      <alignment horizontal="center"/>
      <protection locked="0"/>
    </xf>
    <xf numFmtId="1" fontId="0" fillId="66" borderId="13" xfId="0" applyNumberFormat="1" applyFill="1" applyBorder="1" applyAlignment="1">
      <alignment horizontal="center"/>
    </xf>
    <xf numFmtId="0" fontId="0" fillId="66" borderId="12" xfId="0" applyFill="1" applyBorder="1"/>
    <xf numFmtId="0" fontId="0" fillId="67" borderId="0" xfId="0" applyFill="1"/>
    <xf numFmtId="0" fontId="87" fillId="68" borderId="0" xfId="0" applyFont="1" applyFill="1" applyBorder="1" applyAlignment="1">
      <alignment horizontal="left"/>
    </xf>
    <xf numFmtId="0" fontId="0" fillId="68" borderId="0" xfId="0" applyFill="1" applyBorder="1" applyAlignment="1">
      <alignment horizontal="left"/>
    </xf>
    <xf numFmtId="0" fontId="0" fillId="68" borderId="0" xfId="0" applyFill="1" applyBorder="1" applyAlignment="1">
      <alignment horizontal="center"/>
    </xf>
    <xf numFmtId="0" fontId="0" fillId="68" borderId="9" xfId="0" applyFill="1" applyBorder="1" applyAlignment="1">
      <alignment horizontal="left"/>
    </xf>
    <xf numFmtId="0" fontId="0" fillId="68" borderId="9" xfId="0" applyFill="1" applyBorder="1" applyAlignment="1">
      <alignment horizontal="center"/>
    </xf>
    <xf numFmtId="0" fontId="0" fillId="68" borderId="9" xfId="0" applyFont="1" applyFill="1" applyBorder="1" applyAlignment="1">
      <alignment horizontal="left"/>
    </xf>
    <xf numFmtId="9" fontId="56" fillId="68" borderId="9" xfId="34" applyFont="1" applyFill="1" applyBorder="1" applyAlignment="1" applyProtection="1">
      <alignment horizontal="center"/>
    </xf>
    <xf numFmtId="0" fontId="0" fillId="68" borderId="9" xfId="0" applyFont="1" applyFill="1" applyBorder="1" applyAlignment="1" applyProtection="1">
      <alignment horizontal="left"/>
      <protection locked="0"/>
    </xf>
    <xf numFmtId="9" fontId="0" fillId="68" borderId="15" xfId="0" applyNumberFormat="1" applyFill="1" applyBorder="1" applyAlignment="1">
      <alignment horizontal="center"/>
    </xf>
    <xf numFmtId="1" fontId="0" fillId="0" borderId="0" xfId="0" applyNumberFormat="1" applyBorder="1" applyAlignment="1">
      <alignment horizontal="center"/>
    </xf>
    <xf numFmtId="1" fontId="0" fillId="0" borderId="41" xfId="0" applyNumberFormat="1" applyFont="1" applyBorder="1" applyAlignment="1">
      <alignment horizontal="center"/>
    </xf>
    <xf numFmtId="0" fontId="0" fillId="46" borderId="41" xfId="0" applyFont="1" applyFill="1" applyBorder="1" applyAlignment="1">
      <alignment horizontal="left"/>
    </xf>
    <xf numFmtId="165" fontId="0" fillId="47" borderId="41" xfId="0" applyNumberFormat="1" applyFont="1" applyFill="1" applyBorder="1"/>
    <xf numFmtId="165" fontId="0" fillId="0" borderId="41" xfId="0" applyNumberFormat="1" applyBorder="1"/>
    <xf numFmtId="1" fontId="0" fillId="47" borderId="0" xfId="0" applyNumberFormat="1" applyFont="1" applyFill="1" applyBorder="1" applyAlignment="1">
      <alignment horizontal="center"/>
    </xf>
    <xf numFmtId="1" fontId="0" fillId="0" borderId="0" xfId="0" applyNumberFormat="1" applyFont="1" applyBorder="1" applyAlignment="1">
      <alignment horizontal="center"/>
    </xf>
    <xf numFmtId="0" fontId="0" fillId="46" borderId="0" xfId="0" applyFont="1" applyFill="1" applyBorder="1" applyAlignment="1">
      <alignment horizontal="left"/>
    </xf>
    <xf numFmtId="165" fontId="0" fillId="47" borderId="0" xfId="0" applyNumberFormat="1" applyFont="1" applyFill="1" applyBorder="1"/>
    <xf numFmtId="165" fontId="0" fillId="0" borderId="0" xfId="0" applyNumberFormat="1" applyBorder="1"/>
    <xf numFmtId="0" fontId="87" fillId="38" borderId="0" xfId="0" applyFont="1" applyFill="1" applyBorder="1" applyAlignment="1">
      <alignment horizontal="center"/>
    </xf>
    <xf numFmtId="0" fontId="60" fillId="38" borderId="0" xfId="0" applyFont="1" applyFill="1" applyBorder="1" applyAlignment="1">
      <alignment horizontal="left"/>
    </xf>
    <xf numFmtId="1" fontId="0" fillId="41" borderId="0" xfId="0" applyNumberFormat="1" applyFont="1" applyFill="1" applyBorder="1" applyAlignment="1">
      <alignment horizontal="center"/>
    </xf>
    <xf numFmtId="0" fontId="0" fillId="38" borderId="0" xfId="0" applyFont="1" applyFill="1" applyBorder="1" applyAlignment="1">
      <alignment horizontal="center"/>
    </xf>
    <xf numFmtId="0" fontId="0" fillId="38" borderId="0" xfId="0" applyFont="1" applyFill="1" applyBorder="1" applyAlignment="1">
      <alignment horizontal="left"/>
    </xf>
    <xf numFmtId="165" fontId="0" fillId="41" borderId="0" xfId="0" applyNumberFormat="1" applyFont="1" applyFill="1" applyBorder="1"/>
    <xf numFmtId="165" fontId="0" fillId="41" borderId="0" xfId="0" applyNumberFormat="1" applyFill="1" applyBorder="1"/>
    <xf numFmtId="0" fontId="60" fillId="46" borderId="34" xfId="0" applyFont="1" applyFill="1" applyBorder="1" applyAlignment="1">
      <alignment horizontal="left"/>
    </xf>
    <xf numFmtId="0" fontId="7" fillId="0" borderId="0" xfId="0" applyFont="1" applyFill="1" applyBorder="1" applyProtection="1">
      <protection locked="0"/>
    </xf>
    <xf numFmtId="0" fontId="12" fillId="0" borderId="0" xfId="0" applyFont="1" applyFill="1" applyBorder="1"/>
    <xf numFmtId="0" fontId="87" fillId="0" borderId="0" xfId="0" applyFont="1" applyFill="1" applyBorder="1" applyAlignment="1">
      <alignment horizontal="center"/>
    </xf>
    <xf numFmtId="0" fontId="87" fillId="0" borderId="0" xfId="0" applyFont="1" applyFill="1" applyBorder="1" applyAlignment="1">
      <alignment horizontal="left"/>
    </xf>
    <xf numFmtId="1" fontId="0" fillId="41" borderId="74" xfId="0" applyNumberFormat="1" applyFont="1" applyFill="1" applyBorder="1" applyAlignment="1">
      <alignment horizontal="center"/>
    </xf>
    <xf numFmtId="0" fontId="0" fillId="38" borderId="74" xfId="0" applyFont="1" applyFill="1" applyBorder="1" applyAlignment="1">
      <alignment horizontal="center"/>
    </xf>
    <xf numFmtId="0" fontId="0" fillId="38" borderId="74" xfId="0" applyFont="1" applyFill="1" applyBorder="1" applyAlignment="1">
      <alignment horizontal="left"/>
    </xf>
    <xf numFmtId="165" fontId="0" fillId="41" borderId="74" xfId="0" applyNumberFormat="1" applyFont="1" applyFill="1" applyBorder="1"/>
    <xf numFmtId="165" fontId="0" fillId="41" borderId="74" xfId="0" applyNumberFormat="1" applyFill="1" applyBorder="1"/>
    <xf numFmtId="1" fontId="0" fillId="41" borderId="71" xfId="0" applyNumberFormat="1" applyFont="1" applyFill="1" applyBorder="1" applyAlignment="1">
      <alignment horizontal="center"/>
    </xf>
    <xf numFmtId="0" fontId="0" fillId="38" borderId="71" xfId="0" applyFont="1" applyFill="1" applyBorder="1" applyAlignment="1">
      <alignment horizontal="center"/>
    </xf>
    <xf numFmtId="0" fontId="0" fillId="38" borderId="71" xfId="0" applyFont="1" applyFill="1" applyBorder="1" applyAlignment="1">
      <alignment horizontal="left"/>
    </xf>
    <xf numFmtId="165" fontId="0" fillId="41" borderId="71" xfId="0" applyNumberFormat="1" applyFont="1" applyFill="1" applyBorder="1"/>
    <xf numFmtId="165" fontId="0" fillId="41" borderId="71" xfId="0" applyNumberFormat="1" applyFill="1" applyBorder="1"/>
    <xf numFmtId="0" fontId="7" fillId="41" borderId="72" xfId="0" applyFont="1" applyFill="1" applyBorder="1" applyProtection="1">
      <protection locked="0"/>
    </xf>
    <xf numFmtId="0" fontId="7" fillId="41" borderId="60" xfId="0" applyFont="1" applyFill="1" applyBorder="1" applyProtection="1">
      <protection locked="0"/>
    </xf>
    <xf numFmtId="0" fontId="87" fillId="41" borderId="60" xfId="0" applyFont="1" applyFill="1" applyBorder="1" applyProtection="1">
      <protection locked="0"/>
    </xf>
    <xf numFmtId="0" fontId="87" fillId="41" borderId="60" xfId="0" applyFont="1" applyFill="1" applyBorder="1" applyAlignment="1">
      <alignment horizontal="center"/>
    </xf>
    <xf numFmtId="0" fontId="87" fillId="41" borderId="60" xfId="0" applyFont="1" applyFill="1" applyBorder="1" applyAlignment="1">
      <alignment horizontal="left"/>
    </xf>
    <xf numFmtId="165" fontId="0" fillId="41" borderId="44" xfId="0" applyNumberFormat="1" applyFill="1" applyBorder="1"/>
    <xf numFmtId="0" fontId="5" fillId="0" borderId="0" xfId="0" applyFont="1" applyFill="1" applyBorder="1" applyAlignment="1">
      <alignment horizontal="right"/>
    </xf>
    <xf numFmtId="0" fontId="7" fillId="0" borderId="0" xfId="0" applyFont="1" applyFill="1" applyBorder="1"/>
    <xf numFmtId="0" fontId="0" fillId="45" borderId="41" xfId="0" applyFill="1" applyBorder="1"/>
    <xf numFmtId="0" fontId="0" fillId="45" borderId="36" xfId="0" applyFill="1" applyBorder="1"/>
    <xf numFmtId="0" fontId="0" fillId="45" borderId="38" xfId="0" applyFill="1" applyBorder="1"/>
    <xf numFmtId="0" fontId="0" fillId="45" borderId="37" xfId="0" applyFill="1" applyBorder="1"/>
    <xf numFmtId="0" fontId="0" fillId="49" borderId="0" xfId="0" applyFill="1"/>
    <xf numFmtId="0" fontId="12" fillId="49" borderId="0" xfId="0" applyFont="1" applyFill="1"/>
    <xf numFmtId="0" fontId="9" fillId="49" borderId="0" xfId="0" applyFont="1" applyFill="1" applyBorder="1" applyAlignment="1">
      <alignment horizontal="left"/>
    </xf>
    <xf numFmtId="0" fontId="9" fillId="49" borderId="0" xfId="0" applyFont="1" applyFill="1"/>
    <xf numFmtId="0" fontId="0" fillId="49" borderId="34" xfId="0" applyFill="1" applyBorder="1"/>
    <xf numFmtId="9" fontId="56" fillId="49" borderId="34" xfId="34" applyFill="1" applyBorder="1"/>
    <xf numFmtId="9" fontId="56" fillId="49" borderId="0" xfId="34" applyFill="1" applyBorder="1" applyAlignment="1">
      <alignment horizontal="center"/>
    </xf>
    <xf numFmtId="9" fontId="0" fillId="49" borderId="34" xfId="0" applyNumberFormat="1" applyFill="1" applyBorder="1"/>
    <xf numFmtId="0" fontId="0" fillId="49" borderId="0" xfId="0" applyFill="1" applyBorder="1" applyAlignment="1">
      <alignment horizontal="left"/>
    </xf>
    <xf numFmtId="9" fontId="0" fillId="49" borderId="0" xfId="0" applyNumberFormat="1" applyFill="1"/>
    <xf numFmtId="9" fontId="56" fillId="49" borderId="0" xfId="34" applyFill="1"/>
    <xf numFmtId="0" fontId="0" fillId="49" borderId="34" xfId="0" applyFill="1" applyBorder="1" applyAlignment="1">
      <alignment horizontal="left"/>
    </xf>
    <xf numFmtId="9" fontId="56" fillId="49" borderId="0" xfId="34" applyFill="1" applyBorder="1"/>
    <xf numFmtId="0" fontId="16" fillId="19" borderId="74" xfId="0" applyFont="1" applyFill="1" applyBorder="1" applyAlignment="1">
      <alignment horizontal="center"/>
    </xf>
    <xf numFmtId="0" fontId="0" fillId="41" borderId="65" xfId="0" applyFill="1" applyBorder="1" applyAlignment="1">
      <alignment horizontal="center"/>
    </xf>
    <xf numFmtId="0" fontId="0" fillId="42" borderId="59" xfId="0" applyFill="1" applyBorder="1"/>
    <xf numFmtId="0" fontId="9" fillId="42" borderId="68" xfId="0" applyFont="1" applyFill="1" applyBorder="1"/>
    <xf numFmtId="0" fontId="0" fillId="42" borderId="69" xfId="0" applyFill="1" applyBorder="1"/>
    <xf numFmtId="0" fontId="0" fillId="42" borderId="42" xfId="0" applyFill="1" applyBorder="1"/>
    <xf numFmtId="0" fontId="0" fillId="42" borderId="40" xfId="0" applyFill="1" applyBorder="1"/>
    <xf numFmtId="0" fontId="0" fillId="42" borderId="0" xfId="0" applyFill="1" applyBorder="1"/>
    <xf numFmtId="0" fontId="12" fillId="42" borderId="0" xfId="0" applyFont="1" applyFill="1" applyBorder="1"/>
    <xf numFmtId="0" fontId="4" fillId="18" borderId="0" xfId="0" applyFont="1" applyFill="1" applyAlignment="1">
      <alignment horizontal="left"/>
    </xf>
    <xf numFmtId="0" fontId="0" fillId="42" borderId="33" xfId="0" applyFill="1" applyBorder="1"/>
    <xf numFmtId="0" fontId="9" fillId="47" borderId="0" xfId="0" applyFont="1" applyFill="1" applyBorder="1"/>
    <xf numFmtId="0" fontId="5" fillId="46" borderId="0" xfId="0" applyFont="1" applyFill="1" applyBorder="1" applyAlignment="1">
      <alignment horizontal="right"/>
    </xf>
    <xf numFmtId="0" fontId="4" fillId="46" borderId="0" xfId="0" applyFont="1" applyFill="1" applyBorder="1"/>
    <xf numFmtId="0" fontId="12" fillId="46" borderId="0" xfId="0" applyFont="1" applyFill="1" applyBorder="1"/>
    <xf numFmtId="0" fontId="9" fillId="0" borderId="0" xfId="0" applyFont="1" applyAlignment="1">
      <alignment horizontal="left"/>
    </xf>
    <xf numFmtId="165" fontId="0" fillId="47" borderId="34" xfId="0" applyNumberFormat="1" applyFill="1" applyBorder="1"/>
    <xf numFmtId="0" fontId="60" fillId="19" borderId="58" xfId="0" applyFont="1" applyFill="1" applyBorder="1"/>
    <xf numFmtId="0" fontId="60" fillId="19" borderId="22" xfId="0" applyFont="1" applyFill="1" applyBorder="1" applyAlignment="1">
      <alignment horizontal="center"/>
    </xf>
    <xf numFmtId="0" fontId="60" fillId="19" borderId="41" xfId="0" applyFont="1" applyFill="1" applyBorder="1" applyAlignment="1">
      <alignment horizontal="center"/>
    </xf>
    <xf numFmtId="0" fontId="60" fillId="38" borderId="41" xfId="0" applyFont="1" applyFill="1" applyBorder="1"/>
    <xf numFmtId="0" fontId="60" fillId="41" borderId="38" xfId="0" applyFont="1" applyFill="1" applyBorder="1"/>
    <xf numFmtId="0" fontId="60" fillId="41" borderId="36" xfId="0" applyFont="1" applyFill="1" applyBorder="1"/>
    <xf numFmtId="0" fontId="60" fillId="38" borderId="38" xfId="0" applyFont="1" applyFill="1" applyBorder="1"/>
    <xf numFmtId="0" fontId="60" fillId="38" borderId="36" xfId="0" applyFont="1" applyFill="1" applyBorder="1"/>
    <xf numFmtId="0" fontId="60" fillId="41" borderId="37" xfId="0" applyFont="1" applyFill="1" applyBorder="1"/>
    <xf numFmtId="0" fontId="60" fillId="19" borderId="52" xfId="0" applyFont="1" applyFill="1" applyBorder="1"/>
    <xf numFmtId="0" fontId="60" fillId="19" borderId="0" xfId="0" applyFont="1" applyFill="1" applyBorder="1"/>
    <xf numFmtId="0" fontId="60" fillId="19" borderId="39" xfId="0" applyFont="1" applyFill="1" applyBorder="1" applyAlignment="1">
      <alignment horizontal="center"/>
    </xf>
    <xf numFmtId="0" fontId="60" fillId="38" borderId="39" xfId="0" applyFont="1" applyFill="1" applyBorder="1"/>
    <xf numFmtId="0" fontId="60" fillId="38" borderId="39" xfId="0" applyFont="1" applyFill="1" applyBorder="1" applyProtection="1">
      <protection locked="0"/>
    </xf>
    <xf numFmtId="0" fontId="60" fillId="19" borderId="14" xfId="0" applyFont="1" applyFill="1" applyBorder="1"/>
    <xf numFmtId="0" fontId="60" fillId="41" borderId="39" xfId="0" applyFont="1" applyFill="1" applyBorder="1"/>
    <xf numFmtId="0" fontId="60" fillId="19" borderId="49" xfId="0" applyFont="1" applyFill="1" applyBorder="1"/>
    <xf numFmtId="0" fontId="60" fillId="19" borderId="35" xfId="0" applyFont="1" applyFill="1" applyBorder="1" applyAlignment="1">
      <alignment horizontal="center"/>
    </xf>
    <xf numFmtId="0" fontId="60" fillId="38" borderId="35" xfId="0" applyFont="1" applyFill="1" applyBorder="1"/>
    <xf numFmtId="0" fontId="60" fillId="38" borderId="35" xfId="0" applyFont="1" applyFill="1" applyBorder="1" applyAlignment="1"/>
    <xf numFmtId="0" fontId="60" fillId="38" borderId="24" xfId="0" applyFont="1" applyFill="1" applyBorder="1"/>
    <xf numFmtId="0" fontId="60" fillId="38" borderId="35" xfId="0" applyFont="1" applyFill="1" applyBorder="1" applyProtection="1">
      <protection locked="0"/>
    </xf>
    <xf numFmtId="0" fontId="60" fillId="19" borderId="67" xfId="0" applyFont="1" applyFill="1" applyBorder="1" applyAlignment="1">
      <alignment horizontal="center"/>
    </xf>
    <xf numFmtId="0" fontId="60" fillId="19" borderId="68" xfId="0" applyFont="1" applyFill="1" applyBorder="1" applyAlignment="1">
      <alignment horizontal="center"/>
    </xf>
    <xf numFmtId="0" fontId="60" fillId="41" borderId="68" xfId="0" applyFont="1" applyFill="1" applyBorder="1"/>
    <xf numFmtId="0" fontId="60" fillId="19" borderId="32" xfId="0" applyFont="1" applyFill="1" applyBorder="1" applyAlignment="1">
      <alignment horizontal="center"/>
    </xf>
    <xf numFmtId="0" fontId="60" fillId="41" borderId="32" xfId="0" applyFont="1" applyFill="1" applyBorder="1"/>
    <xf numFmtId="0" fontId="0" fillId="19" borderId="94" xfId="0" applyFont="1" applyFill="1" applyBorder="1"/>
    <xf numFmtId="0" fontId="12" fillId="47" borderId="0" xfId="0" applyFont="1" applyFill="1" applyBorder="1"/>
    <xf numFmtId="0" fontId="60" fillId="38" borderId="59" xfId="0" applyFont="1" applyFill="1" applyBorder="1"/>
    <xf numFmtId="0" fontId="0" fillId="41" borderId="36" xfId="0" applyFont="1" applyFill="1" applyBorder="1"/>
    <xf numFmtId="0" fontId="0" fillId="41" borderId="37" xfId="0" applyFont="1" applyFill="1" applyBorder="1"/>
    <xf numFmtId="0" fontId="9" fillId="38" borderId="59" xfId="0" applyFont="1" applyFill="1" applyBorder="1"/>
    <xf numFmtId="0" fontId="9" fillId="38" borderId="34" xfId="0" applyFont="1" applyFill="1" applyBorder="1" applyAlignment="1">
      <alignment horizontal="left"/>
    </xf>
    <xf numFmtId="0" fontId="9" fillId="38" borderId="36" xfId="0" applyFont="1" applyFill="1" applyBorder="1" applyProtection="1">
      <protection locked="0"/>
    </xf>
    <xf numFmtId="0" fontId="9" fillId="38" borderId="39" xfId="0" applyFont="1" applyFill="1" applyBorder="1"/>
    <xf numFmtId="0" fontId="9" fillId="38" borderId="69" xfId="0" applyFont="1" applyFill="1" applyBorder="1" applyAlignment="1">
      <alignment horizontal="center"/>
    </xf>
    <xf numFmtId="0" fontId="9" fillId="38" borderId="69" xfId="0" applyFont="1" applyFill="1" applyBorder="1"/>
    <xf numFmtId="0" fontId="9" fillId="38" borderId="68" xfId="0" applyFont="1" applyFill="1" applyBorder="1"/>
    <xf numFmtId="0" fontId="9" fillId="38" borderId="32" xfId="0" applyFont="1" applyFill="1" applyBorder="1" applyAlignment="1">
      <alignment horizontal="left"/>
    </xf>
    <xf numFmtId="0" fontId="9" fillId="41" borderId="42" xfId="0" applyFont="1" applyFill="1" applyBorder="1"/>
    <xf numFmtId="0" fontId="0" fillId="38" borderId="41" xfId="0" applyFont="1" applyFill="1" applyBorder="1" applyAlignment="1">
      <alignment horizontal="center"/>
    </xf>
    <xf numFmtId="0" fontId="0" fillId="19" borderId="39" xfId="0" applyFont="1" applyFill="1" applyBorder="1"/>
    <xf numFmtId="0" fontId="15" fillId="38" borderId="0" xfId="0" applyFont="1" applyFill="1" applyBorder="1" applyAlignment="1" applyProtection="1">
      <alignment horizontal="left"/>
      <protection locked="0"/>
    </xf>
    <xf numFmtId="1" fontId="0" fillId="41" borderId="0" xfId="0" applyNumberFormat="1" applyFill="1" applyBorder="1"/>
    <xf numFmtId="1" fontId="0" fillId="41" borderId="34" xfId="0" applyNumberFormat="1" applyFill="1" applyBorder="1"/>
    <xf numFmtId="165" fontId="0" fillId="47" borderId="35" xfId="0" applyNumberFormat="1" applyFont="1" applyFill="1" applyBorder="1" applyAlignment="1">
      <alignment horizontal="center"/>
    </xf>
    <xf numFmtId="0" fontId="0" fillId="38" borderId="41" xfId="0" applyFill="1" applyBorder="1"/>
    <xf numFmtId="1" fontId="56" fillId="41" borderId="34" xfId="34" applyNumberFormat="1" applyFill="1" applyBorder="1" applyAlignment="1">
      <alignment horizontal="right"/>
    </xf>
    <xf numFmtId="2" fontId="7" fillId="41" borderId="34" xfId="0" applyNumberFormat="1" applyFont="1" applyFill="1" applyBorder="1" applyAlignment="1">
      <alignment horizontal="center"/>
    </xf>
    <xf numFmtId="0" fontId="9" fillId="41" borderId="34" xfId="0" applyFont="1" applyFill="1" applyBorder="1"/>
    <xf numFmtId="0" fontId="0" fillId="47" borderId="34" xfId="0" applyNumberFormat="1" applyFill="1" applyBorder="1"/>
    <xf numFmtId="0" fontId="0" fillId="47" borderId="34" xfId="0" applyNumberFormat="1" applyFill="1" applyBorder="1" applyAlignment="1">
      <alignment horizontal="center"/>
    </xf>
    <xf numFmtId="164" fontId="0" fillId="55" borderId="34" xfId="0" applyNumberFormat="1" applyFont="1" applyFill="1" applyBorder="1" applyAlignment="1" applyProtection="1">
      <alignment horizontal="center"/>
      <protection locked="0"/>
    </xf>
    <xf numFmtId="1" fontId="0" fillId="47" borderId="34" xfId="0" applyNumberFormat="1" applyFill="1" applyBorder="1" applyAlignment="1">
      <alignment horizontal="center"/>
    </xf>
    <xf numFmtId="0" fontId="0" fillId="47" borderId="34" xfId="0" applyFill="1" applyBorder="1" applyAlignment="1">
      <alignment horizontal="center"/>
    </xf>
    <xf numFmtId="0" fontId="25" fillId="18" borderId="9" xfId="0" applyFont="1" applyFill="1" applyBorder="1"/>
    <xf numFmtId="1" fontId="25" fillId="18" borderId="9" xfId="0" applyNumberFormat="1" applyFont="1" applyFill="1" applyBorder="1" applyAlignment="1">
      <alignment horizontal="center"/>
    </xf>
    <xf numFmtId="164" fontId="0" fillId="47" borderId="34" xfId="0" applyNumberFormat="1" applyFill="1" applyBorder="1" applyAlignment="1">
      <alignment horizontal="center"/>
    </xf>
    <xf numFmtId="0" fontId="56" fillId="0" borderId="0" xfId="0" applyFont="1" applyFill="1" applyBorder="1"/>
    <xf numFmtId="0" fontId="0" fillId="70" borderId="0" xfId="0" applyFont="1" applyFill="1" applyBorder="1"/>
    <xf numFmtId="0" fontId="0" fillId="71" borderId="0" xfId="0" applyFill="1" applyBorder="1"/>
    <xf numFmtId="0" fontId="0" fillId="73" borderId="0" xfId="0" applyFont="1" applyFill="1" applyBorder="1"/>
    <xf numFmtId="0" fontId="0" fillId="73" borderId="0" xfId="0" applyFont="1" applyFill="1" applyBorder="1" applyAlignment="1">
      <alignment horizontal="center"/>
    </xf>
    <xf numFmtId="0" fontId="0" fillId="73" borderId="34" xfId="0" applyFont="1" applyFill="1" applyBorder="1" applyAlignment="1" applyProtection="1">
      <alignment horizontal="center"/>
    </xf>
    <xf numFmtId="0" fontId="0" fillId="73" borderId="0" xfId="0" applyFill="1" applyBorder="1"/>
    <xf numFmtId="0" fontId="0" fillId="71" borderId="70" xfId="0" applyFill="1" applyBorder="1"/>
    <xf numFmtId="0" fontId="0" fillId="71" borderId="71" xfId="0" applyFill="1" applyBorder="1"/>
    <xf numFmtId="0" fontId="0" fillId="71" borderId="72" xfId="0" applyFill="1" applyBorder="1"/>
    <xf numFmtId="0" fontId="0" fillId="71" borderId="48" xfId="0" applyFill="1" applyBorder="1"/>
    <xf numFmtId="0" fontId="0" fillId="71" borderId="60" xfId="0" applyFill="1" applyBorder="1"/>
    <xf numFmtId="0" fontId="0" fillId="71" borderId="48" xfId="0" applyFont="1" applyFill="1" applyBorder="1"/>
    <xf numFmtId="0" fontId="0" fillId="72" borderId="48" xfId="0" applyFill="1" applyBorder="1"/>
    <xf numFmtId="0" fontId="0" fillId="72" borderId="0" xfId="0" applyFill="1" applyBorder="1"/>
    <xf numFmtId="0" fontId="0" fillId="71" borderId="73" xfId="0" applyFill="1" applyBorder="1"/>
    <xf numFmtId="0" fontId="0" fillId="71" borderId="74" xfId="0" applyFill="1" applyBorder="1"/>
    <xf numFmtId="0" fontId="0" fillId="71" borderId="65" xfId="0" applyFill="1" applyBorder="1"/>
    <xf numFmtId="0" fontId="9" fillId="73" borderId="70" xfId="0" applyFont="1" applyFill="1" applyBorder="1" applyAlignment="1">
      <alignment horizontal="left"/>
    </xf>
    <xf numFmtId="0" fontId="0" fillId="74" borderId="71" xfId="0" applyFill="1" applyBorder="1"/>
    <xf numFmtId="0" fontId="0" fillId="74" borderId="72" xfId="0" applyFill="1" applyBorder="1"/>
    <xf numFmtId="0" fontId="0" fillId="74" borderId="48" xfId="0" applyFill="1" applyBorder="1"/>
    <xf numFmtId="0" fontId="0" fillId="74" borderId="0" xfId="0" applyFill="1" applyBorder="1"/>
    <xf numFmtId="0" fontId="0" fillId="74" borderId="60" xfId="0" applyFill="1" applyBorder="1"/>
    <xf numFmtId="0" fontId="0" fillId="73" borderId="60" xfId="0" applyFill="1" applyBorder="1"/>
    <xf numFmtId="0" fontId="7" fillId="19" borderId="34" xfId="0" applyFont="1" applyFill="1" applyBorder="1"/>
    <xf numFmtId="0" fontId="4" fillId="41" borderId="0" xfId="0" applyFont="1" applyFill="1"/>
    <xf numFmtId="0" fontId="9" fillId="0" borderId="34" xfId="0" applyFont="1" applyBorder="1" applyAlignment="1">
      <alignment horizontal="center"/>
    </xf>
    <xf numFmtId="2" fontId="0" fillId="0" borderId="34" xfId="0" applyNumberFormat="1" applyBorder="1" applyAlignment="1">
      <alignment horizontal="center"/>
    </xf>
    <xf numFmtId="0" fontId="9" fillId="0" borderId="34" xfId="0" applyFont="1" applyBorder="1" applyAlignment="1">
      <alignment horizontal="left"/>
    </xf>
    <xf numFmtId="0" fontId="0" fillId="76" borderId="37" xfId="0" applyFill="1" applyBorder="1" applyAlignment="1" applyProtection="1">
      <alignment horizontal="center"/>
      <protection locked="0"/>
    </xf>
    <xf numFmtId="0" fontId="0" fillId="36" borderId="71" xfId="0" applyFill="1" applyBorder="1"/>
    <xf numFmtId="0" fontId="9" fillId="22" borderId="0" xfId="0" applyFont="1" applyFill="1" applyBorder="1" applyAlignment="1">
      <alignment horizontal="center"/>
    </xf>
    <xf numFmtId="0" fontId="7" fillId="19" borderId="101" xfId="0" applyFont="1" applyFill="1" applyBorder="1"/>
    <xf numFmtId="0" fontId="7" fillId="41" borderId="60" xfId="0" applyFont="1" applyFill="1" applyBorder="1"/>
    <xf numFmtId="0" fontId="7" fillId="19" borderId="107" xfId="0" applyFont="1" applyFill="1" applyBorder="1"/>
    <xf numFmtId="0" fontId="7" fillId="19" borderId="103" xfId="0" applyFont="1" applyFill="1" applyBorder="1"/>
    <xf numFmtId="0" fontId="0" fillId="19" borderId="103" xfId="0" applyFont="1" applyFill="1" applyBorder="1"/>
    <xf numFmtId="0" fontId="0" fillId="36" borderId="0" xfId="0" applyFont="1" applyFill="1" applyBorder="1"/>
    <xf numFmtId="0" fontId="0" fillId="36" borderId="74" xfId="0" applyFill="1" applyBorder="1"/>
    <xf numFmtId="0" fontId="0" fillId="38" borderId="74" xfId="0" applyFill="1" applyBorder="1"/>
    <xf numFmtId="0" fontId="12" fillId="19" borderId="70" xfId="0" applyFont="1" applyFill="1" applyBorder="1"/>
    <xf numFmtId="0" fontId="9" fillId="19" borderId="71" xfId="0" applyFont="1" applyFill="1" applyBorder="1"/>
    <xf numFmtId="0" fontId="12" fillId="47" borderId="75" xfId="0" applyFont="1" applyFill="1" applyBorder="1"/>
    <xf numFmtId="0" fontId="7" fillId="47" borderId="75" xfId="0" applyFont="1" applyFill="1" applyBorder="1"/>
    <xf numFmtId="0" fontId="9" fillId="69" borderId="76" xfId="0" applyFont="1" applyFill="1" applyBorder="1"/>
    <xf numFmtId="0" fontId="7" fillId="46" borderId="79" xfId="0" applyFont="1" applyFill="1" applyBorder="1"/>
    <xf numFmtId="0" fontId="7" fillId="69" borderId="34" xfId="0" applyFont="1" applyFill="1" applyBorder="1"/>
    <xf numFmtId="0" fontId="0" fillId="69" borderId="62" xfId="0" applyFont="1" applyFill="1" applyBorder="1"/>
    <xf numFmtId="0" fontId="7" fillId="46" borderId="57" xfId="0" applyFont="1" applyFill="1" applyBorder="1"/>
    <xf numFmtId="165" fontId="7" fillId="46" borderId="62" xfId="0" applyNumberFormat="1" applyFont="1" applyFill="1" applyBorder="1" applyAlignment="1">
      <alignment horizontal="center"/>
    </xf>
    <xf numFmtId="0" fontId="9" fillId="69" borderId="50" xfId="0" applyFont="1" applyFill="1" applyBorder="1"/>
    <xf numFmtId="0" fontId="0" fillId="69" borderId="37" xfId="0" applyFont="1" applyFill="1" applyBorder="1"/>
    <xf numFmtId="1" fontId="9" fillId="69" borderId="34" xfId="0" applyNumberFormat="1" applyFont="1" applyFill="1" applyBorder="1" applyAlignment="1">
      <alignment horizontal="center"/>
    </xf>
    <xf numFmtId="165" fontId="9" fillId="69" borderId="62" xfId="0" applyNumberFormat="1" applyFont="1" applyFill="1" applyBorder="1" applyAlignment="1">
      <alignment horizontal="center"/>
    </xf>
    <xf numFmtId="0" fontId="9" fillId="69" borderId="73" xfId="0" applyFont="1" applyFill="1" applyBorder="1"/>
    <xf numFmtId="0" fontId="0" fillId="69" borderId="74" xfId="0" applyFont="1" applyFill="1" applyBorder="1"/>
    <xf numFmtId="1" fontId="9" fillId="69" borderId="77" xfId="0" applyNumberFormat="1" applyFont="1" applyFill="1" applyBorder="1" applyAlignment="1">
      <alignment horizontal="center"/>
    </xf>
    <xf numFmtId="165" fontId="9" fillId="69" borderId="78" xfId="0" applyNumberFormat="1" applyFont="1" applyFill="1" applyBorder="1" applyAlignment="1">
      <alignment horizontal="center"/>
    </xf>
    <xf numFmtId="0" fontId="7" fillId="46" borderId="80" xfId="0" applyFont="1" applyFill="1" applyBorder="1"/>
    <xf numFmtId="165" fontId="7" fillId="46" borderId="78" xfId="0" applyNumberFormat="1" applyFont="1" applyFill="1" applyBorder="1" applyAlignment="1">
      <alignment horizontal="center"/>
    </xf>
    <xf numFmtId="0" fontId="7" fillId="47" borderId="0" xfId="0" applyFont="1" applyFill="1"/>
    <xf numFmtId="0" fontId="7" fillId="46" borderId="0" xfId="0" applyFont="1" applyFill="1"/>
    <xf numFmtId="0" fontId="28" fillId="71" borderId="0" xfId="0" applyFont="1" applyFill="1" applyBorder="1"/>
    <xf numFmtId="0" fontId="12" fillId="70" borderId="0" xfId="0" applyFont="1" applyFill="1" applyBorder="1"/>
    <xf numFmtId="0" fontId="0" fillId="70" borderId="0" xfId="0" applyFill="1" applyBorder="1"/>
    <xf numFmtId="0" fontId="60" fillId="70" borderId="0" xfId="0" applyFont="1" applyFill="1" applyBorder="1"/>
    <xf numFmtId="0" fontId="0" fillId="70" borderId="48" xfId="0" applyFill="1" applyBorder="1"/>
    <xf numFmtId="0" fontId="0" fillId="72" borderId="70" xfId="0" applyFill="1" applyBorder="1"/>
    <xf numFmtId="0" fontId="0" fillId="72" borderId="71" xfId="0" applyFill="1" applyBorder="1"/>
    <xf numFmtId="0" fontId="0" fillId="72" borderId="72" xfId="0" applyFill="1" applyBorder="1"/>
    <xf numFmtId="0" fontId="28" fillId="71" borderId="48" xfId="0" applyFont="1" applyFill="1" applyBorder="1"/>
    <xf numFmtId="0" fontId="0" fillId="72" borderId="60" xfId="0" applyFill="1" applyBorder="1"/>
    <xf numFmtId="0" fontId="12" fillId="72" borderId="0" xfId="0" applyFont="1" applyFill="1" applyBorder="1"/>
    <xf numFmtId="0" fontId="0" fillId="72" borderId="48" xfId="0" applyFont="1" applyFill="1" applyBorder="1" applyAlignment="1"/>
    <xf numFmtId="0" fontId="0" fillId="72" borderId="0" xfId="0" applyFill="1" applyBorder="1" applyAlignment="1"/>
    <xf numFmtId="0" fontId="7" fillId="71" borderId="48" xfId="0" applyFont="1" applyFill="1" applyBorder="1"/>
    <xf numFmtId="0" fontId="7" fillId="72" borderId="0" xfId="0" applyFont="1" applyFill="1" applyBorder="1"/>
    <xf numFmtId="0" fontId="7" fillId="72" borderId="60" xfId="0" applyFont="1" applyFill="1" applyBorder="1"/>
    <xf numFmtId="0" fontId="0" fillId="72" borderId="0" xfId="0" applyFill="1" applyBorder="1" applyProtection="1">
      <protection locked="0"/>
    </xf>
    <xf numFmtId="0" fontId="0" fillId="72" borderId="73" xfId="0" applyFill="1" applyBorder="1"/>
    <xf numFmtId="0" fontId="0" fillId="72" borderId="74" xfId="0" applyFill="1" applyBorder="1"/>
    <xf numFmtId="0" fontId="0" fillId="72" borderId="74" xfId="0" applyFill="1" applyBorder="1" applyProtection="1">
      <protection locked="0"/>
    </xf>
    <xf numFmtId="0" fontId="0" fillId="72" borderId="65" xfId="0" applyFill="1" applyBorder="1"/>
    <xf numFmtId="0" fontId="4" fillId="71" borderId="0" xfId="0" applyFont="1" applyFill="1" applyBorder="1"/>
    <xf numFmtId="0" fontId="4" fillId="47" borderId="0" xfId="0" applyFont="1" applyFill="1"/>
    <xf numFmtId="0" fontId="4" fillId="47" borderId="0" xfId="0" applyFont="1" applyFill="1" applyBorder="1"/>
    <xf numFmtId="0" fontId="8" fillId="47" borderId="0" xfId="0" applyFont="1" applyFill="1" applyBorder="1"/>
    <xf numFmtId="0" fontId="9" fillId="47" borderId="0" xfId="0" applyFont="1" applyFill="1" applyBorder="1" applyAlignment="1">
      <alignment horizontal="center"/>
    </xf>
    <xf numFmtId="0" fontId="7" fillId="47" borderId="0" xfId="0" applyFont="1" applyFill="1" applyBorder="1" applyAlignment="1">
      <alignment horizontal="left"/>
    </xf>
    <xf numFmtId="0" fontId="7" fillId="47" borderId="0" xfId="0" applyFont="1" applyFill="1" applyBorder="1"/>
    <xf numFmtId="0" fontId="15" fillId="47" borderId="0" xfId="0" applyFont="1" applyFill="1" applyBorder="1"/>
    <xf numFmtId="0" fontId="13" fillId="47" borderId="0" xfId="0" applyFont="1" applyFill="1" applyBorder="1"/>
    <xf numFmtId="0" fontId="12" fillId="47" borderId="0" xfId="0" applyFont="1" applyFill="1" applyBorder="1" applyAlignment="1">
      <alignment horizontal="right"/>
    </xf>
    <xf numFmtId="0" fontId="0" fillId="47" borderId="0" xfId="0" applyFont="1" applyFill="1" applyBorder="1"/>
    <xf numFmtId="0" fontId="7" fillId="47" borderId="0" xfId="0" applyFont="1" applyFill="1" applyBorder="1" applyProtection="1">
      <protection locked="0"/>
    </xf>
    <xf numFmtId="1" fontId="15" fillId="47" borderId="0" xfId="0" applyNumberFormat="1" applyFont="1" applyFill="1" applyBorder="1"/>
    <xf numFmtId="0" fontId="7" fillId="46" borderId="0" xfId="0" applyFont="1" applyFill="1" applyProtection="1">
      <protection locked="0"/>
    </xf>
    <xf numFmtId="0" fontId="87" fillId="47" borderId="0" xfId="0" applyFont="1" applyFill="1" applyBorder="1" applyProtection="1">
      <protection locked="0"/>
    </xf>
    <xf numFmtId="0" fontId="87" fillId="47" borderId="0" xfId="0" applyFont="1" applyFill="1" applyBorder="1"/>
    <xf numFmtId="0" fontId="87" fillId="47" borderId="0" xfId="0" applyFont="1" applyFill="1" applyBorder="1" applyAlignment="1">
      <alignment horizontal="center"/>
    </xf>
    <xf numFmtId="0" fontId="87" fillId="47" borderId="0" xfId="0" applyFont="1" applyFill="1" applyBorder="1" applyAlignment="1">
      <alignment horizontal="left"/>
    </xf>
    <xf numFmtId="1" fontId="9" fillId="47" borderId="34" xfId="0" applyNumberFormat="1" applyFont="1" applyFill="1" applyBorder="1" applyAlignment="1">
      <alignment horizontal="center"/>
    </xf>
    <xf numFmtId="1" fontId="9" fillId="47" borderId="0" xfId="0" applyNumberFormat="1" applyFont="1" applyFill="1" applyAlignment="1">
      <alignment horizontal="center"/>
    </xf>
    <xf numFmtId="0" fontId="9" fillId="47" borderId="34" xfId="0" applyFont="1" applyFill="1" applyBorder="1" applyAlignment="1">
      <alignment horizontal="center"/>
    </xf>
    <xf numFmtId="0" fontId="9" fillId="47" borderId="34" xfId="0" applyFont="1" applyFill="1" applyBorder="1" applyAlignment="1">
      <alignment horizontal="left"/>
    </xf>
    <xf numFmtId="0" fontId="16" fillId="46" borderId="34" xfId="0" applyFont="1" applyFill="1" applyBorder="1"/>
    <xf numFmtId="0" fontId="16" fillId="46" borderId="9" xfId="0" applyFont="1" applyFill="1" applyBorder="1"/>
    <xf numFmtId="165" fontId="0" fillId="46" borderId="9" xfId="0" applyNumberFormat="1" applyFill="1" applyBorder="1" applyAlignment="1">
      <alignment horizontal="center"/>
    </xf>
    <xf numFmtId="165" fontId="0" fillId="46" borderId="34" xfId="0" applyNumberFormat="1" applyFill="1" applyBorder="1" applyAlignment="1">
      <alignment horizontal="center"/>
    </xf>
    <xf numFmtId="165" fontId="0" fillId="46" borderId="18" xfId="0" applyNumberFormat="1" applyFill="1" applyBorder="1" applyAlignment="1">
      <alignment horizontal="center"/>
    </xf>
    <xf numFmtId="1" fontId="0" fillId="46" borderId="9" xfId="0" applyNumberFormat="1" applyFill="1" applyBorder="1" applyAlignment="1" applyProtection="1">
      <alignment horizontal="center"/>
      <protection locked="0"/>
    </xf>
    <xf numFmtId="0" fontId="4" fillId="0" borderId="0" xfId="0" applyFont="1" applyAlignment="1">
      <alignment horizontal="left"/>
    </xf>
    <xf numFmtId="0" fontId="4" fillId="42" borderId="0" xfId="0" applyFont="1" applyFill="1" applyAlignment="1">
      <alignment horizontal="left"/>
    </xf>
    <xf numFmtId="0" fontId="0" fillId="38" borderId="67" xfId="0" applyFill="1" applyBorder="1"/>
    <xf numFmtId="1" fontId="87" fillId="38" borderId="40" xfId="0" applyNumberFormat="1" applyFont="1" applyFill="1" applyBorder="1"/>
    <xf numFmtId="0" fontId="0" fillId="38" borderId="40" xfId="0" applyFill="1" applyBorder="1"/>
    <xf numFmtId="0" fontId="0" fillId="38" borderId="59" xfId="0" applyFill="1" applyBorder="1"/>
    <xf numFmtId="0" fontId="0" fillId="38" borderId="68" xfId="0" applyFill="1" applyBorder="1"/>
    <xf numFmtId="0" fontId="0" fillId="38" borderId="69" xfId="0" applyFill="1" applyBorder="1"/>
    <xf numFmtId="0" fontId="9" fillId="41" borderId="0" xfId="0" applyFont="1" applyFill="1" applyBorder="1" applyAlignment="1">
      <alignment horizontal="left"/>
    </xf>
    <xf numFmtId="0" fontId="0" fillId="41" borderId="38" xfId="0" applyFont="1" applyFill="1" applyBorder="1" applyAlignment="1">
      <alignment horizontal="left"/>
    </xf>
    <xf numFmtId="0" fontId="0" fillId="45" borderId="37" xfId="0" applyFont="1" applyFill="1" applyBorder="1" applyAlignment="1">
      <alignment horizontal="center"/>
    </xf>
    <xf numFmtId="0" fontId="0" fillId="45" borderId="34" xfId="0" applyFont="1" applyFill="1" applyBorder="1" applyAlignment="1">
      <alignment horizontal="center"/>
    </xf>
    <xf numFmtId="0" fontId="0" fillId="19" borderId="74" xfId="0" applyFont="1" applyFill="1" applyBorder="1"/>
    <xf numFmtId="0" fontId="0" fillId="0" borderId="34" xfId="0" applyBorder="1" applyProtection="1">
      <protection locked="0"/>
    </xf>
    <xf numFmtId="2" fontId="0" fillId="0" borderId="34" xfId="0" applyNumberFormat="1" applyBorder="1" applyProtection="1">
      <protection locked="0"/>
    </xf>
    <xf numFmtId="0" fontId="0" fillId="0" borderId="34" xfId="0" applyNumberFormat="1" applyBorder="1"/>
    <xf numFmtId="0" fontId="7" fillId="46" borderId="76" xfId="0" applyFont="1" applyFill="1" applyBorder="1" applyAlignment="1">
      <alignment horizontal="right"/>
    </xf>
    <xf numFmtId="0" fontId="7" fillId="41" borderId="0" xfId="0" applyFont="1" applyFill="1" applyAlignment="1">
      <alignment vertical="center"/>
    </xf>
    <xf numFmtId="0" fontId="7" fillId="41" borderId="0" xfId="0" applyFont="1" applyFill="1" applyAlignment="1">
      <alignment horizontal="center" vertical="center"/>
    </xf>
    <xf numFmtId="0" fontId="44" fillId="38" borderId="0" xfId="0" applyFont="1" applyFill="1"/>
    <xf numFmtId="174" fontId="12" fillId="41" borderId="0" xfId="0" applyNumberFormat="1" applyFont="1" applyFill="1" applyBorder="1" applyAlignment="1">
      <alignment vertical="center"/>
    </xf>
    <xf numFmtId="0" fontId="12" fillId="41" borderId="0" xfId="0" applyFont="1" applyFill="1" applyBorder="1" applyAlignment="1">
      <alignment vertical="center"/>
    </xf>
    <xf numFmtId="0" fontId="3" fillId="41" borderId="0" xfId="0" applyFont="1" applyFill="1"/>
    <xf numFmtId="1" fontId="0" fillId="41" borderId="0" xfId="0" applyNumberFormat="1" applyFill="1"/>
    <xf numFmtId="0" fontId="35" fillId="41" borderId="47" xfId="0" applyFont="1" applyFill="1" applyBorder="1" applyAlignment="1">
      <alignment horizontal="center"/>
    </xf>
    <xf numFmtId="175" fontId="35" fillId="41" borderId="71" xfId="0" applyNumberFormat="1" applyFont="1" applyFill="1" applyBorder="1" applyAlignment="1">
      <alignment horizontal="center"/>
    </xf>
    <xf numFmtId="0" fontId="35" fillId="41" borderId="71" xfId="0" applyFont="1" applyFill="1" applyBorder="1" applyAlignment="1">
      <alignment horizontal="center"/>
    </xf>
    <xf numFmtId="0" fontId="35" fillId="41" borderId="71" xfId="0" applyFont="1" applyFill="1" applyBorder="1" applyAlignment="1">
      <alignment horizontal="centerContinuous"/>
    </xf>
    <xf numFmtId="0" fontId="0" fillId="41" borderId="71" xfId="0" applyFill="1" applyBorder="1" applyAlignment="1">
      <alignment horizontal="centerContinuous"/>
    </xf>
    <xf numFmtId="0" fontId="0" fillId="41" borderId="72" xfId="0" applyFill="1" applyBorder="1" applyAlignment="1">
      <alignment horizontal="centerContinuous"/>
    </xf>
    <xf numFmtId="0" fontId="35" fillId="41" borderId="0" xfId="0" applyFont="1" applyFill="1" applyAlignment="1">
      <alignment horizontal="center"/>
    </xf>
    <xf numFmtId="0" fontId="35" fillId="41" borderId="48" xfId="0" applyFont="1" applyFill="1" applyBorder="1" applyAlignment="1">
      <alignment horizontal="center"/>
    </xf>
    <xf numFmtId="0" fontId="35" fillId="41" borderId="0" xfId="0" applyFont="1" applyFill="1" applyBorder="1" applyAlignment="1">
      <alignment horizontal="center"/>
    </xf>
    <xf numFmtId="173" fontId="47" fillId="41" borderId="60" xfId="0" applyNumberFormat="1" applyFont="1" applyFill="1" applyBorder="1" applyAlignment="1">
      <alignment horizontal="center"/>
    </xf>
    <xf numFmtId="0" fontId="34" fillId="41" borderId="49" xfId="0" applyFont="1" applyFill="1" applyBorder="1"/>
    <xf numFmtId="0" fontId="34" fillId="41" borderId="50" xfId="0" applyFont="1" applyFill="1" applyBorder="1"/>
    <xf numFmtId="0" fontId="34" fillId="41" borderId="34" xfId="0" applyFont="1" applyFill="1" applyBorder="1" applyAlignment="1">
      <alignment horizontal="center"/>
    </xf>
    <xf numFmtId="0" fontId="34" fillId="41" borderId="51" xfId="0" applyFont="1" applyFill="1" applyBorder="1" applyAlignment="1">
      <alignment horizontal="center"/>
    </xf>
    <xf numFmtId="0" fontId="34" fillId="41" borderId="52" xfId="0" applyFont="1" applyFill="1" applyBorder="1"/>
    <xf numFmtId="0" fontId="33" fillId="41" borderId="53" xfId="0" applyFont="1" applyFill="1" applyBorder="1" applyAlignment="1">
      <alignment horizontal="center"/>
    </xf>
    <xf numFmtId="0" fontId="33" fillId="41" borderId="41" xfId="0" applyFont="1" applyFill="1" applyBorder="1" applyAlignment="1">
      <alignment horizontal="center"/>
    </xf>
    <xf numFmtId="1" fontId="33" fillId="41" borderId="54" xfId="0" applyNumberFormat="1" applyFont="1" applyFill="1" applyBorder="1" applyAlignment="1">
      <alignment horizontal="center"/>
    </xf>
    <xf numFmtId="0" fontId="33" fillId="41" borderId="54" xfId="0" applyFont="1" applyFill="1" applyBorder="1" applyAlignment="1">
      <alignment horizontal="center"/>
    </xf>
    <xf numFmtId="1" fontId="0" fillId="41" borderId="0" xfId="0" applyNumberFormat="1" applyFill="1" applyAlignment="1">
      <alignment horizontal="right"/>
    </xf>
    <xf numFmtId="1" fontId="0" fillId="41" borderId="0" xfId="0" applyNumberFormat="1" applyFill="1" applyAlignment="1">
      <alignment horizontal="center"/>
    </xf>
    <xf numFmtId="0" fontId="33" fillId="41" borderId="55" xfId="0" applyFont="1" applyFill="1" applyBorder="1" applyAlignment="1">
      <alignment horizontal="center"/>
    </xf>
    <xf numFmtId="0" fontId="33" fillId="41" borderId="35" xfId="0" applyFont="1" applyFill="1" applyBorder="1" applyAlignment="1">
      <alignment horizontal="center"/>
    </xf>
    <xf numFmtId="1" fontId="33" fillId="41" borderId="56" xfId="0" applyNumberFormat="1" applyFont="1" applyFill="1" applyBorder="1" applyAlignment="1">
      <alignment horizontal="center"/>
    </xf>
    <xf numFmtId="0" fontId="33" fillId="41" borderId="55" xfId="0" applyFont="1" applyFill="1" applyBorder="1"/>
    <xf numFmtId="0" fontId="34" fillId="41" borderId="57" xfId="0" applyFont="1" applyFill="1" applyBorder="1"/>
    <xf numFmtId="0" fontId="33" fillId="41" borderId="50" xfId="0" applyFont="1" applyFill="1" applyBorder="1"/>
    <xf numFmtId="0" fontId="33" fillId="41" borderId="37" xfId="0" applyFont="1" applyFill="1" applyBorder="1" applyAlignment="1">
      <alignment horizontal="center"/>
    </xf>
    <xf numFmtId="1" fontId="34" fillId="41" borderId="51" xfId="0" applyNumberFormat="1" applyFont="1" applyFill="1" applyBorder="1" applyAlignment="1">
      <alignment horizontal="center"/>
    </xf>
    <xf numFmtId="0" fontId="34" fillId="41" borderId="58" xfId="0" applyFont="1" applyFill="1" applyBorder="1"/>
    <xf numFmtId="0" fontId="33" fillId="41" borderId="53" xfId="0" applyFont="1" applyFill="1" applyBorder="1"/>
    <xf numFmtId="0" fontId="33" fillId="41" borderId="59" xfId="0" applyFont="1" applyFill="1" applyBorder="1" applyAlignment="1">
      <alignment horizontal="center"/>
    </xf>
    <xf numFmtId="1" fontId="34" fillId="41" borderId="54" xfId="0" applyNumberFormat="1" applyFont="1" applyFill="1" applyBorder="1" applyAlignment="1">
      <alignment horizontal="center"/>
    </xf>
    <xf numFmtId="174" fontId="33" fillId="41" borderId="48" xfId="0" applyNumberFormat="1" applyFont="1" applyFill="1" applyBorder="1"/>
    <xf numFmtId="2" fontId="33" fillId="41" borderId="39" xfId="0" applyNumberFormat="1" applyFont="1" applyFill="1" applyBorder="1" applyAlignment="1">
      <alignment horizontal="center"/>
    </xf>
    <xf numFmtId="1" fontId="33" fillId="41" borderId="60" xfId="0" applyNumberFormat="1" applyFont="1" applyFill="1" applyBorder="1" applyAlignment="1">
      <alignment horizontal="center"/>
    </xf>
    <xf numFmtId="176" fontId="33" fillId="41" borderId="48" xfId="0" applyNumberFormat="1" applyFont="1" applyFill="1" applyBorder="1"/>
    <xf numFmtId="174" fontId="33" fillId="41" borderId="48" xfId="0" applyNumberFormat="1" applyFont="1" applyFill="1" applyBorder="1" applyAlignment="1">
      <alignment horizontal="right"/>
    </xf>
    <xf numFmtId="0" fontId="9" fillId="41" borderId="52" xfId="0" applyFont="1" applyFill="1" applyBorder="1"/>
    <xf numFmtId="0" fontId="33" fillId="41" borderId="48" xfId="0" applyFont="1" applyFill="1" applyBorder="1"/>
    <xf numFmtId="0" fontId="33" fillId="41" borderId="39" xfId="0" applyFont="1" applyFill="1" applyBorder="1" applyAlignment="1">
      <alignment horizontal="center"/>
    </xf>
    <xf numFmtId="0" fontId="0" fillId="41" borderId="52" xfId="0" applyFill="1" applyBorder="1"/>
    <xf numFmtId="0" fontId="0" fillId="41" borderId="61" xfId="0" applyFill="1" applyBorder="1"/>
    <xf numFmtId="0" fontId="33" fillId="41" borderId="36" xfId="0" applyFont="1" applyFill="1" applyBorder="1" applyAlignment="1">
      <alignment horizontal="center"/>
    </xf>
    <xf numFmtId="1" fontId="34" fillId="41" borderId="62" xfId="0" applyNumberFormat="1" applyFont="1" applyFill="1" applyBorder="1" applyAlignment="1">
      <alignment horizontal="center"/>
    </xf>
    <xf numFmtId="1" fontId="34" fillId="41" borderId="56" xfId="0" applyNumberFormat="1" applyFont="1" applyFill="1" applyBorder="1" applyAlignment="1">
      <alignment horizontal="center"/>
    </xf>
    <xf numFmtId="0" fontId="14" fillId="41" borderId="50" xfId="0" applyFont="1" applyFill="1" applyBorder="1"/>
    <xf numFmtId="0" fontId="5" fillId="41" borderId="50" xfId="0" applyFont="1" applyFill="1" applyBorder="1"/>
    <xf numFmtId="0" fontId="5" fillId="41" borderId="36" xfId="0" applyFont="1" applyFill="1" applyBorder="1" applyAlignment="1">
      <alignment horizontal="center"/>
    </xf>
    <xf numFmtId="0" fontId="5" fillId="41" borderId="51" xfId="0" applyFont="1" applyFill="1" applyBorder="1" applyAlignment="1">
      <alignment horizontal="center"/>
    </xf>
    <xf numFmtId="0" fontId="14" fillId="41" borderId="36" xfId="0" applyFont="1" applyFill="1" applyBorder="1" applyAlignment="1">
      <alignment horizontal="center"/>
    </xf>
    <xf numFmtId="1" fontId="14" fillId="41" borderId="54" xfId="0" applyNumberFormat="1" applyFont="1" applyFill="1" applyBorder="1" applyAlignment="1">
      <alignment horizontal="center"/>
    </xf>
    <xf numFmtId="1" fontId="14" fillId="41" borderId="51" xfId="0" applyNumberFormat="1" applyFont="1" applyFill="1" applyBorder="1" applyAlignment="1">
      <alignment horizontal="center"/>
    </xf>
    <xf numFmtId="1" fontId="28" fillId="41" borderId="0" xfId="0" applyNumberFormat="1" applyFont="1" applyFill="1"/>
    <xf numFmtId="1" fontId="28" fillId="41" borderId="0" xfId="0" applyNumberFormat="1" applyFont="1" applyFill="1" applyAlignment="1">
      <alignment horizontal="center"/>
    </xf>
    <xf numFmtId="1" fontId="54" fillId="41" borderId="50" xfId="0" applyNumberFormat="1" applyFont="1" applyFill="1" applyBorder="1" applyAlignment="1">
      <alignment horizontal="center"/>
    </xf>
    <xf numFmtId="0" fontId="55" fillId="41" borderId="50" xfId="0" applyFont="1" applyFill="1" applyBorder="1"/>
    <xf numFmtId="0" fontId="55" fillId="41" borderId="36" xfId="0" applyFont="1" applyFill="1" applyBorder="1" applyAlignment="1">
      <alignment horizontal="center"/>
    </xf>
    <xf numFmtId="1" fontId="54" fillId="41" borderId="44" xfId="0" applyNumberFormat="1" applyFont="1" applyFill="1" applyBorder="1" applyAlignment="1">
      <alignment horizontal="center"/>
    </xf>
    <xf numFmtId="0" fontId="28" fillId="41" borderId="0" xfId="0" applyFont="1" applyFill="1"/>
    <xf numFmtId="0" fontId="14" fillId="41" borderId="63" xfId="0" applyFont="1" applyFill="1" applyBorder="1"/>
    <xf numFmtId="0" fontId="5" fillId="41" borderId="63" xfId="0" applyFont="1" applyFill="1" applyBorder="1"/>
    <xf numFmtId="0" fontId="5" fillId="41" borderId="64" xfId="0" applyFont="1" applyFill="1" applyBorder="1" applyAlignment="1">
      <alignment horizontal="center"/>
    </xf>
    <xf numFmtId="0" fontId="5" fillId="41" borderId="65" xfId="0" applyFont="1" applyFill="1" applyBorder="1" applyAlignment="1">
      <alignment horizontal="center"/>
    </xf>
    <xf numFmtId="0" fontId="5" fillId="41" borderId="66" xfId="0" applyFont="1" applyFill="1" applyBorder="1" applyAlignment="1">
      <alignment horizontal="center"/>
    </xf>
    <xf numFmtId="1" fontId="0" fillId="41" borderId="0" xfId="0" applyNumberFormat="1" applyFill="1" applyBorder="1" applyAlignment="1">
      <alignment horizontal="right"/>
    </xf>
    <xf numFmtId="0" fontId="14" fillId="41" borderId="0" xfId="0" applyFont="1" applyFill="1" applyBorder="1"/>
    <xf numFmtId="0" fontId="14" fillId="41" borderId="0" xfId="0" applyFont="1" applyFill="1" applyBorder="1" applyAlignment="1">
      <alignment horizontal="center"/>
    </xf>
    <xf numFmtId="0" fontId="35" fillId="41" borderId="0" xfId="0" applyFont="1" applyFill="1" applyBorder="1"/>
    <xf numFmtId="1" fontId="14" fillId="41" borderId="0" xfId="0" applyNumberFormat="1" applyFont="1" applyFill="1" applyBorder="1" applyAlignment="1">
      <alignment horizontal="center"/>
    </xf>
    <xf numFmtId="0" fontId="33" fillId="41" borderId="0" xfId="0" applyFont="1" applyFill="1" applyBorder="1" applyAlignment="1">
      <alignment horizontal="right"/>
    </xf>
    <xf numFmtId="0" fontId="33" fillId="41" borderId="0" xfId="0" applyFont="1" applyFill="1" applyBorder="1" applyAlignment="1">
      <alignment horizontal="center"/>
    </xf>
    <xf numFmtId="0" fontId="33" fillId="41" borderId="0" xfId="0" applyFont="1" applyFill="1" applyBorder="1"/>
    <xf numFmtId="0" fontId="0" fillId="41" borderId="0" xfId="0" applyFill="1" applyAlignment="1">
      <alignment horizontal="right"/>
    </xf>
    <xf numFmtId="0" fontId="5" fillId="41" borderId="0" xfId="0" applyFont="1" applyFill="1" applyBorder="1" applyAlignment="1">
      <alignment horizontal="center"/>
    </xf>
    <xf numFmtId="0" fontId="9" fillId="41" borderId="0" xfId="0" applyFont="1" applyFill="1" applyAlignment="1">
      <alignment horizontal="left"/>
    </xf>
    <xf numFmtId="0" fontId="34" fillId="41" borderId="0" xfId="0" applyFont="1" applyFill="1" applyBorder="1" applyAlignment="1">
      <alignment horizontal="right"/>
    </xf>
    <xf numFmtId="0" fontId="34" fillId="41" borderId="0" xfId="0" applyFont="1" applyFill="1" applyBorder="1" applyAlignment="1">
      <alignment horizontal="center"/>
    </xf>
    <xf numFmtId="0" fontId="3" fillId="41" borderId="0" xfId="0" applyFont="1" applyFill="1" applyBorder="1" applyAlignment="1" applyProtection="1">
      <alignment horizontal="center"/>
      <protection locked="0"/>
    </xf>
    <xf numFmtId="0" fontId="0" fillId="41" borderId="0" xfId="0" applyFont="1" applyFill="1" applyBorder="1" applyAlignment="1" applyProtection="1">
      <alignment horizontal="center"/>
      <protection locked="0"/>
    </xf>
    <xf numFmtId="0" fontId="9" fillId="41" borderId="0" xfId="0" applyFont="1" applyFill="1" applyAlignment="1">
      <alignment horizontal="center"/>
    </xf>
    <xf numFmtId="9" fontId="0" fillId="41" borderId="43" xfId="0" applyNumberFormat="1" applyFill="1" applyBorder="1" applyAlignment="1" applyProtection="1">
      <alignment horizontal="center"/>
      <protection locked="0"/>
    </xf>
    <xf numFmtId="0" fontId="12" fillId="41" borderId="0" xfId="0" applyFont="1" applyFill="1"/>
    <xf numFmtId="0" fontId="44" fillId="41" borderId="0" xfId="0" applyFont="1" applyFill="1"/>
    <xf numFmtId="0" fontId="44" fillId="41" borderId="0" xfId="0" applyFont="1" applyFill="1" applyAlignment="1">
      <alignment horizontal="center"/>
    </xf>
    <xf numFmtId="0" fontId="28" fillId="41" borderId="43" xfId="0" applyFont="1" applyFill="1" applyBorder="1" applyProtection="1">
      <protection locked="0"/>
    </xf>
    <xf numFmtId="1" fontId="24" fillId="41" borderId="0" xfId="0" applyNumberFormat="1" applyFont="1" applyFill="1" applyAlignment="1">
      <alignment horizontal="right"/>
    </xf>
    <xf numFmtId="0" fontId="28" fillId="41" borderId="0" xfId="0" applyFont="1" applyFill="1" applyBorder="1" applyProtection="1">
      <protection locked="0"/>
    </xf>
    <xf numFmtId="0" fontId="12" fillId="41" borderId="0" xfId="0" applyFont="1" applyFill="1" applyAlignment="1">
      <alignment horizontal="center"/>
    </xf>
    <xf numFmtId="1" fontId="45" fillId="41" borderId="44" xfId="0" applyNumberFormat="1" applyFont="1" applyFill="1" applyBorder="1" applyAlignment="1" applyProtection="1">
      <alignment horizontal="center" vertical="center"/>
    </xf>
    <xf numFmtId="174" fontId="12" fillId="41" borderId="45" xfId="0" applyNumberFormat="1" applyFont="1" applyFill="1" applyBorder="1" applyAlignment="1">
      <alignment vertical="center"/>
    </xf>
    <xf numFmtId="0" fontId="12" fillId="41" borderId="46" xfId="0" applyFont="1" applyFill="1" applyBorder="1" applyAlignment="1">
      <alignment vertical="center"/>
    </xf>
    <xf numFmtId="0" fontId="0" fillId="59" borderId="34" xfId="0" applyFont="1" applyFill="1" applyBorder="1"/>
    <xf numFmtId="0" fontId="25" fillId="59" borderId="34" xfId="0" applyFont="1" applyFill="1" applyBorder="1"/>
    <xf numFmtId="0" fontId="0" fillId="77" borderId="34" xfId="0" applyFill="1" applyBorder="1"/>
    <xf numFmtId="0" fontId="8" fillId="59" borderId="34" xfId="0" applyFont="1" applyFill="1" applyBorder="1"/>
    <xf numFmtId="2" fontId="25" fillId="59" borderId="34" xfId="0" applyNumberFormat="1" applyFont="1" applyFill="1" applyBorder="1"/>
    <xf numFmtId="0" fontId="9" fillId="78" borderId="0" xfId="0" applyFont="1" applyFill="1" applyBorder="1"/>
    <xf numFmtId="0" fontId="0" fillId="47" borderId="35" xfId="0" applyFill="1" applyBorder="1"/>
    <xf numFmtId="0" fontId="0" fillId="47" borderId="35" xfId="0" applyFill="1" applyBorder="1" applyAlignment="1">
      <alignment horizontal="center"/>
    </xf>
    <xf numFmtId="2" fontId="0" fillId="47" borderId="34" xfId="0" applyNumberFormat="1" applyFill="1" applyBorder="1" applyAlignment="1">
      <alignment horizontal="center"/>
    </xf>
    <xf numFmtId="2" fontId="0" fillId="47" borderId="35" xfId="0" applyNumberFormat="1" applyFill="1" applyBorder="1" applyAlignment="1">
      <alignment horizontal="center"/>
    </xf>
    <xf numFmtId="2" fontId="0" fillId="47" borderId="34" xfId="0" applyNumberFormat="1" applyFill="1" applyBorder="1"/>
    <xf numFmtId="9" fontId="0" fillId="46" borderId="34" xfId="0" applyNumberFormat="1" applyFill="1" applyBorder="1" applyAlignment="1">
      <alignment horizontal="left"/>
    </xf>
    <xf numFmtId="0" fontId="0" fillId="46" borderId="20" xfId="0" applyFill="1" applyBorder="1" applyProtection="1"/>
    <xf numFmtId="9" fontId="0" fillId="47" borderId="34" xfId="0" applyNumberFormat="1" applyFill="1" applyBorder="1"/>
    <xf numFmtId="0" fontId="0" fillId="47" borderId="0" xfId="0" applyFill="1" applyAlignment="1">
      <alignment horizontal="center"/>
    </xf>
    <xf numFmtId="0" fontId="0" fillId="46" borderId="18" xfId="0" applyFill="1" applyBorder="1" applyProtection="1"/>
    <xf numFmtId="0" fontId="0" fillId="46" borderId="17" xfId="0" applyFill="1" applyBorder="1" applyProtection="1"/>
    <xf numFmtId="9" fontId="0" fillId="47" borderId="41" xfId="0" applyNumberFormat="1" applyFill="1" applyBorder="1"/>
    <xf numFmtId="0" fontId="0" fillId="47" borderId="39" xfId="0" applyFill="1" applyBorder="1" applyAlignment="1">
      <alignment horizontal="center"/>
    </xf>
    <xf numFmtId="0" fontId="0" fillId="47" borderId="41" xfId="0" applyFill="1" applyBorder="1" applyAlignment="1">
      <alignment horizontal="center"/>
    </xf>
    <xf numFmtId="0" fontId="0" fillId="46" borderId="34" xfId="0" applyFill="1" applyBorder="1" applyProtection="1"/>
    <xf numFmtId="0" fontId="0" fillId="43" borderId="0" xfId="0" applyFill="1"/>
    <xf numFmtId="0" fontId="9" fillId="43" borderId="0" xfId="0" applyFont="1" applyFill="1"/>
    <xf numFmtId="0" fontId="87" fillId="38" borderId="0" xfId="0" applyFont="1" applyFill="1" applyBorder="1"/>
    <xf numFmtId="0" fontId="5" fillId="46" borderId="0" xfId="0" applyFont="1" applyFill="1" applyAlignment="1">
      <alignment horizontal="right"/>
    </xf>
    <xf numFmtId="0" fontId="60" fillId="19" borderId="94" xfId="0" applyFont="1" applyFill="1" applyBorder="1"/>
    <xf numFmtId="0" fontId="91" fillId="61" borderId="32" xfId="0" applyFont="1" applyFill="1" applyBorder="1"/>
    <xf numFmtId="0" fontId="91" fillId="61" borderId="34" xfId="0" applyFont="1" applyFill="1" applyBorder="1"/>
    <xf numFmtId="0" fontId="91" fillId="62" borderId="34" xfId="0" applyFont="1" applyFill="1" applyBorder="1"/>
    <xf numFmtId="0" fontId="90" fillId="46" borderId="16" xfId="0" applyFont="1" applyFill="1" applyBorder="1" applyProtection="1"/>
    <xf numFmtId="0" fontId="60" fillId="41" borderId="60" xfId="0" applyFont="1" applyFill="1" applyBorder="1"/>
    <xf numFmtId="0" fontId="60" fillId="74" borderId="48" xfId="0" applyFont="1" applyFill="1" applyBorder="1"/>
    <xf numFmtId="0" fontId="60" fillId="74" borderId="0" xfId="0" applyFont="1" applyFill="1" applyBorder="1"/>
    <xf numFmtId="0" fontId="60" fillId="74" borderId="60" xfId="0" applyFont="1" applyFill="1" applyBorder="1"/>
    <xf numFmtId="0" fontId="60" fillId="19" borderId="97" xfId="0" applyFont="1" applyFill="1" applyBorder="1"/>
    <xf numFmtId="0" fontId="91" fillId="61" borderId="38" xfId="0" applyFont="1" applyFill="1" applyBorder="1"/>
    <xf numFmtId="0" fontId="60" fillId="19" borderId="98" xfId="0" applyFont="1" applyFill="1" applyBorder="1"/>
    <xf numFmtId="0" fontId="89" fillId="75" borderId="0" xfId="0" applyFont="1" applyFill="1" applyBorder="1"/>
    <xf numFmtId="0" fontId="60" fillId="75" borderId="0" xfId="0" applyFont="1" applyFill="1" applyBorder="1"/>
    <xf numFmtId="0" fontId="60" fillId="75" borderId="60" xfId="0" applyFont="1" applyFill="1" applyBorder="1"/>
    <xf numFmtId="0" fontId="60" fillId="19" borderId="48" xfId="0" applyFont="1" applyFill="1" applyBorder="1"/>
    <xf numFmtId="0" fontId="89" fillId="19" borderId="0" xfId="0" applyFont="1" applyFill="1" applyBorder="1" applyProtection="1">
      <protection locked="0"/>
    </xf>
    <xf numFmtId="0" fontId="89" fillId="38" borderId="0" xfId="0" applyFont="1" applyFill="1" applyBorder="1" applyProtection="1">
      <protection locked="0"/>
    </xf>
    <xf numFmtId="0" fontId="60" fillId="19" borderId="73" xfId="0" applyFont="1" applyFill="1" applyBorder="1"/>
    <xf numFmtId="0" fontId="89" fillId="19" borderId="74" xfId="0" applyFont="1" applyFill="1" applyBorder="1" applyProtection="1">
      <protection locked="0"/>
    </xf>
    <xf numFmtId="0" fontId="60" fillId="41" borderId="74" xfId="0" applyFont="1" applyFill="1" applyBorder="1"/>
    <xf numFmtId="0" fontId="89" fillId="38" borderId="74" xfId="0" applyFont="1" applyFill="1" applyBorder="1" applyProtection="1">
      <protection locked="0"/>
    </xf>
    <xf numFmtId="0" fontId="89" fillId="19" borderId="65" xfId="0" applyFont="1" applyFill="1" applyBorder="1" applyProtection="1">
      <protection locked="0"/>
    </xf>
    <xf numFmtId="0" fontId="60" fillId="74" borderId="73" xfId="0" applyFont="1" applyFill="1" applyBorder="1"/>
    <xf numFmtId="0" fontId="60" fillId="74" borderId="74" xfId="0" applyFont="1" applyFill="1" applyBorder="1"/>
    <xf numFmtId="0" fontId="60" fillId="74" borderId="65" xfId="0" applyFont="1" applyFill="1" applyBorder="1"/>
    <xf numFmtId="0" fontId="60" fillId="18" borderId="0" xfId="0" applyFont="1" applyFill="1"/>
    <xf numFmtId="0" fontId="89" fillId="18" borderId="0" xfId="0" applyFont="1" applyFill="1" applyProtection="1">
      <protection locked="0"/>
    </xf>
    <xf numFmtId="0" fontId="89" fillId="18" borderId="0" xfId="0" applyFont="1" applyFill="1" applyBorder="1" applyProtection="1">
      <protection locked="0"/>
    </xf>
    <xf numFmtId="0" fontId="93" fillId="18" borderId="0" xfId="0" applyFont="1" applyFill="1" applyBorder="1"/>
    <xf numFmtId="1" fontId="89" fillId="18" borderId="0" xfId="0" applyNumberFormat="1" applyFont="1" applyFill="1" applyBorder="1" applyProtection="1">
      <protection locked="0"/>
    </xf>
    <xf numFmtId="0" fontId="89" fillId="18" borderId="0" xfId="0" applyFont="1" applyFill="1" applyBorder="1"/>
    <xf numFmtId="0" fontId="60" fillId="19" borderId="70" xfId="0" applyFont="1" applyFill="1" applyBorder="1"/>
    <xf numFmtId="0" fontId="89" fillId="19" borderId="71" xfId="0" applyFont="1" applyFill="1" applyBorder="1" applyProtection="1">
      <protection locked="0"/>
    </xf>
    <xf numFmtId="0" fontId="60" fillId="41" borderId="71" xfId="0" applyFont="1" applyFill="1" applyBorder="1"/>
    <xf numFmtId="0" fontId="60" fillId="19" borderId="72" xfId="0" applyFont="1" applyFill="1" applyBorder="1"/>
    <xf numFmtId="0" fontId="87" fillId="19" borderId="48" xfId="0" applyFont="1" applyFill="1" applyBorder="1"/>
    <xf numFmtId="0" fontId="60" fillId="19" borderId="0" xfId="0" applyFont="1" applyFill="1" applyBorder="1" applyProtection="1">
      <protection locked="0"/>
    </xf>
    <xf numFmtId="0" fontId="89" fillId="37" borderId="14" xfId="0" applyFont="1" applyFill="1" applyBorder="1" applyAlignment="1" applyProtection="1">
      <alignment horizontal="center"/>
      <protection locked="0"/>
    </xf>
    <xf numFmtId="0" fontId="60" fillId="19" borderId="60" xfId="0" applyFont="1" applyFill="1" applyBorder="1"/>
    <xf numFmtId="0" fontId="60" fillId="19" borderId="74" xfId="0" applyFont="1" applyFill="1" applyBorder="1"/>
    <xf numFmtId="0" fontId="60" fillId="19" borderId="65" xfId="0" applyFont="1" applyFill="1" applyBorder="1"/>
    <xf numFmtId="0" fontId="60" fillId="45" borderId="35" xfId="0" applyFont="1" applyFill="1" applyBorder="1" applyAlignment="1">
      <alignment horizontal="center"/>
    </xf>
    <xf numFmtId="0" fontId="91" fillId="45" borderId="34" xfId="0" applyFont="1" applyFill="1" applyBorder="1"/>
    <xf numFmtId="0" fontId="91" fillId="45" borderId="34" xfId="0" applyFont="1" applyFill="1" applyBorder="1" applyAlignment="1">
      <alignment horizontal="center"/>
    </xf>
    <xf numFmtId="0" fontId="91" fillId="59" borderId="34" xfId="0" applyFont="1" applyFill="1" applyBorder="1" applyAlignment="1" applyProtection="1">
      <alignment horizontal="center"/>
      <protection locked="0"/>
    </xf>
    <xf numFmtId="0" fontId="91" fillId="45" borderId="35" xfId="0" applyFont="1" applyFill="1" applyBorder="1"/>
    <xf numFmtId="1" fontId="91" fillId="45" borderId="34" xfId="0" applyNumberFormat="1" applyFont="1" applyFill="1" applyBorder="1"/>
    <xf numFmtId="0" fontId="0" fillId="19" borderId="0" xfId="0" applyFill="1" applyBorder="1" applyAlignment="1">
      <alignment horizontal="right"/>
    </xf>
    <xf numFmtId="0" fontId="7" fillId="41" borderId="48" xfId="0" applyFont="1" applyFill="1" applyBorder="1"/>
    <xf numFmtId="0" fontId="22" fillId="46" borderId="0" xfId="0" applyFont="1" applyFill="1" applyBorder="1"/>
    <xf numFmtId="0" fontId="23" fillId="46" borderId="0" xfId="0" applyFont="1" applyFill="1" applyBorder="1"/>
    <xf numFmtId="0" fontId="0" fillId="71" borderId="0" xfId="0" applyFill="1"/>
    <xf numFmtId="0" fontId="7" fillId="71" borderId="0" xfId="0" applyFont="1" applyFill="1"/>
    <xf numFmtId="0" fontId="79" fillId="46" borderId="0" xfId="0" applyFont="1" applyFill="1" applyBorder="1"/>
    <xf numFmtId="1" fontId="0" fillId="47" borderId="34" xfId="0" applyNumberFormat="1" applyFill="1" applyBorder="1"/>
    <xf numFmtId="0" fontId="9" fillId="71" borderId="41" xfId="0" applyFont="1" applyFill="1" applyBorder="1"/>
    <xf numFmtId="0" fontId="9" fillId="71" borderId="35" xfId="0" applyFont="1" applyFill="1" applyBorder="1"/>
    <xf numFmtId="165" fontId="0" fillId="0" borderId="34" xfId="0" applyNumberFormat="1" applyBorder="1" applyAlignment="1">
      <alignment horizontal="center"/>
    </xf>
    <xf numFmtId="0" fontId="9" fillId="71" borderId="0" xfId="0" applyFont="1" applyFill="1" applyBorder="1" applyAlignment="1">
      <alignment horizontal="right"/>
    </xf>
    <xf numFmtId="0" fontId="7" fillId="0" borderId="0" xfId="0" applyFont="1" applyProtection="1"/>
    <xf numFmtId="0" fontId="9" fillId="71" borderId="0" xfId="0" applyFont="1" applyFill="1" applyBorder="1"/>
    <xf numFmtId="0" fontId="12" fillId="70" borderId="0" xfId="0" applyFont="1" applyFill="1" applyBorder="1" applyAlignment="1">
      <alignment horizontal="right"/>
    </xf>
    <xf numFmtId="0" fontId="7" fillId="70" borderId="0" xfId="0" applyFont="1" applyFill="1" applyBorder="1"/>
    <xf numFmtId="0" fontId="0" fillId="70" borderId="0" xfId="0" applyFill="1" applyBorder="1" applyAlignment="1">
      <alignment horizontal="left"/>
    </xf>
    <xf numFmtId="0" fontId="0" fillId="70" borderId="70" xfId="0" applyFill="1" applyBorder="1"/>
    <xf numFmtId="0" fontId="0" fillId="70" borderId="71" xfId="0" applyFill="1" applyBorder="1"/>
    <xf numFmtId="0" fontId="0" fillId="70" borderId="72" xfId="0" applyFill="1" applyBorder="1"/>
    <xf numFmtId="0" fontId="0" fillId="70" borderId="60" xfId="0" applyFill="1" applyBorder="1"/>
    <xf numFmtId="0" fontId="7" fillId="70" borderId="48" xfId="0" applyFont="1" applyFill="1" applyBorder="1"/>
    <xf numFmtId="0" fontId="7" fillId="72" borderId="48" xfId="0" applyFont="1" applyFill="1" applyBorder="1"/>
    <xf numFmtId="0" fontId="13" fillId="72" borderId="48" xfId="0" applyFont="1" applyFill="1" applyBorder="1"/>
    <xf numFmtId="165" fontId="0" fillId="47" borderId="34" xfId="0" applyNumberFormat="1" applyFill="1" applyBorder="1" applyAlignment="1">
      <alignment horizontal="center"/>
    </xf>
    <xf numFmtId="0" fontId="0" fillId="80" borderId="34" xfId="0" applyFill="1" applyBorder="1" applyProtection="1"/>
    <xf numFmtId="0" fontId="0" fillId="81" borderId="34" xfId="0" applyFill="1" applyBorder="1" applyProtection="1"/>
    <xf numFmtId="0" fontId="0" fillId="74" borderId="34" xfId="0" applyFill="1" applyBorder="1" applyProtection="1"/>
    <xf numFmtId="0" fontId="22" fillId="47" borderId="0" xfId="0" applyFont="1" applyFill="1" applyProtection="1"/>
    <xf numFmtId="0" fontId="0" fillId="47" borderId="0" xfId="0" applyFill="1" applyProtection="1"/>
    <xf numFmtId="0" fontId="5" fillId="46" borderId="0" xfId="0" applyFont="1" applyFill="1" applyAlignment="1" applyProtection="1">
      <alignment horizontal="right"/>
    </xf>
    <xf numFmtId="0" fontId="7" fillId="46" borderId="0" xfId="0" applyFont="1" applyFill="1" applyProtection="1"/>
    <xf numFmtId="0" fontId="0" fillId="46" borderId="0" xfId="0" applyFill="1" applyProtection="1"/>
    <xf numFmtId="0" fontId="7" fillId="47" borderId="0" xfId="0" applyFont="1" applyFill="1" applyProtection="1"/>
    <xf numFmtId="0" fontId="4" fillId="46" borderId="0" xfId="0" applyFont="1" applyFill="1" applyProtection="1"/>
    <xf numFmtId="0" fontId="0" fillId="47" borderId="0" xfId="0" applyFill="1" applyBorder="1" applyProtection="1"/>
    <xf numFmtId="0" fontId="0" fillId="46" borderId="0" xfId="0" applyFill="1" applyBorder="1" applyProtection="1"/>
    <xf numFmtId="0" fontId="5" fillId="46" borderId="0" xfId="0" applyFont="1" applyFill="1" applyBorder="1" applyAlignment="1" applyProtection="1">
      <alignment horizontal="right"/>
    </xf>
    <xf numFmtId="0" fontId="4" fillId="46" borderId="0" xfId="0" applyFont="1" applyFill="1" applyBorder="1" applyProtection="1"/>
    <xf numFmtId="0" fontId="12" fillId="46" borderId="0" xfId="0" applyFont="1" applyFill="1" applyBorder="1" applyProtection="1"/>
    <xf numFmtId="0" fontId="0" fillId="71" borderId="0" xfId="0" applyFill="1" applyBorder="1" applyAlignment="1">
      <alignment horizontal="center"/>
    </xf>
    <xf numFmtId="0" fontId="0" fillId="47" borderId="0" xfId="0" applyFont="1" applyFill="1" applyAlignment="1">
      <alignment horizontal="center"/>
    </xf>
    <xf numFmtId="0" fontId="0" fillId="47" borderId="0" xfId="0" applyFill="1" applyBorder="1" applyAlignment="1">
      <alignment horizontal="center"/>
    </xf>
    <xf numFmtId="0" fontId="0" fillId="47" borderId="0" xfId="0" applyFill="1" applyAlignment="1" applyProtection="1">
      <alignment horizontal="center"/>
      <protection locked="0"/>
    </xf>
    <xf numFmtId="0" fontId="0" fillId="0" borderId="0" xfId="0" applyFill="1" applyBorder="1" applyAlignment="1">
      <alignment vertical="center"/>
    </xf>
    <xf numFmtId="0" fontId="0" fillId="47" borderId="0" xfId="0" applyFill="1" applyAlignment="1">
      <alignment vertical="center"/>
    </xf>
    <xf numFmtId="0" fontId="9" fillId="82" borderId="41" xfId="0" applyFont="1" applyFill="1" applyBorder="1"/>
    <xf numFmtId="0" fontId="0" fillId="74" borderId="35" xfId="0" applyFill="1" applyBorder="1"/>
    <xf numFmtId="1" fontId="7" fillId="0" borderId="0" xfId="0" applyNumberFormat="1" applyFont="1" applyFill="1" applyBorder="1"/>
    <xf numFmtId="1" fontId="25" fillId="46" borderId="9" xfId="0" applyNumberFormat="1" applyFont="1" applyFill="1" applyBorder="1"/>
    <xf numFmtId="1" fontId="25" fillId="46" borderId="96" xfId="0" applyNumberFormat="1" applyFont="1" applyFill="1" applyBorder="1"/>
    <xf numFmtId="0" fontId="60" fillId="47" borderId="38" xfId="0" applyFont="1" applyFill="1" applyBorder="1" applyProtection="1"/>
    <xf numFmtId="0" fontId="60" fillId="55" borderId="15" xfId="0" applyFont="1" applyFill="1" applyBorder="1" applyProtection="1"/>
    <xf numFmtId="0" fontId="92" fillId="61" borderId="34" xfId="0" applyFont="1" applyFill="1" applyBorder="1" applyProtection="1">
      <protection locked="0"/>
    </xf>
    <xf numFmtId="0" fontId="12" fillId="26" borderId="67" xfId="0" applyFont="1" applyFill="1" applyBorder="1"/>
    <xf numFmtId="0" fontId="0" fillId="26" borderId="40" xfId="0" applyFill="1" applyBorder="1"/>
    <xf numFmtId="0" fontId="0" fillId="26" borderId="40" xfId="0" applyFill="1" applyBorder="1" applyAlignment="1">
      <alignment horizontal="center"/>
    </xf>
    <xf numFmtId="0" fontId="9" fillId="75" borderId="67" xfId="0" applyFont="1" applyFill="1" applyBorder="1"/>
    <xf numFmtId="0" fontId="0" fillId="75" borderId="40" xfId="0" applyFill="1" applyBorder="1"/>
    <xf numFmtId="0" fontId="0" fillId="75" borderId="59" xfId="0" applyFill="1" applyBorder="1"/>
    <xf numFmtId="0" fontId="0" fillId="75" borderId="33" xfId="0" applyFill="1" applyBorder="1"/>
    <xf numFmtId="0" fontId="0" fillId="74" borderId="42" xfId="0" applyFill="1" applyBorder="1"/>
    <xf numFmtId="0" fontId="0" fillId="74" borderId="59" xfId="0" applyFill="1" applyBorder="1"/>
    <xf numFmtId="0" fontId="9" fillId="75" borderId="38" xfId="0" applyFont="1" applyFill="1" applyBorder="1"/>
    <xf numFmtId="0" fontId="56" fillId="75" borderId="36" xfId="0" applyFont="1" applyFill="1" applyBorder="1"/>
    <xf numFmtId="0" fontId="0" fillId="75" borderId="37" xfId="0" applyFill="1" applyBorder="1" applyAlignment="1">
      <alignment horizontal="center"/>
    </xf>
    <xf numFmtId="0" fontId="25" fillId="18" borderId="9" xfId="0" applyFont="1" applyFill="1" applyBorder="1" applyAlignment="1">
      <alignment horizontal="center"/>
    </xf>
    <xf numFmtId="0" fontId="0" fillId="18" borderId="38" xfId="0" applyFont="1" applyFill="1" applyBorder="1"/>
    <xf numFmtId="0" fontId="0" fillId="18" borderId="37" xfId="0" applyFill="1" applyBorder="1"/>
    <xf numFmtId="0" fontId="0" fillId="74" borderId="40" xfId="0" applyFill="1" applyBorder="1"/>
    <xf numFmtId="0" fontId="0" fillId="74" borderId="33" xfId="0" applyFill="1" applyBorder="1"/>
    <xf numFmtId="0" fontId="0" fillId="47" borderId="67" xfId="0" applyFill="1" applyBorder="1"/>
    <xf numFmtId="0" fontId="0" fillId="47" borderId="40" xfId="0" applyFill="1" applyBorder="1"/>
    <xf numFmtId="0" fontId="0" fillId="47" borderId="59" xfId="0" applyFill="1" applyBorder="1"/>
    <xf numFmtId="0" fontId="0" fillId="47" borderId="32" xfId="0" applyFill="1" applyBorder="1"/>
    <xf numFmtId="0" fontId="0" fillId="47" borderId="33" xfId="0" applyFill="1" applyBorder="1"/>
    <xf numFmtId="0" fontId="0" fillId="47" borderId="42" xfId="0" applyFill="1" applyBorder="1"/>
    <xf numFmtId="165" fontId="0" fillId="83" borderId="9" xfId="0" applyNumberFormat="1" applyFont="1" applyFill="1" applyBorder="1" applyAlignment="1">
      <alignment horizontal="center"/>
    </xf>
    <xf numFmtId="0" fontId="0" fillId="41" borderId="0" xfId="0" applyFont="1" applyFill="1" applyBorder="1" applyAlignment="1">
      <alignment horizontal="center"/>
    </xf>
    <xf numFmtId="0" fontId="0" fillId="84" borderId="106" xfId="0" applyFill="1" applyBorder="1"/>
    <xf numFmtId="0" fontId="0" fillId="85" borderId="71" xfId="0" applyFill="1" applyBorder="1"/>
    <xf numFmtId="0" fontId="9" fillId="38" borderId="32" xfId="0" applyFont="1" applyFill="1" applyBorder="1"/>
    <xf numFmtId="1" fontId="0" fillId="19" borderId="0" xfId="0" applyNumberFormat="1" applyFill="1" applyBorder="1"/>
    <xf numFmtId="0" fontId="0" fillId="19" borderId="38" xfId="0" applyFill="1" applyBorder="1"/>
    <xf numFmtId="0" fontId="0" fillId="36" borderId="37" xfId="0" applyFont="1" applyFill="1" applyBorder="1"/>
    <xf numFmtId="1" fontId="0" fillId="19" borderId="34" xfId="0" applyNumberFormat="1" applyFill="1" applyBorder="1"/>
    <xf numFmtId="0" fontId="0" fillId="19" borderId="108" xfId="0" applyFill="1" applyBorder="1" applyProtection="1">
      <protection locked="0"/>
    </xf>
    <xf numFmtId="0" fontId="0" fillId="19" borderId="109" xfId="0" applyFill="1" applyBorder="1"/>
    <xf numFmtId="165" fontId="0" fillId="19" borderId="110" xfId="0" applyNumberFormat="1" applyFill="1" applyBorder="1"/>
    <xf numFmtId="0" fontId="0" fillId="19" borderId="111" xfId="0" applyFill="1" applyBorder="1"/>
    <xf numFmtId="0" fontId="0" fillId="19" borderId="110" xfId="0" applyFill="1" applyBorder="1" applyProtection="1">
      <protection locked="0"/>
    </xf>
    <xf numFmtId="0" fontId="9" fillId="19" borderId="17" xfId="0" applyFont="1" applyFill="1" applyBorder="1"/>
    <xf numFmtId="0" fontId="7" fillId="19" borderId="39" xfId="0" applyFont="1" applyFill="1" applyBorder="1" applyProtection="1">
      <protection locked="0"/>
    </xf>
    <xf numFmtId="0" fontId="7" fillId="19" borderId="35" xfId="0" applyFont="1" applyFill="1" applyBorder="1" applyAlignment="1"/>
    <xf numFmtId="0" fontId="0" fillId="84" borderId="32" xfId="0" applyFill="1" applyBorder="1"/>
    <xf numFmtId="0" fontId="0" fillId="53" borderId="33" xfId="0" applyFill="1" applyBorder="1"/>
    <xf numFmtId="0" fontId="9" fillId="84" borderId="33" xfId="0" applyFont="1" applyFill="1" applyBorder="1"/>
    <xf numFmtId="0" fontId="0" fillId="84" borderId="42" xfId="0" applyFill="1" applyBorder="1"/>
    <xf numFmtId="0" fontId="0" fillId="53" borderId="36" xfId="0" applyFill="1" applyBorder="1"/>
    <xf numFmtId="0" fontId="0" fillId="87" borderId="36" xfId="0" applyFill="1" applyBorder="1" applyAlignment="1">
      <alignment horizontal="center"/>
    </xf>
    <xf numFmtId="0" fontId="0" fillId="87" borderId="37" xfId="0" applyFill="1" applyBorder="1" applyAlignment="1">
      <alignment horizontal="left"/>
    </xf>
    <xf numFmtId="0" fontId="0" fillId="18" borderId="38" xfId="0" applyFill="1" applyBorder="1" applyProtection="1"/>
    <xf numFmtId="0" fontId="0" fillId="18" borderId="36" xfId="0" applyFill="1" applyBorder="1" applyProtection="1"/>
    <xf numFmtId="0" fontId="0" fillId="18" borderId="37" xfId="0" applyFill="1" applyBorder="1" applyProtection="1"/>
    <xf numFmtId="0" fontId="0" fillId="47" borderId="38" xfId="0" applyFill="1" applyBorder="1" applyProtection="1"/>
    <xf numFmtId="0" fontId="0" fillId="47" borderId="36" xfId="0" applyFill="1" applyBorder="1" applyProtection="1"/>
    <xf numFmtId="0" fontId="0" fillId="47" borderId="37" xfId="0" applyFill="1" applyBorder="1" applyProtection="1"/>
    <xf numFmtId="0" fontId="7" fillId="38" borderId="67" xfId="0" applyFont="1" applyFill="1" applyBorder="1"/>
    <xf numFmtId="0" fontId="0" fillId="38" borderId="40" xfId="0" applyFont="1" applyFill="1" applyBorder="1"/>
    <xf numFmtId="0" fontId="0" fillId="38" borderId="59" xfId="0" applyFont="1" applyFill="1" applyBorder="1"/>
    <xf numFmtId="0" fontId="0" fillId="38" borderId="69" xfId="0" applyFont="1" applyFill="1" applyBorder="1"/>
    <xf numFmtId="0" fontId="0" fillId="38" borderId="33" xfId="0" applyFont="1" applyFill="1" applyBorder="1"/>
    <xf numFmtId="0" fontId="0" fillId="38" borderId="42" xfId="0" applyFont="1" applyFill="1" applyBorder="1"/>
    <xf numFmtId="0" fontId="9" fillId="88" borderId="40" xfId="0" applyFont="1" applyFill="1" applyBorder="1"/>
    <xf numFmtId="0" fontId="9" fillId="88" borderId="59" xfId="0" applyFont="1" applyFill="1" applyBorder="1"/>
    <xf numFmtId="0" fontId="9" fillId="88" borderId="68" xfId="0" applyFont="1" applyFill="1" applyBorder="1"/>
    <xf numFmtId="0" fontId="9" fillId="88" borderId="0" xfId="0" applyFont="1" applyFill="1" applyBorder="1"/>
    <xf numFmtId="0" fontId="9" fillId="88" borderId="69" xfId="0" applyFont="1" applyFill="1" applyBorder="1"/>
    <xf numFmtId="0" fontId="9" fillId="88" borderId="33" xfId="0" applyFont="1" applyFill="1" applyBorder="1"/>
    <xf numFmtId="0" fontId="9" fillId="88" borderId="42" xfId="0" applyFont="1" applyFill="1" applyBorder="1"/>
    <xf numFmtId="0" fontId="0" fillId="88" borderId="40" xfId="0" applyFill="1" applyBorder="1"/>
    <xf numFmtId="0" fontId="0" fillId="88" borderId="0" xfId="0" applyFill="1" applyBorder="1"/>
    <xf numFmtId="0" fontId="0" fillId="88" borderId="33" xfId="0" applyFill="1" applyBorder="1"/>
    <xf numFmtId="0" fontId="0" fillId="46" borderId="38" xfId="0" applyFill="1" applyBorder="1"/>
    <xf numFmtId="0" fontId="0" fillId="47" borderId="36" xfId="0" applyFill="1" applyBorder="1"/>
    <xf numFmtId="0" fontId="0" fillId="47" borderId="37" xfId="0" applyFill="1" applyBorder="1"/>
    <xf numFmtId="0" fontId="0" fillId="47" borderId="38" xfId="0" applyFill="1" applyBorder="1"/>
    <xf numFmtId="0" fontId="0" fillId="84" borderId="112" xfId="0" applyFill="1" applyBorder="1"/>
    <xf numFmtId="0" fontId="0" fillId="86" borderId="113" xfId="0" applyFill="1" applyBorder="1"/>
    <xf numFmtId="0" fontId="0" fillId="89" borderId="34" xfId="0" applyFill="1" applyBorder="1"/>
    <xf numFmtId="0" fontId="7" fillId="76" borderId="34" xfId="0" applyFont="1" applyFill="1" applyBorder="1" applyAlignment="1" applyProtection="1">
      <alignment horizontal="center"/>
      <protection locked="0"/>
    </xf>
    <xf numFmtId="0" fontId="97" fillId="90" borderId="38" xfId="0" applyFont="1" applyFill="1" applyBorder="1" applyAlignment="1">
      <alignment horizontal="left" vertical="center" readingOrder="1"/>
    </xf>
    <xf numFmtId="0" fontId="0" fillId="91" borderId="36" xfId="0" applyFill="1" applyBorder="1" applyProtection="1"/>
    <xf numFmtId="0" fontId="0" fillId="91" borderId="37" xfId="0" applyFill="1" applyBorder="1" applyProtection="1"/>
    <xf numFmtId="0" fontId="0" fillId="46" borderId="36" xfId="0" applyFill="1" applyBorder="1"/>
    <xf numFmtId="0" fontId="0" fillId="59" borderId="36" xfId="0" applyFill="1" applyBorder="1" applyProtection="1"/>
    <xf numFmtId="0" fontId="0" fillId="59" borderId="37" xfId="0" applyFill="1" applyBorder="1" applyProtection="1"/>
    <xf numFmtId="0" fontId="0" fillId="59" borderId="38" xfId="0" applyFill="1" applyBorder="1" applyProtection="1"/>
    <xf numFmtId="0" fontId="0" fillId="18" borderId="68" xfId="0" applyFill="1" applyBorder="1"/>
    <xf numFmtId="0" fontId="0" fillId="18" borderId="69" xfId="0" applyFill="1" applyBorder="1"/>
    <xf numFmtId="0" fontId="0" fillId="18" borderId="0" xfId="0" applyFill="1" applyBorder="1" applyAlignment="1">
      <alignment horizontal="right"/>
    </xf>
    <xf numFmtId="0" fontId="0" fillId="18" borderId="32" xfId="0" applyFill="1" applyBorder="1"/>
    <xf numFmtId="0" fontId="0" fillId="18" borderId="33" xfId="0" applyFont="1" applyFill="1" applyBorder="1"/>
    <xf numFmtId="9" fontId="0" fillId="18" borderId="33" xfId="34" applyFont="1" applyFill="1" applyBorder="1" applyAlignment="1" applyProtection="1"/>
    <xf numFmtId="0" fontId="0" fillId="18" borderId="33" xfId="0" applyFill="1" applyBorder="1"/>
    <xf numFmtId="0" fontId="0" fillId="18" borderId="42" xfId="0" applyFill="1" applyBorder="1"/>
    <xf numFmtId="0" fontId="0" fillId="75" borderId="36" xfId="0" applyFill="1" applyBorder="1"/>
    <xf numFmtId="0" fontId="0" fillId="75" borderId="37" xfId="0" applyFill="1" applyBorder="1"/>
    <xf numFmtId="0" fontId="0" fillId="74" borderId="37" xfId="0" applyFill="1" applyBorder="1"/>
    <xf numFmtId="0" fontId="60" fillId="19" borderId="24" xfId="0" applyFont="1" applyFill="1" applyBorder="1"/>
    <xf numFmtId="0" fontId="90" fillId="19" borderId="41" xfId="0" applyFont="1" applyFill="1" applyBorder="1"/>
    <xf numFmtId="0" fontId="90" fillId="19" borderId="35" xfId="0" applyFont="1" applyFill="1" applyBorder="1"/>
    <xf numFmtId="0" fontId="60" fillId="41" borderId="67" xfId="0" applyFont="1" applyFill="1" applyBorder="1"/>
    <xf numFmtId="0" fontId="60" fillId="38" borderId="68" xfId="0" applyFont="1" applyFill="1" applyBorder="1"/>
    <xf numFmtId="0" fontId="60" fillId="38" borderId="32" xfId="0" applyFont="1" applyFill="1" applyBorder="1" applyProtection="1">
      <protection locked="0"/>
    </xf>
    <xf numFmtId="0" fontId="19" fillId="46" borderId="0" xfId="0" applyFont="1" applyFill="1" applyBorder="1" applyAlignment="1" applyProtection="1">
      <alignment horizontal="left"/>
    </xf>
    <xf numFmtId="0" fontId="0" fillId="19" borderId="14" xfId="0" applyFill="1" applyBorder="1" applyProtection="1"/>
    <xf numFmtId="9" fontId="0" fillId="20" borderId="14" xfId="34" applyFont="1" applyFill="1" applyBorder="1" applyAlignment="1" applyProtection="1">
      <alignment horizontal="center"/>
    </xf>
    <xf numFmtId="0" fontId="0" fillId="19" borderId="14" xfId="0" applyFont="1" applyFill="1" applyBorder="1" applyAlignment="1" applyProtection="1">
      <alignment horizontal="center"/>
    </xf>
    <xf numFmtId="9" fontId="0" fillId="37" borderId="0" xfId="34" applyFont="1" applyFill="1" applyBorder="1" applyAlignment="1" applyProtection="1">
      <alignment horizontal="center"/>
    </xf>
    <xf numFmtId="0" fontId="0" fillId="19" borderId="34" xfId="0" applyFill="1" applyBorder="1" applyProtection="1"/>
    <xf numFmtId="9" fontId="0" fillId="20" borderId="34" xfId="34" applyFont="1" applyFill="1" applyBorder="1" applyAlignment="1" applyProtection="1">
      <alignment horizontal="center"/>
    </xf>
    <xf numFmtId="0" fontId="0" fillId="19" borderId="34" xfId="0" applyFont="1" applyFill="1" applyBorder="1" applyAlignment="1" applyProtection="1">
      <alignment horizontal="center"/>
    </xf>
    <xf numFmtId="9" fontId="0" fillId="19" borderId="34" xfId="34" applyFont="1" applyFill="1" applyBorder="1" applyAlignment="1" applyProtection="1">
      <alignment horizontal="center"/>
    </xf>
    <xf numFmtId="0" fontId="0" fillId="74" borderId="34" xfId="0" applyFill="1" applyBorder="1"/>
    <xf numFmtId="1" fontId="0" fillId="47" borderId="0" xfId="0" applyNumberFormat="1" applyFill="1"/>
    <xf numFmtId="0" fontId="0" fillId="92" borderId="34" xfId="0" applyFill="1" applyBorder="1" applyProtection="1">
      <protection locked="0"/>
    </xf>
    <xf numFmtId="0" fontId="0" fillId="20" borderId="0" xfId="0" applyFill="1" applyBorder="1" applyAlignment="1" applyProtection="1">
      <alignment horizontal="center"/>
      <protection locked="0"/>
    </xf>
    <xf numFmtId="2" fontId="0" fillId="0" borderId="0" xfId="0" applyNumberFormat="1" applyAlignment="1">
      <alignment horizontal="center"/>
    </xf>
    <xf numFmtId="1" fontId="0" fillId="74" borderId="0" xfId="0" applyNumberFormat="1" applyFont="1" applyFill="1" applyBorder="1" applyAlignment="1">
      <alignment horizontal="center"/>
    </xf>
    <xf numFmtId="0" fontId="0" fillId="74" borderId="73" xfId="0" applyFill="1" applyBorder="1"/>
    <xf numFmtId="0" fontId="0" fillId="74" borderId="74" xfId="0" applyFill="1" applyBorder="1"/>
    <xf numFmtId="0" fontId="0" fillId="74" borderId="65" xfId="0" applyFill="1" applyBorder="1"/>
    <xf numFmtId="0" fontId="0" fillId="74" borderId="70" xfId="0" applyFill="1" applyBorder="1"/>
    <xf numFmtId="0" fontId="0" fillId="74" borderId="48" xfId="0" applyFill="1" applyBorder="1" applyAlignment="1">
      <alignment horizontal="center"/>
    </xf>
    <xf numFmtId="0" fontId="12" fillId="74" borderId="0" xfId="0" applyFont="1" applyFill="1" applyBorder="1"/>
    <xf numFmtId="0" fontId="0" fillId="74" borderId="0" xfId="0" applyFill="1" applyBorder="1" applyAlignment="1">
      <alignment horizontal="center"/>
    </xf>
    <xf numFmtId="0" fontId="9" fillId="74" borderId="0" xfId="0" applyFont="1" applyFill="1" applyBorder="1"/>
    <xf numFmtId="0" fontId="5" fillId="74" borderId="34" xfId="0" applyFont="1" applyFill="1" applyBorder="1" applyAlignment="1">
      <alignment horizontal="center" vertical="top" wrapText="1"/>
    </xf>
    <xf numFmtId="0" fontId="0" fillId="75" borderId="34" xfId="0" applyFill="1" applyBorder="1" applyAlignment="1">
      <alignment horizontal="center"/>
    </xf>
    <xf numFmtId="0" fontId="0" fillId="74" borderId="34" xfId="0" applyFill="1" applyBorder="1" applyAlignment="1">
      <alignment horizontal="center"/>
    </xf>
    <xf numFmtId="1" fontId="0" fillId="59" borderId="34" xfId="0" applyNumberFormat="1" applyFill="1" applyBorder="1" applyAlignment="1"/>
    <xf numFmtId="0" fontId="0" fillId="59" borderId="34" xfId="0" applyFill="1" applyBorder="1" applyAlignment="1">
      <alignment horizontal="center"/>
    </xf>
    <xf numFmtId="0" fontId="7" fillId="38" borderId="39" xfId="0" applyFont="1" applyFill="1" applyBorder="1" applyAlignment="1">
      <alignment horizontal="center"/>
    </xf>
    <xf numFmtId="0" fontId="0" fillId="86" borderId="67" xfId="0" applyFill="1" applyBorder="1"/>
    <xf numFmtId="0" fontId="0" fillId="53" borderId="40" xfId="0" applyFill="1" applyBorder="1"/>
    <xf numFmtId="0" fontId="7" fillId="19" borderId="39" xfId="0" applyFont="1" applyFill="1" applyBorder="1"/>
    <xf numFmtId="0" fontId="9" fillId="19" borderId="67" xfId="0" applyFont="1" applyFill="1" applyBorder="1"/>
    <xf numFmtId="0" fontId="9" fillId="19" borderId="59" xfId="0" applyFont="1" applyFill="1" applyBorder="1" applyAlignment="1">
      <alignment horizontal="center"/>
    </xf>
    <xf numFmtId="0" fontId="9" fillId="19" borderId="32" xfId="0" applyFont="1" applyFill="1" applyBorder="1"/>
    <xf numFmtId="0" fontId="9" fillId="19" borderId="42" xfId="0" applyFont="1" applyFill="1" applyBorder="1" applyAlignment="1">
      <alignment horizontal="center"/>
    </xf>
    <xf numFmtId="0" fontId="7" fillId="38" borderId="23" xfId="0" applyFont="1" applyFill="1" applyBorder="1"/>
    <xf numFmtId="0" fontId="7" fillId="38" borderId="24" xfId="0" applyFont="1" applyFill="1" applyBorder="1"/>
    <xf numFmtId="0" fontId="9" fillId="38" borderId="40" xfId="0" applyFont="1" applyFill="1" applyBorder="1"/>
    <xf numFmtId="0" fontId="9" fillId="38" borderId="33" xfId="0" applyFont="1" applyFill="1" applyBorder="1"/>
    <xf numFmtId="0" fontId="0" fillId="38" borderId="42" xfId="0" applyFill="1" applyBorder="1"/>
    <xf numFmtId="0" fontId="0" fillId="49" borderId="39" xfId="0" applyFill="1" applyBorder="1"/>
    <xf numFmtId="9" fontId="56" fillId="49" borderId="39" xfId="34" applyFill="1" applyBorder="1"/>
    <xf numFmtId="1" fontId="0" fillId="19" borderId="9" xfId="0" applyNumberFormat="1" applyFont="1" applyFill="1" applyBorder="1"/>
    <xf numFmtId="0" fontId="0" fillId="41" borderId="62" xfId="0" applyFill="1" applyBorder="1" applyAlignment="1">
      <alignment horizontal="center"/>
    </xf>
    <xf numFmtId="2" fontId="0" fillId="41" borderId="62" xfId="0" applyNumberFormat="1" applyFill="1" applyBorder="1" applyAlignment="1">
      <alignment horizontal="center"/>
    </xf>
    <xf numFmtId="0" fontId="7" fillId="41" borderId="60" xfId="0" applyFont="1" applyFill="1" applyBorder="1" applyAlignment="1">
      <alignment horizontal="center"/>
    </xf>
    <xf numFmtId="1" fontId="0" fillId="46" borderId="34" xfId="0" applyNumberFormat="1" applyFill="1" applyBorder="1" applyAlignment="1"/>
    <xf numFmtId="0" fontId="9" fillId="59" borderId="38" xfId="0" applyFont="1" applyFill="1" applyBorder="1" applyAlignment="1" applyProtection="1">
      <alignment horizontal="center"/>
      <protection locked="0"/>
    </xf>
    <xf numFmtId="0" fontId="9" fillId="59" borderId="38" xfId="0" applyFont="1" applyFill="1" applyBorder="1" applyAlignment="1">
      <alignment horizontal="center"/>
    </xf>
    <xf numFmtId="0" fontId="9" fillId="47" borderId="68" xfId="0" applyFont="1" applyFill="1" applyBorder="1"/>
    <xf numFmtId="0" fontId="4" fillId="18" borderId="0" xfId="0" applyFont="1" applyFill="1" applyAlignment="1" applyProtection="1">
      <alignment horizontal="left"/>
    </xf>
    <xf numFmtId="0" fontId="9" fillId="39" borderId="36" xfId="0" applyFont="1" applyFill="1" applyBorder="1" applyAlignment="1">
      <alignment horizontal="left"/>
    </xf>
    <xf numFmtId="0" fontId="9" fillId="39" borderId="37" xfId="0" applyFont="1" applyFill="1" applyBorder="1" applyAlignment="1">
      <alignment horizontal="left"/>
    </xf>
    <xf numFmtId="0" fontId="60" fillId="19" borderId="39" xfId="0" applyFont="1" applyFill="1" applyBorder="1" applyAlignment="1" applyProtection="1">
      <alignment horizontal="center"/>
      <protection locked="0"/>
    </xf>
    <xf numFmtId="0" fontId="60" fillId="19" borderId="35" xfId="0" applyFont="1" applyFill="1" applyBorder="1" applyAlignment="1" applyProtection="1">
      <alignment horizontal="center"/>
      <protection locked="0"/>
    </xf>
    <xf numFmtId="0" fontId="60" fillId="41" borderId="69" xfId="0" applyFont="1" applyFill="1" applyBorder="1"/>
    <xf numFmtId="0" fontId="60" fillId="0" borderId="0" xfId="0" applyFont="1" applyFill="1" applyBorder="1"/>
    <xf numFmtId="0" fontId="99" fillId="45" borderId="34" xfId="0" applyFont="1" applyFill="1" applyBorder="1" applyProtection="1"/>
    <xf numFmtId="0" fontId="99" fillId="76" borderId="15" xfId="0" applyFont="1" applyFill="1" applyBorder="1" applyProtection="1">
      <protection locked="0"/>
    </xf>
    <xf numFmtId="0" fontId="99" fillId="76" borderId="9" xfId="0" applyFont="1" applyFill="1" applyBorder="1" applyProtection="1">
      <protection locked="0"/>
    </xf>
    <xf numFmtId="0" fontId="60" fillId="19" borderId="38" xfId="0" applyFont="1" applyFill="1" applyBorder="1"/>
    <xf numFmtId="0" fontId="60" fillId="19" borderId="37" xfId="0" applyFont="1" applyFill="1" applyBorder="1"/>
    <xf numFmtId="0" fontId="90" fillId="38" borderId="59" xfId="0" applyFont="1" applyFill="1" applyBorder="1"/>
    <xf numFmtId="0" fontId="90" fillId="38" borderId="42" xfId="0" applyFont="1" applyFill="1" applyBorder="1"/>
    <xf numFmtId="0" fontId="90" fillId="46" borderId="114" xfId="0" applyFont="1" applyFill="1" applyBorder="1" applyProtection="1"/>
    <xf numFmtId="0" fontId="90" fillId="46" borderId="35" xfId="0" applyFont="1" applyFill="1" applyBorder="1" applyProtection="1"/>
    <xf numFmtId="0" fontId="90" fillId="47" borderId="0" xfId="0" applyFont="1" applyFill="1"/>
    <xf numFmtId="0" fontId="60" fillId="47" borderId="0" xfId="0" applyFont="1" applyFill="1"/>
    <xf numFmtId="1" fontId="93" fillId="19" borderId="15" xfId="0" applyNumberFormat="1" applyFont="1" applyFill="1" applyBorder="1" applyProtection="1"/>
    <xf numFmtId="1" fontId="0" fillId="0" borderId="34" xfId="0" applyNumberFormat="1" applyFill="1" applyBorder="1"/>
    <xf numFmtId="0" fontId="0" fillId="19" borderId="23" xfId="0" applyFont="1" applyFill="1" applyBorder="1"/>
    <xf numFmtId="0" fontId="9" fillId="43" borderId="67" xfId="0" applyFont="1" applyFill="1" applyBorder="1"/>
    <xf numFmtId="0" fontId="9" fillId="43" borderId="34" xfId="0" applyFont="1" applyFill="1" applyBorder="1"/>
    <xf numFmtId="0" fontId="9" fillId="39" borderId="34" xfId="0" applyFont="1" applyFill="1" applyBorder="1"/>
    <xf numFmtId="2" fontId="0" fillId="59" borderId="24" xfId="0" applyNumberFormat="1" applyFont="1" applyFill="1" applyBorder="1"/>
    <xf numFmtId="0" fontId="0" fillId="0" borderId="34" xfId="0" applyFill="1" applyBorder="1"/>
    <xf numFmtId="0" fontId="9" fillId="0" borderId="0" xfId="0" applyFont="1" applyBorder="1"/>
    <xf numFmtId="0" fontId="9" fillId="0" borderId="41" xfId="0" applyFont="1" applyBorder="1"/>
    <xf numFmtId="164" fontId="9" fillId="41" borderId="41" xfId="0" applyNumberFormat="1" applyFont="1" applyFill="1" applyBorder="1" applyAlignment="1">
      <alignment horizontal="left"/>
    </xf>
    <xf numFmtId="0" fontId="9" fillId="41" borderId="37" xfId="0" applyFont="1" applyFill="1" applyBorder="1"/>
    <xf numFmtId="164" fontId="9" fillId="41" borderId="35" xfId="0" applyNumberFormat="1" applyFont="1" applyFill="1" applyBorder="1" applyAlignment="1">
      <alignment horizontal="center"/>
    </xf>
    <xf numFmtId="165" fontId="78" fillId="41" borderId="35" xfId="0" applyNumberFormat="1" applyFont="1" applyFill="1" applyBorder="1" applyAlignment="1">
      <alignment horizontal="center"/>
    </xf>
    <xf numFmtId="0" fontId="60" fillId="41" borderId="35" xfId="0" applyFont="1" applyFill="1" applyBorder="1" applyAlignment="1">
      <alignment horizontal="left"/>
    </xf>
    <xf numFmtId="0" fontId="7" fillId="19" borderId="26" xfId="0" applyFont="1" applyFill="1" applyBorder="1"/>
    <xf numFmtId="0" fontId="0" fillId="19" borderId="16" xfId="0" applyFont="1" applyFill="1" applyBorder="1"/>
    <xf numFmtId="0" fontId="7" fillId="41" borderId="39" xfId="0" applyFont="1" applyFill="1" applyBorder="1"/>
    <xf numFmtId="0" fontId="7" fillId="41" borderId="35" xfId="0" applyFont="1" applyFill="1" applyBorder="1"/>
    <xf numFmtId="0" fontId="9" fillId="38" borderId="38" xfId="0" applyFont="1" applyFill="1" applyBorder="1" applyAlignment="1" applyProtection="1">
      <protection locked="0"/>
    </xf>
    <xf numFmtId="2" fontId="60" fillId="47" borderId="35" xfId="0" applyNumberFormat="1" applyFont="1" applyFill="1" applyBorder="1" applyAlignment="1" applyProtection="1">
      <alignment horizontal="center"/>
    </xf>
    <xf numFmtId="2" fontId="60" fillId="47" borderId="34" xfId="0" applyNumberFormat="1" applyFont="1" applyFill="1" applyBorder="1" applyAlignment="1" applyProtection="1">
      <alignment horizontal="center"/>
    </xf>
    <xf numFmtId="0" fontId="101" fillId="0" borderId="0" xfId="0" applyFont="1"/>
    <xf numFmtId="0" fontId="102" fillId="47" borderId="34" xfId="0" applyFont="1" applyFill="1" applyBorder="1" applyAlignment="1">
      <alignment horizontal="center" vertical="center" wrapText="1"/>
    </xf>
    <xf numFmtId="16" fontId="0" fillId="0" borderId="34" xfId="0" applyNumberFormat="1" applyBorder="1"/>
    <xf numFmtId="0" fontId="102" fillId="47" borderId="38" xfId="0" applyFont="1" applyFill="1" applyBorder="1" applyAlignment="1">
      <alignment vertical="center" wrapText="1"/>
    </xf>
    <xf numFmtId="0" fontId="0" fillId="0" borderId="34" xfId="0" applyFill="1" applyBorder="1" applyAlignment="1">
      <alignment horizontal="center"/>
    </xf>
    <xf numFmtId="9" fontId="56" fillId="49" borderId="41" xfId="34" applyFill="1" applyBorder="1"/>
    <xf numFmtId="0" fontId="0" fillId="49" borderId="0" xfId="0" applyFill="1" applyAlignment="1">
      <alignment horizontal="center"/>
    </xf>
    <xf numFmtId="1" fontId="0" fillId="49" borderId="34" xfId="0" applyNumberFormat="1" applyFill="1" applyBorder="1" applyAlignment="1">
      <alignment horizontal="center"/>
    </xf>
    <xf numFmtId="9" fontId="56" fillId="47" borderId="35" xfId="34" applyFill="1" applyBorder="1" applyAlignment="1" applyProtection="1">
      <alignment horizontal="center"/>
    </xf>
    <xf numFmtId="2" fontId="56" fillId="47" borderId="35" xfId="34" applyNumberFormat="1" applyFill="1" applyBorder="1" applyAlignment="1" applyProtection="1">
      <alignment horizontal="center"/>
    </xf>
    <xf numFmtId="2" fontId="0" fillId="0" borderId="34" xfId="0" applyNumberFormat="1" applyFill="1" applyBorder="1" applyAlignment="1">
      <alignment horizontal="center"/>
    </xf>
    <xf numFmtId="0" fontId="0" fillId="45" borderId="35" xfId="0" applyFill="1" applyBorder="1" applyAlignment="1" applyProtection="1">
      <alignment horizontal="center"/>
    </xf>
    <xf numFmtId="0" fontId="0" fillId="59" borderId="35" xfId="0" applyFill="1" applyBorder="1" applyAlignment="1" applyProtection="1">
      <alignment horizontal="center"/>
    </xf>
    <xf numFmtId="0" fontId="0" fillId="59" borderId="35" xfId="0" applyFill="1" applyBorder="1" applyAlignment="1">
      <alignment horizontal="center"/>
    </xf>
    <xf numFmtId="0" fontId="0" fillId="41" borderId="40" xfId="0" applyFill="1" applyBorder="1" applyAlignment="1">
      <alignment horizontal="center"/>
    </xf>
    <xf numFmtId="9" fontId="56" fillId="45" borderId="0" xfId="34" applyFill="1" applyBorder="1" applyAlignment="1">
      <alignment horizontal="center"/>
    </xf>
    <xf numFmtId="0" fontId="0" fillId="41" borderId="33" xfId="0" applyFill="1" applyBorder="1" applyAlignment="1">
      <alignment horizontal="center"/>
    </xf>
    <xf numFmtId="0" fontId="0" fillId="38" borderId="39" xfId="0" applyFill="1" applyBorder="1"/>
    <xf numFmtId="0" fontId="0" fillId="38" borderId="35" xfId="0" applyFill="1" applyBorder="1"/>
    <xf numFmtId="2" fontId="103" fillId="41" borderId="37" xfId="0" applyNumberFormat="1" applyFont="1" applyFill="1" applyBorder="1" applyAlignment="1" applyProtection="1">
      <alignment horizontal="center"/>
    </xf>
    <xf numFmtId="0" fontId="103" fillId="41" borderId="37" xfId="0" applyFont="1" applyFill="1" applyBorder="1" applyAlignment="1">
      <alignment horizontal="center"/>
    </xf>
    <xf numFmtId="0" fontId="103" fillId="41" borderId="37" xfId="0" applyFont="1" applyFill="1" applyBorder="1" applyAlignment="1" applyProtection="1">
      <alignment horizontal="center"/>
    </xf>
    <xf numFmtId="0" fontId="104" fillId="41" borderId="68" xfId="0" applyFont="1" applyFill="1" applyBorder="1"/>
    <xf numFmtId="0" fontId="104" fillId="41" borderId="0" xfId="0" applyFont="1" applyFill="1" applyBorder="1"/>
    <xf numFmtId="0" fontId="0" fillId="29" borderId="34" xfId="0" applyFill="1" applyBorder="1" applyAlignment="1" applyProtection="1">
      <alignment horizontal="center"/>
      <protection locked="0"/>
    </xf>
    <xf numFmtId="165" fontId="0" fillId="35" borderId="40" xfId="0" applyNumberFormat="1" applyFill="1" applyBorder="1"/>
    <xf numFmtId="165" fontId="0" fillId="34" borderId="59" xfId="0" applyNumberFormat="1" applyFont="1" applyFill="1" applyBorder="1" applyAlignment="1">
      <alignment horizontal="center"/>
    </xf>
    <xf numFmtId="165" fontId="0" fillId="35" borderId="36" xfId="0" applyNumberFormat="1" applyFill="1" applyBorder="1"/>
    <xf numFmtId="165" fontId="0" fillId="34" borderId="37" xfId="0" applyNumberFormat="1" applyFont="1" applyFill="1" applyBorder="1" applyAlignment="1">
      <alignment horizontal="center"/>
    </xf>
    <xf numFmtId="0" fontId="0" fillId="34" borderId="38" xfId="0" applyFont="1" applyFill="1" applyBorder="1" applyAlignment="1">
      <alignment horizontal="center"/>
    </xf>
    <xf numFmtId="16" fontId="0" fillId="34" borderId="38" xfId="0" applyNumberFormat="1" applyFont="1" applyFill="1" applyBorder="1" applyAlignment="1">
      <alignment horizontal="center"/>
    </xf>
    <xf numFmtId="0" fontId="0" fillId="42" borderId="68" xfId="0" applyFill="1" applyBorder="1"/>
    <xf numFmtId="2" fontId="0" fillId="59" borderId="37" xfId="0" applyNumberFormat="1" applyFont="1" applyFill="1" applyBorder="1"/>
    <xf numFmtId="2" fontId="0" fillId="59" borderId="37" xfId="0" applyNumberFormat="1" applyFill="1" applyBorder="1"/>
    <xf numFmtId="2" fontId="25" fillId="58" borderId="36" xfId="0" applyNumberFormat="1" applyFont="1" applyFill="1" applyBorder="1"/>
    <xf numFmtId="2" fontId="0" fillId="43" borderId="36" xfId="0" applyNumberFormat="1" applyFill="1" applyBorder="1"/>
    <xf numFmtId="2" fontId="0" fillId="58" borderId="36" xfId="0" applyNumberFormat="1" applyFont="1" applyFill="1" applyBorder="1"/>
    <xf numFmtId="165" fontId="87" fillId="47" borderId="0" xfId="0" applyNumberFormat="1" applyFont="1" applyFill="1" applyBorder="1" applyAlignment="1">
      <alignment horizontal="left"/>
    </xf>
    <xf numFmtId="9" fontId="0" fillId="49" borderId="34" xfId="34" applyFont="1" applyFill="1" applyBorder="1"/>
    <xf numFmtId="1" fontId="0" fillId="59" borderId="34" xfId="0" applyNumberFormat="1" applyFill="1" applyBorder="1" applyAlignment="1" applyProtection="1"/>
    <xf numFmtId="1" fontId="0" fillId="45" borderId="34" xfId="0" applyNumberFormat="1" applyFill="1" applyBorder="1" applyAlignment="1" applyProtection="1">
      <alignment horizontal="center"/>
    </xf>
    <xf numFmtId="0" fontId="33" fillId="41" borderId="39" xfId="19" applyFont="1" applyFill="1" applyBorder="1" applyAlignment="1">
      <alignment horizontal="center"/>
    </xf>
    <xf numFmtId="178" fontId="33" fillId="41" borderId="39" xfId="19" applyNumberFormat="1" applyFont="1" applyFill="1" applyBorder="1" applyAlignment="1">
      <alignment horizontal="center"/>
    </xf>
    <xf numFmtId="2" fontId="28" fillId="41" borderId="43" xfId="0" applyNumberFormat="1" applyFont="1" applyFill="1" applyBorder="1" applyProtection="1">
      <protection locked="0"/>
    </xf>
    <xf numFmtId="0" fontId="32" fillId="39" borderId="41" xfId="0" applyFont="1" applyFill="1" applyBorder="1"/>
    <xf numFmtId="0" fontId="31" fillId="40" borderId="35" xfId="0" applyFont="1" applyFill="1" applyBorder="1"/>
    <xf numFmtId="0" fontId="0" fillId="0" borderId="35" xfId="0" applyFill="1" applyBorder="1"/>
    <xf numFmtId="0" fontId="8" fillId="58" borderId="34" xfId="0" applyFont="1" applyFill="1" applyBorder="1"/>
    <xf numFmtId="0" fontId="0" fillId="43" borderId="34" xfId="0" applyFill="1" applyBorder="1"/>
    <xf numFmtId="0" fontId="9" fillId="58" borderId="38" xfId="0" applyFont="1" applyFill="1" applyBorder="1"/>
    <xf numFmtId="0" fontId="0" fillId="19" borderId="41" xfId="0" applyFont="1" applyFill="1" applyBorder="1"/>
    <xf numFmtId="0" fontId="9" fillId="43" borderId="36" xfId="0" applyFont="1" applyFill="1" applyBorder="1"/>
    <xf numFmtId="0" fontId="9" fillId="39" borderId="36" xfId="0" applyFont="1" applyFill="1" applyBorder="1"/>
    <xf numFmtId="0" fontId="9" fillId="44" borderId="36" xfId="0" applyFont="1" applyFill="1" applyBorder="1"/>
    <xf numFmtId="0" fontId="9" fillId="43" borderId="38" xfId="0" applyFont="1" applyFill="1" applyBorder="1"/>
    <xf numFmtId="0" fontId="9" fillId="43" borderId="40" xfId="0" applyFont="1" applyFill="1" applyBorder="1"/>
    <xf numFmtId="0" fontId="9" fillId="43" borderId="37" xfId="0" applyFont="1" applyFill="1" applyBorder="1"/>
    <xf numFmtId="0" fontId="34" fillId="41" borderId="61" xfId="0" applyFont="1" applyFill="1" applyBorder="1"/>
    <xf numFmtId="0" fontId="33" fillId="0" borderId="34" xfId="0" applyFont="1" applyFill="1" applyBorder="1" applyAlignment="1">
      <alignment horizontal="center"/>
    </xf>
    <xf numFmtId="0" fontId="33" fillId="0" borderId="34" xfId="0" applyFont="1" applyBorder="1" applyAlignment="1">
      <alignment horizontal="right"/>
    </xf>
    <xf numFmtId="0" fontId="33" fillId="0" borderId="34" xfId="0" applyFont="1" applyFill="1" applyBorder="1" applyAlignment="1">
      <alignment horizontal="right"/>
    </xf>
    <xf numFmtId="0" fontId="33" fillId="0" borderId="39" xfId="0" applyFont="1" applyFill="1" applyBorder="1" applyAlignment="1">
      <alignment horizontal="right"/>
    </xf>
    <xf numFmtId="0" fontId="33" fillId="0" borderId="39" xfId="0" applyFont="1" applyFill="1" applyBorder="1" applyAlignment="1">
      <alignment horizontal="center"/>
    </xf>
    <xf numFmtId="2" fontId="33" fillId="41" borderId="41" xfId="0" applyNumberFormat="1" applyFont="1" applyFill="1" applyBorder="1" applyAlignment="1">
      <alignment horizontal="center"/>
    </xf>
    <xf numFmtId="0" fontId="105" fillId="41" borderId="52" xfId="0" applyFont="1" applyFill="1" applyBorder="1"/>
    <xf numFmtId="0" fontId="33" fillId="41" borderId="32" xfId="0" applyFont="1" applyFill="1" applyBorder="1" applyAlignment="1">
      <alignment horizontal="center"/>
    </xf>
    <xf numFmtId="1" fontId="33" fillId="41" borderId="115" xfId="0" applyNumberFormat="1" applyFont="1" applyFill="1" applyBorder="1" applyAlignment="1">
      <alignment horizontal="center"/>
    </xf>
    <xf numFmtId="0" fontId="9" fillId="41" borderId="71" xfId="0" applyFont="1" applyFill="1" applyBorder="1" applyAlignment="1">
      <alignment horizontal="center"/>
    </xf>
    <xf numFmtId="0" fontId="0" fillId="19" borderId="38" xfId="0" applyFont="1" applyFill="1" applyBorder="1"/>
    <xf numFmtId="2" fontId="33" fillId="41" borderId="35" xfId="0" applyNumberFormat="1" applyFont="1" applyFill="1" applyBorder="1" applyAlignment="1">
      <alignment horizontal="center"/>
    </xf>
    <xf numFmtId="2" fontId="33" fillId="0" borderId="34" xfId="0" applyNumberFormat="1" applyFont="1" applyBorder="1" applyAlignment="1">
      <alignment horizontal="center"/>
    </xf>
    <xf numFmtId="0" fontId="9" fillId="44" borderId="0" xfId="0" applyFont="1" applyFill="1" applyBorder="1"/>
    <xf numFmtId="1" fontId="9" fillId="43" borderId="0" xfId="0" applyNumberFormat="1" applyFont="1" applyFill="1" applyBorder="1"/>
    <xf numFmtId="2" fontId="0" fillId="58" borderId="0" xfId="0" applyNumberFormat="1" applyFill="1" applyBorder="1"/>
    <xf numFmtId="0" fontId="106" fillId="93" borderId="0" xfId="43" applyFill="1"/>
    <xf numFmtId="0" fontId="107" fillId="93" borderId="0" xfId="43" applyFont="1" applyFill="1"/>
    <xf numFmtId="0" fontId="106" fillId="93" borderId="0" xfId="43" applyFill="1" applyAlignment="1">
      <alignment horizontal="center"/>
    </xf>
    <xf numFmtId="0" fontId="108" fillId="93" borderId="0" xfId="43" applyFont="1" applyFill="1" applyBorder="1"/>
    <xf numFmtId="0" fontId="109" fillId="93" borderId="0" xfId="43" applyFont="1" applyFill="1"/>
    <xf numFmtId="0" fontId="109" fillId="93" borderId="0" xfId="43" applyFont="1" applyFill="1" applyAlignment="1">
      <alignment horizontal="center"/>
    </xf>
    <xf numFmtId="0" fontId="109" fillId="93" borderId="0" xfId="43" applyFont="1" applyFill="1" applyBorder="1" applyAlignment="1">
      <alignment horizontal="center"/>
    </xf>
    <xf numFmtId="0" fontId="109" fillId="93" borderId="116" xfId="43" applyFont="1" applyFill="1" applyBorder="1"/>
    <xf numFmtId="0" fontId="109" fillId="93" borderId="117" xfId="43" applyFont="1" applyFill="1" applyBorder="1"/>
    <xf numFmtId="0" fontId="109" fillId="93" borderId="117" xfId="43" applyFont="1" applyFill="1" applyBorder="1" applyAlignment="1">
      <alignment horizontal="center"/>
    </xf>
    <xf numFmtId="0" fontId="109" fillId="93" borderId="118" xfId="43" applyFont="1" applyFill="1" applyBorder="1"/>
    <xf numFmtId="0" fontId="109" fillId="93" borderId="119" xfId="43" applyFont="1" applyFill="1" applyBorder="1"/>
    <xf numFmtId="0" fontId="109" fillId="93" borderId="120" xfId="43" applyFont="1" applyFill="1" applyBorder="1"/>
    <xf numFmtId="0" fontId="109" fillId="93" borderId="0" xfId="43" applyFont="1" applyFill="1" applyBorder="1"/>
    <xf numFmtId="0" fontId="109" fillId="93" borderId="0" xfId="43" applyFont="1" applyFill="1" applyBorder="1" applyAlignment="1">
      <alignment horizontal="left"/>
    </xf>
    <xf numFmtId="0" fontId="109" fillId="93" borderId="121" xfId="43" applyFont="1" applyFill="1" applyBorder="1"/>
    <xf numFmtId="0" fontId="110" fillId="93" borderId="0" xfId="43" applyFont="1" applyFill="1" applyBorder="1" applyAlignment="1">
      <alignment horizontal="left"/>
    </xf>
    <xf numFmtId="0" fontId="110" fillId="93" borderId="0" xfId="43" applyFont="1" applyFill="1" applyBorder="1" applyAlignment="1">
      <alignment horizontal="center"/>
    </xf>
    <xf numFmtId="0" fontId="4" fillId="93" borderId="0" xfId="43" applyFont="1" applyFill="1" applyBorder="1" applyAlignment="1">
      <alignment horizontal="center"/>
    </xf>
    <xf numFmtId="0" fontId="109" fillId="93" borderId="122" xfId="43" applyFont="1" applyFill="1" applyBorder="1"/>
    <xf numFmtId="0" fontId="109" fillId="93" borderId="123" xfId="43" applyFont="1" applyFill="1" applyBorder="1"/>
    <xf numFmtId="0" fontId="109" fillId="93" borderId="123" xfId="43" applyFont="1" applyFill="1" applyBorder="1" applyAlignment="1">
      <alignment horizontal="center"/>
    </xf>
    <xf numFmtId="0" fontId="109" fillId="93" borderId="124" xfId="43" applyFont="1" applyFill="1" applyBorder="1"/>
    <xf numFmtId="0" fontId="109" fillId="93" borderId="125" xfId="43" applyFont="1" applyFill="1" applyBorder="1"/>
    <xf numFmtId="0" fontId="108" fillId="93" borderId="125" xfId="43" applyFont="1" applyFill="1" applyBorder="1"/>
    <xf numFmtId="0" fontId="4" fillId="93" borderId="125" xfId="43" applyFont="1" applyFill="1" applyBorder="1" applyAlignment="1">
      <alignment horizontal="center"/>
    </xf>
    <xf numFmtId="0" fontId="108" fillId="93" borderId="125" xfId="43" applyFont="1" applyFill="1" applyBorder="1" applyAlignment="1">
      <alignment horizontal="left"/>
    </xf>
    <xf numFmtId="0" fontId="109" fillId="93" borderId="125" xfId="43" applyFont="1" applyFill="1" applyBorder="1" applyAlignment="1">
      <alignment horizontal="center"/>
    </xf>
    <xf numFmtId="0" fontId="4" fillId="93" borderId="117" xfId="43" applyFont="1" applyFill="1" applyBorder="1" applyAlignment="1">
      <alignment horizontal="center"/>
    </xf>
    <xf numFmtId="0" fontId="106" fillId="93" borderId="120" xfId="43" applyFill="1" applyBorder="1"/>
    <xf numFmtId="0" fontId="106" fillId="93" borderId="0" xfId="43" applyFill="1" applyBorder="1"/>
    <xf numFmtId="0" fontId="106" fillId="93" borderId="0" xfId="43" applyFill="1" applyBorder="1" applyAlignment="1">
      <alignment horizontal="center"/>
    </xf>
    <xf numFmtId="0" fontId="106" fillId="93" borderId="121" xfId="43" applyFill="1" applyBorder="1"/>
    <xf numFmtId="0" fontId="106" fillId="93" borderId="119" xfId="43" applyFill="1" applyBorder="1"/>
    <xf numFmtId="0" fontId="9" fillId="93" borderId="120" xfId="43" applyFont="1" applyFill="1" applyBorder="1"/>
    <xf numFmtId="0" fontId="9" fillId="24" borderId="0" xfId="43" applyFont="1" applyFill="1" applyBorder="1" applyAlignment="1">
      <alignment horizontal="left"/>
    </xf>
    <xf numFmtId="0" fontId="9" fillId="93" borderId="0" xfId="43" applyFont="1" applyFill="1" applyBorder="1"/>
    <xf numFmtId="0" fontId="9" fillId="24" borderId="0" xfId="43" applyFont="1" applyFill="1" applyBorder="1" applyAlignment="1">
      <alignment horizontal="center"/>
    </xf>
    <xf numFmtId="0" fontId="9" fillId="93" borderId="121" xfId="43" applyFont="1" applyFill="1" applyBorder="1"/>
    <xf numFmtId="0" fontId="9" fillId="93" borderId="0" xfId="43" applyFont="1" applyFill="1"/>
    <xf numFmtId="0" fontId="9" fillId="93" borderId="0" xfId="43" applyFont="1" applyFill="1" applyBorder="1" applyAlignment="1">
      <alignment horizontal="center"/>
    </xf>
    <xf numFmtId="0" fontId="9" fillId="95" borderId="0" xfId="43" applyFont="1" applyFill="1" applyBorder="1" applyAlignment="1">
      <alignment horizontal="center"/>
    </xf>
    <xf numFmtId="0" fontId="9" fillId="93" borderId="119" xfId="43" applyFont="1" applyFill="1" applyBorder="1"/>
    <xf numFmtId="0" fontId="112" fillId="96" borderId="0" xfId="43" applyFont="1" applyFill="1" applyBorder="1" applyAlignment="1">
      <alignment horizontal="center"/>
    </xf>
    <xf numFmtId="0" fontId="112" fillId="93" borderId="0" xfId="43" applyFont="1" applyFill="1" applyBorder="1"/>
    <xf numFmtId="9" fontId="9" fillId="24" borderId="0" xfId="43" applyNumberFormat="1" applyFont="1" applyFill="1" applyBorder="1" applyAlignment="1">
      <alignment horizontal="center"/>
    </xf>
    <xf numFmtId="0" fontId="41" fillId="24" borderId="0" xfId="43" applyFont="1" applyFill="1" applyBorder="1" applyAlignment="1">
      <alignment horizontal="left"/>
    </xf>
    <xf numFmtId="0" fontId="106" fillId="24" borderId="0" xfId="43" applyFill="1" applyBorder="1" applyAlignment="1">
      <alignment horizontal="center"/>
    </xf>
    <xf numFmtId="0" fontId="113" fillId="24" borderId="0" xfId="43" applyFont="1" applyFill="1" applyBorder="1" applyAlignment="1">
      <alignment horizontal="center"/>
    </xf>
    <xf numFmtId="0" fontId="9" fillId="24" borderId="0" xfId="43" applyFont="1" applyFill="1" applyBorder="1"/>
    <xf numFmtId="0" fontId="106" fillId="24" borderId="0" xfId="43" applyFill="1" applyBorder="1"/>
    <xf numFmtId="0" fontId="114" fillId="97" borderId="0" xfId="43" applyFont="1" applyFill="1" applyBorder="1"/>
    <xf numFmtId="1" fontId="113" fillId="93" borderId="0" xfId="43" applyNumberFormat="1" applyFont="1" applyFill="1" applyBorder="1" applyAlignment="1">
      <alignment horizontal="center"/>
    </xf>
    <xf numFmtId="0" fontId="113" fillId="93" borderId="0" xfId="43" applyFont="1" applyFill="1" applyBorder="1" applyAlignment="1">
      <alignment horizontal="center"/>
    </xf>
    <xf numFmtId="0" fontId="114" fillId="94" borderId="128" xfId="43" applyFont="1" applyFill="1" applyBorder="1" applyAlignment="1">
      <alignment horizontal="center"/>
    </xf>
    <xf numFmtId="165" fontId="106" fillId="47" borderId="130" xfId="43" applyNumberFormat="1" applyFill="1" applyBorder="1" applyAlignment="1" applyProtection="1">
      <alignment horizontal="center"/>
      <protection locked="0"/>
    </xf>
    <xf numFmtId="0" fontId="114" fillId="94" borderId="131" xfId="43" applyFont="1" applyFill="1" applyBorder="1" applyAlignment="1">
      <alignment horizontal="center"/>
    </xf>
    <xf numFmtId="0" fontId="106" fillId="93" borderId="0" xfId="43" applyFill="1" applyBorder="1" applyAlignment="1">
      <alignment horizontal="left"/>
    </xf>
    <xf numFmtId="173" fontId="106" fillId="24" borderId="0" xfId="43" applyNumberFormat="1" applyFill="1" applyBorder="1" applyAlignment="1">
      <alignment horizontal="center"/>
    </xf>
    <xf numFmtId="0" fontId="106" fillId="0" borderId="0" xfId="43" applyFill="1" applyBorder="1" applyAlignment="1" applyProtection="1">
      <alignment horizontal="center"/>
      <protection locked="0"/>
    </xf>
    <xf numFmtId="0" fontId="106" fillId="93" borderId="0" xfId="43" applyFill="1" applyBorder="1" applyAlignment="1" applyProtection="1">
      <alignment horizontal="center"/>
      <protection locked="0"/>
    </xf>
    <xf numFmtId="2" fontId="106" fillId="25" borderId="0" xfId="43" applyNumberFormat="1" applyFill="1" applyBorder="1" applyAlignment="1" applyProtection="1">
      <alignment horizontal="center"/>
      <protection locked="0"/>
    </xf>
    <xf numFmtId="2" fontId="106" fillId="93" borderId="0" xfId="43" applyNumberFormat="1" applyFill="1" applyBorder="1" applyAlignment="1" applyProtection="1">
      <alignment horizontal="center"/>
      <protection locked="0"/>
    </xf>
    <xf numFmtId="1" fontId="3" fillId="95" borderId="0" xfId="43" applyNumberFormat="1" applyFont="1" applyFill="1" applyBorder="1" applyAlignment="1">
      <alignment horizontal="center"/>
    </xf>
    <xf numFmtId="1" fontId="115" fillId="96" borderId="0" xfId="43" applyNumberFormat="1" applyFont="1" applyFill="1" applyBorder="1" applyAlignment="1">
      <alignment horizontal="center"/>
    </xf>
    <xf numFmtId="0" fontId="3" fillId="93" borderId="0" xfId="43" applyFont="1" applyFill="1"/>
    <xf numFmtId="0" fontId="3" fillId="93" borderId="0" xfId="43" applyFont="1" applyFill="1" applyBorder="1" applyAlignment="1" applyProtection="1">
      <alignment horizontal="center"/>
      <protection locked="0"/>
    </xf>
    <xf numFmtId="1" fontId="106" fillId="93" borderId="0" xfId="43" applyNumberFormat="1" applyFill="1" applyBorder="1"/>
    <xf numFmtId="173" fontId="106" fillId="93" borderId="0" xfId="43" applyNumberFormat="1" applyFill="1" applyBorder="1" applyAlignment="1">
      <alignment horizontal="center"/>
    </xf>
    <xf numFmtId="49" fontId="3" fillId="93" borderId="0" xfId="43" applyNumberFormat="1" applyFont="1" applyFill="1" applyBorder="1" applyAlignment="1">
      <alignment horizontal="center"/>
    </xf>
    <xf numFmtId="1" fontId="106" fillId="93" borderId="0" xfId="43" applyNumberFormat="1" applyFill="1" applyBorder="1" applyAlignment="1" applyProtection="1">
      <alignment horizontal="center"/>
      <protection locked="0"/>
    </xf>
    <xf numFmtId="2" fontId="106" fillId="93" borderId="0" xfId="43" applyNumberFormat="1" applyFill="1" applyBorder="1" applyAlignment="1">
      <alignment horizontal="center"/>
    </xf>
    <xf numFmtId="1" fontId="9" fillId="93" borderId="0" xfId="43" applyNumberFormat="1" applyFont="1" applyFill="1" applyBorder="1" applyAlignment="1">
      <alignment horizontal="center"/>
    </xf>
    <xf numFmtId="1" fontId="115" fillId="93" borderId="0" xfId="43" applyNumberFormat="1" applyFont="1" applyFill="1" applyBorder="1" applyAlignment="1">
      <alignment horizontal="center"/>
    </xf>
    <xf numFmtId="0" fontId="3" fillId="93" borderId="0" xfId="43" applyFont="1" applyFill="1" applyBorder="1" applyAlignment="1">
      <alignment horizontal="center"/>
    </xf>
    <xf numFmtId="1" fontId="115" fillId="26" borderId="0" xfId="43" applyNumberFormat="1" applyFont="1" applyFill="1" applyBorder="1" applyAlignment="1">
      <alignment horizontal="center"/>
    </xf>
    <xf numFmtId="49" fontId="106" fillId="93" borderId="0" xfId="43" applyNumberFormat="1" applyFill="1" applyBorder="1"/>
    <xf numFmtId="2" fontId="106" fillId="93" borderId="0" xfId="43" applyNumberFormat="1" applyFill="1" applyBorder="1"/>
    <xf numFmtId="49" fontId="3" fillId="93" borderId="0" xfId="43" applyNumberFormat="1" applyFont="1" applyFill="1" applyBorder="1" applyAlignment="1" applyProtection="1">
      <alignment horizontal="left"/>
      <protection locked="0"/>
    </xf>
    <xf numFmtId="1" fontId="114" fillId="93" borderId="0" xfId="43" applyNumberFormat="1" applyFont="1" applyFill="1" applyBorder="1" applyAlignment="1">
      <alignment horizontal="center"/>
    </xf>
    <xf numFmtId="1" fontId="114" fillId="93" borderId="0" xfId="43" applyNumberFormat="1" applyFont="1" applyFill="1" applyBorder="1" applyAlignment="1">
      <alignment horizontal="left"/>
    </xf>
    <xf numFmtId="0" fontId="9" fillId="96" borderId="0" xfId="43" applyFont="1" applyFill="1" applyBorder="1" applyAlignment="1">
      <alignment horizontal="center"/>
    </xf>
    <xf numFmtId="0" fontId="106" fillId="0" borderId="0" xfId="43" applyBorder="1" applyAlignment="1">
      <alignment horizontal="center"/>
    </xf>
    <xf numFmtId="2" fontId="106" fillId="0" borderId="0" xfId="43" applyNumberFormat="1" applyBorder="1" applyAlignment="1">
      <alignment horizontal="center"/>
    </xf>
    <xf numFmtId="1" fontId="9" fillId="26" borderId="0" xfId="43" applyNumberFormat="1" applyFont="1" applyFill="1" applyBorder="1" applyAlignment="1">
      <alignment horizontal="center"/>
    </xf>
    <xf numFmtId="0" fontId="106" fillId="93" borderId="122" xfId="43" applyFill="1" applyBorder="1"/>
    <xf numFmtId="0" fontId="9" fillId="93" borderId="123" xfId="43" applyFont="1" applyFill="1" applyBorder="1"/>
    <xf numFmtId="0" fontId="106" fillId="93" borderId="123" xfId="43" applyFill="1" applyBorder="1"/>
    <xf numFmtId="173" fontId="106" fillId="93" borderId="123" xfId="43" applyNumberFormat="1" applyFill="1" applyBorder="1" applyAlignment="1">
      <alignment horizontal="center"/>
    </xf>
    <xf numFmtId="1" fontId="3" fillId="93" borderId="123" xfId="43" applyNumberFormat="1" applyFont="1" applyFill="1" applyBorder="1" applyAlignment="1" applyProtection="1">
      <alignment horizontal="left"/>
      <protection locked="0"/>
    </xf>
    <xf numFmtId="0" fontId="106" fillId="93" borderId="123" xfId="43" applyFill="1" applyBorder="1" applyAlignment="1" applyProtection="1">
      <alignment horizontal="center"/>
      <protection locked="0"/>
    </xf>
    <xf numFmtId="2" fontId="106" fillId="93" borderId="123" xfId="43" applyNumberFormat="1" applyFill="1" applyBorder="1" applyAlignment="1" applyProtection="1">
      <alignment horizontal="center"/>
      <protection locked="0"/>
    </xf>
    <xf numFmtId="0" fontId="106" fillId="93" borderId="124" xfId="43" applyFill="1" applyBorder="1"/>
    <xf numFmtId="0" fontId="106" fillId="93" borderId="123" xfId="43" applyFill="1" applyBorder="1" applyAlignment="1">
      <alignment horizontal="center"/>
    </xf>
    <xf numFmtId="0" fontId="106" fillId="0" borderId="0" xfId="43"/>
    <xf numFmtId="0" fontId="106" fillId="25" borderId="68" xfId="43" applyFill="1" applyBorder="1"/>
    <xf numFmtId="0" fontId="106" fillId="25" borderId="0" xfId="43" applyFill="1" applyBorder="1"/>
    <xf numFmtId="0" fontId="106" fillId="25" borderId="33" xfId="43" applyFill="1" applyBorder="1"/>
    <xf numFmtId="0" fontId="106" fillId="27" borderId="67" xfId="43" applyFill="1" applyBorder="1"/>
    <xf numFmtId="0" fontId="106" fillId="27" borderId="40" xfId="43" applyFill="1" applyBorder="1"/>
    <xf numFmtId="0" fontId="106" fillId="27" borderId="59" xfId="43" applyFill="1" applyBorder="1"/>
    <xf numFmtId="0" fontId="106" fillId="27" borderId="68" xfId="43" applyFill="1" applyBorder="1"/>
    <xf numFmtId="0" fontId="106" fillId="27" borderId="0" xfId="43" applyFill="1" applyBorder="1"/>
    <xf numFmtId="0" fontId="106" fillId="27" borderId="69" xfId="43" applyFill="1" applyBorder="1"/>
    <xf numFmtId="0" fontId="106" fillId="27" borderId="0" xfId="43" applyFill="1" applyAlignment="1">
      <alignment horizontal="center"/>
    </xf>
    <xf numFmtId="0" fontId="106" fillId="27" borderId="0" xfId="43" applyFill="1"/>
    <xf numFmtId="0" fontId="106" fillId="26" borderId="34" xfId="43" applyFill="1" applyBorder="1" applyAlignment="1">
      <alignment horizontal="center"/>
    </xf>
    <xf numFmtId="0" fontId="106" fillId="27" borderId="34" xfId="43" applyFill="1" applyBorder="1" applyAlignment="1">
      <alignment horizontal="center"/>
    </xf>
    <xf numFmtId="1" fontId="106" fillId="27" borderId="34" xfId="43" applyNumberFormat="1" applyFill="1" applyBorder="1" applyAlignment="1">
      <alignment horizontal="center"/>
    </xf>
    <xf numFmtId="0" fontId="106" fillId="30" borderId="34" xfId="43" applyFill="1" applyBorder="1" applyAlignment="1">
      <alignment horizontal="center"/>
    </xf>
    <xf numFmtId="0" fontId="106" fillId="26" borderId="0" xfId="43" applyFill="1"/>
    <xf numFmtId="0" fontId="106" fillId="27" borderId="32" xfId="43" applyFill="1" applyBorder="1"/>
    <xf numFmtId="0" fontId="106" fillId="27" borderId="33" xfId="43" applyFill="1" applyBorder="1"/>
    <xf numFmtId="0" fontId="106" fillId="27" borderId="42" xfId="43" applyFill="1" applyBorder="1"/>
    <xf numFmtId="1" fontId="106" fillId="25" borderId="34" xfId="43" applyNumberFormat="1" applyFill="1" applyBorder="1" applyAlignment="1">
      <alignment horizontal="center"/>
    </xf>
    <xf numFmtId="173" fontId="0" fillId="25" borderId="34" xfId="44" applyNumberFormat="1" applyFont="1" applyFill="1" applyBorder="1" applyAlignment="1">
      <alignment horizontal="center"/>
    </xf>
    <xf numFmtId="9" fontId="0" fillId="25" borderId="34" xfId="44" applyFont="1" applyFill="1" applyBorder="1" applyAlignment="1">
      <alignment horizontal="center"/>
    </xf>
    <xf numFmtId="0" fontId="106" fillId="25" borderId="41" xfId="43" applyFill="1" applyBorder="1" applyAlignment="1">
      <alignment horizontal="center"/>
    </xf>
    <xf numFmtId="0" fontId="106" fillId="25" borderId="35" xfId="43" applyFill="1" applyBorder="1" applyAlignment="1">
      <alignment horizontal="center"/>
    </xf>
    <xf numFmtId="0" fontId="106" fillId="0" borderId="34" xfId="43" applyBorder="1" applyAlignment="1">
      <alignment horizontal="center"/>
    </xf>
    <xf numFmtId="0" fontId="106" fillId="0" borderId="34" xfId="43" applyBorder="1"/>
    <xf numFmtId="10" fontId="0" fillId="25" borderId="35" xfId="44" applyNumberFormat="1" applyFont="1" applyFill="1" applyBorder="1" applyAlignment="1">
      <alignment horizontal="center"/>
    </xf>
    <xf numFmtId="10" fontId="0" fillId="25" borderId="34" xfId="44" applyNumberFormat="1" applyFont="1" applyFill="1" applyBorder="1" applyAlignment="1">
      <alignment horizontal="center"/>
    </xf>
    <xf numFmtId="0" fontId="22" fillId="27" borderId="0" xfId="43" applyFont="1" applyFill="1"/>
    <xf numFmtId="0" fontId="106" fillId="0" borderId="0" xfId="43" applyAlignment="1">
      <alignment horizontal="center"/>
    </xf>
    <xf numFmtId="0" fontId="28" fillId="27" borderId="0" xfId="43" applyFont="1" applyFill="1"/>
    <xf numFmtId="0" fontId="9" fillId="27" borderId="67" xfId="43" applyFont="1" applyFill="1" applyBorder="1" applyAlignment="1">
      <alignment horizontal="center"/>
    </xf>
    <xf numFmtId="0" fontId="9" fillId="27" borderId="41" xfId="43" applyFont="1" applyFill="1" applyBorder="1" applyAlignment="1">
      <alignment horizontal="center"/>
    </xf>
    <xf numFmtId="0" fontId="9" fillId="27" borderId="40" xfId="43" applyFont="1" applyFill="1" applyBorder="1" applyAlignment="1">
      <alignment horizontal="center"/>
    </xf>
    <xf numFmtId="0" fontId="106" fillId="27" borderId="41" xfId="43" applyFill="1" applyBorder="1" applyAlignment="1">
      <alignment horizontal="center"/>
    </xf>
    <xf numFmtId="0" fontId="106" fillId="27" borderId="0" xfId="43" applyFill="1" applyBorder="1" applyAlignment="1">
      <alignment horizontal="center"/>
    </xf>
    <xf numFmtId="0" fontId="9" fillId="27" borderId="59" xfId="43" applyFont="1" applyFill="1" applyBorder="1" applyAlignment="1">
      <alignment horizontal="center"/>
    </xf>
    <xf numFmtId="0" fontId="106" fillId="27" borderId="41" xfId="43" applyFill="1" applyBorder="1"/>
    <xf numFmtId="0" fontId="9" fillId="27" borderId="68" xfId="43" applyFont="1" applyFill="1" applyBorder="1" applyAlignment="1">
      <alignment horizontal="center"/>
    </xf>
    <xf numFmtId="0" fontId="9" fillId="27" borderId="39" xfId="43" applyFont="1" applyFill="1" applyBorder="1" applyAlignment="1">
      <alignment horizontal="center"/>
    </xf>
    <xf numFmtId="0" fontId="9" fillId="27" borderId="0" xfId="43" applyFont="1" applyFill="1" applyBorder="1" applyAlignment="1">
      <alignment horizontal="center"/>
    </xf>
    <xf numFmtId="0" fontId="106" fillId="27" borderId="35" xfId="43" applyFill="1" applyBorder="1" applyAlignment="1">
      <alignment horizontal="center"/>
    </xf>
    <xf numFmtId="0" fontId="106" fillId="27" borderId="33" xfId="43" applyFill="1" applyBorder="1" applyAlignment="1">
      <alignment horizontal="center"/>
    </xf>
    <xf numFmtId="0" fontId="106" fillId="27" borderId="35" xfId="43" applyFill="1" applyBorder="1"/>
    <xf numFmtId="0" fontId="9" fillId="27" borderId="35" xfId="43" applyFont="1" applyFill="1" applyBorder="1" applyAlignment="1">
      <alignment horizontal="center"/>
    </xf>
    <xf numFmtId="0" fontId="106" fillId="27" borderId="34" xfId="43" applyFill="1" applyBorder="1" applyAlignment="1" applyProtection="1">
      <alignment horizontal="center"/>
      <protection locked="0"/>
    </xf>
    <xf numFmtId="2" fontId="106" fillId="27" borderId="34" xfId="43" applyNumberFormat="1" applyFill="1" applyBorder="1" applyAlignment="1" applyProtection="1">
      <alignment horizontal="center"/>
      <protection locked="0"/>
    </xf>
    <xf numFmtId="1" fontId="87" fillId="27" borderId="34" xfId="43" applyNumberFormat="1" applyFont="1" applyFill="1" applyBorder="1" applyAlignment="1">
      <alignment horizontal="center"/>
    </xf>
    <xf numFmtId="1" fontId="87" fillId="27" borderId="0" xfId="43" applyNumberFormat="1" applyFont="1" applyFill="1" applyBorder="1" applyAlignment="1">
      <alignment horizontal="center"/>
    </xf>
    <xf numFmtId="0" fontId="106" fillId="27" borderId="34" xfId="43" applyFill="1" applyBorder="1"/>
    <xf numFmtId="1" fontId="9" fillId="27" borderId="34" xfId="43" applyNumberFormat="1" applyFont="1" applyFill="1" applyBorder="1" applyAlignment="1">
      <alignment horizontal="center"/>
    </xf>
    <xf numFmtId="2" fontId="106" fillId="27" borderId="34" xfId="43" applyNumberFormat="1" applyFill="1" applyBorder="1" applyAlignment="1">
      <alignment horizontal="center"/>
    </xf>
    <xf numFmtId="0" fontId="106" fillId="0" borderId="0" xfId="43" applyFill="1"/>
    <xf numFmtId="0" fontId="3" fillId="27" borderId="34" xfId="43" applyFont="1" applyFill="1" applyBorder="1"/>
    <xf numFmtId="0" fontId="3" fillId="27" borderId="0" xfId="43" applyFont="1" applyFill="1" applyBorder="1"/>
    <xf numFmtId="2" fontId="106" fillId="27" borderId="0" xfId="43" applyNumberFormat="1" applyFill="1" applyBorder="1" applyAlignment="1" applyProtection="1">
      <alignment horizontal="center"/>
      <protection locked="0"/>
    </xf>
    <xf numFmtId="0" fontId="106" fillId="0" borderId="0" xfId="43" applyBorder="1"/>
    <xf numFmtId="1" fontId="87" fillId="27" borderId="38" xfId="43" applyNumberFormat="1" applyFont="1" applyFill="1" applyBorder="1" applyAlignment="1">
      <alignment horizontal="center"/>
    </xf>
    <xf numFmtId="1" fontId="87" fillId="27" borderId="41" xfId="43" applyNumberFormat="1" applyFont="1" applyFill="1" applyBorder="1" applyAlignment="1">
      <alignment horizontal="center"/>
    </xf>
    <xf numFmtId="0" fontId="9" fillId="27" borderId="34" xfId="43" applyFont="1" applyFill="1" applyBorder="1" applyAlignment="1" applyProtection="1">
      <alignment horizontal="center"/>
      <protection locked="0"/>
    </xf>
    <xf numFmtId="1" fontId="87" fillId="27" borderId="35" xfId="43" applyNumberFormat="1" applyFont="1" applyFill="1" applyBorder="1" applyAlignment="1">
      <alignment horizontal="center"/>
    </xf>
    <xf numFmtId="165" fontId="106" fillId="27" borderId="34" xfId="43" applyNumberFormat="1" applyFill="1" applyBorder="1" applyAlignment="1" applyProtection="1">
      <alignment horizontal="center"/>
      <protection locked="0"/>
    </xf>
    <xf numFmtId="0" fontId="106" fillId="27" borderId="0" xfId="43" applyFill="1" applyBorder="1" applyAlignment="1" applyProtection="1">
      <alignment horizontal="center"/>
      <protection locked="0"/>
    </xf>
    <xf numFmtId="1" fontId="9" fillId="27" borderId="0" xfId="43" applyNumberFormat="1" applyFont="1" applyFill="1" applyBorder="1" applyAlignment="1">
      <alignment horizontal="center"/>
    </xf>
    <xf numFmtId="0" fontId="106" fillId="25" borderId="67" xfId="43" applyFill="1" applyBorder="1"/>
    <xf numFmtId="0" fontId="106" fillId="25" borderId="41" xfId="43" applyFill="1" applyBorder="1"/>
    <xf numFmtId="0" fontId="106" fillId="25" borderId="40" xfId="43" applyFill="1" applyBorder="1"/>
    <xf numFmtId="0" fontId="106" fillId="25" borderId="59" xfId="43" applyFill="1" applyBorder="1"/>
    <xf numFmtId="0" fontId="106" fillId="25" borderId="39" xfId="43" applyFill="1" applyBorder="1"/>
    <xf numFmtId="0" fontId="106" fillId="25" borderId="39" xfId="43" applyFill="1" applyBorder="1" applyAlignment="1">
      <alignment horizontal="center"/>
    </xf>
    <xf numFmtId="0" fontId="106" fillId="25" borderId="69" xfId="43" applyFill="1" applyBorder="1"/>
    <xf numFmtId="0" fontId="106" fillId="25" borderId="32" xfId="43" applyFill="1" applyBorder="1"/>
    <xf numFmtId="0" fontId="106" fillId="25" borderId="35" xfId="43" applyFill="1" applyBorder="1"/>
    <xf numFmtId="0" fontId="106" fillId="25" borderId="42" xfId="43" applyFill="1" applyBorder="1"/>
    <xf numFmtId="0" fontId="106" fillId="0" borderId="35" xfId="43" applyBorder="1"/>
    <xf numFmtId="1" fontId="106" fillId="25" borderId="35" xfId="43" applyNumberFormat="1" applyFill="1" applyBorder="1"/>
    <xf numFmtId="1" fontId="106" fillId="25" borderId="35" xfId="43" applyNumberFormat="1" applyFill="1" applyBorder="1" applyAlignment="1">
      <alignment horizontal="center"/>
    </xf>
    <xf numFmtId="1" fontId="106" fillId="0" borderId="34" xfId="43" applyNumberFormat="1" applyBorder="1"/>
    <xf numFmtId="165" fontId="106" fillId="0" borderId="34" xfId="43" applyNumberFormat="1" applyBorder="1" applyAlignment="1">
      <alignment horizontal="center"/>
    </xf>
    <xf numFmtId="0" fontId="106" fillId="25" borderId="34" xfId="43" applyFill="1" applyBorder="1"/>
    <xf numFmtId="1" fontId="106" fillId="25" borderId="34" xfId="43" applyNumberFormat="1" applyFill="1" applyBorder="1"/>
    <xf numFmtId="0" fontId="9" fillId="26" borderId="34" xfId="43" applyFont="1" applyFill="1" applyBorder="1" applyAlignment="1">
      <alignment horizontal="center"/>
    </xf>
    <xf numFmtId="0" fontId="9" fillId="26" borderId="34" xfId="43" applyFont="1" applyFill="1" applyBorder="1"/>
    <xf numFmtId="1" fontId="3" fillId="25" borderId="34" xfId="43" applyNumberFormat="1" applyFont="1" applyFill="1" applyBorder="1"/>
    <xf numFmtId="1" fontId="9" fillId="26" borderId="34" xfId="43" applyNumberFormat="1" applyFont="1" applyFill="1" applyBorder="1"/>
    <xf numFmtId="165" fontId="9" fillId="26" borderId="34" xfId="43" applyNumberFormat="1" applyFont="1" applyFill="1" applyBorder="1" applyAlignment="1">
      <alignment horizontal="center"/>
    </xf>
    <xf numFmtId="1" fontId="9" fillId="26" borderId="34" xfId="43" applyNumberFormat="1" applyFont="1" applyFill="1" applyBorder="1" applyAlignment="1">
      <alignment horizontal="center"/>
    </xf>
    <xf numFmtId="0" fontId="106" fillId="30" borderId="0" xfId="43" applyFill="1" applyBorder="1"/>
    <xf numFmtId="0" fontId="106" fillId="30" borderId="33" xfId="43" applyFill="1" applyBorder="1"/>
    <xf numFmtId="0" fontId="3" fillId="25" borderId="34" xfId="43" applyFont="1" applyFill="1" applyBorder="1"/>
    <xf numFmtId="0" fontId="106" fillId="0" borderId="0" xfId="43" applyFill="1" applyAlignment="1">
      <alignment horizontal="center"/>
    </xf>
    <xf numFmtId="0" fontId="106" fillId="0" borderId="39" xfId="43" applyBorder="1"/>
    <xf numFmtId="0" fontId="106" fillId="0" borderId="35" xfId="43" applyFill="1" applyBorder="1"/>
    <xf numFmtId="0" fontId="106" fillId="26" borderId="0" xfId="43" applyFill="1" applyBorder="1"/>
    <xf numFmtId="9" fontId="0" fillId="26" borderId="34" xfId="44" applyFont="1" applyFill="1" applyBorder="1" applyAlignment="1">
      <alignment horizontal="center"/>
    </xf>
    <xf numFmtId="173" fontId="0" fillId="25" borderId="0" xfId="44" applyNumberFormat="1" applyFont="1" applyFill="1" applyBorder="1" applyAlignment="1">
      <alignment horizontal="center"/>
    </xf>
    <xf numFmtId="9" fontId="0" fillId="25" borderId="0" xfId="44" applyFont="1" applyFill="1" applyBorder="1" applyAlignment="1">
      <alignment horizontal="center"/>
    </xf>
    <xf numFmtId="10" fontId="0" fillId="25" borderId="0" xfId="44" applyNumberFormat="1" applyFont="1" applyFill="1" applyBorder="1" applyAlignment="1">
      <alignment horizontal="center"/>
    </xf>
    <xf numFmtId="0" fontId="9" fillId="26" borderId="0" xfId="43" applyFont="1" applyFill="1"/>
    <xf numFmtId="0" fontId="9" fillId="26" borderId="41" xfId="43" applyFont="1" applyFill="1" applyBorder="1"/>
    <xf numFmtId="0" fontId="3" fillId="26" borderId="35" xfId="43" applyFont="1" applyFill="1" applyBorder="1"/>
    <xf numFmtId="0" fontId="3" fillId="26" borderId="37" xfId="43" applyFont="1" applyFill="1" applyBorder="1"/>
    <xf numFmtId="0" fontId="3" fillId="26" borderId="34" xfId="43" applyFont="1" applyFill="1" applyBorder="1"/>
    <xf numFmtId="0" fontId="106" fillId="26" borderId="34" xfId="43" applyFill="1" applyBorder="1"/>
    <xf numFmtId="49" fontId="3" fillId="26" borderId="35" xfId="43" applyNumberFormat="1" applyFont="1" applyFill="1" applyBorder="1"/>
    <xf numFmtId="49" fontId="3" fillId="26" borderId="34" xfId="43" applyNumberFormat="1" applyFont="1" applyFill="1" applyBorder="1"/>
    <xf numFmtId="49" fontId="3" fillId="26" borderId="39" xfId="43" applyNumberFormat="1" applyFont="1" applyFill="1" applyBorder="1"/>
    <xf numFmtId="0" fontId="3" fillId="26" borderId="39" xfId="43" applyFont="1" applyFill="1" applyBorder="1"/>
    <xf numFmtId="0" fontId="106" fillId="26" borderId="39" xfId="43" applyFill="1" applyBorder="1"/>
    <xf numFmtId="0" fontId="106" fillId="26" borderId="0" xfId="43" applyFill="1" applyAlignment="1">
      <alignment horizontal="right"/>
    </xf>
    <xf numFmtId="0" fontId="106" fillId="26" borderId="0" xfId="43" applyFill="1" applyAlignment="1">
      <alignment horizontal="center"/>
    </xf>
    <xf numFmtId="0" fontId="12" fillId="26" borderId="0" xfId="43" applyFont="1" applyFill="1"/>
    <xf numFmtId="0" fontId="106" fillId="26" borderId="34" xfId="43" applyFill="1" applyBorder="1" applyAlignment="1">
      <alignment horizontal="right"/>
    </xf>
    <xf numFmtId="165" fontId="106" fillId="26" borderId="34" xfId="43" applyNumberFormat="1" applyFill="1" applyBorder="1" applyAlignment="1">
      <alignment horizontal="right"/>
    </xf>
    <xf numFmtId="0" fontId="106" fillId="0" borderId="0" xfId="43" applyAlignment="1">
      <alignment horizontal="right"/>
    </xf>
    <xf numFmtId="0" fontId="106" fillId="26" borderId="34" xfId="43" applyFill="1" applyBorder="1" applyAlignment="1" applyProtection="1">
      <alignment horizontal="left"/>
      <protection locked="0"/>
    </xf>
    <xf numFmtId="0" fontId="106" fillId="30" borderId="34" xfId="43" applyFill="1" applyBorder="1" applyAlignment="1" applyProtection="1">
      <alignment horizontal="center"/>
      <protection locked="0"/>
    </xf>
    <xf numFmtId="0" fontId="106" fillId="26" borderId="0" xfId="43" applyFill="1" applyBorder="1" applyAlignment="1" applyProtection="1">
      <alignment horizontal="left"/>
      <protection locked="0"/>
    </xf>
    <xf numFmtId="0" fontId="0" fillId="19" borderId="67" xfId="0" applyFont="1" applyFill="1" applyBorder="1"/>
    <xf numFmtId="0" fontId="0" fillId="19" borderId="32" xfId="0" applyFont="1" applyFill="1" applyBorder="1"/>
    <xf numFmtId="0" fontId="0" fillId="0" borderId="41" xfId="0" applyBorder="1" applyAlignment="1">
      <alignment horizontal="center"/>
    </xf>
    <xf numFmtId="0" fontId="0" fillId="0" borderId="35" xfId="0" applyBorder="1" applyAlignment="1">
      <alignment horizontal="center"/>
    </xf>
    <xf numFmtId="0" fontId="0" fillId="0" borderId="39" xfId="0" applyBorder="1" applyAlignment="1">
      <alignment horizontal="center"/>
    </xf>
    <xf numFmtId="0" fontId="0" fillId="42" borderId="34" xfId="0" applyFill="1" applyBorder="1" applyAlignment="1">
      <alignment horizontal="center"/>
    </xf>
    <xf numFmtId="2" fontId="0" fillId="42" borderId="34" xfId="0" applyNumberFormat="1" applyFill="1" applyBorder="1" applyAlignment="1">
      <alignment horizontal="center"/>
    </xf>
    <xf numFmtId="1" fontId="0" fillId="42" borderId="34" xfId="0" applyNumberFormat="1" applyFill="1" applyBorder="1" applyAlignment="1">
      <alignment horizontal="center"/>
    </xf>
    <xf numFmtId="0" fontId="12" fillId="0" borderId="0" xfId="0" applyFont="1" applyAlignment="1">
      <alignment horizontal="center"/>
    </xf>
    <xf numFmtId="0" fontId="12" fillId="0" borderId="0" xfId="0" applyFont="1"/>
    <xf numFmtId="0" fontId="9" fillId="44" borderId="34" xfId="0" applyFont="1" applyFill="1" applyBorder="1"/>
    <xf numFmtId="0" fontId="9" fillId="58" borderId="34" xfId="0" applyFont="1" applyFill="1" applyBorder="1"/>
    <xf numFmtId="0" fontId="0" fillId="40" borderId="34" xfId="0" applyFill="1" applyBorder="1" applyAlignment="1">
      <alignment horizontal="center"/>
    </xf>
    <xf numFmtId="0" fontId="0" fillId="19" borderId="0" xfId="0" applyFill="1" applyBorder="1" applyAlignment="1" applyProtection="1">
      <alignment horizontal="right"/>
    </xf>
    <xf numFmtId="0" fontId="0" fillId="45" borderId="34" xfId="0" applyFill="1" applyBorder="1" applyAlignment="1" applyProtection="1">
      <alignment horizontal="center"/>
    </xf>
    <xf numFmtId="0" fontId="0" fillId="41" borderId="0" xfId="0" applyFill="1" applyProtection="1"/>
    <xf numFmtId="0" fontId="0" fillId="38" borderId="0" xfId="0" applyFill="1" applyBorder="1" applyProtection="1"/>
    <xf numFmtId="0" fontId="87" fillId="40" borderId="40" xfId="0" applyFont="1" applyFill="1" applyBorder="1" applyAlignment="1">
      <alignment horizontal="center"/>
    </xf>
    <xf numFmtId="0" fontId="0" fillId="40" borderId="40" xfId="0" applyFill="1" applyBorder="1" applyAlignment="1">
      <alignment horizontal="center"/>
    </xf>
    <xf numFmtId="0" fontId="0" fillId="40" borderId="59" xfId="0" applyFill="1" applyBorder="1" applyAlignment="1">
      <alignment horizontal="center"/>
    </xf>
    <xf numFmtId="0" fontId="87" fillId="40" borderId="33" xfId="0" applyFont="1" applyFill="1" applyBorder="1" applyAlignment="1">
      <alignment horizontal="center"/>
    </xf>
    <xf numFmtId="0" fontId="0" fillId="40" borderId="33" xfId="0" applyFill="1" applyBorder="1" applyAlignment="1">
      <alignment horizontal="center"/>
    </xf>
    <xf numFmtId="0" fontId="0" fillId="40" borderId="42" xfId="0" applyFill="1" applyBorder="1" applyAlignment="1">
      <alignment horizontal="center"/>
    </xf>
    <xf numFmtId="174" fontId="33" fillId="41" borderId="60" xfId="0" applyNumberFormat="1" applyFont="1" applyFill="1" applyBorder="1"/>
    <xf numFmtId="174" fontId="33" fillId="41" borderId="60" xfId="0" applyNumberFormat="1" applyFont="1" applyFill="1" applyBorder="1" applyAlignment="1">
      <alignment horizontal="right"/>
    </xf>
    <xf numFmtId="2" fontId="4" fillId="25" borderId="0" xfId="43" applyNumberFormat="1" applyFont="1" applyFill="1" applyBorder="1" applyAlignment="1">
      <alignment horizontal="center"/>
    </xf>
    <xf numFmtId="0" fontId="0" fillId="77" borderId="34" xfId="0" applyFont="1" applyFill="1" applyBorder="1"/>
    <xf numFmtId="2" fontId="0" fillId="58" borderId="34" xfId="0" applyNumberFormat="1" applyFill="1" applyBorder="1"/>
    <xf numFmtId="1" fontId="120" fillId="19" borderId="27" xfId="0" applyNumberFormat="1" applyFont="1" applyFill="1" applyBorder="1"/>
    <xf numFmtId="1" fontId="120" fillId="19" borderId="23" xfId="0" applyNumberFormat="1" applyFont="1" applyFill="1" applyBorder="1"/>
    <xf numFmtId="1" fontId="120" fillId="19" borderId="34" xfId="0" applyNumberFormat="1" applyFont="1" applyFill="1" applyBorder="1"/>
    <xf numFmtId="1" fontId="120" fillId="19" borderId="0" xfId="0" applyNumberFormat="1" applyFont="1" applyFill="1" applyBorder="1"/>
    <xf numFmtId="1" fontId="121" fillId="26" borderId="35" xfId="0" applyNumberFormat="1" applyFont="1" applyFill="1" applyBorder="1"/>
    <xf numFmtId="2" fontId="120" fillId="19" borderId="23" xfId="0" applyNumberFormat="1" applyFont="1" applyFill="1" applyBorder="1"/>
    <xf numFmtId="1" fontId="120" fillId="19" borderId="38" xfId="0" applyNumberFormat="1" applyFont="1" applyFill="1" applyBorder="1"/>
    <xf numFmtId="1" fontId="120" fillId="19" borderId="36" xfId="0" applyNumberFormat="1" applyFont="1" applyFill="1" applyBorder="1"/>
    <xf numFmtId="2" fontId="120" fillId="19" borderId="38" xfId="0" applyNumberFormat="1" applyFont="1" applyFill="1" applyBorder="1"/>
    <xf numFmtId="1" fontId="120" fillId="19" borderId="34" xfId="0" applyNumberFormat="1" applyFont="1" applyFill="1" applyBorder="1" applyAlignment="1">
      <alignment horizontal="right"/>
    </xf>
    <xf numFmtId="0" fontId="120" fillId="19" borderId="36" xfId="0" applyFont="1" applyFill="1" applyBorder="1"/>
    <xf numFmtId="1" fontId="120" fillId="26" borderId="41" xfId="0" applyNumberFormat="1" applyFont="1" applyFill="1" applyBorder="1"/>
    <xf numFmtId="1" fontId="120" fillId="26" borderId="67" xfId="0" applyNumberFormat="1" applyFont="1" applyFill="1" applyBorder="1"/>
    <xf numFmtId="1" fontId="120" fillId="26" borderId="40" xfId="0" applyNumberFormat="1" applyFont="1" applyFill="1" applyBorder="1"/>
    <xf numFmtId="1" fontId="121" fillId="26" borderId="34" xfId="0" applyNumberFormat="1" applyFont="1" applyFill="1" applyBorder="1"/>
    <xf numFmtId="2" fontId="120" fillId="19" borderId="34" xfId="0" applyNumberFormat="1" applyFont="1" applyFill="1" applyBorder="1"/>
    <xf numFmtId="1" fontId="120" fillId="19" borderId="35" xfId="0" applyNumberFormat="1" applyFont="1" applyFill="1" applyBorder="1"/>
    <xf numFmtId="2" fontId="120" fillId="19" borderId="67" xfId="0" applyNumberFormat="1" applyFont="1" applyFill="1" applyBorder="1"/>
    <xf numFmtId="0" fontId="120" fillId="19" borderId="35" xfId="0" applyFont="1" applyFill="1" applyBorder="1"/>
    <xf numFmtId="0" fontId="120" fillId="58" borderId="36" xfId="0" applyFont="1" applyFill="1" applyBorder="1"/>
    <xf numFmtId="0" fontId="120" fillId="19" borderId="34" xfId="0" applyFont="1" applyFill="1" applyBorder="1"/>
    <xf numFmtId="2" fontId="0" fillId="46" borderId="0" xfId="0" applyNumberFormat="1" applyFill="1" applyBorder="1" applyProtection="1"/>
    <xf numFmtId="0" fontId="0" fillId="0" borderId="34" xfId="0" applyFont="1" applyFill="1" applyBorder="1"/>
    <xf numFmtId="1" fontId="0" fillId="26" borderId="35" xfId="0" applyNumberFormat="1" applyFont="1" applyFill="1" applyBorder="1"/>
    <xf numFmtId="2" fontId="0" fillId="19" borderId="67" xfId="0" applyNumberFormat="1" applyFont="1" applyFill="1" applyBorder="1"/>
    <xf numFmtId="0" fontId="0" fillId="0" borderId="34" xfId="0" applyFont="1" applyBorder="1" applyAlignment="1">
      <alignment horizontal="left"/>
    </xf>
    <xf numFmtId="0" fontId="0" fillId="41" borderId="33" xfId="0" applyFont="1" applyFill="1" applyBorder="1" applyAlignment="1">
      <alignment horizontal="left"/>
    </xf>
    <xf numFmtId="0" fontId="0" fillId="41" borderId="33" xfId="0" applyFont="1" applyFill="1" applyBorder="1" applyAlignment="1">
      <alignment horizontal="center"/>
    </xf>
    <xf numFmtId="1" fontId="120" fillId="41" borderId="38" xfId="0" applyNumberFormat="1" applyFont="1" applyFill="1" applyBorder="1"/>
    <xf numFmtId="0" fontId="9" fillId="0" borderId="0" xfId="0" applyFont="1" applyBorder="1" applyAlignment="1">
      <alignment horizontal="left"/>
    </xf>
    <xf numFmtId="2" fontId="0" fillId="0" borderId="0" xfId="0" applyNumberFormat="1" applyBorder="1" applyAlignment="1">
      <alignment horizontal="center"/>
    </xf>
    <xf numFmtId="1" fontId="0" fillId="0" borderId="34" xfId="0" applyNumberFormat="1" applyBorder="1" applyAlignment="1">
      <alignment horizontal="left"/>
    </xf>
    <xf numFmtId="0" fontId="0" fillId="98" borderId="40" xfId="0" applyFill="1" applyBorder="1" applyAlignment="1">
      <alignment horizontal="center"/>
    </xf>
    <xf numFmtId="0" fontId="87" fillId="98" borderId="40" xfId="0" applyFont="1" applyFill="1" applyBorder="1" applyAlignment="1">
      <alignment horizontal="center"/>
    </xf>
    <xf numFmtId="0" fontId="0" fillId="98" borderId="33" xfId="0" applyFill="1" applyBorder="1" applyAlignment="1">
      <alignment horizontal="center"/>
    </xf>
    <xf numFmtId="0" fontId="87" fillId="98" borderId="33" xfId="0" applyFont="1" applyFill="1" applyBorder="1" applyAlignment="1">
      <alignment horizontal="center"/>
    </xf>
    <xf numFmtId="0" fontId="0" fillId="98" borderId="34" xfId="0" applyFill="1" applyBorder="1" applyAlignment="1">
      <alignment horizontal="center"/>
    </xf>
    <xf numFmtId="1" fontId="15" fillId="46" borderId="34" xfId="0" applyNumberFormat="1" applyFont="1" applyFill="1" applyBorder="1" applyAlignment="1">
      <alignment horizontal="center"/>
    </xf>
    <xf numFmtId="0" fontId="7" fillId="70" borderId="48" xfId="0" applyFont="1" applyFill="1" applyBorder="1" applyAlignment="1" applyProtection="1">
      <alignment horizontal="right"/>
      <protection locked="0"/>
    </xf>
    <xf numFmtId="0" fontId="7" fillId="70" borderId="48" xfId="0" applyFont="1" applyFill="1" applyBorder="1" applyAlignment="1" applyProtection="1">
      <alignment horizontal="center"/>
      <protection locked="0"/>
    </xf>
    <xf numFmtId="0" fontId="90" fillId="38" borderId="16" xfId="0" applyFont="1" applyFill="1" applyBorder="1" applyProtection="1"/>
    <xf numFmtId="1" fontId="93" fillId="38" borderId="15" xfId="0" applyNumberFormat="1" applyFont="1" applyFill="1" applyBorder="1" applyProtection="1"/>
    <xf numFmtId="0" fontId="0" fillId="71" borderId="0" xfId="0" applyFill="1" applyBorder="1" applyAlignment="1">
      <alignment vertical="center"/>
    </xf>
    <xf numFmtId="0" fontId="9" fillId="71" borderId="0" xfId="0" applyFont="1" applyFill="1" applyBorder="1" applyAlignment="1">
      <alignment horizontal="center"/>
    </xf>
    <xf numFmtId="0" fontId="12" fillId="46" borderId="0" xfId="0" applyFont="1" applyFill="1" applyAlignment="1">
      <alignment vertical="center"/>
    </xf>
    <xf numFmtId="0" fontId="12" fillId="47" borderId="0" xfId="0" applyFont="1" applyFill="1" applyAlignment="1">
      <alignment horizontal="left"/>
    </xf>
    <xf numFmtId="0" fontId="0" fillId="71" borderId="0" xfId="0" applyFill="1" applyBorder="1" applyAlignment="1">
      <alignment horizontal="right"/>
    </xf>
    <xf numFmtId="1" fontId="95" fillId="0" borderId="34" xfId="0" applyNumberFormat="1" applyFont="1" applyBorder="1" applyAlignment="1">
      <alignment horizontal="center"/>
    </xf>
    <xf numFmtId="0" fontId="0" fillId="71" borderId="48" xfId="0" applyFill="1" applyBorder="1" applyAlignment="1">
      <alignment vertical="center"/>
    </xf>
    <xf numFmtId="0" fontId="0" fillId="71" borderId="60" xfId="0" applyFill="1" applyBorder="1" applyAlignment="1">
      <alignment vertical="center"/>
    </xf>
    <xf numFmtId="0" fontId="0" fillId="63" borderId="34" xfId="0" applyFont="1" applyFill="1" applyBorder="1"/>
    <xf numFmtId="0" fontId="122" fillId="18" borderId="0" xfId="0" applyFont="1" applyFill="1" applyAlignment="1">
      <alignment horizontal="right"/>
    </xf>
    <xf numFmtId="0" fontId="60" fillId="46" borderId="0" xfId="0" applyFont="1" applyFill="1"/>
    <xf numFmtId="0" fontId="9" fillId="73" borderId="0" xfId="0" applyFont="1" applyFill="1" applyBorder="1"/>
    <xf numFmtId="0" fontId="0" fillId="74" borderId="48" xfId="0" applyFill="1" applyBorder="1" applyAlignment="1">
      <alignment vertical="center"/>
    </xf>
    <xf numFmtId="0" fontId="0" fillId="74" borderId="0" xfId="0" applyFill="1" applyBorder="1" applyAlignment="1">
      <alignment vertical="center"/>
    </xf>
    <xf numFmtId="0" fontId="0" fillId="74" borderId="60" xfId="0" applyFill="1" applyBorder="1" applyAlignment="1">
      <alignment vertical="center"/>
    </xf>
    <xf numFmtId="0" fontId="0" fillId="38" borderId="48" xfId="0" applyFill="1" applyBorder="1" applyProtection="1"/>
    <xf numFmtId="0" fontId="0" fillId="41" borderId="0" xfId="0" applyFill="1" applyBorder="1" applyProtection="1"/>
    <xf numFmtId="0" fontId="0" fillId="41" borderId="48" xfId="0" applyFill="1" applyBorder="1" applyProtection="1"/>
    <xf numFmtId="0" fontId="0" fillId="41" borderId="0" xfId="0" applyFill="1" applyBorder="1" applyAlignment="1" applyProtection="1">
      <alignment horizontal="right"/>
    </xf>
    <xf numFmtId="0" fontId="0" fillId="41" borderId="60" xfId="0" applyFill="1" applyBorder="1" applyProtection="1"/>
    <xf numFmtId="0" fontId="0" fillId="19" borderId="48" xfId="0" applyFill="1" applyBorder="1" applyAlignment="1" applyProtection="1">
      <alignment horizontal="right"/>
    </xf>
    <xf numFmtId="0" fontId="19" fillId="38" borderId="0" xfId="0" applyFont="1" applyFill="1" applyBorder="1" applyAlignment="1" applyProtection="1">
      <alignment horizontal="left"/>
    </xf>
    <xf numFmtId="0" fontId="0" fillId="71" borderId="0" xfId="0" applyFill="1" applyBorder="1" applyAlignment="1">
      <alignment horizontal="left"/>
    </xf>
    <xf numFmtId="0" fontId="124" fillId="19" borderId="60" xfId="0" applyFont="1" applyFill="1" applyBorder="1" applyProtection="1">
      <protection locked="0"/>
    </xf>
    <xf numFmtId="2" fontId="0" fillId="19" borderId="34" xfId="0" applyNumberFormat="1" applyFont="1" applyFill="1" applyBorder="1"/>
    <xf numFmtId="0" fontId="0" fillId="45" borderId="39" xfId="0" applyFont="1" applyFill="1" applyBorder="1" applyAlignment="1">
      <alignment horizontal="center"/>
    </xf>
    <xf numFmtId="165" fontId="0" fillId="55" borderId="19" xfId="0" applyNumberFormat="1" applyFill="1" applyBorder="1" applyAlignment="1" applyProtection="1">
      <alignment horizontal="center"/>
      <protection locked="0"/>
    </xf>
    <xf numFmtId="0" fontId="0" fillId="59" borderId="34" xfId="0" applyFill="1" applyBorder="1"/>
    <xf numFmtId="0" fontId="25" fillId="59" borderId="35" xfId="0" applyFont="1" applyFill="1" applyBorder="1"/>
    <xf numFmtId="0" fontId="25" fillId="59" borderId="36" xfId="0" applyFont="1" applyFill="1" applyBorder="1"/>
    <xf numFmtId="0" fontId="0" fillId="45" borderId="69" xfId="0" applyFont="1" applyFill="1" applyBorder="1" applyAlignment="1">
      <alignment horizontal="center"/>
    </xf>
    <xf numFmtId="0" fontId="0" fillId="71" borderId="67" xfId="0" applyFill="1" applyBorder="1" applyAlignment="1">
      <alignment horizontal="center"/>
    </xf>
    <xf numFmtId="0" fontId="12" fillId="70" borderId="40" xfId="0" applyFont="1" applyFill="1" applyBorder="1"/>
    <xf numFmtId="0" fontId="0" fillId="71" borderId="40" xfId="0" applyFill="1" applyBorder="1" applyAlignment="1">
      <alignment horizontal="center"/>
    </xf>
    <xf numFmtId="0" fontId="0" fillId="71" borderId="59" xfId="0" applyFill="1" applyBorder="1" applyAlignment="1">
      <alignment horizontal="center"/>
    </xf>
    <xf numFmtId="0" fontId="0" fillId="71" borderId="68" xfId="0" applyFill="1" applyBorder="1" applyAlignment="1">
      <alignment horizontal="center"/>
    </xf>
    <xf numFmtId="0" fontId="0" fillId="71" borderId="69" xfId="0" applyFill="1" applyBorder="1" applyAlignment="1">
      <alignment horizontal="center"/>
    </xf>
    <xf numFmtId="0" fontId="0" fillId="71" borderId="68" xfId="0" applyFill="1" applyBorder="1"/>
    <xf numFmtId="0" fontId="0" fillId="71" borderId="69" xfId="0" applyFill="1" applyBorder="1"/>
    <xf numFmtId="0" fontId="0" fillId="71" borderId="68" xfId="0" applyFont="1" applyFill="1" applyBorder="1"/>
    <xf numFmtId="0" fontId="0" fillId="72" borderId="68" xfId="0" applyFill="1" applyBorder="1"/>
    <xf numFmtId="0" fontId="0" fillId="71" borderId="32" xfId="0" applyFill="1" applyBorder="1"/>
    <xf numFmtId="0" fontId="0" fillId="71" borderId="33" xfId="0" applyFill="1" applyBorder="1"/>
    <xf numFmtId="0" fontId="0" fillId="71" borderId="33" xfId="0" applyFill="1" applyBorder="1" applyAlignment="1">
      <alignment horizontal="center"/>
    </xf>
    <xf numFmtId="0" fontId="0" fillId="71" borderId="42" xfId="0" applyFill="1" applyBorder="1"/>
    <xf numFmtId="1" fontId="9" fillId="19" borderId="9" xfId="0" applyNumberFormat="1" applyFont="1" applyFill="1" applyBorder="1"/>
    <xf numFmtId="1" fontId="0" fillId="19" borderId="14" xfId="0" applyNumberFormat="1" applyFont="1" applyFill="1" applyBorder="1"/>
    <xf numFmtId="0" fontId="0" fillId="41" borderId="40" xfId="0" applyFont="1" applyFill="1" applyBorder="1"/>
    <xf numFmtId="0" fontId="9" fillId="38" borderId="38" xfId="0" applyFont="1" applyFill="1" applyBorder="1" applyProtection="1">
      <protection locked="0"/>
    </xf>
    <xf numFmtId="0" fontId="9" fillId="38" borderId="37" xfId="0" applyFont="1" applyFill="1" applyBorder="1" applyAlignment="1">
      <alignment horizontal="left"/>
    </xf>
    <xf numFmtId="1" fontId="106" fillId="47" borderId="0" xfId="43" applyNumberFormat="1" applyFill="1" applyBorder="1" applyAlignment="1" applyProtection="1">
      <alignment horizontal="center"/>
    </xf>
    <xf numFmtId="0" fontId="106" fillId="47" borderId="0" xfId="43" applyFill="1" applyBorder="1" applyAlignment="1" applyProtection="1">
      <alignment horizontal="center"/>
    </xf>
    <xf numFmtId="1" fontId="3" fillId="47" borderId="0" xfId="43" applyNumberFormat="1" applyFont="1" applyFill="1" applyBorder="1" applyAlignment="1">
      <alignment horizontal="center"/>
    </xf>
    <xf numFmtId="0" fontId="9" fillId="70" borderId="0" xfId="0" applyFont="1" applyFill="1" applyBorder="1" applyAlignment="1">
      <alignment horizontal="center"/>
    </xf>
    <xf numFmtId="0" fontId="0" fillId="71" borderId="0" xfId="0" applyFill="1" applyAlignment="1">
      <alignment horizontal="center"/>
    </xf>
    <xf numFmtId="2" fontId="120" fillId="75" borderId="0" xfId="0" applyNumberFormat="1" applyFont="1" applyFill="1" applyBorder="1"/>
    <xf numFmtId="0" fontId="9" fillId="39" borderId="67" xfId="0" applyFont="1" applyFill="1" applyBorder="1"/>
    <xf numFmtId="0" fontId="9" fillId="39" borderId="32" xfId="0" applyFont="1" applyFill="1" applyBorder="1"/>
    <xf numFmtId="0" fontId="9" fillId="39" borderId="42" xfId="0" applyFont="1" applyFill="1" applyBorder="1"/>
    <xf numFmtId="1" fontId="8" fillId="46" borderId="67" xfId="0" applyNumberFormat="1" applyFont="1" applyFill="1" applyBorder="1"/>
    <xf numFmtId="1" fontId="8" fillId="75" borderId="41" xfId="0" applyNumberFormat="1" applyFont="1" applyFill="1" applyBorder="1"/>
    <xf numFmtId="1" fontId="8" fillId="75" borderId="35" xfId="0" applyNumberFormat="1" applyFont="1" applyFill="1" applyBorder="1"/>
    <xf numFmtId="0" fontId="126" fillId="74" borderId="0" xfId="0" applyFont="1" applyFill="1" applyBorder="1"/>
    <xf numFmtId="0" fontId="100" fillId="59" borderId="34" xfId="0" applyFont="1" applyFill="1" applyBorder="1"/>
    <xf numFmtId="0" fontId="0" fillId="38" borderId="34" xfId="0" applyFont="1" applyFill="1" applyBorder="1"/>
    <xf numFmtId="0" fontId="0" fillId="63" borderId="34" xfId="0" applyFill="1" applyBorder="1"/>
    <xf numFmtId="0" fontId="0" fillId="0" borderId="39" xfId="0" applyFill="1" applyBorder="1"/>
    <xf numFmtId="0" fontId="0" fillId="0" borderId="59" xfId="0" applyBorder="1"/>
    <xf numFmtId="0" fontId="0" fillId="0" borderId="40" xfId="0" applyFill="1" applyBorder="1"/>
    <xf numFmtId="0" fontId="9" fillId="0" borderId="38" xfId="0" applyFont="1" applyBorder="1"/>
    <xf numFmtId="0" fontId="9" fillId="0" borderId="36" xfId="0" applyFont="1" applyBorder="1"/>
    <xf numFmtId="0" fontId="0" fillId="99" borderId="0" xfId="0" applyFill="1"/>
    <xf numFmtId="0" fontId="12" fillId="99" borderId="0" xfId="0" applyFont="1" applyFill="1"/>
    <xf numFmtId="0" fontId="87" fillId="99" borderId="0" xfId="0" applyFont="1" applyFill="1"/>
    <xf numFmtId="0" fontId="0" fillId="99" borderId="41" xfId="0" applyFill="1" applyBorder="1"/>
    <xf numFmtId="0" fontId="0" fillId="99" borderId="36" xfId="0" applyFill="1" applyBorder="1"/>
    <xf numFmtId="0" fontId="0" fillId="99" borderId="38" xfId="0" applyFill="1" applyBorder="1"/>
    <xf numFmtId="0" fontId="0" fillId="99" borderId="67" xfId="0" applyFill="1" applyBorder="1"/>
    <xf numFmtId="0" fontId="0" fillId="99" borderId="37" xfId="0" applyFill="1" applyBorder="1"/>
    <xf numFmtId="0" fontId="0" fillId="99" borderId="35" xfId="0" applyFill="1" applyBorder="1"/>
    <xf numFmtId="0" fontId="0" fillId="99" borderId="34" xfId="0" applyFill="1" applyBorder="1"/>
    <xf numFmtId="0" fontId="0" fillId="99" borderId="35" xfId="0" applyFill="1" applyBorder="1" applyAlignment="1">
      <alignment horizontal="center"/>
    </xf>
    <xf numFmtId="0" fontId="0" fillId="99" borderId="34" xfId="0" applyFill="1" applyBorder="1" applyAlignment="1">
      <alignment horizontal="center"/>
    </xf>
    <xf numFmtId="1" fontId="0" fillId="99" borderId="34" xfId="0" applyNumberFormat="1" applyFill="1" applyBorder="1" applyAlignment="1">
      <alignment horizontal="center"/>
    </xf>
    <xf numFmtId="1" fontId="0" fillId="99" borderId="34" xfId="0" applyNumberFormat="1" applyFont="1" applyFill="1" applyBorder="1" applyAlignment="1">
      <alignment horizontal="center"/>
    </xf>
    <xf numFmtId="2" fontId="0" fillId="99" borderId="34" xfId="0" applyNumberFormat="1" applyFont="1" applyFill="1" applyBorder="1"/>
    <xf numFmtId="9" fontId="56" fillId="99" borderId="34" xfId="34" applyFill="1" applyBorder="1"/>
    <xf numFmtId="165" fontId="0" fillId="99" borderId="34" xfId="0" applyNumberFormat="1" applyFill="1" applyBorder="1"/>
    <xf numFmtId="165" fontId="0" fillId="99" borderId="34" xfId="0" applyNumberFormat="1" applyFont="1" applyFill="1" applyBorder="1" applyAlignment="1">
      <alignment horizontal="center"/>
    </xf>
    <xf numFmtId="9" fontId="56" fillId="99" borderId="34" xfId="34" applyFill="1" applyBorder="1" applyAlignment="1">
      <alignment horizontal="center"/>
    </xf>
    <xf numFmtId="165" fontId="0" fillId="99" borderId="34" xfId="0" applyNumberFormat="1" applyFill="1" applyBorder="1" applyAlignment="1">
      <alignment horizontal="center"/>
    </xf>
    <xf numFmtId="1" fontId="0" fillId="99" borderId="37" xfId="0" applyNumberFormat="1" applyFill="1" applyBorder="1"/>
    <xf numFmtId="0" fontId="0" fillId="99" borderId="0" xfId="0" applyFill="1" applyBorder="1"/>
    <xf numFmtId="1" fontId="0" fillId="99" borderId="0" xfId="0" applyNumberFormat="1" applyFill="1" applyBorder="1" applyAlignment="1">
      <alignment horizontal="center"/>
    </xf>
    <xf numFmtId="1" fontId="0" fillId="99" borderId="0" xfId="0" applyNumberFormat="1" applyFont="1" applyFill="1" applyBorder="1" applyAlignment="1">
      <alignment horizontal="center"/>
    </xf>
    <xf numFmtId="165" fontId="0" fillId="99" borderId="0" xfId="0" applyNumberFormat="1" applyFont="1" applyFill="1" applyBorder="1" applyAlignment="1">
      <alignment horizontal="center"/>
    </xf>
    <xf numFmtId="0" fontId="0" fillId="74" borderId="38" xfId="0" applyFill="1" applyBorder="1"/>
    <xf numFmtId="0" fontId="0" fillId="74" borderId="41" xfId="0" applyFill="1" applyBorder="1"/>
    <xf numFmtId="0" fontId="0" fillId="74" borderId="37" xfId="0" applyFill="1" applyBorder="1" applyAlignment="1">
      <alignment horizontal="right"/>
    </xf>
    <xf numFmtId="0" fontId="0" fillId="92" borderId="37" xfId="0" applyFill="1" applyBorder="1" applyProtection="1">
      <protection locked="0"/>
    </xf>
    <xf numFmtId="0" fontId="0" fillId="92" borderId="34" xfId="0" applyFill="1" applyBorder="1"/>
    <xf numFmtId="0" fontId="0" fillId="74" borderId="41" xfId="0" applyFill="1" applyBorder="1" applyAlignment="1">
      <alignment horizontal="center"/>
    </xf>
    <xf numFmtId="0" fontId="0" fillId="74" borderId="35" xfId="0" applyFill="1" applyBorder="1" applyAlignment="1">
      <alignment horizontal="center"/>
    </xf>
    <xf numFmtId="1" fontId="0" fillId="74" borderId="34" xfId="0" applyNumberFormat="1" applyFill="1" applyBorder="1" applyAlignment="1">
      <alignment horizontal="center"/>
    </xf>
    <xf numFmtId="1" fontId="0" fillId="74" borderId="34" xfId="0" applyNumberFormat="1" applyFont="1" applyFill="1" applyBorder="1" applyAlignment="1">
      <alignment horizontal="center"/>
    </xf>
    <xf numFmtId="0" fontId="0" fillId="58" borderId="37" xfId="0" applyFont="1" applyFill="1" applyBorder="1"/>
    <xf numFmtId="2" fontId="100" fillId="75" borderId="0" xfId="0" applyNumberFormat="1" applyFont="1" applyFill="1" applyBorder="1"/>
    <xf numFmtId="1" fontId="8" fillId="75" borderId="0" xfId="0" applyNumberFormat="1" applyFont="1" applyFill="1" applyBorder="1"/>
    <xf numFmtId="0" fontId="95" fillId="41" borderId="0" xfId="0" applyFont="1" applyFill="1" applyBorder="1"/>
    <xf numFmtId="0" fontId="9" fillId="38" borderId="59" xfId="0" applyFont="1" applyFill="1" applyBorder="1" applyAlignment="1">
      <alignment horizontal="left"/>
    </xf>
    <xf numFmtId="0" fontId="9" fillId="47" borderId="0" xfId="0" applyFont="1" applyFill="1" applyAlignment="1">
      <alignment horizontal="center"/>
    </xf>
    <xf numFmtId="0" fontId="9" fillId="47" borderId="0" xfId="0" applyFont="1" applyFill="1" applyAlignment="1">
      <alignment horizontal="left"/>
    </xf>
    <xf numFmtId="0" fontId="12" fillId="47" borderId="0" xfId="0" applyFont="1" applyFill="1"/>
    <xf numFmtId="0" fontId="9" fillId="0" borderId="70" xfId="0" applyFont="1" applyFill="1" applyBorder="1"/>
    <xf numFmtId="0" fontId="0" fillId="0" borderId="71" xfId="0" applyFill="1" applyBorder="1" applyAlignment="1" applyProtection="1">
      <alignment horizontal="center"/>
      <protection locked="0"/>
    </xf>
    <xf numFmtId="1" fontId="0" fillId="0" borderId="71" xfId="0" applyNumberFormat="1" applyFill="1" applyBorder="1" applyAlignment="1" applyProtection="1">
      <alignment horizontal="center"/>
      <protection locked="0"/>
    </xf>
    <xf numFmtId="0" fontId="0" fillId="0" borderId="48" xfId="0" applyFill="1" applyBorder="1" applyAlignment="1">
      <alignment horizontal="left"/>
    </xf>
    <xf numFmtId="0" fontId="9" fillId="0" borderId="48" xfId="0" applyFont="1" applyFill="1" applyBorder="1" applyAlignment="1">
      <alignment horizontal="left"/>
    </xf>
    <xf numFmtId="0" fontId="0" fillId="0" borderId="73" xfId="0" applyFill="1" applyBorder="1"/>
    <xf numFmtId="0" fontId="0" fillId="0" borderId="74" xfId="0" applyFill="1" applyBorder="1"/>
    <xf numFmtId="0" fontId="5" fillId="0" borderId="89" xfId="0" applyFont="1" applyFill="1" applyBorder="1" applyAlignment="1">
      <alignment vertical="top" wrapText="1"/>
    </xf>
    <xf numFmtId="164" fontId="5" fillId="0" borderId="91" xfId="0" applyNumberFormat="1" applyFont="1" applyFill="1" applyBorder="1" applyAlignment="1">
      <alignment vertical="top" wrapText="1"/>
    </xf>
    <xf numFmtId="0" fontId="5" fillId="0" borderId="88" xfId="0" applyFont="1" applyFill="1" applyBorder="1" applyAlignment="1">
      <alignment vertical="top" wrapText="1"/>
    </xf>
    <xf numFmtId="0" fontId="9" fillId="0" borderId="0" xfId="0" applyFont="1" applyFill="1"/>
    <xf numFmtId="1" fontId="9" fillId="0" borderId="0" xfId="0" applyNumberFormat="1" applyFont="1" applyFill="1"/>
    <xf numFmtId="2" fontId="0" fillId="0" borderId="0" xfId="0" applyNumberFormat="1" applyFill="1"/>
    <xf numFmtId="0" fontId="8" fillId="0" borderId="0" xfId="0" applyFont="1" applyFill="1"/>
    <xf numFmtId="1" fontId="12" fillId="18" borderId="0" xfId="0" applyNumberFormat="1" applyFont="1" applyFill="1" applyBorder="1" applyAlignment="1">
      <alignment horizontal="center"/>
    </xf>
    <xf numFmtId="165" fontId="12" fillId="18" borderId="0" xfId="0" applyNumberFormat="1" applyFont="1" applyFill="1" applyBorder="1" applyAlignment="1">
      <alignment horizontal="center"/>
    </xf>
    <xf numFmtId="0" fontId="60" fillId="0" borderId="25" xfId="0" applyFont="1" applyBorder="1" applyAlignment="1">
      <alignment horizontal="center"/>
    </xf>
    <xf numFmtId="165" fontId="90" fillId="18" borderId="15" xfId="0" applyNumberFormat="1" applyFont="1" applyFill="1" applyBorder="1" applyAlignment="1">
      <alignment horizontal="center"/>
    </xf>
    <xf numFmtId="0" fontId="0" fillId="75" borderId="36" xfId="0" applyFont="1" applyFill="1" applyBorder="1"/>
    <xf numFmtId="1" fontId="25" fillId="18" borderId="132" xfId="0" applyNumberFormat="1" applyFont="1" applyFill="1" applyBorder="1" applyAlignment="1">
      <alignment horizontal="right"/>
    </xf>
    <xf numFmtId="0" fontId="56" fillId="0" borderId="133" xfId="0" applyFont="1" applyBorder="1" applyAlignment="1">
      <alignment horizontal="right"/>
    </xf>
    <xf numFmtId="1" fontId="25" fillId="18" borderId="18" xfId="0" applyNumberFormat="1" applyFont="1" applyFill="1" applyBorder="1" applyAlignment="1">
      <alignment horizontal="right"/>
    </xf>
    <xf numFmtId="0" fontId="0" fillId="0" borderId="16" xfId="0" applyFont="1" applyBorder="1" applyAlignment="1">
      <alignment horizontal="right"/>
    </xf>
    <xf numFmtId="175" fontId="35" fillId="41" borderId="0" xfId="0" applyNumberFormat="1" applyFont="1" applyFill="1" applyBorder="1" applyAlignment="1">
      <alignment horizontal="center"/>
    </xf>
    <xf numFmtId="0" fontId="0" fillId="45" borderId="34" xfId="0" applyFill="1" applyBorder="1" applyProtection="1"/>
    <xf numFmtId="0" fontId="127" fillId="0" borderId="0" xfId="0" applyFont="1"/>
    <xf numFmtId="0" fontId="95" fillId="45" borderId="37" xfId="0" applyFont="1" applyFill="1" applyBorder="1" applyAlignment="1">
      <alignment horizontal="center"/>
    </xf>
    <xf numFmtId="0" fontId="95" fillId="45" borderId="34" xfId="0" applyFont="1" applyFill="1" applyBorder="1" applyAlignment="1">
      <alignment horizontal="center"/>
    </xf>
    <xf numFmtId="0" fontId="0" fillId="41" borderId="59" xfId="0" applyFont="1" applyFill="1" applyBorder="1"/>
    <xf numFmtId="0" fontId="0" fillId="41" borderId="67" xfId="0" applyFont="1" applyFill="1" applyBorder="1" applyAlignment="1">
      <alignment horizontal="left"/>
    </xf>
    <xf numFmtId="0" fontId="0" fillId="41" borderId="32" xfId="0" applyFont="1" applyFill="1" applyBorder="1" applyAlignment="1">
      <alignment horizontal="left"/>
    </xf>
    <xf numFmtId="0" fontId="0" fillId="79" borderId="41" xfId="0" applyFill="1" applyBorder="1" applyProtection="1"/>
    <xf numFmtId="0" fontId="0" fillId="42" borderId="67" xfId="0" applyFill="1" applyBorder="1" applyProtection="1"/>
    <xf numFmtId="0" fontId="0" fillId="42" borderId="32" xfId="0" applyFill="1" applyBorder="1" applyProtection="1"/>
    <xf numFmtId="0" fontId="0" fillId="46" borderId="67" xfId="0" applyFill="1" applyBorder="1" applyProtection="1"/>
    <xf numFmtId="0" fontId="0" fillId="47" borderId="40" xfId="0" applyFill="1" applyBorder="1" applyProtection="1"/>
    <xf numFmtId="0" fontId="0" fillId="47" borderId="59" xfId="0" applyFill="1" applyBorder="1" applyProtection="1"/>
    <xf numFmtId="0" fontId="0" fillId="46" borderId="32" xfId="0" applyFill="1" applyBorder="1" applyProtection="1"/>
    <xf numFmtId="0" fontId="0" fillId="47" borderId="33" xfId="0" applyFill="1" applyBorder="1" applyProtection="1"/>
    <xf numFmtId="0" fontId="0" fillId="47" borderId="42" xfId="0" applyFill="1" applyBorder="1" applyProtection="1"/>
    <xf numFmtId="164" fontId="0" fillId="0" borderId="44" xfId="0" applyNumberFormat="1" applyFont="1" applyBorder="1" applyProtection="1">
      <protection locked="0"/>
    </xf>
    <xf numFmtId="164" fontId="0" fillId="0" borderId="0" xfId="0" applyNumberFormat="1" applyFont="1" applyBorder="1" applyProtection="1">
      <protection locked="0"/>
    </xf>
    <xf numFmtId="0" fontId="9" fillId="71" borderId="0" xfId="0" applyFont="1" applyFill="1" applyBorder="1" applyAlignment="1">
      <alignment vertical="center"/>
    </xf>
    <xf numFmtId="0" fontId="9" fillId="99" borderId="34" xfId="0" applyFont="1" applyFill="1" applyBorder="1" applyAlignment="1">
      <alignment horizontal="center" vertical="center"/>
    </xf>
    <xf numFmtId="164" fontId="60" fillId="47" borderId="34" xfId="0" applyNumberFormat="1" applyFont="1" applyFill="1" applyBorder="1" applyAlignment="1" applyProtection="1">
      <alignment horizontal="center"/>
    </xf>
    <xf numFmtId="0" fontId="9" fillId="71" borderId="35" xfId="0" applyFont="1" applyFill="1" applyBorder="1" applyAlignment="1">
      <alignment horizontal="center"/>
    </xf>
    <xf numFmtId="0" fontId="0" fillId="71" borderId="34" xfId="0" applyFill="1" applyBorder="1" applyAlignment="1">
      <alignment horizontal="center"/>
    </xf>
    <xf numFmtId="0" fontId="96" fillId="45" borderId="38" xfId="0" applyFont="1" applyFill="1" applyBorder="1" applyAlignment="1">
      <alignment horizontal="left" vertical="center" readingOrder="1"/>
    </xf>
    <xf numFmtId="2" fontId="0" fillId="45" borderId="34" xfId="0" applyNumberFormat="1" applyFill="1" applyBorder="1" applyAlignment="1">
      <alignment horizontal="center"/>
    </xf>
    <xf numFmtId="2" fontId="0" fillId="41" borderId="34" xfId="0" applyNumberFormat="1" applyFont="1" applyFill="1" applyBorder="1" applyAlignment="1">
      <alignment horizontal="center"/>
    </xf>
    <xf numFmtId="2" fontId="9" fillId="47" borderId="34" xfId="0" applyNumberFormat="1" applyFont="1" applyFill="1" applyBorder="1" applyAlignment="1">
      <alignment horizontal="center"/>
    </xf>
    <xf numFmtId="0" fontId="0" fillId="56" borderId="34" xfId="0" applyFill="1" applyBorder="1" applyProtection="1"/>
    <xf numFmtId="2" fontId="0" fillId="45" borderId="37" xfId="0" applyNumberFormat="1" applyFill="1" applyBorder="1"/>
    <xf numFmtId="0" fontId="118" fillId="25" borderId="0" xfId="0" applyFont="1" applyFill="1"/>
    <xf numFmtId="0" fontId="0" fillId="25" borderId="68" xfId="0" applyFill="1" applyBorder="1"/>
    <xf numFmtId="0" fontId="0" fillId="25" borderId="33" xfId="0" applyFill="1" applyBorder="1"/>
    <xf numFmtId="0" fontId="0" fillId="26" borderId="67" xfId="0" applyFill="1" applyBorder="1"/>
    <xf numFmtId="0" fontId="0" fillId="26" borderId="59" xfId="0" applyFill="1" applyBorder="1"/>
    <xf numFmtId="0" fontId="0" fillId="27" borderId="59" xfId="0" applyFill="1" applyBorder="1"/>
    <xf numFmtId="0" fontId="0" fillId="26" borderId="68" xfId="0" applyFill="1" applyBorder="1"/>
    <xf numFmtId="0" fontId="0" fillId="26" borderId="69" xfId="0" applyFill="1" applyBorder="1"/>
    <xf numFmtId="0" fontId="0" fillId="27" borderId="69" xfId="0" applyFill="1" applyBorder="1"/>
    <xf numFmtId="2" fontId="0" fillId="26" borderId="34" xfId="0" applyNumberFormat="1" applyFill="1" applyBorder="1" applyAlignment="1">
      <alignment horizontal="center"/>
    </xf>
    <xf numFmtId="0" fontId="0" fillId="27" borderId="0" xfId="0" applyFill="1" applyAlignment="1">
      <alignment horizontal="center"/>
    </xf>
    <xf numFmtId="0" fontId="0" fillId="26" borderId="34" xfId="0" applyFill="1" applyBorder="1" applyAlignment="1">
      <alignment horizontal="center"/>
    </xf>
    <xf numFmtId="1" fontId="0" fillId="27" borderId="34" xfId="0" applyNumberFormat="1" applyFill="1" applyBorder="1" applyAlignment="1">
      <alignment horizontal="center"/>
    </xf>
    <xf numFmtId="165" fontId="0" fillId="26" borderId="34" xfId="0" applyNumberFormat="1" applyFill="1" applyBorder="1" applyAlignment="1">
      <alignment horizontal="center"/>
    </xf>
    <xf numFmtId="0" fontId="0" fillId="30" borderId="34" xfId="0" applyFill="1" applyBorder="1" applyAlignment="1">
      <alignment horizontal="center"/>
    </xf>
    <xf numFmtId="1" fontId="0" fillId="26" borderId="34" xfId="0" applyNumberFormat="1" applyFill="1" applyBorder="1" applyAlignment="1">
      <alignment horizontal="center"/>
    </xf>
    <xf numFmtId="0" fontId="0" fillId="26" borderId="0" xfId="0" applyFill="1"/>
    <xf numFmtId="0" fontId="0" fillId="26" borderId="32" xfId="0" applyFill="1" applyBorder="1"/>
    <xf numFmtId="0" fontId="0" fillId="26" borderId="33" xfId="0" applyFill="1" applyBorder="1"/>
    <xf numFmtId="0" fontId="0" fillId="26" borderId="42" xfId="0" applyFill="1" applyBorder="1"/>
    <xf numFmtId="0" fontId="0" fillId="27" borderId="42" xfId="0" applyFill="1" applyBorder="1"/>
    <xf numFmtId="0" fontId="9" fillId="27" borderId="40" xfId="0" applyFont="1" applyFill="1" applyBorder="1"/>
    <xf numFmtId="0" fontId="0" fillId="27" borderId="69" xfId="0" applyFill="1" applyBorder="1" applyAlignment="1">
      <alignment horizontal="center"/>
    </xf>
    <xf numFmtId="0" fontId="0" fillId="27" borderId="68" xfId="0" applyFill="1" applyBorder="1" applyAlignment="1">
      <alignment horizontal="right"/>
    </xf>
    <xf numFmtId="0" fontId="0" fillId="30" borderId="34" xfId="0" applyFill="1" applyBorder="1" applyAlignment="1" applyProtection="1">
      <alignment horizontal="center"/>
    </xf>
    <xf numFmtId="0" fontId="8" fillId="27" borderId="69" xfId="0" applyFont="1" applyFill="1" applyBorder="1" applyAlignment="1">
      <alignment horizontal="center"/>
    </xf>
    <xf numFmtId="1" fontId="0" fillId="25" borderId="0" xfId="0" applyNumberFormat="1" applyFill="1"/>
    <xf numFmtId="0" fontId="8" fillId="25" borderId="0" xfId="0" applyFont="1" applyFill="1" applyAlignment="1">
      <alignment horizontal="center"/>
    </xf>
    <xf numFmtId="2" fontId="0" fillId="25" borderId="0" xfId="0" applyNumberFormat="1" applyFill="1"/>
    <xf numFmtId="0" fontId="0" fillId="27" borderId="34" xfId="0" applyFill="1" applyBorder="1" applyAlignment="1">
      <alignment horizontal="right"/>
    </xf>
    <xf numFmtId="0" fontId="0" fillId="25" borderId="34" xfId="0" applyFill="1" applyBorder="1" applyAlignment="1">
      <alignment horizontal="center"/>
    </xf>
    <xf numFmtId="0" fontId="0" fillId="25" borderId="0" xfId="0" applyFill="1" applyAlignment="1">
      <alignment horizontal="center"/>
    </xf>
    <xf numFmtId="1" fontId="0" fillId="25" borderId="0" xfId="0" applyNumberFormat="1" applyFill="1" applyBorder="1" applyAlignment="1">
      <alignment horizontal="left"/>
    </xf>
    <xf numFmtId="0" fontId="0" fillId="25" borderId="0" xfId="0" applyFill="1" applyAlignment="1">
      <alignment horizontal="right"/>
    </xf>
    <xf numFmtId="1" fontId="0" fillId="25" borderId="0" xfId="0" applyNumberFormat="1" applyFill="1" applyBorder="1" applyAlignment="1">
      <alignment horizontal="center"/>
    </xf>
    <xf numFmtId="1" fontId="0" fillId="25" borderId="34" xfId="0" applyNumberFormat="1" applyFill="1" applyBorder="1" applyAlignment="1">
      <alignment horizontal="center"/>
    </xf>
    <xf numFmtId="0" fontId="0" fillId="25" borderId="0" xfId="0" applyFill="1" applyAlignment="1">
      <alignment horizontal="left"/>
    </xf>
    <xf numFmtId="1" fontId="0" fillId="25" borderId="0" xfId="0" applyNumberFormat="1" applyFill="1" applyAlignment="1">
      <alignment horizontal="center"/>
    </xf>
    <xf numFmtId="0" fontId="0" fillId="25" borderId="38" xfId="0" applyFill="1" applyBorder="1" applyAlignment="1">
      <alignment horizontal="center"/>
    </xf>
    <xf numFmtId="1" fontId="0" fillId="25" borderId="41" xfId="0" applyNumberFormat="1" applyFill="1" applyBorder="1" applyAlignment="1">
      <alignment horizontal="center"/>
    </xf>
    <xf numFmtId="0" fontId="0" fillId="25" borderId="36" xfId="0" applyFill="1" applyBorder="1" applyAlignment="1">
      <alignment horizontal="center"/>
    </xf>
    <xf numFmtId="0" fontId="0" fillId="25" borderId="41" xfId="0" applyFill="1" applyBorder="1" applyAlignment="1">
      <alignment horizontal="center"/>
    </xf>
    <xf numFmtId="0" fontId="0" fillId="25" borderId="36" xfId="0" applyFill="1" applyBorder="1"/>
    <xf numFmtId="0" fontId="0" fillId="25" borderId="35" xfId="0" applyFill="1" applyBorder="1" applyAlignment="1">
      <alignment horizontal="center"/>
    </xf>
    <xf numFmtId="1" fontId="0" fillId="25" borderId="33" xfId="0" applyNumberFormat="1" applyFill="1" applyBorder="1" applyAlignment="1">
      <alignment horizontal="center"/>
    </xf>
    <xf numFmtId="0" fontId="0" fillId="25" borderId="37" xfId="0" applyFill="1" applyBorder="1" applyAlignment="1">
      <alignment horizontal="center"/>
    </xf>
    <xf numFmtId="2" fontId="0" fillId="25" borderId="35" xfId="0" applyNumberFormat="1" applyFill="1" applyBorder="1" applyAlignment="1">
      <alignment horizontal="center"/>
    </xf>
    <xf numFmtId="165" fontId="0" fillId="25" borderId="35" xfId="0" applyNumberFormat="1" applyFill="1" applyBorder="1" applyAlignment="1">
      <alignment horizontal="center"/>
    </xf>
    <xf numFmtId="2" fontId="0" fillId="25" borderId="34" xfId="0" applyNumberFormat="1" applyFill="1" applyBorder="1" applyAlignment="1">
      <alignment horizontal="center"/>
    </xf>
    <xf numFmtId="165" fontId="0" fillId="25" borderId="34" xfId="0" applyNumberFormat="1" applyFill="1" applyBorder="1" applyAlignment="1">
      <alignment horizontal="center"/>
    </xf>
    <xf numFmtId="165" fontId="0" fillId="25" borderId="0" xfId="0" applyNumberFormat="1" applyFill="1" applyAlignment="1">
      <alignment horizontal="center"/>
    </xf>
    <xf numFmtId="0" fontId="0" fillId="27" borderId="67" xfId="0" applyFill="1" applyBorder="1" applyAlignment="1">
      <alignment horizontal="left"/>
    </xf>
    <xf numFmtId="0" fontId="8" fillId="27" borderId="33" xfId="0" applyFont="1" applyFill="1" applyBorder="1" applyAlignment="1">
      <alignment horizontal="center"/>
    </xf>
    <xf numFmtId="0" fontId="0" fillId="25" borderId="38" xfId="0" applyFill="1" applyBorder="1"/>
    <xf numFmtId="1" fontId="115" fillId="25" borderId="34" xfId="0" applyNumberFormat="1" applyFont="1" applyFill="1" applyBorder="1" applyAlignment="1">
      <alignment horizontal="center"/>
    </xf>
    <xf numFmtId="1" fontId="115" fillId="25" borderId="0" xfId="0" applyNumberFormat="1" applyFont="1" applyFill="1" applyBorder="1" applyAlignment="1">
      <alignment horizontal="center"/>
    </xf>
    <xf numFmtId="1" fontId="115" fillId="0" borderId="0" xfId="0" applyNumberFormat="1" applyFont="1" applyFill="1" applyBorder="1" applyAlignment="1">
      <alignment horizontal="center"/>
    </xf>
    <xf numFmtId="0" fontId="7" fillId="27" borderId="34" xfId="0" applyFont="1" applyFill="1" applyBorder="1"/>
    <xf numFmtId="0" fontId="7" fillId="27" borderId="0" xfId="0" applyFont="1" applyFill="1" applyBorder="1"/>
    <xf numFmtId="0" fontId="7" fillId="27" borderId="0" xfId="0" applyFont="1" applyFill="1" applyBorder="1" applyAlignment="1">
      <alignment horizontal="center"/>
    </xf>
    <xf numFmtId="1" fontId="0" fillId="27" borderId="0" xfId="0" applyNumberFormat="1" applyFill="1" applyBorder="1" applyAlignment="1">
      <alignment horizontal="center"/>
    </xf>
    <xf numFmtId="0" fontId="0" fillId="27" borderId="41" xfId="0" applyFill="1" applyBorder="1"/>
    <xf numFmtId="0" fontId="0" fillId="27" borderId="41" xfId="0" applyFill="1" applyBorder="1" applyAlignment="1">
      <alignment horizontal="center"/>
    </xf>
    <xf numFmtId="0" fontId="0" fillId="27" borderId="35" xfId="0" applyFill="1" applyBorder="1" applyAlignment="1">
      <alignment horizontal="center"/>
    </xf>
    <xf numFmtId="1" fontId="0" fillId="27" borderId="35" xfId="0" applyNumberFormat="1" applyFill="1" applyBorder="1" applyAlignment="1">
      <alignment horizontal="center"/>
    </xf>
    <xf numFmtId="0" fontId="9" fillId="28" borderId="67" xfId="0" applyFont="1" applyFill="1" applyBorder="1"/>
    <xf numFmtId="0" fontId="0" fillId="28" borderId="40" xfId="0" applyFill="1" applyBorder="1"/>
    <xf numFmtId="0" fontId="0" fillId="28" borderId="59" xfId="0" applyFill="1" applyBorder="1"/>
    <xf numFmtId="0" fontId="9" fillId="27" borderId="67" xfId="0" applyFont="1" applyFill="1" applyBorder="1"/>
    <xf numFmtId="0" fontId="3" fillId="27" borderId="0" xfId="0" applyFont="1" applyFill="1" applyBorder="1"/>
    <xf numFmtId="0" fontId="0" fillId="28" borderId="68" xfId="0" applyFill="1" applyBorder="1"/>
    <xf numFmtId="0" fontId="0" fillId="28" borderId="0" xfId="0" applyFill="1" applyBorder="1"/>
    <xf numFmtId="0" fontId="0" fillId="28" borderId="69" xfId="0" applyFill="1" applyBorder="1"/>
    <xf numFmtId="0" fontId="3" fillId="27" borderId="68" xfId="0" applyFont="1" applyFill="1" applyBorder="1"/>
    <xf numFmtId="0" fontId="0" fillId="28" borderId="0" xfId="0" applyFill="1" applyBorder="1" applyAlignment="1">
      <alignment horizontal="right"/>
    </xf>
    <xf numFmtId="0" fontId="8" fillId="28" borderId="69" xfId="0" applyFont="1" applyFill="1" applyBorder="1" applyAlignment="1">
      <alignment horizontal="center"/>
    </xf>
    <xf numFmtId="0" fontId="8" fillId="25" borderId="0" xfId="0" applyFont="1" applyFill="1" applyBorder="1" applyAlignment="1">
      <alignment horizontal="center"/>
    </xf>
    <xf numFmtId="0" fontId="24" fillId="28" borderId="0" xfId="0" applyFont="1" applyFill="1" applyBorder="1"/>
    <xf numFmtId="1" fontId="24" fillId="28" borderId="0" xfId="0" applyNumberFormat="1" applyFont="1" applyFill="1" applyBorder="1" applyAlignment="1">
      <alignment horizontal="center"/>
    </xf>
    <xf numFmtId="0" fontId="0" fillId="27" borderId="68" xfId="0" applyFill="1" applyBorder="1" applyAlignment="1">
      <alignment horizontal="left"/>
    </xf>
    <xf numFmtId="0" fontId="0" fillId="28" borderId="32" xfId="0" applyFill="1" applyBorder="1"/>
    <xf numFmtId="0" fontId="0" fillId="28" borderId="33" xfId="0" applyFill="1" applyBorder="1"/>
    <xf numFmtId="0" fontId="0" fillId="28" borderId="42" xfId="0" applyFill="1" applyBorder="1"/>
    <xf numFmtId="0" fontId="0" fillId="25" borderId="0" xfId="0" applyFill="1" applyBorder="1" applyAlignment="1">
      <alignment horizontal="center"/>
    </xf>
    <xf numFmtId="0" fontId="0" fillId="25" borderId="0" xfId="0" applyFill="1" applyBorder="1" applyAlignment="1">
      <alignment horizontal="right"/>
    </xf>
    <xf numFmtId="0" fontId="0" fillId="25" borderId="0" xfId="0" applyFill="1" applyBorder="1" applyAlignment="1">
      <alignment horizontal="left"/>
    </xf>
    <xf numFmtId="1" fontId="0" fillId="25" borderId="0" xfId="0" applyNumberFormat="1" applyFill="1" applyBorder="1"/>
    <xf numFmtId="1" fontId="0" fillId="25" borderId="37" xfId="0" applyNumberFormat="1" applyFill="1" applyBorder="1" applyAlignment="1">
      <alignment horizontal="center"/>
    </xf>
    <xf numFmtId="165" fontId="0" fillId="25" borderId="0" xfId="0" applyNumberFormat="1" applyFill="1" applyBorder="1" applyAlignment="1">
      <alignment horizontal="center"/>
    </xf>
    <xf numFmtId="2" fontId="0" fillId="25" borderId="0" xfId="0" applyNumberFormat="1" applyFill="1" applyBorder="1" applyAlignment="1">
      <alignment horizontal="center"/>
    </xf>
    <xf numFmtId="1" fontId="0" fillId="25" borderId="35" xfId="0" applyNumberFormat="1" applyFill="1" applyBorder="1" applyAlignment="1">
      <alignment horizontal="center"/>
    </xf>
    <xf numFmtId="173" fontId="0" fillId="47" borderId="0" xfId="0" applyNumberFormat="1" applyFill="1" applyBorder="1" applyAlignment="1" applyProtection="1">
      <alignment horizontal="center"/>
      <protection locked="0"/>
    </xf>
    <xf numFmtId="173" fontId="0" fillId="93" borderId="0" xfId="0" applyNumberFormat="1" applyFill="1" applyBorder="1" applyAlignment="1">
      <alignment horizontal="center"/>
    </xf>
    <xf numFmtId="0" fontId="0" fillId="41" borderId="36" xfId="0" applyFont="1" applyFill="1" applyBorder="1" applyAlignment="1">
      <alignment horizontal="left"/>
    </xf>
    <xf numFmtId="0" fontId="0" fillId="41" borderId="0" xfId="0" applyFont="1" applyFill="1" applyBorder="1" applyAlignment="1">
      <alignment horizontal="left"/>
    </xf>
    <xf numFmtId="0" fontId="0" fillId="41" borderId="40" xfId="0" applyFont="1" applyFill="1" applyBorder="1" applyAlignment="1">
      <alignment horizontal="left"/>
    </xf>
    <xf numFmtId="0" fontId="0" fillId="38" borderId="34" xfId="0" applyFont="1" applyFill="1" applyBorder="1" applyAlignment="1">
      <alignment horizontal="center"/>
    </xf>
    <xf numFmtId="2" fontId="0" fillId="58" borderId="34" xfId="0" applyNumberFormat="1" applyFont="1" applyFill="1" applyBorder="1"/>
    <xf numFmtId="0" fontId="0" fillId="58" borderId="34" xfId="0" applyFont="1" applyFill="1" applyBorder="1"/>
    <xf numFmtId="0" fontId="0" fillId="43" borderId="34" xfId="0" applyFont="1" applyFill="1" applyBorder="1"/>
    <xf numFmtId="0" fontId="0" fillId="63" borderId="34" xfId="0" applyFont="1" applyFill="1" applyBorder="1" applyAlignment="1">
      <alignment horizontal="center"/>
    </xf>
    <xf numFmtId="0" fontId="0" fillId="77" borderId="34" xfId="0" applyFont="1" applyFill="1" applyBorder="1" applyAlignment="1">
      <alignment horizontal="center"/>
    </xf>
    <xf numFmtId="0" fontId="0" fillId="60" borderId="34" xfId="0" applyFont="1" applyFill="1" applyBorder="1" applyAlignment="1" applyProtection="1">
      <alignment horizontal="center"/>
      <protection locked="0"/>
    </xf>
    <xf numFmtId="0" fontId="128" fillId="60" borderId="35" xfId="0" applyFont="1" applyFill="1" applyBorder="1"/>
    <xf numFmtId="0" fontId="7" fillId="41" borderId="36" xfId="0" applyFont="1" applyFill="1" applyBorder="1"/>
    <xf numFmtId="0" fontId="0" fillId="38" borderId="34" xfId="0" applyFill="1" applyBorder="1"/>
    <xf numFmtId="0" fontId="24" fillId="60" borderId="35" xfId="0" applyFont="1" applyFill="1" applyBorder="1"/>
    <xf numFmtId="0" fontId="0" fillId="41" borderId="42" xfId="0" applyFont="1" applyFill="1" applyBorder="1" applyAlignment="1">
      <alignment horizontal="center" vertical="top"/>
    </xf>
    <xf numFmtId="0" fontId="0" fillId="41" borderId="35" xfId="0" applyFont="1" applyFill="1" applyBorder="1" applyAlignment="1">
      <alignment horizontal="left" wrapText="1"/>
    </xf>
    <xf numFmtId="0" fontId="104" fillId="41" borderId="40" xfId="0" applyFont="1" applyFill="1" applyBorder="1"/>
    <xf numFmtId="0" fontId="104" fillId="41" borderId="59" xfId="0" applyFont="1" applyFill="1" applyBorder="1"/>
    <xf numFmtId="0" fontId="0" fillId="60" borderId="0" xfId="0" applyFont="1" applyFill="1" applyBorder="1" applyAlignment="1" applyProtection="1">
      <alignment horizontal="center"/>
      <protection locked="0"/>
    </xf>
    <xf numFmtId="0" fontId="60" fillId="59" borderId="38" xfId="0" applyFont="1" applyFill="1" applyBorder="1" applyProtection="1"/>
    <xf numFmtId="2" fontId="0" fillId="41" borderId="0" xfId="0" applyNumberFormat="1" applyFill="1" applyBorder="1"/>
    <xf numFmtId="0" fontId="0" fillId="78" borderId="0" xfId="0" applyFill="1" applyBorder="1" applyAlignment="1">
      <alignment horizontal="center"/>
    </xf>
    <xf numFmtId="0" fontId="0" fillId="18" borderId="34" xfId="0" applyFill="1" applyBorder="1" applyAlignment="1">
      <alignment horizontal="right"/>
    </xf>
    <xf numFmtId="0" fontId="0" fillId="25" borderId="34" xfId="0" applyFill="1" applyBorder="1"/>
    <xf numFmtId="0" fontId="9" fillId="25" borderId="38" xfId="0" applyFont="1" applyFill="1" applyBorder="1"/>
    <xf numFmtId="0" fontId="9" fillId="18" borderId="38" xfId="0" applyFont="1" applyFill="1" applyBorder="1"/>
    <xf numFmtId="0" fontId="87" fillId="18" borderId="38" xfId="0" applyFont="1" applyFill="1" applyBorder="1"/>
    <xf numFmtId="0" fontId="0" fillId="45" borderId="34" xfId="0" applyFont="1" applyFill="1" applyBorder="1" applyAlignment="1" applyProtection="1">
      <alignment horizontal="center"/>
    </xf>
    <xf numFmtId="0" fontId="0" fillId="20" borderId="18" xfId="0" applyFill="1" applyBorder="1" applyAlignment="1" applyProtection="1">
      <alignment horizontal="center"/>
      <protection locked="0"/>
    </xf>
    <xf numFmtId="0" fontId="0" fillId="19" borderId="0" xfId="0" applyFill="1"/>
    <xf numFmtId="0" fontId="12" fillId="19" borderId="0" xfId="0" applyFont="1" applyFill="1"/>
    <xf numFmtId="0" fontId="129" fillId="19" borderId="0" xfId="0" applyFont="1" applyFill="1"/>
    <xf numFmtId="0" fontId="0" fillId="19" borderId="0" xfId="0" applyFill="1" applyAlignment="1">
      <alignment horizontal="left"/>
    </xf>
    <xf numFmtId="0" fontId="0" fillId="22" borderId="0" xfId="0" applyFill="1"/>
    <xf numFmtId="0" fontId="0" fillId="19" borderId="135" xfId="0" applyFill="1" applyBorder="1"/>
    <xf numFmtId="0" fontId="9" fillId="22" borderId="0" xfId="0" applyFont="1" applyFill="1" applyAlignment="1">
      <alignment horizontal="center"/>
    </xf>
    <xf numFmtId="0" fontId="7" fillId="19" borderId="143" xfId="0" applyFont="1" applyFill="1" applyBorder="1"/>
    <xf numFmtId="0" fontId="7" fillId="19" borderId="143" xfId="0" applyFont="1" applyFill="1" applyBorder="1" applyAlignment="1">
      <alignment horizontal="center"/>
    </xf>
    <xf numFmtId="0" fontId="7" fillId="22" borderId="0" xfId="0" applyFont="1" applyFill="1"/>
    <xf numFmtId="0" fontId="7" fillId="19" borderId="93" xfId="0" applyFont="1" applyFill="1" applyBorder="1"/>
    <xf numFmtId="0" fontId="7" fillId="19" borderId="93" xfId="0" applyFont="1" applyFill="1" applyBorder="1" applyAlignment="1">
      <alignment horizontal="center"/>
    </xf>
    <xf numFmtId="0" fontId="7" fillId="19" borderId="90" xfId="0" applyFont="1" applyFill="1" applyBorder="1"/>
    <xf numFmtId="0" fontId="0" fillId="19" borderId="90" xfId="0" applyFont="1" applyFill="1" applyBorder="1"/>
    <xf numFmtId="0" fontId="0" fillId="19" borderId="88" xfId="0" applyFont="1" applyFill="1" applyBorder="1"/>
    <xf numFmtId="0" fontId="0" fillId="22" borderId="0" xfId="0" applyFont="1" applyFill="1"/>
    <xf numFmtId="0" fontId="0" fillId="19" borderId="0" xfId="0" applyFont="1" applyFill="1"/>
    <xf numFmtId="0" fontId="0" fillId="19" borderId="0" xfId="0" applyFill="1" applyAlignment="1">
      <alignment horizontal="center"/>
    </xf>
    <xf numFmtId="0" fontId="0" fillId="19" borderId="88" xfId="0" applyFill="1" applyBorder="1"/>
    <xf numFmtId="0" fontId="9" fillId="100" borderId="0" xfId="0" applyFont="1" applyFill="1" applyAlignment="1">
      <alignment horizontal="center"/>
    </xf>
    <xf numFmtId="0" fontId="25" fillId="38" borderId="16" xfId="0" applyFont="1" applyFill="1" applyBorder="1" applyProtection="1"/>
    <xf numFmtId="0" fontId="9" fillId="19" borderId="38" xfId="0" applyFont="1" applyFill="1" applyBorder="1"/>
    <xf numFmtId="0" fontId="9" fillId="82" borderId="34" xfId="0" applyFont="1" applyFill="1" applyBorder="1"/>
    <xf numFmtId="0" fontId="9" fillId="82" borderId="39" xfId="0" applyFont="1" applyFill="1" applyBorder="1"/>
    <xf numFmtId="0" fontId="0" fillId="74" borderId="0" xfId="0" applyFill="1"/>
    <xf numFmtId="0" fontId="9" fillId="75" borderId="34" xfId="0" applyFont="1" applyFill="1" applyBorder="1"/>
    <xf numFmtId="0" fontId="9" fillId="74" borderId="34" xfId="0" applyFont="1" applyFill="1" applyBorder="1"/>
    <xf numFmtId="0" fontId="0" fillId="82" borderId="34" xfId="0" applyFill="1" applyBorder="1"/>
    <xf numFmtId="0" fontId="9" fillId="0" borderId="34" xfId="0" applyFont="1" applyBorder="1"/>
    <xf numFmtId="0" fontId="9" fillId="51" borderId="34" xfId="0" applyFont="1" applyFill="1" applyBorder="1" applyAlignment="1">
      <alignment horizontal="center"/>
    </xf>
    <xf numFmtId="0" fontId="9" fillId="0" borderId="34" xfId="0" applyNumberFormat="1" applyFont="1" applyBorder="1"/>
    <xf numFmtId="0" fontId="0" fillId="0" borderId="34" xfId="0" applyBorder="1" applyAlignment="1">
      <alignment horizontal="right"/>
    </xf>
    <xf numFmtId="1" fontId="0" fillId="51" borderId="34" xfId="0" applyNumberFormat="1" applyFill="1" applyBorder="1" applyAlignment="1">
      <alignment horizontal="right"/>
    </xf>
    <xf numFmtId="0" fontId="0" fillId="51" borderId="34" xfId="0" applyFill="1" applyBorder="1" applyAlignment="1">
      <alignment horizontal="right"/>
    </xf>
    <xf numFmtId="0" fontId="0" fillId="51" borderId="34" xfId="0" applyNumberFormat="1" applyFill="1" applyBorder="1" applyAlignment="1">
      <alignment horizontal="right"/>
    </xf>
    <xf numFmtId="0" fontId="9" fillId="0" borderId="34" xfId="0" applyNumberFormat="1" applyFont="1" applyBorder="1" applyAlignment="1">
      <alignment horizontal="center"/>
    </xf>
    <xf numFmtId="1" fontId="0" fillId="46" borderId="0" xfId="0" applyNumberFormat="1" applyFill="1"/>
    <xf numFmtId="0" fontId="9" fillId="19" borderId="134" xfId="0" applyFont="1" applyFill="1" applyBorder="1" applyAlignment="1">
      <alignment horizontal="center"/>
    </xf>
    <xf numFmtId="0" fontId="9" fillId="19" borderId="91" xfId="0" applyFont="1" applyFill="1" applyBorder="1" applyAlignment="1">
      <alignment horizontal="center"/>
    </xf>
    <xf numFmtId="0" fontId="7" fillId="0" borderId="0" xfId="0" applyFont="1" applyBorder="1"/>
    <xf numFmtId="164" fontId="7" fillId="0" borderId="0" xfId="0" applyNumberFormat="1" applyFont="1" applyBorder="1" applyAlignment="1">
      <alignment horizontal="center"/>
    </xf>
    <xf numFmtId="2" fontId="7" fillId="0" borderId="0" xfId="0" applyNumberFormat="1" applyFont="1" applyFill="1" applyBorder="1" applyAlignment="1">
      <alignment horizontal="center"/>
    </xf>
    <xf numFmtId="2" fontId="7" fillId="0" borderId="0" xfId="0" applyNumberFormat="1" applyFont="1" applyBorder="1" applyAlignment="1">
      <alignment horizontal="center"/>
    </xf>
    <xf numFmtId="0" fontId="7" fillId="0" borderId="0" xfId="0" applyFont="1" applyBorder="1" applyAlignment="1">
      <alignment horizontal="center"/>
    </xf>
    <xf numFmtId="0" fontId="131" fillId="0" borderId="0" xfId="0" applyFont="1" applyAlignment="1">
      <alignment horizontal="center"/>
    </xf>
    <xf numFmtId="0" fontId="131" fillId="25" borderId="0" xfId="0" applyFont="1" applyFill="1" applyBorder="1" applyAlignment="1">
      <alignment horizontal="center"/>
    </xf>
    <xf numFmtId="164" fontId="7" fillId="0" borderId="0" xfId="0" applyNumberFormat="1" applyFont="1" applyFill="1" applyBorder="1" applyAlignment="1">
      <alignment horizontal="center"/>
    </xf>
    <xf numFmtId="0" fontId="7" fillId="0" borderId="0" xfId="0" applyFont="1" applyFill="1" applyBorder="1" applyAlignment="1">
      <alignment horizontal="center"/>
    </xf>
    <xf numFmtId="164" fontId="0" fillId="0" borderId="0" xfId="0" applyNumberFormat="1" applyAlignment="1">
      <alignment horizontal="center"/>
    </xf>
    <xf numFmtId="164" fontId="7" fillId="0" borderId="0" xfId="0" applyNumberFormat="1" applyFont="1" applyBorder="1" applyAlignment="1">
      <alignment horizontal="left"/>
    </xf>
    <xf numFmtId="178" fontId="0" fillId="0" borderId="0" xfId="0" applyNumberFormat="1"/>
    <xf numFmtId="0" fontId="135" fillId="0" borderId="0" xfId="0" applyFont="1"/>
    <xf numFmtId="0" fontId="5" fillId="0" borderId="0" xfId="0" applyFont="1" applyFill="1" applyBorder="1" applyAlignment="1">
      <alignment horizontal="left"/>
    </xf>
    <xf numFmtId="164" fontId="7" fillId="101" borderId="0" xfId="0" applyNumberFormat="1" applyFont="1" applyFill="1" applyAlignment="1">
      <alignment horizontal="center"/>
    </xf>
    <xf numFmtId="164" fontId="7" fillId="0" borderId="70" xfId="0" applyNumberFormat="1" applyFont="1" applyBorder="1" applyAlignment="1">
      <alignment horizontal="center"/>
    </xf>
    <xf numFmtId="0" fontId="28" fillId="0" borderId="71" xfId="0" applyFont="1" applyBorder="1"/>
    <xf numFmtId="0" fontId="5" fillId="0" borderId="71" xfId="0" applyFont="1" applyFill="1" applyBorder="1" applyAlignment="1">
      <alignment horizontal="center"/>
    </xf>
    <xf numFmtId="164" fontId="0" fillId="0" borderId="71" xfId="0" applyNumberFormat="1" applyFont="1" applyBorder="1" applyAlignment="1">
      <alignment horizontal="center"/>
    </xf>
    <xf numFmtId="178" fontId="0" fillId="0" borderId="71" xfId="0" applyNumberFormat="1" applyFont="1" applyBorder="1"/>
    <xf numFmtId="178" fontId="0" fillId="0" borderId="72" xfId="0" applyNumberFormat="1" applyFont="1" applyBorder="1"/>
    <xf numFmtId="164" fontId="7" fillId="0" borderId="48" xfId="0" applyNumberFormat="1" applyFont="1" applyBorder="1" applyAlignment="1">
      <alignment horizontal="center"/>
    </xf>
    <xf numFmtId="1" fontId="12" fillId="0" borderId="0" xfId="0" applyNumberFormat="1" applyFont="1" applyBorder="1" applyAlignment="1">
      <alignment horizontal="center"/>
    </xf>
    <xf numFmtId="1" fontId="12" fillId="0" borderId="0" xfId="0" applyNumberFormat="1" applyFont="1" applyBorder="1"/>
    <xf numFmtId="1" fontId="12" fillId="0" borderId="60" xfId="0" applyNumberFormat="1" applyFont="1" applyBorder="1"/>
    <xf numFmtId="0" fontId="132" fillId="0" borderId="0" xfId="0" applyFont="1" applyAlignment="1">
      <alignment horizontal="left"/>
    </xf>
    <xf numFmtId="0" fontId="0" fillId="0" borderId="73" xfId="0" applyBorder="1"/>
    <xf numFmtId="164" fontId="7" fillId="0" borderId="74" xfId="0" applyNumberFormat="1" applyFont="1" applyFill="1" applyBorder="1" applyAlignment="1">
      <alignment horizontal="center"/>
    </xf>
    <xf numFmtId="0" fontId="7" fillId="0" borderId="74" xfId="0" applyFont="1" applyBorder="1"/>
    <xf numFmtId="1" fontId="12" fillId="0" borderId="74" xfId="0" applyNumberFormat="1" applyFont="1" applyBorder="1" applyAlignment="1">
      <alignment horizontal="center"/>
    </xf>
    <xf numFmtId="1" fontId="12" fillId="0" borderId="74" xfId="0" applyNumberFormat="1" applyFont="1" applyBorder="1"/>
    <xf numFmtId="0" fontId="131" fillId="0" borderId="0" xfId="0" applyFont="1" applyAlignment="1">
      <alignment horizontal="left"/>
    </xf>
    <xf numFmtId="165" fontId="7" fillId="0" borderId="0" xfId="0" applyNumberFormat="1" applyFont="1" applyFill="1" applyBorder="1" applyAlignment="1">
      <alignment horizontal="center"/>
    </xf>
    <xf numFmtId="1" fontId="7" fillId="0" borderId="0" xfId="0" applyNumberFormat="1" applyFont="1" applyBorder="1" applyAlignment="1">
      <alignment horizontal="center"/>
    </xf>
    <xf numFmtId="165" fontId="7" fillId="0" borderId="0" xfId="0" applyNumberFormat="1" applyFont="1" applyBorder="1" applyAlignment="1">
      <alignment horizontal="center"/>
    </xf>
    <xf numFmtId="0" fontId="131" fillId="0" borderId="0" xfId="0" applyFont="1"/>
    <xf numFmtId="0" fontId="7" fillId="30" borderId="0" xfId="0" applyFont="1" applyFill="1" applyBorder="1" applyAlignment="1">
      <alignment horizontal="center"/>
    </xf>
    <xf numFmtId="181" fontId="7" fillId="30" borderId="0" xfId="0" applyNumberFormat="1" applyFont="1" applyFill="1" applyBorder="1" applyAlignment="1">
      <alignment horizontal="center"/>
    </xf>
    <xf numFmtId="0" fontId="130" fillId="0" borderId="0" xfId="0" applyFont="1" applyBorder="1" applyAlignment="1">
      <alignment horizontal="left"/>
    </xf>
    <xf numFmtId="0" fontId="130" fillId="0" borderId="0" xfId="0" applyFont="1" applyFill="1" applyBorder="1"/>
    <xf numFmtId="164" fontId="7" fillId="30" borderId="0" xfId="0" applyNumberFormat="1" applyFont="1" applyFill="1" applyBorder="1" applyAlignment="1">
      <alignment horizontal="center"/>
    </xf>
    <xf numFmtId="0" fontId="7" fillId="25" borderId="0" xfId="0" applyFont="1" applyFill="1" applyBorder="1"/>
    <xf numFmtId="0" fontId="132" fillId="0" borderId="0" xfId="0" applyFont="1" applyFill="1" applyBorder="1" applyAlignment="1">
      <alignment horizontal="center"/>
    </xf>
    <xf numFmtId="0" fontId="131" fillId="0" borderId="0" xfId="0" applyFont="1" applyFill="1" applyBorder="1" applyAlignment="1">
      <alignment horizontal="center"/>
    </xf>
    <xf numFmtId="0" fontId="131" fillId="0" borderId="0" xfId="0" applyFont="1" applyAlignment="1">
      <alignment horizontal="center" vertical="center"/>
    </xf>
    <xf numFmtId="0" fontId="7" fillId="0" borderId="0" xfId="0" applyFont="1" applyFill="1" applyBorder="1" applyAlignment="1">
      <alignment horizontal="right"/>
    </xf>
    <xf numFmtId="164" fontId="7" fillId="0" borderId="0" xfId="0" applyNumberFormat="1" applyFont="1" applyAlignment="1">
      <alignment horizontal="center"/>
    </xf>
    <xf numFmtId="0" fontId="7" fillId="0" borderId="0" xfId="0" applyFont="1" applyAlignment="1">
      <alignment horizontal="center"/>
    </xf>
    <xf numFmtId="164" fontId="12" fillId="0" borderId="0" xfId="0" applyNumberFormat="1" applyFont="1" applyFill="1" applyBorder="1"/>
    <xf numFmtId="164" fontId="7" fillId="0" borderId="0" xfId="0" applyNumberFormat="1" applyFont="1" applyFill="1" applyBorder="1"/>
    <xf numFmtId="0" fontId="25" fillId="0" borderId="0" xfId="0" applyFont="1"/>
    <xf numFmtId="0" fontId="139" fillId="0" borderId="0" xfId="0" applyFont="1" applyBorder="1"/>
    <xf numFmtId="0" fontId="131" fillId="0" borderId="0" xfId="0" applyFont="1" applyFill="1" applyAlignment="1">
      <alignment horizontal="center"/>
    </xf>
    <xf numFmtId="0" fontId="0" fillId="20" borderId="16" xfId="0" applyFont="1" applyFill="1" applyBorder="1"/>
    <xf numFmtId="0" fontId="0" fillId="59" borderId="34" xfId="0" applyFont="1" applyFill="1" applyBorder="1" applyAlignment="1">
      <alignment horizontal="center"/>
    </xf>
    <xf numFmtId="0" fontId="0" fillId="41" borderId="38" xfId="0" applyFont="1" applyFill="1" applyBorder="1"/>
    <xf numFmtId="0" fontId="22" fillId="46" borderId="0" xfId="0" applyFont="1" applyFill="1"/>
    <xf numFmtId="0" fontId="0" fillId="46" borderId="18" xfId="0" applyFont="1" applyFill="1" applyBorder="1"/>
    <xf numFmtId="0" fontId="0" fillId="46" borderId="19" xfId="0" applyFill="1" applyBorder="1"/>
    <xf numFmtId="0" fontId="0" fillId="46" borderId="16" xfId="0" applyFont="1" applyFill="1" applyBorder="1"/>
    <xf numFmtId="0" fontId="0" fillId="46" borderId="41" xfId="0" applyFont="1" applyFill="1" applyBorder="1"/>
    <xf numFmtId="0" fontId="0" fillId="46" borderId="59" xfId="0" applyFont="1" applyFill="1" applyBorder="1"/>
    <xf numFmtId="0" fontId="0" fillId="46" borderId="17" xfId="0" applyFont="1" applyFill="1" applyBorder="1"/>
    <xf numFmtId="0" fontId="0" fillId="46" borderId="21" xfId="0" applyFill="1" applyBorder="1"/>
    <xf numFmtId="0" fontId="0" fillId="46" borderId="134" xfId="0" applyFont="1" applyFill="1" applyBorder="1" applyAlignment="1" applyProtection="1">
      <alignment horizontal="center"/>
      <protection locked="0"/>
    </xf>
    <xf numFmtId="0" fontId="9" fillId="46" borderId="12" xfId="0" applyFont="1" applyFill="1" applyBorder="1"/>
    <xf numFmtId="0" fontId="0" fillId="46" borderId="13" xfId="0" applyFont="1" applyFill="1" applyBorder="1"/>
    <xf numFmtId="1" fontId="9" fillId="46" borderId="140" xfId="0" applyNumberFormat="1" applyFont="1" applyFill="1" applyBorder="1" applyAlignment="1">
      <alignment horizontal="center"/>
    </xf>
    <xf numFmtId="0" fontId="0" fillId="46" borderId="59" xfId="0" applyFont="1" applyFill="1" applyBorder="1" applyAlignment="1">
      <alignment horizontal="center"/>
    </xf>
    <xf numFmtId="0" fontId="0" fillId="47" borderId="42" xfId="0" applyFill="1" applyBorder="1" applyAlignment="1">
      <alignment horizontal="center"/>
    </xf>
    <xf numFmtId="0" fontId="0" fillId="47" borderId="92" xfId="0" applyFill="1" applyBorder="1" applyAlignment="1"/>
    <xf numFmtId="0" fontId="0" fillId="47" borderId="135" xfId="0" applyFill="1" applyBorder="1" applyAlignment="1"/>
    <xf numFmtId="0" fontId="0" fillId="47" borderId="18" xfId="0" applyFont="1" applyFill="1" applyBorder="1"/>
    <xf numFmtId="0" fontId="14" fillId="47" borderId="92" xfId="0" applyFont="1" applyFill="1" applyBorder="1" applyAlignment="1"/>
    <xf numFmtId="16" fontId="0" fillId="47" borderId="18" xfId="0" applyNumberFormat="1" applyFont="1" applyFill="1" applyBorder="1"/>
    <xf numFmtId="0" fontId="9" fillId="47" borderId="0" xfId="0" applyFont="1" applyFill="1"/>
    <xf numFmtId="0" fontId="4" fillId="47" borderId="0" xfId="0" applyFont="1" applyFill="1" applyBorder="1" applyAlignment="1" applyProtection="1">
      <protection locked="0"/>
    </xf>
    <xf numFmtId="0" fontId="4" fillId="47" borderId="0" xfId="0" applyFont="1" applyFill="1" applyBorder="1" applyAlignment="1"/>
    <xf numFmtId="0" fontId="0" fillId="0" borderId="0" xfId="0" applyNumberFormat="1" applyFill="1" applyBorder="1"/>
    <xf numFmtId="0" fontId="91" fillId="0" borderId="0" xfId="0" applyFont="1" applyFill="1" applyBorder="1"/>
    <xf numFmtId="179" fontId="0" fillId="0" borderId="0" xfId="0" applyNumberFormat="1" applyFill="1" applyBorder="1"/>
    <xf numFmtId="164" fontId="0" fillId="0" borderId="0" xfId="0" applyNumberFormat="1" applyFill="1" applyBorder="1"/>
    <xf numFmtId="0" fontId="95" fillId="71" borderId="0" xfId="0" applyFont="1" applyFill="1" applyBorder="1"/>
    <xf numFmtId="0" fontId="5" fillId="0" borderId="88" xfId="0" applyFont="1" applyBorder="1" applyAlignment="1">
      <alignment vertical="top" wrapText="1"/>
    </xf>
    <xf numFmtId="0" fontId="5" fillId="0" borderId="89" xfId="0" applyFont="1" applyBorder="1" applyAlignment="1">
      <alignment vertical="top" wrapText="1"/>
    </xf>
    <xf numFmtId="0" fontId="5" fillId="0" borderId="90" xfId="0" applyFont="1" applyBorder="1" applyAlignment="1">
      <alignment vertical="top" wrapText="1"/>
    </xf>
    <xf numFmtId="164" fontId="5" fillId="0" borderId="91" xfId="0" applyNumberFormat="1" applyFont="1" applyBorder="1" applyAlignment="1">
      <alignment vertical="top" wrapText="1"/>
    </xf>
    <xf numFmtId="0" fontId="17" fillId="0" borderId="0" xfId="0" applyFont="1" applyAlignment="1">
      <alignment horizontal="center"/>
    </xf>
    <xf numFmtId="182" fontId="0" fillId="0" borderId="0" xfId="0" applyNumberFormat="1" applyFont="1"/>
    <xf numFmtId="1" fontId="0" fillId="0" borderId="0" xfId="0" applyNumberFormat="1" applyAlignment="1" applyProtection="1">
      <alignment horizontal="center"/>
      <protection locked="0"/>
    </xf>
    <xf numFmtId="0" fontId="15" fillId="0" borderId="0" xfId="0" applyFont="1"/>
    <xf numFmtId="0" fontId="8" fillId="0" borderId="0" xfId="0" applyFont="1"/>
    <xf numFmtId="0" fontId="8" fillId="0" borderId="0" xfId="0" applyFont="1" applyAlignment="1">
      <alignment horizontal="center"/>
    </xf>
    <xf numFmtId="0" fontId="19" fillId="0" borderId="0" xfId="0" applyFont="1" applyAlignment="1">
      <alignment horizontal="left"/>
    </xf>
    <xf numFmtId="1" fontId="19" fillId="0" borderId="0" xfId="0" applyNumberFormat="1" applyFont="1" applyAlignment="1">
      <alignment horizontal="center"/>
    </xf>
    <xf numFmtId="2" fontId="19" fillId="0" borderId="0" xfId="0" applyNumberFormat="1" applyFont="1" applyAlignment="1">
      <alignment horizontal="center"/>
    </xf>
    <xf numFmtId="0" fontId="9" fillId="0" borderId="0" xfId="0" applyFont="1" applyAlignment="1" applyProtection="1">
      <alignment horizontal="center"/>
      <protection locked="0"/>
    </xf>
    <xf numFmtId="0" fontId="19" fillId="0" borderId="0" xfId="0" applyFont="1" applyAlignment="1">
      <alignment horizontal="center"/>
    </xf>
    <xf numFmtId="1" fontId="0" fillId="0" borderId="0" xfId="0" applyNumberFormat="1" applyFont="1" applyAlignment="1">
      <alignment horizontal="right"/>
    </xf>
    <xf numFmtId="1" fontId="0" fillId="0" borderId="88" xfId="0" applyNumberFormat="1" applyFill="1" applyBorder="1" applyAlignment="1" applyProtection="1">
      <alignment horizontal="right"/>
      <protection locked="0"/>
    </xf>
    <xf numFmtId="9" fontId="0" fillId="0" borderId="0" xfId="0" applyNumberFormat="1"/>
    <xf numFmtId="0" fontId="0" fillId="0" borderId="0" xfId="0" quotePrefix="1"/>
    <xf numFmtId="0" fontId="141" fillId="0" borderId="0" xfId="0" applyFont="1"/>
    <xf numFmtId="0" fontId="5" fillId="0" borderId="91" xfId="0" applyFont="1" applyBorder="1" applyAlignment="1">
      <alignment vertical="top" wrapText="1"/>
    </xf>
    <xf numFmtId="0" fontId="0" fillId="0" borderId="88" xfId="0" applyFill="1" applyBorder="1" applyAlignment="1">
      <alignment horizontal="center"/>
    </xf>
    <xf numFmtId="0" fontId="0" fillId="0" borderId="88" xfId="0" applyFill="1" applyBorder="1"/>
    <xf numFmtId="165" fontId="33" fillId="20" borderId="90" xfId="0" applyNumberFormat="1" applyFont="1" applyFill="1" applyBorder="1" applyAlignment="1" applyProtection="1">
      <alignment vertical="top" wrapText="1"/>
      <protection locked="0"/>
    </xf>
    <xf numFmtId="165" fontId="0" fillId="20" borderId="0" xfId="0" applyNumberFormat="1" applyFill="1" applyProtection="1">
      <protection locked="0"/>
    </xf>
    <xf numFmtId="0" fontId="19" fillId="0" borderId="0" xfId="0" applyFont="1" applyFill="1" applyAlignment="1">
      <alignment horizontal="center"/>
    </xf>
    <xf numFmtId="1" fontId="19" fillId="0" borderId="0" xfId="0" applyNumberFormat="1" applyFont="1" applyFill="1" applyBorder="1" applyAlignment="1">
      <alignment horizontal="center"/>
    </xf>
    <xf numFmtId="3" fontId="0" fillId="0" borderId="0" xfId="0" applyNumberFormat="1" applyFont="1" applyAlignment="1">
      <alignment horizontal="center"/>
    </xf>
    <xf numFmtId="0" fontId="13" fillId="0" borderId="142" xfId="0" applyFont="1" applyFill="1" applyBorder="1" applyAlignment="1" applyProtection="1">
      <alignment horizontal="center"/>
      <protection locked="0"/>
    </xf>
    <xf numFmtId="0" fontId="13" fillId="0" borderId="143" xfId="0" applyFont="1" applyFill="1" applyBorder="1" applyAlignment="1" applyProtection="1">
      <alignment horizontal="center"/>
      <protection locked="0"/>
    </xf>
    <xf numFmtId="0" fontId="19" fillId="0" borderId="0" xfId="0" applyFont="1" applyFill="1" applyBorder="1" applyAlignment="1">
      <alignment horizontal="center"/>
    </xf>
    <xf numFmtId="0" fontId="13" fillId="0" borderId="0" xfId="0" applyFont="1" applyFill="1" applyAlignment="1" applyProtection="1">
      <alignment horizontal="center"/>
      <protection locked="0"/>
    </xf>
    <xf numFmtId="165" fontId="19" fillId="0" borderId="0" xfId="0" applyNumberFormat="1" applyFont="1" applyFill="1" applyAlignment="1">
      <alignment horizontal="center"/>
    </xf>
    <xf numFmtId="1" fontId="19" fillId="0" borderId="0" xfId="0" applyNumberFormat="1" applyFont="1" applyFill="1" applyAlignment="1">
      <alignment horizontal="center"/>
    </xf>
    <xf numFmtId="165" fontId="0" fillId="20" borderId="88" xfId="0" applyNumberFormat="1" applyFill="1" applyBorder="1" applyAlignment="1" applyProtection="1">
      <alignment horizontal="center"/>
      <protection locked="0"/>
    </xf>
    <xf numFmtId="0" fontId="19" fillId="0" borderId="0" xfId="0" applyFont="1" applyFill="1"/>
    <xf numFmtId="0" fontId="19" fillId="0" borderId="0" xfId="0" applyFont="1"/>
    <xf numFmtId="0" fontId="19" fillId="0" borderId="0" xfId="0" applyFont="1" applyFill="1" applyAlignment="1" applyProtection="1">
      <alignment horizontal="center"/>
      <protection locked="0"/>
    </xf>
    <xf numFmtId="1" fontId="0" fillId="0" borderId="0" xfId="0" applyNumberFormat="1" applyFont="1" applyAlignment="1">
      <alignment horizontal="center"/>
    </xf>
    <xf numFmtId="2" fontId="9" fillId="0" borderId="0" xfId="0" applyNumberFormat="1" applyFont="1" applyAlignment="1">
      <alignment horizontal="left"/>
    </xf>
    <xf numFmtId="3" fontId="19" fillId="0" borderId="0" xfId="0" applyNumberFormat="1" applyFont="1" applyFill="1" applyAlignment="1" applyProtection="1">
      <alignment horizontal="center"/>
      <protection locked="0"/>
    </xf>
    <xf numFmtId="1" fontId="19" fillId="0" borderId="0" xfId="0" applyNumberFormat="1" applyFont="1"/>
    <xf numFmtId="0" fontId="0" fillId="18" borderId="0" xfId="0" applyFont="1" applyFill="1" applyAlignment="1">
      <alignment horizontal="right"/>
    </xf>
    <xf numFmtId="0" fontId="0" fillId="18" borderId="88" xfId="0" applyFont="1" applyFill="1" applyBorder="1"/>
    <xf numFmtId="9" fontId="0" fillId="18" borderId="88" xfId="46" applyFont="1" applyFill="1" applyBorder="1" applyAlignment="1" applyProtection="1"/>
    <xf numFmtId="165" fontId="0" fillId="18" borderId="88" xfId="0" applyNumberFormat="1" applyFill="1" applyBorder="1" applyAlignment="1">
      <alignment horizontal="center"/>
    </xf>
    <xf numFmtId="0" fontId="4" fillId="0" borderId="0" xfId="0" applyFont="1"/>
    <xf numFmtId="1" fontId="4" fillId="0" borderId="0" xfId="0" applyNumberFormat="1" applyFont="1"/>
    <xf numFmtId="0" fontId="0" fillId="18" borderId="142" xfId="0" applyFont="1" applyFill="1" applyBorder="1"/>
    <xf numFmtId="0" fontId="0" fillId="18" borderId="92" xfId="0" applyFont="1" applyFill="1" applyBorder="1"/>
    <xf numFmtId="0" fontId="0" fillId="18" borderId="135" xfId="0" applyFill="1" applyBorder="1"/>
    <xf numFmtId="0" fontId="0" fillId="18" borderId="143" xfId="0" applyFont="1" applyFill="1" applyBorder="1"/>
    <xf numFmtId="0" fontId="0" fillId="18" borderId="146" xfId="0" applyFont="1" applyFill="1" applyBorder="1"/>
    <xf numFmtId="0" fontId="0" fillId="18" borderId="93" xfId="0" applyFill="1" applyBorder="1"/>
    <xf numFmtId="0" fontId="4" fillId="18" borderId="144" xfId="0" applyFont="1" applyFill="1" applyBorder="1"/>
    <xf numFmtId="0" fontId="0" fillId="18" borderId="90" xfId="0" applyFont="1" applyFill="1" applyBorder="1" applyAlignment="1">
      <alignment horizontal="center"/>
    </xf>
    <xf numFmtId="0" fontId="0" fillId="18" borderId="88" xfId="0" applyFont="1" applyFill="1" applyBorder="1" applyAlignment="1">
      <alignment horizontal="center"/>
    </xf>
    <xf numFmtId="0" fontId="0" fillId="18" borderId="90" xfId="0" applyFill="1" applyBorder="1"/>
    <xf numFmtId="0" fontId="16" fillId="18" borderId="88" xfId="0" applyFont="1" applyFill="1" applyBorder="1"/>
    <xf numFmtId="0" fontId="0" fillId="0" borderId="88" xfId="0" applyBorder="1" applyAlignment="1">
      <alignment horizontal="center"/>
    </xf>
    <xf numFmtId="1" fontId="16" fillId="18" borderId="88" xfId="0" applyNumberFormat="1" applyFont="1" applyFill="1" applyBorder="1" applyAlignment="1">
      <alignment horizontal="center"/>
    </xf>
    <xf numFmtId="0" fontId="8" fillId="18" borderId="143" xfId="0" applyFont="1" applyFill="1" applyBorder="1" applyAlignment="1">
      <alignment horizontal="left"/>
    </xf>
    <xf numFmtId="0" fontId="0" fillId="18" borderId="142" xfId="0" applyFont="1" applyFill="1" applyBorder="1" applyAlignment="1">
      <alignment horizontal="center"/>
    </xf>
    <xf numFmtId="0" fontId="0" fillId="18" borderId="143" xfId="0" applyFont="1" applyFill="1" applyBorder="1" applyAlignment="1">
      <alignment horizontal="center"/>
    </xf>
    <xf numFmtId="165" fontId="0" fillId="18" borderId="88" xfId="0" applyNumberFormat="1" applyFont="1" applyFill="1" applyBorder="1" applyAlignment="1" applyProtection="1">
      <alignment horizontal="center"/>
      <protection locked="0"/>
    </xf>
    <xf numFmtId="0" fontId="8" fillId="18" borderId="93" xfId="0" applyFont="1" applyFill="1" applyBorder="1" applyAlignment="1">
      <alignment horizontal="left"/>
    </xf>
    <xf numFmtId="0" fontId="0" fillId="18" borderId="146" xfId="0" applyFont="1" applyFill="1" applyBorder="1" applyAlignment="1">
      <alignment horizontal="center"/>
    </xf>
    <xf numFmtId="165" fontId="0" fillId="18" borderId="93" xfId="0" applyNumberFormat="1" applyFont="1" applyFill="1" applyBorder="1" applyAlignment="1" applyProtection="1">
      <alignment horizontal="center"/>
      <protection locked="0"/>
    </xf>
    <xf numFmtId="0" fontId="0" fillId="18" borderId="90" xfId="0" applyFill="1" applyBorder="1" applyAlignment="1">
      <alignment horizontal="left"/>
    </xf>
    <xf numFmtId="0" fontId="0" fillId="18" borderId="91" xfId="0" applyFont="1" applyFill="1" applyBorder="1"/>
    <xf numFmtId="0" fontId="0" fillId="18" borderId="90" xfId="0" applyFont="1" applyFill="1" applyBorder="1"/>
    <xf numFmtId="0" fontId="0" fillId="18" borderId="90" xfId="0" applyFont="1" applyFill="1" applyBorder="1" applyAlignment="1">
      <alignment horizontal="left"/>
    </xf>
    <xf numFmtId="0" fontId="0" fillId="23" borderId="88" xfId="0" applyFont="1" applyFill="1" applyBorder="1" applyAlignment="1">
      <alignment horizontal="center"/>
    </xf>
    <xf numFmtId="1" fontId="7" fillId="18" borderId="88" xfId="0" applyNumberFormat="1" applyFont="1" applyFill="1" applyBorder="1" applyAlignment="1">
      <alignment horizontal="center"/>
    </xf>
    <xf numFmtId="165" fontId="7" fillId="18" borderId="88" xfId="0" applyNumberFormat="1" applyFont="1" applyFill="1" applyBorder="1" applyAlignment="1">
      <alignment horizontal="center"/>
    </xf>
    <xf numFmtId="0" fontId="0" fillId="18" borderId="88" xfId="0" applyFont="1" applyFill="1" applyBorder="1" applyAlignment="1">
      <alignment horizontal="left"/>
    </xf>
    <xf numFmtId="165" fontId="12" fillId="18" borderId="88" xfId="0" applyNumberFormat="1" applyFont="1" applyFill="1" applyBorder="1" applyAlignment="1">
      <alignment horizontal="center"/>
    </xf>
    <xf numFmtId="0" fontId="0" fillId="18" borderId="0" xfId="0" applyFont="1" applyFill="1" applyAlignment="1">
      <alignment horizontal="left"/>
    </xf>
    <xf numFmtId="165" fontId="0" fillId="0" borderId="0" xfId="0" applyNumberFormat="1" applyFont="1" applyFill="1" applyBorder="1" applyAlignment="1" applyProtection="1">
      <alignment horizontal="center"/>
      <protection locked="0"/>
    </xf>
    <xf numFmtId="0" fontId="0" fillId="0" borderId="0" xfId="0" applyFont="1" applyFill="1" applyBorder="1" applyAlignment="1">
      <alignment horizontal="left"/>
    </xf>
    <xf numFmtId="165" fontId="16" fillId="18" borderId="88" xfId="0" applyNumberFormat="1" applyFont="1" applyFill="1" applyBorder="1" applyAlignment="1">
      <alignment horizontal="center"/>
    </xf>
    <xf numFmtId="0" fontId="16" fillId="0" borderId="0" xfId="0" applyFont="1"/>
    <xf numFmtId="0" fontId="13" fillId="20" borderId="88" xfId="0" applyNumberFormat="1" applyFont="1" applyFill="1" applyBorder="1" applyProtection="1">
      <protection locked="0"/>
    </xf>
    <xf numFmtId="0" fontId="13" fillId="0" borderId="0" xfId="0" applyFont="1" applyFill="1" applyBorder="1" applyProtection="1">
      <protection locked="0"/>
    </xf>
    <xf numFmtId="0" fontId="13" fillId="20" borderId="88" xfId="0" applyFont="1" applyFill="1" applyBorder="1" applyProtection="1">
      <protection locked="0"/>
    </xf>
    <xf numFmtId="1" fontId="16" fillId="0" borderId="0" xfId="0" applyNumberFormat="1" applyFont="1"/>
    <xf numFmtId="1" fontId="0" fillId="57" borderId="9" xfId="0" applyNumberFormat="1" applyFont="1" applyFill="1" applyBorder="1" applyProtection="1">
      <protection locked="0"/>
    </xf>
    <xf numFmtId="0" fontId="0" fillId="47" borderId="22" xfId="0" applyFill="1" applyBorder="1"/>
    <xf numFmtId="0" fontId="0" fillId="38" borderId="0" xfId="0" applyFill="1" applyBorder="1" applyProtection="1">
      <protection locked="0"/>
    </xf>
    <xf numFmtId="0" fontId="0" fillId="37" borderId="88" xfId="0" applyFont="1" applyFill="1" applyBorder="1" applyProtection="1">
      <protection locked="0"/>
    </xf>
    <xf numFmtId="0" fontId="0" fillId="60" borderId="36" xfId="0" applyFill="1" applyBorder="1"/>
    <xf numFmtId="9" fontId="56" fillId="60" borderId="35" xfId="34" applyFill="1" applyBorder="1" applyAlignment="1" applyProtection="1">
      <alignment horizontal="center"/>
      <protection locked="0"/>
    </xf>
    <xf numFmtId="1" fontId="9" fillId="74" borderId="34" xfId="0" applyNumberFormat="1" applyFont="1" applyFill="1" applyBorder="1" applyAlignment="1">
      <alignment horizontal="center"/>
    </xf>
    <xf numFmtId="0" fontId="9" fillId="74" borderId="34" xfId="0" applyFont="1" applyFill="1" applyBorder="1" applyAlignment="1">
      <alignment horizontal="center"/>
    </xf>
    <xf numFmtId="0" fontId="7" fillId="38" borderId="144" xfId="0" applyFont="1" applyFill="1" applyBorder="1"/>
    <xf numFmtId="0" fontId="7" fillId="38" borderId="145" xfId="0" applyFont="1" applyFill="1" applyBorder="1" applyAlignment="1">
      <alignment horizontal="center"/>
    </xf>
    <xf numFmtId="0" fontId="7" fillId="38" borderId="146" xfId="0" applyFont="1" applyFill="1" applyBorder="1"/>
    <xf numFmtId="0" fontId="19" fillId="38" borderId="91" xfId="0" applyFont="1" applyFill="1" applyBorder="1"/>
    <xf numFmtId="0" fontId="7" fillId="38" borderId="146" xfId="0" applyFont="1" applyFill="1" applyBorder="1" applyAlignment="1">
      <alignment horizontal="left"/>
    </xf>
    <xf numFmtId="1" fontId="0" fillId="37" borderId="89" xfId="0" applyNumberFormat="1" applyFill="1" applyBorder="1" applyAlignment="1" applyProtection="1">
      <alignment horizontal="center"/>
      <protection locked="0"/>
    </xf>
    <xf numFmtId="1" fontId="60" fillId="47" borderId="34" xfId="0" applyNumberFormat="1" applyFont="1" applyFill="1" applyBorder="1" applyAlignment="1" applyProtection="1">
      <alignment horizontal="center"/>
    </xf>
    <xf numFmtId="165" fontId="60" fillId="41" borderId="35" xfId="0" applyNumberFormat="1" applyFont="1" applyFill="1" applyBorder="1" applyAlignment="1" applyProtection="1">
      <alignment horizontal="center"/>
    </xf>
    <xf numFmtId="0" fontId="9" fillId="19" borderId="146" xfId="0" applyFont="1" applyFill="1" applyBorder="1" applyAlignment="1">
      <alignment horizontal="center"/>
    </xf>
    <xf numFmtId="0" fontId="0" fillId="26" borderId="0" xfId="0" applyFill="1" applyAlignment="1" applyProtection="1">
      <alignment horizontal="right"/>
    </xf>
    <xf numFmtId="0" fontId="7" fillId="19" borderId="41" xfId="0" applyFont="1" applyFill="1" applyBorder="1"/>
    <xf numFmtId="0" fontId="7" fillId="19" borderId="35" xfId="0" applyFont="1" applyFill="1" applyBorder="1" applyProtection="1">
      <protection locked="0"/>
    </xf>
    <xf numFmtId="0" fontId="0" fillId="37" borderId="90" xfId="0" applyFont="1" applyFill="1" applyBorder="1" applyAlignment="1" applyProtection="1">
      <alignment horizontal="center"/>
      <protection locked="0"/>
    </xf>
    <xf numFmtId="2" fontId="0" fillId="37" borderId="88" xfId="0" applyNumberFormat="1" applyFont="1" applyFill="1" applyBorder="1" applyProtection="1">
      <protection locked="0"/>
    </xf>
    <xf numFmtId="2" fontId="0" fillId="19" borderId="34" xfId="0" applyNumberFormat="1" applyFill="1" applyBorder="1"/>
    <xf numFmtId="0" fontId="60" fillId="19" borderId="38" xfId="0" applyFont="1" applyFill="1" applyBorder="1" applyProtection="1">
      <protection locked="0"/>
    </xf>
    <xf numFmtId="0" fontId="60" fillId="19" borderId="37" xfId="0" applyFont="1" applyFill="1" applyBorder="1" applyProtection="1">
      <protection locked="0"/>
    </xf>
    <xf numFmtId="0" fontId="100" fillId="0" borderId="34" xfId="0" applyFont="1" applyBorder="1"/>
    <xf numFmtId="0" fontId="100" fillId="0" borderId="34" xfId="0" applyFont="1" applyFill="1" applyBorder="1"/>
    <xf numFmtId="0" fontId="100" fillId="0" borderId="34" xfId="0" applyFont="1" applyBorder="1" applyProtection="1">
      <protection locked="0"/>
    </xf>
    <xf numFmtId="1" fontId="100" fillId="0" borderId="34" xfId="0" applyNumberFormat="1" applyFont="1" applyFill="1" applyBorder="1"/>
    <xf numFmtId="0" fontId="0" fillId="47" borderId="0" xfId="0" applyFont="1" applyFill="1"/>
    <xf numFmtId="0" fontId="0" fillId="0" borderId="34" xfId="0" applyFont="1" applyBorder="1" applyAlignment="1">
      <alignment horizontal="right"/>
    </xf>
    <xf numFmtId="0" fontId="0" fillId="0" borderId="34" xfId="0" applyFont="1" applyBorder="1"/>
    <xf numFmtId="0" fontId="100" fillId="0" borderId="39" xfId="0" applyFont="1" applyFill="1" applyBorder="1"/>
    <xf numFmtId="0" fontId="9" fillId="100" borderId="0" xfId="0" applyFont="1" applyFill="1" applyAlignment="1">
      <alignment horizontal="left"/>
    </xf>
    <xf numFmtId="0" fontId="60" fillId="19" borderId="67" xfId="0" applyFont="1" applyFill="1" applyBorder="1" applyProtection="1">
      <protection locked="0"/>
    </xf>
    <xf numFmtId="0" fontId="60" fillId="19" borderId="59" xfId="0" applyFont="1" applyFill="1" applyBorder="1" applyProtection="1">
      <protection locked="0"/>
    </xf>
    <xf numFmtId="0" fontId="60" fillId="41" borderId="59" xfId="0" applyFont="1" applyFill="1" applyBorder="1"/>
    <xf numFmtId="0" fontId="60" fillId="41" borderId="41" xfId="0" applyFont="1" applyFill="1" applyBorder="1" applyAlignment="1">
      <alignment horizontal="left"/>
    </xf>
    <xf numFmtId="0" fontId="60" fillId="38" borderId="39" xfId="0" applyFont="1" applyFill="1" applyBorder="1" applyAlignment="1">
      <alignment horizontal="left"/>
    </xf>
    <xf numFmtId="0" fontId="60" fillId="41" borderId="39" xfId="0" applyFont="1" applyFill="1" applyBorder="1" applyAlignment="1">
      <alignment horizontal="left"/>
    </xf>
    <xf numFmtId="0" fontId="142" fillId="61" borderId="34" xfId="0" applyFont="1" applyFill="1" applyBorder="1" applyProtection="1">
      <protection locked="0"/>
    </xf>
    <xf numFmtId="0" fontId="0" fillId="60" borderId="39" xfId="0" applyFont="1" applyFill="1" applyBorder="1"/>
    <xf numFmtId="0" fontId="0" fillId="60" borderId="35" xfId="0" applyFont="1" applyFill="1" applyBorder="1"/>
    <xf numFmtId="0" fontId="7" fillId="19" borderId="146" xfId="0" applyFont="1" applyFill="1" applyBorder="1"/>
    <xf numFmtId="0" fontId="7" fillId="19" borderId="148" xfId="0" applyFont="1" applyFill="1" applyBorder="1"/>
    <xf numFmtId="0" fontId="7" fillId="38" borderId="37" xfId="0" applyFont="1" applyFill="1" applyBorder="1" applyAlignment="1">
      <alignment horizontal="left"/>
    </xf>
    <xf numFmtId="0" fontId="0" fillId="60" borderId="34" xfId="0" applyFill="1" applyBorder="1"/>
    <xf numFmtId="0" fontId="9" fillId="38" borderId="40" xfId="0" applyFont="1" applyFill="1" applyBorder="1" applyAlignment="1" applyProtection="1">
      <protection locked="0"/>
    </xf>
    <xf numFmtId="0" fontId="0" fillId="60" borderId="67" xfId="0" applyFont="1" applyFill="1" applyBorder="1"/>
    <xf numFmtId="0" fontId="0" fillId="60" borderId="59" xfId="0" applyFont="1" applyFill="1" applyBorder="1"/>
    <xf numFmtId="0" fontId="7" fillId="41" borderId="32" xfId="0" applyFont="1" applyFill="1" applyBorder="1"/>
    <xf numFmtId="0" fontId="7" fillId="41" borderId="42" xfId="0" applyFont="1" applyFill="1" applyBorder="1"/>
    <xf numFmtId="0" fontId="142" fillId="61" borderId="35" xfId="0" applyFont="1" applyFill="1" applyBorder="1" applyProtection="1">
      <protection locked="0"/>
    </xf>
    <xf numFmtId="0" fontId="143" fillId="38" borderId="34" xfId="0" applyFont="1" applyFill="1" applyBorder="1"/>
    <xf numFmtId="0" fontId="126" fillId="47" borderId="0" xfId="0" applyFont="1" applyFill="1"/>
    <xf numFmtId="0" fontId="0" fillId="18" borderId="34" xfId="0" applyFill="1" applyBorder="1" applyAlignment="1">
      <alignment horizontal="center"/>
    </xf>
    <xf numFmtId="1" fontId="0" fillId="19" borderId="88" xfId="0" applyNumberFormat="1" applyFont="1" applyFill="1" applyBorder="1"/>
    <xf numFmtId="1" fontId="7" fillId="0" borderId="0" xfId="0" applyNumberFormat="1" applyFont="1" applyAlignment="1">
      <alignment horizontal="center"/>
    </xf>
    <xf numFmtId="1" fontId="7" fillId="101" borderId="0" xfId="0" applyNumberFormat="1" applyFont="1" applyFill="1" applyBorder="1"/>
    <xf numFmtId="1" fontId="12" fillId="0" borderId="0" xfId="0" applyNumberFormat="1" applyFont="1" applyFill="1" applyBorder="1"/>
    <xf numFmtId="2" fontId="0" fillId="47" borderId="147" xfId="0" applyNumberFormat="1" applyFont="1" applyFill="1" applyBorder="1" applyAlignment="1" applyProtection="1">
      <alignment horizontal="center"/>
      <protection locked="0"/>
    </xf>
    <xf numFmtId="0" fontId="0" fillId="47" borderId="20" xfId="0" applyFont="1" applyFill="1" applyBorder="1"/>
    <xf numFmtId="1" fontId="12" fillId="0" borderId="65" xfId="0" applyNumberFormat="1" applyFont="1" applyBorder="1"/>
    <xf numFmtId="0" fontId="7" fillId="46" borderId="39" xfId="0" applyFont="1" applyFill="1" applyBorder="1"/>
    <xf numFmtId="1" fontId="0" fillId="41" borderId="20" xfId="0" applyNumberFormat="1" applyFont="1" applyFill="1" applyBorder="1" applyAlignment="1">
      <alignment horizontal="center"/>
    </xf>
    <xf numFmtId="1" fontId="0" fillId="41" borderId="37" xfId="0" applyNumberFormat="1" applyFont="1" applyFill="1" applyBorder="1" applyAlignment="1">
      <alignment horizontal="center"/>
    </xf>
    <xf numFmtId="1" fontId="0" fillId="19" borderId="88" xfId="0" applyNumberFormat="1" applyFill="1" applyBorder="1"/>
    <xf numFmtId="0" fontId="5" fillId="0" borderId="34" xfId="0" applyFont="1" applyFill="1" applyBorder="1" applyAlignment="1">
      <alignment horizontal="center"/>
    </xf>
    <xf numFmtId="0" fontId="132" fillId="0" borderId="34" xfId="0" applyFont="1" applyBorder="1" applyAlignment="1">
      <alignment horizontal="center"/>
    </xf>
    <xf numFmtId="0" fontId="131" fillId="0" borderId="34" xfId="0" applyFont="1" applyBorder="1" applyAlignment="1">
      <alignment horizontal="center"/>
    </xf>
    <xf numFmtId="0" fontId="130" fillId="0" borderId="34" xfId="0" applyFont="1" applyBorder="1" applyAlignment="1">
      <alignment horizontal="center"/>
    </xf>
    <xf numFmtId="0" fontId="130" fillId="0" borderId="34" xfId="0" applyFont="1" applyFill="1" applyBorder="1" applyAlignment="1">
      <alignment horizontal="center"/>
    </xf>
    <xf numFmtId="2" fontId="0" fillId="69" borderId="34" xfId="0" applyNumberFormat="1" applyFill="1" applyBorder="1" applyAlignment="1" applyProtection="1">
      <alignment horizontal="center"/>
    </xf>
    <xf numFmtId="1" fontId="0" fillId="51" borderId="34" xfId="0" applyNumberFormat="1" applyFill="1" applyBorder="1"/>
    <xf numFmtId="164" fontId="100" fillId="56" borderId="34" xfId="0" applyNumberFormat="1" applyFont="1" applyFill="1" applyBorder="1"/>
    <xf numFmtId="164" fontId="100" fillId="56" borderId="34" xfId="0" applyNumberFormat="1" applyFont="1" applyFill="1" applyBorder="1" applyAlignment="1">
      <alignment horizontal="right"/>
    </xf>
    <xf numFmtId="164" fontId="0" fillId="56" borderId="34" xfId="0" applyNumberFormat="1" applyFill="1" applyBorder="1"/>
    <xf numFmtId="0" fontId="0" fillId="56" borderId="34" xfId="0" applyFill="1" applyBorder="1" applyAlignment="1">
      <alignment horizontal="right"/>
    </xf>
    <xf numFmtId="0" fontId="0" fillId="61" borderId="38" xfId="0" applyFill="1" applyBorder="1" applyProtection="1"/>
    <xf numFmtId="0" fontId="0" fillId="103" borderId="36" xfId="0" applyFill="1" applyBorder="1" applyProtection="1"/>
    <xf numFmtId="0" fontId="0" fillId="103" borderId="37" xfId="0" applyFill="1" applyBorder="1" applyAlignment="1" applyProtection="1">
      <alignment horizontal="right"/>
    </xf>
    <xf numFmtId="2" fontId="0" fillId="0" borderId="0" xfId="0" applyNumberFormat="1" applyFill="1" applyBorder="1"/>
    <xf numFmtId="164" fontId="0" fillId="56" borderId="41" xfId="0" applyNumberFormat="1" applyFont="1" applyFill="1" applyBorder="1"/>
    <xf numFmtId="1" fontId="0" fillId="51" borderId="41" xfId="0" applyNumberFormat="1" applyFill="1" applyBorder="1"/>
    <xf numFmtId="1" fontId="100" fillId="0" borderId="41" xfId="0" applyNumberFormat="1" applyFont="1" applyFill="1" applyBorder="1"/>
    <xf numFmtId="2" fontId="0" fillId="0" borderId="41" xfId="0" applyNumberFormat="1" applyBorder="1"/>
    <xf numFmtId="164" fontId="0" fillId="0" borderId="0" xfId="0" applyNumberFormat="1" applyFont="1" applyFill="1" applyBorder="1"/>
    <xf numFmtId="1" fontId="100" fillId="0" borderId="0" xfId="0" applyNumberFormat="1" applyFont="1" applyFill="1" applyBorder="1"/>
    <xf numFmtId="180" fontId="0" fillId="0" borderId="0" xfId="0" applyNumberFormat="1" applyFont="1" applyFill="1" applyBorder="1" applyAlignment="1">
      <alignment horizontal="center"/>
    </xf>
    <xf numFmtId="180" fontId="0" fillId="0" borderId="0" xfId="0" applyNumberFormat="1" applyFont="1" applyFill="1" applyBorder="1"/>
    <xf numFmtId="0" fontId="9" fillId="59" borderId="37" xfId="0" applyFont="1" applyFill="1" applyBorder="1" applyAlignment="1" applyProtection="1">
      <alignment horizontal="center"/>
      <protection locked="0"/>
    </xf>
    <xf numFmtId="0" fontId="0" fillId="46" borderId="0" xfId="0" applyFont="1" applyFill="1" applyBorder="1" applyAlignment="1"/>
    <xf numFmtId="164" fontId="12" fillId="47" borderId="0" xfId="0" applyNumberFormat="1" applyFont="1" applyFill="1" applyBorder="1" applyAlignment="1">
      <alignment horizontal="left"/>
    </xf>
    <xf numFmtId="164" fontId="7" fillId="47" borderId="0" xfId="0" applyNumberFormat="1" applyFont="1" applyFill="1" applyBorder="1" applyAlignment="1">
      <alignment horizontal="center"/>
    </xf>
    <xf numFmtId="2" fontId="7" fillId="47" borderId="0" xfId="0" applyNumberFormat="1" applyFont="1" applyFill="1" applyBorder="1" applyAlignment="1">
      <alignment horizontal="center"/>
    </xf>
    <xf numFmtId="0" fontId="0" fillId="47" borderId="0" xfId="0" applyFill="1" applyProtection="1">
      <protection locked="0"/>
    </xf>
    <xf numFmtId="0" fontId="7" fillId="47" borderId="0" xfId="0" applyFont="1" applyFill="1" applyBorder="1" applyAlignment="1">
      <alignment horizontal="center"/>
    </xf>
    <xf numFmtId="164" fontId="0" fillId="47" borderId="0" xfId="0" applyNumberFormat="1" applyFill="1" applyAlignment="1">
      <alignment horizontal="center"/>
    </xf>
    <xf numFmtId="0" fontId="130" fillId="47" borderId="0" xfId="0" applyFont="1" applyFill="1" applyBorder="1" applyAlignment="1">
      <alignment horizontal="center"/>
    </xf>
    <xf numFmtId="0" fontId="131" fillId="47" borderId="0" xfId="0" applyFont="1" applyFill="1" applyAlignment="1">
      <alignment horizontal="center"/>
    </xf>
    <xf numFmtId="0" fontId="131" fillId="47" borderId="0" xfId="0" applyFont="1" applyFill="1" applyBorder="1" applyAlignment="1">
      <alignment horizontal="center"/>
    </xf>
    <xf numFmtId="0" fontId="132" fillId="47" borderId="0" xfId="0" applyFont="1" applyFill="1" applyAlignment="1">
      <alignment horizontal="center"/>
    </xf>
    <xf numFmtId="165" fontId="7" fillId="47" borderId="0" xfId="0" applyNumberFormat="1" applyFont="1" applyFill="1" applyBorder="1" applyAlignment="1">
      <alignment horizontal="center"/>
    </xf>
    <xf numFmtId="164" fontId="7" fillId="101" borderId="34" xfId="0" applyNumberFormat="1" applyFont="1" applyFill="1" applyBorder="1" applyAlignment="1">
      <alignment horizontal="center"/>
    </xf>
    <xf numFmtId="0" fontId="7" fillId="30" borderId="34" xfId="0" applyFont="1" applyFill="1" applyBorder="1" applyAlignment="1">
      <alignment horizontal="center"/>
    </xf>
    <xf numFmtId="181" fontId="7" fillId="30" borderId="34" xfId="0" applyNumberFormat="1" applyFont="1" applyFill="1" applyBorder="1" applyAlignment="1">
      <alignment horizontal="center"/>
    </xf>
    <xf numFmtId="164" fontId="7" fillId="30" borderId="34" xfId="0" applyNumberFormat="1" applyFont="1" applyFill="1" applyBorder="1" applyAlignment="1">
      <alignment horizontal="center"/>
    </xf>
    <xf numFmtId="1" fontId="9" fillId="74" borderId="35" xfId="0" applyNumberFormat="1" applyFont="1" applyFill="1" applyBorder="1" applyAlignment="1">
      <alignment horizontal="center"/>
    </xf>
    <xf numFmtId="178" fontId="9" fillId="74" borderId="41" xfId="0" applyNumberFormat="1" applyFont="1" applyFill="1" applyBorder="1"/>
    <xf numFmtId="0" fontId="0" fillId="0" borderId="0" xfId="0" applyFont="1" applyBorder="1"/>
    <xf numFmtId="2" fontId="9" fillId="74" borderId="34" xfId="0" applyNumberFormat="1" applyFont="1" applyFill="1" applyBorder="1" applyAlignment="1">
      <alignment horizontal="center"/>
    </xf>
    <xf numFmtId="2" fontId="9" fillId="74" borderId="35" xfId="0" applyNumberFormat="1" applyFont="1" applyFill="1" applyBorder="1" applyAlignment="1">
      <alignment horizontal="center"/>
    </xf>
    <xf numFmtId="178" fontId="9" fillId="74" borderId="35" xfId="0" applyNumberFormat="1" applyFont="1" applyFill="1" applyBorder="1" applyAlignment="1">
      <alignment horizontal="center"/>
    </xf>
    <xf numFmtId="178" fontId="9" fillId="74" borderId="32" xfId="0" applyNumberFormat="1" applyFont="1" applyFill="1" applyBorder="1" applyAlignment="1">
      <alignment horizontal="center"/>
    </xf>
    <xf numFmtId="2" fontId="9" fillId="74" borderId="35" xfId="46" applyNumberFormat="1" applyFont="1" applyFill="1" applyBorder="1" applyAlignment="1">
      <alignment horizontal="center"/>
    </xf>
    <xf numFmtId="0" fontId="9" fillId="74" borderId="38" xfId="0" applyFont="1" applyFill="1" applyBorder="1"/>
    <xf numFmtId="0" fontId="9" fillId="74" borderId="36" xfId="0" applyFont="1" applyFill="1" applyBorder="1"/>
    <xf numFmtId="0" fontId="9" fillId="74" borderId="37" xfId="0" applyFont="1" applyFill="1" applyBorder="1"/>
    <xf numFmtId="164" fontId="9" fillId="74" borderId="38" xfId="0" applyNumberFormat="1" applyFont="1" applyFill="1" applyBorder="1" applyAlignment="1">
      <alignment horizontal="left"/>
    </xf>
    <xf numFmtId="164" fontId="9" fillId="74" borderId="36" xfId="0" applyNumberFormat="1" applyFont="1" applyFill="1" applyBorder="1" applyAlignment="1">
      <alignment horizontal="center"/>
    </xf>
    <xf numFmtId="2" fontId="9" fillId="74" borderId="37" xfId="0" applyNumberFormat="1" applyFont="1" applyFill="1" applyBorder="1" applyAlignment="1">
      <alignment horizontal="center"/>
    </xf>
    <xf numFmtId="0" fontId="9" fillId="74" borderId="67" xfId="0" applyFont="1" applyFill="1" applyBorder="1" applyAlignment="1">
      <alignment horizontal="center"/>
    </xf>
    <xf numFmtId="0" fontId="9" fillId="74" borderId="39" xfId="0" applyFont="1" applyFill="1" applyBorder="1"/>
    <xf numFmtId="0" fontId="9" fillId="74" borderId="41" xfId="0" applyFont="1" applyFill="1" applyBorder="1" applyAlignment="1">
      <alignment horizontal="center"/>
    </xf>
    <xf numFmtId="0" fontId="9" fillId="74" borderId="35" xfId="0" applyFont="1" applyFill="1" applyBorder="1"/>
    <xf numFmtId="0" fontId="9" fillId="74" borderId="35" xfId="0" applyFont="1" applyFill="1" applyBorder="1" applyAlignment="1">
      <alignment horizontal="center"/>
    </xf>
    <xf numFmtId="0" fontId="9" fillId="74" borderId="32" xfId="0" applyFont="1" applyFill="1" applyBorder="1" applyAlignment="1">
      <alignment horizontal="center"/>
    </xf>
    <xf numFmtId="0" fontId="9" fillId="74" borderId="68" xfId="0" applyFont="1" applyFill="1" applyBorder="1" applyAlignment="1">
      <alignment horizontal="center"/>
    </xf>
    <xf numFmtId="0" fontId="9" fillId="74" borderId="39" xfId="0" applyFont="1" applyFill="1" applyBorder="1" applyAlignment="1">
      <alignment horizontal="center"/>
    </xf>
    <xf numFmtId="0" fontId="9" fillId="74" borderId="38" xfId="0" applyFont="1" applyFill="1" applyBorder="1" applyAlignment="1">
      <alignment horizontal="center"/>
    </xf>
    <xf numFmtId="0" fontId="0" fillId="74" borderId="37" xfId="0" applyFont="1" applyFill="1" applyBorder="1"/>
    <xf numFmtId="1" fontId="56" fillId="60" borderId="35" xfId="34" applyNumberFormat="1" applyFill="1" applyBorder="1" applyAlignment="1" applyProtection="1">
      <alignment horizontal="center"/>
      <protection locked="0"/>
    </xf>
    <xf numFmtId="1" fontId="0" fillId="19" borderId="0" xfId="0" applyNumberFormat="1" applyFill="1" applyBorder="1" applyProtection="1">
      <protection locked="0"/>
    </xf>
    <xf numFmtId="1" fontId="0" fillId="19" borderId="0" xfId="0" applyNumberFormat="1" applyFill="1"/>
    <xf numFmtId="1" fontId="0" fillId="19" borderId="142" xfId="0" applyNumberFormat="1" applyFill="1" applyBorder="1"/>
    <xf numFmtId="0" fontId="12" fillId="18" borderId="0" xfId="0" applyFont="1" applyFill="1" applyBorder="1"/>
    <xf numFmtId="1" fontId="0" fillId="0" borderId="0" xfId="0" applyNumberFormat="1" applyFont="1" applyBorder="1"/>
    <xf numFmtId="164" fontId="0" fillId="0" borderId="0" xfId="0" applyNumberFormat="1" applyFont="1" applyBorder="1"/>
    <xf numFmtId="1" fontId="0" fillId="18" borderId="0" xfId="0" applyNumberFormat="1" applyFont="1" applyFill="1" applyBorder="1"/>
    <xf numFmtId="0" fontId="7" fillId="18" borderId="0" xfId="0" applyFont="1" applyFill="1" applyBorder="1"/>
    <xf numFmtId="164" fontId="0" fillId="41" borderId="34" xfId="0" applyNumberFormat="1" applyFill="1" applyBorder="1"/>
    <xf numFmtId="164" fontId="100" fillId="41" borderId="34" xfId="0" applyNumberFormat="1" applyFont="1" applyFill="1" applyBorder="1"/>
    <xf numFmtId="164" fontId="0" fillId="41" borderId="34" xfId="0" applyNumberFormat="1" applyFont="1" applyFill="1" applyBorder="1"/>
    <xf numFmtId="164" fontId="0" fillId="74" borderId="34" xfId="0" applyNumberFormat="1" applyFill="1" applyBorder="1"/>
    <xf numFmtId="164" fontId="0" fillId="0" borderId="34" xfId="0" applyNumberFormat="1" applyBorder="1"/>
    <xf numFmtId="2" fontId="0" fillId="37" borderId="0" xfId="0" applyNumberFormat="1" applyFont="1" applyFill="1" applyBorder="1" applyProtection="1">
      <protection locked="0"/>
    </xf>
    <xf numFmtId="0" fontId="0" fillId="37" borderId="0" xfId="0" applyFont="1" applyFill="1" applyBorder="1" applyAlignment="1" applyProtection="1">
      <alignment horizontal="center"/>
      <protection locked="0"/>
    </xf>
    <xf numFmtId="1" fontId="0" fillId="19" borderId="143" xfId="0" applyNumberFormat="1" applyFill="1" applyBorder="1"/>
    <xf numFmtId="0" fontId="0" fillId="38" borderId="0" xfId="0" applyFill="1" applyBorder="1" applyAlignment="1" applyProtection="1">
      <alignment horizontal="right"/>
      <protection locked="0"/>
    </xf>
    <xf numFmtId="173" fontId="56" fillId="59" borderId="34" xfId="34" applyNumberFormat="1" applyFill="1" applyBorder="1"/>
    <xf numFmtId="173" fontId="56" fillId="38" borderId="0" xfId="34" applyNumberFormat="1" applyFill="1" applyBorder="1"/>
    <xf numFmtId="1" fontId="0" fillId="38" borderId="0" xfId="0" applyNumberFormat="1" applyFill="1" applyBorder="1"/>
    <xf numFmtId="0" fontId="9" fillId="59" borderId="34" xfId="0" applyFont="1" applyFill="1" applyBorder="1" applyAlignment="1" applyProtection="1">
      <alignment horizontal="center"/>
      <protection locked="0"/>
    </xf>
    <xf numFmtId="0" fontId="9" fillId="19" borderId="145" xfId="0" applyFont="1" applyFill="1" applyBorder="1"/>
    <xf numFmtId="0" fontId="9" fillId="19" borderId="144" xfId="0" applyFont="1" applyFill="1" applyBorder="1"/>
    <xf numFmtId="2" fontId="0" fillId="37" borderId="90" xfId="0" applyNumberFormat="1" applyFont="1" applyFill="1" applyBorder="1" applyProtection="1">
      <protection locked="0"/>
    </xf>
    <xf numFmtId="0" fontId="0" fillId="19" borderId="41" xfId="0" applyFill="1" applyBorder="1"/>
    <xf numFmtId="0" fontId="7" fillId="19" borderId="35" xfId="0" applyFont="1" applyFill="1" applyBorder="1"/>
    <xf numFmtId="1" fontId="9" fillId="46" borderId="141" xfId="0" applyNumberFormat="1" applyFont="1" applyFill="1" applyBorder="1" applyAlignment="1">
      <alignment horizontal="center"/>
    </xf>
    <xf numFmtId="0" fontId="131" fillId="0" borderId="0" xfId="0" applyFont="1" applyBorder="1" applyAlignment="1">
      <alignment horizontal="center"/>
    </xf>
    <xf numFmtId="1" fontId="78" fillId="74" borderId="34" xfId="0" applyNumberFormat="1" applyFont="1" applyFill="1" applyBorder="1" applyAlignment="1">
      <alignment horizontal="center"/>
    </xf>
    <xf numFmtId="0" fontId="0" fillId="46" borderId="10" xfId="0" applyFill="1" applyBorder="1"/>
    <xf numFmtId="0" fontId="0" fillId="46" borderId="11" xfId="0" applyFill="1" applyBorder="1"/>
    <xf numFmtId="0" fontId="12" fillId="46" borderId="136" xfId="0" applyFont="1" applyFill="1" applyBorder="1"/>
    <xf numFmtId="0" fontId="7" fillId="46" borderId="136" xfId="0" applyFont="1" applyFill="1" applyBorder="1"/>
    <xf numFmtId="0" fontId="9" fillId="46" borderId="137" xfId="0" applyFont="1" applyFill="1" applyBorder="1"/>
    <xf numFmtId="0" fontId="0" fillId="46" borderId="138" xfId="0" applyFill="1" applyBorder="1"/>
    <xf numFmtId="0" fontId="7" fillId="46" borderId="9" xfId="0" applyFont="1" applyFill="1" applyBorder="1"/>
    <xf numFmtId="0" fontId="0" fillId="46" borderId="139" xfId="0" applyFont="1" applyFill="1" applyBorder="1"/>
    <xf numFmtId="0" fontId="9" fillId="46" borderId="31" xfId="0" applyFont="1" applyFill="1" applyBorder="1"/>
    <xf numFmtId="165" fontId="9" fillId="46" borderId="139" xfId="0" applyNumberFormat="1" applyFont="1" applyFill="1" applyBorder="1" applyAlignment="1">
      <alignment horizontal="center"/>
    </xf>
    <xf numFmtId="0" fontId="0" fillId="46" borderId="0" xfId="0" applyFill="1" applyBorder="1" applyAlignment="1" applyProtection="1">
      <alignment horizontal="center"/>
      <protection locked="0"/>
    </xf>
    <xf numFmtId="164" fontId="0" fillId="100" borderId="34" xfId="0" applyNumberFormat="1" applyFill="1" applyBorder="1"/>
    <xf numFmtId="0" fontId="0" fillId="78" borderId="19" xfId="0" applyFont="1" applyFill="1" applyBorder="1" applyAlignment="1">
      <alignment horizontal="center"/>
    </xf>
    <xf numFmtId="0" fontId="7" fillId="18" borderId="9" xfId="0" applyFont="1" applyFill="1" applyBorder="1"/>
    <xf numFmtId="1" fontId="9" fillId="18" borderId="9" xfId="0" applyNumberFormat="1" applyFont="1" applyFill="1" applyBorder="1" applyAlignment="1">
      <alignment horizontal="center"/>
    </xf>
    <xf numFmtId="0" fontId="7" fillId="19" borderId="68" xfId="0" applyFont="1" applyFill="1" applyBorder="1"/>
    <xf numFmtId="0" fontId="7" fillId="19" borderId="32" xfId="0" applyFont="1" applyFill="1" applyBorder="1"/>
    <xf numFmtId="0" fontId="0" fillId="19" borderId="40" xfId="0" applyFill="1" applyBorder="1"/>
    <xf numFmtId="0" fontId="0" fillId="37" borderId="90" xfId="0" applyFont="1" applyFill="1" applyBorder="1" applyProtection="1">
      <protection locked="0"/>
    </xf>
    <xf numFmtId="0" fontId="87" fillId="19" borderId="32" xfId="0" applyFont="1" applyFill="1" applyBorder="1" applyAlignment="1">
      <alignment horizontal="center"/>
    </xf>
    <xf numFmtId="0" fontId="0" fillId="19" borderId="59" xfId="0" applyFill="1" applyBorder="1"/>
    <xf numFmtId="1" fontId="60" fillId="47" borderId="34" xfId="0" applyNumberFormat="1" applyFont="1" applyFill="1" applyBorder="1"/>
    <xf numFmtId="1" fontId="60" fillId="47" borderId="35" xfId="0" applyNumberFormat="1" applyFont="1" applyFill="1" applyBorder="1" applyProtection="1"/>
    <xf numFmtId="0" fontId="7" fillId="0" borderId="38" xfId="0" applyFont="1" applyFill="1" applyBorder="1"/>
    <xf numFmtId="0" fontId="7" fillId="0" borderId="37" xfId="0" applyFont="1" applyFill="1" applyBorder="1"/>
    <xf numFmtId="0" fontId="7" fillId="0" borderId="34" xfId="0" applyFont="1" applyFill="1" applyBorder="1" applyAlignment="1">
      <alignment horizontal="right"/>
    </xf>
    <xf numFmtId="2" fontId="7" fillId="0" borderId="34" xfId="0" applyNumberFormat="1" applyFont="1" applyFill="1" applyBorder="1"/>
    <xf numFmtId="178" fontId="0" fillId="0" borderId="41" xfId="0" applyNumberFormat="1" applyBorder="1" applyAlignment="1">
      <alignment wrapText="1"/>
    </xf>
    <xf numFmtId="178" fontId="0" fillId="0" borderId="35" xfId="0" applyNumberFormat="1" applyBorder="1"/>
    <xf numFmtId="178" fontId="0" fillId="0" borderId="34" xfId="0" applyNumberFormat="1" applyBorder="1"/>
    <xf numFmtId="165" fontId="60" fillId="0" borderId="16" xfId="0" applyNumberFormat="1" applyFont="1" applyBorder="1" applyAlignment="1">
      <alignment horizontal="center"/>
    </xf>
    <xf numFmtId="165" fontId="90" fillId="18" borderId="9" xfId="0" applyNumberFormat="1" applyFont="1" applyFill="1" applyBorder="1" applyAlignment="1">
      <alignment horizontal="center"/>
    </xf>
    <xf numFmtId="1" fontId="0" fillId="19" borderId="88" xfId="0" applyNumberFormat="1" applyFont="1" applyFill="1" applyBorder="1" applyAlignment="1"/>
    <xf numFmtId="2" fontId="0" fillId="0" borderId="34" xfId="0" applyNumberFormat="1" applyFont="1" applyBorder="1"/>
    <xf numFmtId="1" fontId="0" fillId="0" borderId="34" xfId="0" applyNumberFormat="1" applyFont="1" applyBorder="1"/>
    <xf numFmtId="0" fontId="7" fillId="25" borderId="34" xfId="0" applyFont="1" applyFill="1" applyBorder="1"/>
    <xf numFmtId="0" fontId="7" fillId="0" borderId="34" xfId="0" applyFont="1" applyBorder="1" applyAlignment="1">
      <alignment wrapText="1"/>
    </xf>
    <xf numFmtId="0" fontId="7" fillId="0" borderId="34" xfId="0" applyFont="1" applyFill="1" applyBorder="1" applyAlignment="1">
      <alignment wrapText="1"/>
    </xf>
    <xf numFmtId="0" fontId="7" fillId="0" borderId="34" xfId="0" applyFont="1" applyFill="1" applyBorder="1"/>
    <xf numFmtId="1" fontId="9" fillId="47" borderId="0" xfId="0" applyNumberFormat="1" applyFont="1" applyFill="1" applyBorder="1" applyAlignment="1">
      <alignment horizontal="center"/>
    </xf>
    <xf numFmtId="1" fontId="144" fillId="47" borderId="0" xfId="0" applyNumberFormat="1" applyFont="1" applyFill="1" applyBorder="1" applyAlignment="1">
      <alignment horizontal="center"/>
    </xf>
    <xf numFmtId="2" fontId="9" fillId="47" borderId="0" xfId="0" applyNumberFormat="1" applyFont="1" applyFill="1" applyBorder="1" applyAlignment="1">
      <alignment horizontal="center"/>
    </xf>
    <xf numFmtId="2" fontId="9" fillId="47" borderId="0" xfId="46" applyNumberFormat="1" applyFont="1" applyFill="1" applyBorder="1" applyAlignment="1">
      <alignment horizontal="center"/>
    </xf>
    <xf numFmtId="0" fontId="0" fillId="18" borderId="68" xfId="0" applyFont="1" applyFill="1" applyBorder="1" applyAlignment="1">
      <alignment horizontal="center"/>
    </xf>
    <xf numFmtId="178" fontId="0" fillId="47" borderId="0" xfId="0" applyNumberFormat="1" applyFill="1"/>
    <xf numFmtId="0" fontId="131" fillId="0" borderId="34" xfId="0" applyFont="1" applyFill="1" applyBorder="1" applyAlignment="1">
      <alignment horizontal="center"/>
    </xf>
    <xf numFmtId="0" fontId="0" fillId="0" borderId="0" xfId="0" applyAlignment="1">
      <alignment wrapText="1"/>
    </xf>
    <xf numFmtId="0" fontId="0" fillId="78" borderId="0" xfId="0" applyFont="1" applyFill="1" applyBorder="1"/>
    <xf numFmtId="0" fontId="0" fillId="46" borderId="108" xfId="0" applyFont="1" applyFill="1" applyBorder="1"/>
    <xf numFmtId="0" fontId="0" fillId="46" borderId="149" xfId="0" applyFont="1" applyFill="1" applyBorder="1"/>
    <xf numFmtId="0" fontId="0" fillId="47" borderId="150" xfId="0" applyFill="1" applyBorder="1"/>
    <xf numFmtId="0" fontId="0" fillId="47" borderId="151" xfId="0" applyFill="1" applyBorder="1"/>
    <xf numFmtId="0" fontId="0" fillId="46" borderId="152" xfId="0" applyFont="1" applyFill="1" applyBorder="1" applyAlignment="1" applyProtection="1">
      <alignment horizontal="center"/>
      <protection locked="0"/>
    </xf>
    <xf numFmtId="0" fontId="0" fillId="78" borderId="153" xfId="0" applyFont="1" applyFill="1" applyBorder="1"/>
    <xf numFmtId="0" fontId="0" fillId="0" borderId="154" xfId="0" applyFont="1" applyFill="1" applyBorder="1" applyAlignment="1" applyProtection="1">
      <alignment horizontal="center"/>
      <protection locked="0"/>
    </xf>
    <xf numFmtId="0" fontId="0" fillId="18" borderId="68" xfId="0" applyFill="1" applyBorder="1" applyAlignment="1" applyProtection="1">
      <alignment horizontal="center"/>
      <protection locked="0"/>
    </xf>
    <xf numFmtId="0" fontId="0" fillId="18" borderId="69" xfId="0" applyFill="1" applyBorder="1" applyProtection="1">
      <protection locked="0"/>
    </xf>
    <xf numFmtId="0" fontId="0" fillId="47" borderId="152" xfId="0" applyFont="1" applyFill="1" applyBorder="1"/>
    <xf numFmtId="0" fontId="0" fillId="47" borderId="155" xfId="0" applyFont="1" applyFill="1" applyBorder="1"/>
    <xf numFmtId="0" fontId="0" fillId="47" borderId="156" xfId="0" applyFont="1" applyFill="1" applyBorder="1"/>
    <xf numFmtId="0" fontId="0" fillId="47" borderId="157" xfId="0" applyFont="1" applyFill="1" applyBorder="1"/>
    <xf numFmtId="0" fontId="22" fillId="18" borderId="0" xfId="0" applyFont="1" applyFill="1" applyBorder="1"/>
    <xf numFmtId="0" fontId="0" fillId="102" borderId="0" xfId="0" applyFill="1" applyBorder="1"/>
    <xf numFmtId="0" fontId="79" fillId="102" borderId="0" xfId="0" applyFont="1" applyFill="1" applyBorder="1"/>
    <xf numFmtId="0" fontId="22" fillId="102" borderId="0" xfId="0" applyFont="1" applyFill="1" applyBorder="1"/>
    <xf numFmtId="1" fontId="0" fillId="47" borderId="38" xfId="0" applyNumberFormat="1" applyFont="1" applyFill="1" applyBorder="1" applyAlignment="1">
      <alignment horizontal="center"/>
    </xf>
    <xf numFmtId="0" fontId="0" fillId="47" borderId="34" xfId="0" applyFont="1" applyFill="1" applyBorder="1" applyAlignment="1">
      <alignment horizontal="center"/>
    </xf>
    <xf numFmtId="0" fontId="0" fillId="47" borderId="38" xfId="0" applyFont="1" applyFill="1" applyBorder="1" applyAlignment="1">
      <alignment horizontal="center"/>
    </xf>
    <xf numFmtId="0" fontId="0" fillId="47" borderId="32" xfId="0" applyFont="1" applyFill="1" applyBorder="1"/>
    <xf numFmtId="0" fontId="0" fillId="46" borderId="37" xfId="0" applyFont="1" applyFill="1" applyBorder="1"/>
    <xf numFmtId="1" fontId="0" fillId="46" borderId="37" xfId="0" applyNumberFormat="1" applyFont="1" applyFill="1" applyBorder="1" applyAlignment="1">
      <alignment horizontal="center"/>
    </xf>
    <xf numFmtId="1" fontId="0" fillId="47" borderId="37" xfId="0" applyNumberFormat="1" applyFont="1" applyFill="1" applyBorder="1" applyAlignment="1">
      <alignment horizontal="center"/>
    </xf>
    <xf numFmtId="0" fontId="0" fillId="46" borderId="42" xfId="0" applyFont="1" applyFill="1" applyBorder="1" applyAlignment="1">
      <alignment horizontal="center"/>
    </xf>
    <xf numFmtId="0" fontId="0" fillId="47" borderId="37" xfId="0" applyFont="1" applyFill="1" applyBorder="1" applyAlignment="1">
      <alignment horizontal="center"/>
    </xf>
    <xf numFmtId="0" fontId="7" fillId="104" borderId="0" xfId="0" applyFont="1" applyFill="1"/>
    <xf numFmtId="0" fontId="0" fillId="104" borderId="0" xfId="0" applyFill="1"/>
    <xf numFmtId="0" fontId="0" fillId="105" borderId="0" xfId="0" applyFill="1"/>
    <xf numFmtId="0" fontId="0" fillId="104" borderId="0" xfId="0" applyFill="1" applyAlignment="1">
      <alignment horizontal="right"/>
    </xf>
    <xf numFmtId="0" fontId="0" fillId="104" borderId="0" xfId="0" applyFill="1" applyAlignment="1">
      <alignment horizontal="center"/>
    </xf>
    <xf numFmtId="2" fontId="0" fillId="38" borderId="34" xfId="0" applyNumberFormat="1" applyFill="1" applyBorder="1"/>
    <xf numFmtId="1" fontId="0" fillId="106" borderId="35" xfId="0" applyNumberFormat="1" applyFont="1" applyFill="1" applyBorder="1" applyAlignment="1" applyProtection="1">
      <alignment horizontal="center"/>
      <protection locked="0"/>
    </xf>
    <xf numFmtId="0" fontId="25" fillId="18" borderId="0" xfId="0" applyFont="1" applyFill="1" applyBorder="1"/>
    <xf numFmtId="0" fontId="25" fillId="18" borderId="0" xfId="0" applyFont="1" applyFill="1" applyBorder="1" applyAlignment="1">
      <alignment horizontal="center"/>
    </xf>
    <xf numFmtId="1" fontId="0" fillId="106" borderId="0" xfId="0" applyNumberFormat="1" applyFont="1" applyFill="1" applyBorder="1" applyAlignment="1" applyProtection="1">
      <alignment horizontal="center"/>
      <protection locked="0"/>
    </xf>
    <xf numFmtId="0" fontId="25" fillId="18" borderId="15" xfId="0" applyFont="1" applyFill="1" applyBorder="1"/>
    <xf numFmtId="0" fontId="0" fillId="18" borderId="35" xfId="0" applyFont="1" applyFill="1" applyBorder="1" applyAlignment="1">
      <alignment horizontal="left"/>
    </xf>
    <xf numFmtId="0" fontId="0" fillId="18" borderId="35" xfId="0" applyFont="1" applyFill="1" applyBorder="1" applyAlignment="1">
      <alignment horizontal="center"/>
    </xf>
    <xf numFmtId="0" fontId="0" fillId="0" borderId="32" xfId="0" applyBorder="1"/>
    <xf numFmtId="0" fontId="0" fillId="0" borderId="42" xfId="0" applyBorder="1"/>
    <xf numFmtId="0" fontId="0" fillId="75" borderId="68" xfId="0" applyFill="1" applyBorder="1"/>
    <xf numFmtId="0" fontId="0" fillId="75" borderId="0" xfId="0" applyFill="1" applyBorder="1"/>
    <xf numFmtId="0" fontId="0" fillId="18" borderId="39" xfId="0" applyFont="1" applyFill="1" applyBorder="1" applyAlignment="1">
      <alignment horizontal="left"/>
    </xf>
    <xf numFmtId="0" fontId="0" fillId="0" borderId="69" xfId="0" applyBorder="1"/>
    <xf numFmtId="0" fontId="0" fillId="0" borderId="68" xfId="0" applyBorder="1"/>
    <xf numFmtId="0" fontId="0" fillId="0" borderId="42" xfId="0" applyBorder="1" applyAlignment="1">
      <alignment horizontal="center"/>
    </xf>
    <xf numFmtId="1" fontId="0" fillId="106" borderId="40" xfId="0" applyNumberFormat="1" applyFont="1" applyFill="1" applyBorder="1" applyAlignment="1" applyProtection="1">
      <alignment horizontal="center"/>
      <protection locked="0"/>
    </xf>
    <xf numFmtId="0" fontId="0" fillId="47" borderId="40" xfId="0" applyFill="1" applyBorder="1" applyAlignment="1">
      <alignment horizontal="center"/>
    </xf>
    <xf numFmtId="0" fontId="0" fillId="47" borderId="59" xfId="0" applyFill="1" applyBorder="1" applyAlignment="1">
      <alignment horizontal="center"/>
    </xf>
    <xf numFmtId="1" fontId="0" fillId="106" borderId="33" xfId="0" applyNumberFormat="1" applyFont="1" applyFill="1" applyBorder="1" applyAlignment="1" applyProtection="1">
      <alignment horizontal="center"/>
      <protection locked="0"/>
    </xf>
    <xf numFmtId="0" fontId="0" fillId="47" borderId="33" xfId="0" applyFill="1" applyBorder="1" applyAlignment="1">
      <alignment horizontal="center"/>
    </xf>
    <xf numFmtId="0" fontId="9" fillId="75" borderId="40" xfId="0" applyFont="1" applyFill="1" applyBorder="1" applyAlignment="1">
      <alignment horizontal="right"/>
    </xf>
    <xf numFmtId="0" fontId="9" fillId="75" borderId="40" xfId="0" applyFont="1" applyFill="1" applyBorder="1"/>
    <xf numFmtId="1" fontId="12" fillId="46" borderId="0" xfId="0" applyNumberFormat="1" applyFont="1" applyFill="1" applyBorder="1" applyAlignment="1">
      <alignment horizontal="center"/>
    </xf>
    <xf numFmtId="0" fontId="87" fillId="46" borderId="0" xfId="0" applyFont="1" applyFill="1" applyBorder="1"/>
    <xf numFmtId="0" fontId="87" fillId="102" borderId="0" xfId="0" applyFont="1" applyFill="1" applyBorder="1"/>
    <xf numFmtId="0" fontId="0" fillId="59" borderId="38" xfId="0" applyFill="1" applyBorder="1" applyAlignment="1">
      <alignment horizontal="center"/>
    </xf>
    <xf numFmtId="0" fontId="60" fillId="19" borderId="41" xfId="0" applyFont="1" applyFill="1" applyBorder="1"/>
    <xf numFmtId="0" fontId="60" fillId="19" borderId="39" xfId="0" applyFont="1" applyFill="1" applyBorder="1"/>
    <xf numFmtId="0" fontId="60" fillId="19" borderId="35" xfId="0" applyFont="1" applyFill="1" applyBorder="1"/>
    <xf numFmtId="0" fontId="0" fillId="47" borderId="38" xfId="0" applyFill="1" applyBorder="1" applyAlignment="1">
      <alignment wrapText="1"/>
    </xf>
    <xf numFmtId="0" fontId="0" fillId="46" borderId="0" xfId="0" applyFont="1" applyFill="1"/>
    <xf numFmtId="0" fontId="129" fillId="18" borderId="0" xfId="0" applyFont="1" applyFill="1" applyBorder="1"/>
    <xf numFmtId="0" fontId="7" fillId="47" borderId="0" xfId="0" applyFont="1" applyFill="1" applyBorder="1" applyAlignment="1"/>
    <xf numFmtId="0" fontId="0" fillId="47" borderId="0" xfId="0" applyFill="1" applyAlignment="1"/>
    <xf numFmtId="0" fontId="7" fillId="47" borderId="0" xfId="0" applyFont="1" applyFill="1" applyBorder="1" applyAlignment="1">
      <alignment horizontal="right"/>
    </xf>
    <xf numFmtId="0" fontId="5" fillId="47" borderId="0" xfId="0" applyFont="1" applyFill="1" applyBorder="1" applyAlignment="1">
      <alignment horizontal="center"/>
    </xf>
    <xf numFmtId="164" fontId="0" fillId="47" borderId="0" xfId="0" applyNumberFormat="1" applyFont="1" applyFill="1" applyBorder="1" applyAlignment="1">
      <alignment horizontal="center"/>
    </xf>
    <xf numFmtId="0" fontId="145" fillId="47" borderId="0" xfId="0" applyFont="1" applyFill="1" applyBorder="1"/>
    <xf numFmtId="0" fontId="134" fillId="47" borderId="0" xfId="0" applyFont="1" applyFill="1" applyBorder="1"/>
    <xf numFmtId="0" fontId="132" fillId="47" borderId="0" xfId="0" applyFont="1" applyFill="1" applyBorder="1" applyAlignment="1">
      <alignment horizontal="center"/>
    </xf>
    <xf numFmtId="2" fontId="0" fillId="47" borderId="0" xfId="0" applyNumberFormat="1" applyFont="1" applyFill="1" applyBorder="1" applyAlignment="1">
      <alignment horizontal="center"/>
    </xf>
    <xf numFmtId="165" fontId="0" fillId="47" borderId="0" xfId="0" applyNumberFormat="1" applyFont="1" applyFill="1" applyBorder="1" applyAlignment="1">
      <alignment horizontal="center"/>
    </xf>
    <xf numFmtId="0" fontId="129" fillId="47" borderId="0" xfId="0" applyFont="1" applyFill="1" applyBorder="1"/>
    <xf numFmtId="0" fontId="22" fillId="47" borderId="0" xfId="0" applyFont="1" applyFill="1"/>
    <xf numFmtId="0" fontId="7" fillId="74" borderId="0" xfId="0" applyFont="1" applyFill="1" applyBorder="1" applyAlignment="1">
      <alignment horizontal="center"/>
    </xf>
    <xf numFmtId="2" fontId="0" fillId="45" borderId="37" xfId="0" applyNumberFormat="1" applyFill="1" applyBorder="1" applyAlignment="1">
      <alignment horizontal="center"/>
    </xf>
    <xf numFmtId="0" fontId="8" fillId="18" borderId="99" xfId="0" applyFont="1" applyFill="1" applyBorder="1" applyAlignment="1">
      <alignment horizontal="left"/>
    </xf>
    <xf numFmtId="0" fontId="0" fillId="18" borderId="158" xfId="0" applyFont="1" applyFill="1" applyBorder="1" applyAlignment="1">
      <alignment horizontal="center"/>
    </xf>
    <xf numFmtId="0" fontId="0" fillId="18" borderId="159" xfId="0" applyFont="1" applyFill="1" applyBorder="1" applyAlignment="1">
      <alignment horizontal="center"/>
    </xf>
    <xf numFmtId="0" fontId="0" fillId="18" borderId="160" xfId="0" applyFont="1" applyFill="1" applyBorder="1" applyAlignment="1">
      <alignment horizontal="center"/>
    </xf>
    <xf numFmtId="165" fontId="0" fillId="18" borderId="161" xfId="0" applyNumberFormat="1" applyFont="1" applyFill="1" applyBorder="1" applyAlignment="1" applyProtection="1">
      <alignment horizontal="center"/>
      <protection locked="0"/>
    </xf>
    <xf numFmtId="0" fontId="0" fillId="18" borderId="162" xfId="0" applyFont="1" applyFill="1" applyBorder="1" applyAlignment="1">
      <alignment horizontal="center"/>
    </xf>
    <xf numFmtId="0" fontId="8" fillId="18" borderId="163" xfId="0" applyFont="1" applyFill="1" applyBorder="1" applyAlignment="1">
      <alignment horizontal="left"/>
    </xf>
    <xf numFmtId="0" fontId="0" fillId="18" borderId="164" xfId="0" applyFont="1" applyFill="1" applyBorder="1" applyAlignment="1">
      <alignment horizontal="center"/>
    </xf>
    <xf numFmtId="0" fontId="0" fillId="18" borderId="163" xfId="0" applyFill="1" applyBorder="1" applyAlignment="1">
      <alignment horizontal="left"/>
    </xf>
    <xf numFmtId="1" fontId="0" fillId="18" borderId="165" xfId="0" applyNumberFormat="1" applyFont="1" applyFill="1" applyBorder="1" applyAlignment="1" applyProtection="1">
      <alignment horizontal="center"/>
      <protection locked="0"/>
    </xf>
    <xf numFmtId="0" fontId="0" fillId="23" borderId="166" xfId="0" applyFont="1" applyFill="1" applyBorder="1" applyAlignment="1">
      <alignment horizontal="center"/>
    </xf>
    <xf numFmtId="1" fontId="12" fillId="18" borderId="96" xfId="0" applyNumberFormat="1" applyFont="1" applyFill="1" applyBorder="1" applyAlignment="1">
      <alignment horizontal="center"/>
    </xf>
    <xf numFmtId="165" fontId="12" fillId="18" borderId="96" xfId="0" applyNumberFormat="1" applyFont="1" applyFill="1" applyBorder="1" applyAlignment="1">
      <alignment horizontal="center"/>
    </xf>
    <xf numFmtId="1" fontId="12" fillId="18" borderId="167" xfId="0" applyNumberFormat="1" applyFont="1" applyFill="1" applyBorder="1" applyAlignment="1">
      <alignment horizontal="center"/>
    </xf>
    <xf numFmtId="1" fontId="12" fillId="18" borderId="111" xfId="0" applyNumberFormat="1" applyFont="1" applyFill="1" applyBorder="1" applyAlignment="1">
      <alignment horizontal="center"/>
    </xf>
    <xf numFmtId="0" fontId="0" fillId="47" borderId="69" xfId="0" applyFill="1" applyBorder="1"/>
    <xf numFmtId="0" fontId="0" fillId="18" borderId="25" xfId="0" applyFont="1" applyFill="1" applyBorder="1" applyAlignment="1">
      <alignment horizontal="left"/>
    </xf>
    <xf numFmtId="0" fontId="0" fillId="18" borderId="16" xfId="0" applyFont="1" applyFill="1" applyBorder="1" applyAlignment="1">
      <alignment horizontal="left"/>
    </xf>
    <xf numFmtId="0" fontId="0" fillId="18" borderId="59" xfId="0" applyFont="1" applyFill="1" applyBorder="1" applyAlignment="1">
      <alignment horizontal="center"/>
    </xf>
    <xf numFmtId="0" fontId="0" fillId="18" borderId="69" xfId="0" applyFont="1" applyFill="1" applyBorder="1" applyAlignment="1">
      <alignment horizontal="center"/>
    </xf>
    <xf numFmtId="0" fontId="0" fillId="18" borderId="168" xfId="0" applyFont="1" applyFill="1" applyBorder="1"/>
    <xf numFmtId="1" fontId="0" fillId="83" borderId="154" xfId="0" applyNumberFormat="1" applyFont="1" applyFill="1" applyBorder="1" applyAlignment="1">
      <alignment horizontal="center"/>
    </xf>
    <xf numFmtId="1" fontId="0" fillId="83" borderId="157" xfId="0" applyNumberFormat="1" applyFont="1" applyFill="1" applyBorder="1" applyAlignment="1">
      <alignment horizontal="center"/>
    </xf>
    <xf numFmtId="0" fontId="0" fillId="74" borderId="32" xfId="0" applyFill="1" applyBorder="1"/>
    <xf numFmtId="0" fontId="0" fillId="18" borderId="23" xfId="0" applyFont="1" applyFill="1" applyBorder="1" applyAlignment="1">
      <alignment horizontal="center"/>
    </xf>
    <xf numFmtId="0" fontId="0" fillId="18" borderId="20" xfId="0" applyFont="1" applyFill="1" applyBorder="1" applyAlignment="1">
      <alignment horizontal="center"/>
    </xf>
    <xf numFmtId="9" fontId="56" fillId="18" borderId="18" xfId="34" applyFill="1" applyBorder="1" applyAlignment="1">
      <alignment horizontal="center"/>
    </xf>
    <xf numFmtId="2" fontId="12" fillId="18" borderId="169" xfId="0" applyNumberFormat="1" applyFont="1" applyFill="1" applyBorder="1" applyAlignment="1">
      <alignment horizontal="center"/>
    </xf>
    <xf numFmtId="0" fontId="0" fillId="18" borderId="163" xfId="0" applyFont="1" applyFill="1" applyBorder="1" applyAlignment="1">
      <alignment horizontal="center"/>
    </xf>
    <xf numFmtId="0" fontId="0" fillId="18" borderId="170" xfId="0" applyFont="1" applyFill="1" applyBorder="1" applyAlignment="1">
      <alignment horizontal="center"/>
    </xf>
    <xf numFmtId="0" fontId="0" fillId="23" borderId="95" xfId="0" applyFont="1" applyFill="1" applyBorder="1" applyAlignment="1">
      <alignment horizontal="center"/>
    </xf>
    <xf numFmtId="1" fontId="12" fillId="18" borderId="110" xfId="0" applyNumberFormat="1" applyFont="1" applyFill="1" applyBorder="1" applyAlignment="1">
      <alignment horizontal="center"/>
    </xf>
    <xf numFmtId="0" fontId="0" fillId="18" borderId="108" xfId="0" applyFont="1" applyFill="1" applyBorder="1" applyAlignment="1">
      <alignment horizontal="left"/>
    </xf>
    <xf numFmtId="0" fontId="47" fillId="47" borderId="0" xfId="0" applyFont="1" applyFill="1" applyBorder="1"/>
    <xf numFmtId="0" fontId="146" fillId="18" borderId="0" xfId="0" applyFont="1" applyFill="1" applyAlignment="1">
      <alignment horizontal="right"/>
    </xf>
    <xf numFmtId="0" fontId="87" fillId="46" borderId="0" xfId="0" applyFont="1" applyFill="1"/>
    <xf numFmtId="0" fontId="9" fillId="107" borderId="67" xfId="0" applyFont="1" applyFill="1" applyBorder="1"/>
    <xf numFmtId="0" fontId="0" fillId="108" borderId="40" xfId="0" applyFill="1" applyBorder="1"/>
    <xf numFmtId="0" fontId="9" fillId="109" borderId="59" xfId="0" applyFont="1" applyFill="1" applyBorder="1"/>
    <xf numFmtId="0" fontId="9" fillId="107" borderId="68" xfId="0" applyFont="1" applyFill="1" applyBorder="1"/>
    <xf numFmtId="0" fontId="0" fillId="108" borderId="0" xfId="0" applyFill="1" applyBorder="1"/>
    <xf numFmtId="0" fontId="9" fillId="109" borderId="69" xfId="0" applyFont="1" applyFill="1" applyBorder="1"/>
    <xf numFmtId="0" fontId="8" fillId="109" borderId="32" xfId="0" applyFont="1" applyFill="1" applyBorder="1"/>
    <xf numFmtId="1" fontId="0" fillId="108" borderId="33" xfId="0" applyNumberFormat="1" applyFill="1" applyBorder="1"/>
    <xf numFmtId="0" fontId="9" fillId="109" borderId="42" xfId="0" applyFont="1" applyFill="1" applyBorder="1"/>
    <xf numFmtId="0" fontId="0" fillId="108" borderId="0" xfId="0" applyFill="1"/>
    <xf numFmtId="0" fontId="95" fillId="47" borderId="171" xfId="0" applyFont="1" applyFill="1" applyBorder="1" applyAlignment="1">
      <alignment horizontal="center"/>
    </xf>
    <xf numFmtId="164" fontId="0" fillId="0" borderId="34" xfId="0" applyNumberFormat="1" applyFont="1" applyBorder="1"/>
    <xf numFmtId="164" fontId="0" fillId="0" borderId="34" xfId="0" applyNumberFormat="1" applyFont="1" applyBorder="1" applyAlignment="1">
      <alignment horizontal="center"/>
    </xf>
    <xf numFmtId="164" fontId="0" fillId="0" borderId="41" xfId="0" applyNumberFormat="1" applyFont="1" applyBorder="1" applyAlignment="1">
      <alignment horizontal="center"/>
    </xf>
    <xf numFmtId="164" fontId="0" fillId="0" borderId="41" xfId="0" applyNumberFormat="1" applyFont="1" applyBorder="1"/>
    <xf numFmtId="164" fontId="0" fillId="0" borderId="0" xfId="0" applyNumberFormat="1" applyFont="1" applyFill="1" applyBorder="1" applyAlignment="1">
      <alignment horizontal="center"/>
    </xf>
    <xf numFmtId="164" fontId="0" fillId="0" borderId="34" xfId="0" applyNumberFormat="1" applyBorder="1" applyAlignment="1">
      <alignment horizontal="center"/>
    </xf>
    <xf numFmtId="0" fontId="100" fillId="47" borderId="34" xfId="0" applyFont="1" applyFill="1" applyBorder="1"/>
    <xf numFmtId="0" fontId="4" fillId="47" borderId="0" xfId="0" applyFont="1" applyFill="1" applyAlignment="1">
      <alignment horizontal="left"/>
    </xf>
    <xf numFmtId="0" fontId="12" fillId="46" borderId="0" xfId="0" applyFont="1" applyFill="1" applyAlignment="1">
      <alignment horizontal="left"/>
    </xf>
    <xf numFmtId="0" fontId="0" fillId="47" borderId="172" xfId="0" applyFont="1" applyFill="1" applyBorder="1"/>
    <xf numFmtId="0" fontId="0" fillId="47" borderId="173" xfId="0" applyFont="1" applyFill="1" applyBorder="1"/>
    <xf numFmtId="0" fontId="0" fillId="47" borderId="174" xfId="0" applyFont="1" applyFill="1" applyBorder="1"/>
    <xf numFmtId="0" fontId="0" fillId="46" borderId="71" xfId="0" applyFont="1" applyFill="1" applyBorder="1"/>
    <xf numFmtId="0" fontId="0" fillId="47" borderId="113" xfId="0" applyFill="1" applyBorder="1"/>
    <xf numFmtId="0" fontId="0" fillId="47" borderId="112" xfId="0" applyFont="1" applyFill="1" applyBorder="1"/>
    <xf numFmtId="0" fontId="0" fillId="46" borderId="175" xfId="0" applyFont="1" applyFill="1" applyBorder="1"/>
    <xf numFmtId="0" fontId="0" fillId="47" borderId="57" xfId="0" applyFont="1" applyFill="1" applyBorder="1"/>
    <xf numFmtId="0" fontId="0" fillId="47" borderId="115" xfId="0" applyFill="1" applyBorder="1"/>
    <xf numFmtId="0" fontId="0" fillId="47" borderId="115" xfId="0" applyFont="1" applyFill="1" applyBorder="1" applyAlignment="1">
      <alignment horizontal="center"/>
    </xf>
    <xf numFmtId="1" fontId="0" fillId="47" borderId="0" xfId="0" applyNumberFormat="1" applyFill="1" applyBorder="1" applyAlignment="1">
      <alignment horizontal="center"/>
    </xf>
    <xf numFmtId="0" fontId="0" fillId="47" borderId="62" xfId="0" applyFont="1" applyFill="1" applyBorder="1" applyAlignment="1">
      <alignment horizontal="center"/>
    </xf>
    <xf numFmtId="1" fontId="0" fillId="46" borderId="62" xfId="0" applyNumberFormat="1" applyFont="1" applyFill="1" applyBorder="1" applyAlignment="1">
      <alignment horizontal="center"/>
    </xf>
    <xf numFmtId="0" fontId="0" fillId="47" borderId="73" xfId="0" applyFont="1" applyFill="1" applyBorder="1"/>
    <xf numFmtId="1" fontId="0" fillId="47" borderId="77" xfId="0" applyNumberFormat="1" applyFont="1" applyFill="1" applyBorder="1" applyAlignment="1">
      <alignment horizontal="center"/>
    </xf>
    <xf numFmtId="1" fontId="0" fillId="47" borderId="77" xfId="0" applyNumberFormat="1" applyFont="1" applyFill="1" applyBorder="1"/>
    <xf numFmtId="1" fontId="0" fillId="46" borderId="77" xfId="0" applyNumberFormat="1" applyFont="1" applyFill="1" applyBorder="1" applyAlignment="1">
      <alignment horizontal="center"/>
    </xf>
    <xf numFmtId="1" fontId="0" fillId="46" borderId="78" xfId="0" applyNumberFormat="1" applyFont="1" applyFill="1" applyBorder="1" applyAlignment="1">
      <alignment horizontal="center"/>
    </xf>
    <xf numFmtId="0" fontId="24" fillId="0" borderId="39" xfId="0" applyFont="1" applyBorder="1"/>
    <xf numFmtId="0" fontId="128" fillId="0" borderId="35" xfId="0" applyFont="1" applyBorder="1"/>
    <xf numFmtId="0" fontId="0" fillId="110" borderId="34" xfId="0" applyFont="1" applyFill="1" applyBorder="1" applyAlignment="1" applyProtection="1">
      <alignment horizontal="center"/>
    </xf>
    <xf numFmtId="0" fontId="0" fillId="99" borderId="34" xfId="0" applyFill="1" applyBorder="1" applyAlignment="1" applyProtection="1">
      <alignment horizontal="center"/>
    </xf>
    <xf numFmtId="0" fontId="92" fillId="61" borderId="35" xfId="0" applyFont="1" applyFill="1" applyBorder="1" applyProtection="1">
      <protection locked="0"/>
    </xf>
    <xf numFmtId="0" fontId="142" fillId="99" borderId="35" xfId="0" applyFont="1" applyFill="1" applyBorder="1" applyProtection="1">
      <protection locked="0"/>
    </xf>
    <xf numFmtId="0" fontId="142" fillId="99" borderId="34" xfId="0" applyFont="1" applyFill="1" applyBorder="1" applyProtection="1">
      <protection locked="0"/>
    </xf>
    <xf numFmtId="0" fontId="9" fillId="0" borderId="0" xfId="0" applyFont="1" applyAlignment="1">
      <alignment horizontal="center"/>
    </xf>
    <xf numFmtId="0" fontId="7" fillId="42" borderId="0" xfId="0" applyFont="1" applyFill="1" applyBorder="1" applyAlignment="1">
      <alignment horizontal="center"/>
    </xf>
    <xf numFmtId="164" fontId="7" fillId="42" borderId="0" xfId="0" applyNumberFormat="1" applyFont="1" applyFill="1" applyAlignment="1">
      <alignment horizontal="center"/>
    </xf>
    <xf numFmtId="0" fontId="7" fillId="42" borderId="0" xfId="0" applyFont="1" applyFill="1" applyAlignment="1">
      <alignment horizontal="center"/>
    </xf>
    <xf numFmtId="1" fontId="7" fillId="42" borderId="0" xfId="0" applyNumberFormat="1" applyFont="1" applyFill="1" applyAlignment="1">
      <alignment horizontal="center"/>
    </xf>
    <xf numFmtId="1" fontId="7" fillId="42" borderId="0" xfId="0" applyNumberFormat="1" applyFont="1" applyFill="1" applyBorder="1"/>
    <xf numFmtId="1" fontId="12" fillId="42" borderId="0" xfId="0" applyNumberFormat="1" applyFont="1" applyFill="1" applyBorder="1"/>
    <xf numFmtId="0" fontId="7" fillId="42" borderId="0" xfId="0" applyFont="1" applyFill="1" applyBorder="1"/>
    <xf numFmtId="0" fontId="0" fillId="42" borderId="0" xfId="0" applyFill="1" applyProtection="1">
      <protection locked="0"/>
    </xf>
    <xf numFmtId="2" fontId="7" fillId="42" borderId="34" xfId="0" applyNumberFormat="1" applyFont="1" applyFill="1" applyBorder="1"/>
    <xf numFmtId="164" fontId="0" fillId="42" borderId="0" xfId="0" applyNumberFormat="1" applyFill="1" applyAlignment="1">
      <alignment horizontal="center"/>
    </xf>
    <xf numFmtId="178" fontId="0" fillId="42" borderId="34" xfId="0" applyNumberFormat="1" applyFill="1" applyBorder="1"/>
    <xf numFmtId="178" fontId="0" fillId="42" borderId="0" xfId="0" applyNumberFormat="1" applyFill="1"/>
    <xf numFmtId="2" fontId="0" fillId="42" borderId="0" xfId="0" applyNumberFormat="1" applyFill="1"/>
    <xf numFmtId="0" fontId="0" fillId="42" borderId="34" xfId="0" applyFill="1" applyBorder="1"/>
    <xf numFmtId="1" fontId="0" fillId="42" borderId="34" xfId="0" applyNumberFormat="1" applyFill="1" applyBorder="1"/>
    <xf numFmtId="1" fontId="0" fillId="42" borderId="0" xfId="0" applyNumberFormat="1" applyFill="1"/>
    <xf numFmtId="0" fontId="9" fillId="0" borderId="41" xfId="0" applyFont="1" applyBorder="1" applyAlignment="1">
      <alignment horizontal="center"/>
    </xf>
    <xf numFmtId="0" fontId="9" fillId="0" borderId="67" xfId="0" applyFont="1" applyBorder="1" applyAlignment="1">
      <alignment horizontal="center"/>
    </xf>
    <xf numFmtId="0" fontId="9" fillId="0" borderId="59" xfId="0" applyFont="1" applyBorder="1" applyAlignment="1">
      <alignment horizontal="center"/>
    </xf>
    <xf numFmtId="0" fontId="9" fillId="0" borderId="39" xfId="0" applyFont="1" applyBorder="1" applyAlignment="1">
      <alignment horizontal="center"/>
    </xf>
    <xf numFmtId="0" fontId="9" fillId="0" borderId="68" xfId="0" applyFont="1" applyBorder="1" applyAlignment="1">
      <alignment horizontal="center"/>
    </xf>
    <xf numFmtId="0" fontId="9" fillId="0" borderId="69" xfId="0" applyFont="1" applyBorder="1" applyAlignment="1">
      <alignment horizontal="center"/>
    </xf>
    <xf numFmtId="1" fontId="0" fillId="0" borderId="39" xfId="0" applyNumberForma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0" fillId="42" borderId="68" xfId="0" applyFill="1" applyBorder="1" applyAlignment="1">
      <alignment horizontal="center"/>
    </xf>
    <xf numFmtId="0" fontId="0" fillId="42" borderId="69" xfId="0" applyFill="1" applyBorder="1" applyAlignment="1">
      <alignment horizontal="center"/>
    </xf>
    <xf numFmtId="0" fontId="0" fillId="42" borderId="0" xfId="0" applyFill="1" applyAlignment="1">
      <alignment horizontal="center"/>
    </xf>
    <xf numFmtId="1" fontId="0" fillId="0" borderId="35" xfId="0" applyNumberFormat="1" applyBorder="1" applyAlignment="1">
      <alignment horizontal="center"/>
    </xf>
    <xf numFmtId="0" fontId="0" fillId="0" borderId="32" xfId="0" applyBorder="1" applyAlignment="1">
      <alignment horizontal="center"/>
    </xf>
    <xf numFmtId="1" fontId="0" fillId="45" borderId="35" xfId="0" applyNumberFormat="1" applyFill="1" applyBorder="1" applyAlignment="1">
      <alignment horizontal="center"/>
    </xf>
    <xf numFmtId="0" fontId="0" fillId="45" borderId="0" xfId="0" applyFill="1"/>
    <xf numFmtId="0" fontId="0" fillId="45" borderId="32" xfId="0" applyFill="1" applyBorder="1" applyAlignment="1">
      <alignment horizontal="center"/>
    </xf>
    <xf numFmtId="0" fontId="0" fillId="45" borderId="42" xfId="0" applyFill="1" applyBorder="1" applyAlignment="1">
      <alignment horizontal="center"/>
    </xf>
    <xf numFmtId="0" fontId="0" fillId="45" borderId="0" xfId="0" applyFill="1" applyAlignment="1">
      <alignment horizontal="center"/>
    </xf>
    <xf numFmtId="1" fontId="0" fillId="45" borderId="0" xfId="0" applyNumberFormat="1" applyFill="1"/>
    <xf numFmtId="0" fontId="7" fillId="45" borderId="0" xfId="0" applyFont="1" applyFill="1" applyBorder="1" applyAlignment="1">
      <alignment horizontal="center"/>
    </xf>
    <xf numFmtId="164" fontId="7" fillId="45" borderId="0" xfId="0" applyNumberFormat="1" applyFont="1" applyFill="1" applyAlignment="1">
      <alignment horizontal="center"/>
    </xf>
    <xf numFmtId="0" fontId="7" fillId="45" borderId="0" xfId="0" applyFont="1" applyFill="1" applyAlignment="1">
      <alignment horizontal="center"/>
    </xf>
    <xf numFmtId="1" fontId="7" fillId="45" borderId="0" xfId="0" applyNumberFormat="1" applyFont="1" applyFill="1" applyAlignment="1">
      <alignment horizontal="center"/>
    </xf>
    <xf numFmtId="1" fontId="7" fillId="45" borderId="0" xfId="0" applyNumberFormat="1" applyFont="1" applyFill="1" applyBorder="1"/>
    <xf numFmtId="1" fontId="12" fillId="45" borderId="0" xfId="0" applyNumberFormat="1" applyFont="1" applyFill="1" applyBorder="1"/>
    <xf numFmtId="0" fontId="7" fillId="45" borderId="0" xfId="0" applyFont="1" applyFill="1" applyBorder="1"/>
    <xf numFmtId="0" fontId="0" fillId="45" borderId="0" xfId="0" applyFill="1" applyProtection="1">
      <protection locked="0"/>
    </xf>
    <xf numFmtId="2" fontId="7" fillId="45" borderId="34" xfId="0" applyNumberFormat="1" applyFont="1" applyFill="1" applyBorder="1"/>
    <xf numFmtId="164" fontId="0" fillId="45" borderId="0" xfId="0" applyNumberFormat="1" applyFill="1" applyAlignment="1">
      <alignment horizontal="center"/>
    </xf>
    <xf numFmtId="178" fontId="0" fillId="45" borderId="34" xfId="0" applyNumberFormat="1" applyFill="1" applyBorder="1"/>
    <xf numFmtId="178" fontId="0" fillId="45" borderId="0" xfId="0" applyNumberFormat="1" applyFill="1"/>
    <xf numFmtId="1" fontId="0" fillId="45" borderId="34" xfId="0" applyNumberFormat="1" applyFill="1" applyBorder="1"/>
    <xf numFmtId="0" fontId="0" fillId="45" borderId="0" xfId="0" applyFill="1" applyProtection="1"/>
    <xf numFmtId="0" fontId="0" fillId="64" borderId="34" xfId="0" applyFill="1" applyBorder="1" applyProtection="1"/>
    <xf numFmtId="0" fontId="7" fillId="47" borderId="36" xfId="0" applyFont="1" applyFill="1" applyBorder="1"/>
    <xf numFmtId="0" fontId="7" fillId="47" borderId="37" xfId="0" applyFont="1" applyFill="1" applyBorder="1"/>
    <xf numFmtId="0" fontId="0" fillId="41" borderId="42" xfId="0" applyFont="1" applyFill="1" applyBorder="1" applyAlignment="1">
      <alignment horizontal="right"/>
    </xf>
    <xf numFmtId="0" fontId="0" fillId="98" borderId="38" xfId="0" applyFill="1" applyBorder="1" applyAlignment="1">
      <alignment horizontal="center"/>
    </xf>
    <xf numFmtId="0" fontId="0" fillId="45" borderId="38" xfId="0" applyFill="1" applyBorder="1" applyAlignment="1">
      <alignment horizontal="center"/>
    </xf>
    <xf numFmtId="0" fontId="0" fillId="40" borderId="37" xfId="0" applyFill="1" applyBorder="1" applyAlignment="1">
      <alignment horizontal="center"/>
    </xf>
    <xf numFmtId="0" fontId="9" fillId="58" borderId="37" xfId="0" applyFont="1" applyFill="1" applyBorder="1"/>
    <xf numFmtId="0" fontId="0" fillId="45" borderId="37" xfId="0" applyFill="1" applyBorder="1" applyAlignment="1">
      <alignment horizontal="center"/>
    </xf>
    <xf numFmtId="0" fontId="34" fillId="41" borderId="48" xfId="0" applyFont="1" applyFill="1" applyBorder="1"/>
    <xf numFmtId="2" fontId="33" fillId="41" borderId="69" xfId="0" applyNumberFormat="1" applyFont="1" applyFill="1" applyBorder="1" applyAlignment="1">
      <alignment horizontal="center"/>
    </xf>
    <xf numFmtId="0" fontId="34" fillId="41" borderId="53" xfId="0" applyFont="1" applyFill="1" applyBorder="1"/>
    <xf numFmtId="174" fontId="33" fillId="41" borderId="52" xfId="0" applyNumberFormat="1" applyFont="1" applyFill="1" applyBorder="1" applyAlignment="1">
      <alignment horizontal="right"/>
    </xf>
    <xf numFmtId="174" fontId="33" fillId="41" borderId="52" xfId="0" applyNumberFormat="1" applyFont="1" applyFill="1" applyBorder="1"/>
    <xf numFmtId="0" fontId="33" fillId="41" borderId="52" xfId="0" applyFont="1" applyFill="1" applyBorder="1"/>
    <xf numFmtId="0" fontId="33" fillId="41" borderId="60" xfId="0" applyFont="1" applyFill="1" applyBorder="1" applyAlignment="1">
      <alignment horizontal="center"/>
    </xf>
    <xf numFmtId="0" fontId="148" fillId="0" borderId="0" xfId="0" applyFont="1" applyBorder="1"/>
    <xf numFmtId="0" fontId="148" fillId="47" borderId="0" xfId="0" applyFont="1" applyFill="1" applyBorder="1"/>
    <xf numFmtId="0" fontId="148" fillId="47" borderId="0" xfId="0" applyFont="1" applyFill="1" applyBorder="1" applyAlignment="1">
      <alignment horizontal="center"/>
    </xf>
    <xf numFmtId="0" fontId="60" fillId="47" borderId="0" xfId="0" applyFont="1" applyFill="1" applyBorder="1" applyAlignment="1">
      <alignment horizontal="center"/>
    </xf>
    <xf numFmtId="0" fontId="60" fillId="47" borderId="0" xfId="0" applyFont="1" applyFill="1" applyBorder="1"/>
    <xf numFmtId="0" fontId="60" fillId="47" borderId="34" xfId="0" applyFont="1" applyFill="1" applyBorder="1"/>
    <xf numFmtId="0" fontId="60" fillId="47" borderId="34" xfId="0" applyFont="1" applyFill="1" applyBorder="1" applyAlignment="1">
      <alignment horizontal="center"/>
    </xf>
    <xf numFmtId="0" fontId="87" fillId="47" borderId="0" xfId="0" applyFont="1" applyFill="1"/>
    <xf numFmtId="0" fontId="60" fillId="47" borderId="0" xfId="0" applyFont="1" applyFill="1" applyAlignment="1">
      <alignment horizontal="center"/>
    </xf>
    <xf numFmtId="0" fontId="87" fillId="47" borderId="34" xfId="0" applyFont="1" applyFill="1" applyBorder="1"/>
    <xf numFmtId="0" fontId="87" fillId="47" borderId="34" xfId="0" applyFont="1" applyFill="1" applyBorder="1" applyAlignment="1">
      <alignment horizontal="center"/>
    </xf>
    <xf numFmtId="0" fontId="148" fillId="47" borderId="34" xfId="0" applyFont="1" applyFill="1" applyBorder="1"/>
    <xf numFmtId="0" fontId="148" fillId="47" borderId="34" xfId="0" applyFont="1" applyFill="1" applyBorder="1" applyAlignment="1">
      <alignment horizontal="center"/>
    </xf>
    <xf numFmtId="0" fontId="87" fillId="47" borderId="38" xfId="0" applyFont="1" applyFill="1" applyBorder="1"/>
    <xf numFmtId="0" fontId="60" fillId="47" borderId="35" xfId="0" applyFont="1" applyFill="1" applyBorder="1"/>
    <xf numFmtId="0" fontId="87" fillId="47" borderId="35" xfId="0" applyFont="1" applyFill="1" applyBorder="1"/>
    <xf numFmtId="1" fontId="60" fillId="47" borderId="35" xfId="0" applyNumberFormat="1" applyFont="1" applyFill="1" applyBorder="1"/>
    <xf numFmtId="0" fontId="87" fillId="47" borderId="41" xfId="0" applyFont="1" applyFill="1" applyBorder="1"/>
    <xf numFmtId="0" fontId="0" fillId="47" borderId="0" xfId="0" applyFont="1" applyFill="1" applyBorder="1" applyAlignment="1">
      <alignment horizontal="center"/>
    </xf>
    <xf numFmtId="0" fontId="149" fillId="19" borderId="34" xfId="0" applyFont="1" applyFill="1" applyBorder="1"/>
    <xf numFmtId="2" fontId="7" fillId="111" borderId="34" xfId="0" applyNumberFormat="1" applyFont="1" applyFill="1" applyBorder="1" applyAlignment="1">
      <alignment horizontal="center"/>
    </xf>
    <xf numFmtId="2" fontId="5" fillId="111" borderId="34" xfId="0" applyNumberFormat="1" applyFont="1" applyFill="1" applyBorder="1" applyAlignment="1">
      <alignment horizontal="center"/>
    </xf>
    <xf numFmtId="0" fontId="99" fillId="47" borderId="34" xfId="0" applyFont="1" applyFill="1" applyBorder="1"/>
    <xf numFmtId="0" fontId="99" fillId="47" borderId="35" xfId="0" applyFont="1" applyFill="1" applyBorder="1"/>
    <xf numFmtId="165" fontId="33" fillId="41" borderId="39" xfId="0" applyNumberFormat="1" applyFont="1" applyFill="1" applyBorder="1" applyAlignment="1">
      <alignment horizontal="center"/>
    </xf>
    <xf numFmtId="1" fontId="33" fillId="41" borderId="39" xfId="0" applyNumberFormat="1" applyFont="1" applyFill="1" applyBorder="1" applyAlignment="1">
      <alignment horizontal="center"/>
    </xf>
    <xf numFmtId="183" fontId="33" fillId="41" borderId="48" xfId="0" applyNumberFormat="1" applyFont="1" applyFill="1" applyBorder="1"/>
    <xf numFmtId="0" fontId="22" fillId="41" borderId="0" xfId="0" applyFont="1" applyFill="1"/>
    <xf numFmtId="0" fontId="86" fillId="41" borderId="0" xfId="0" applyFont="1" applyFill="1"/>
    <xf numFmtId="0" fontId="150" fillId="0" borderId="0" xfId="48" applyFont="1"/>
    <xf numFmtId="0" fontId="35" fillId="41" borderId="48" xfId="0" applyFont="1" applyFill="1" applyBorder="1" applyAlignment="1">
      <alignment horizontal="left"/>
    </xf>
    <xf numFmtId="174" fontId="33" fillId="41" borderId="48" xfId="0" applyNumberFormat="1" applyFont="1" applyFill="1" applyBorder="1" applyAlignment="1">
      <alignment horizontal="left"/>
    </xf>
    <xf numFmtId="1" fontId="149" fillId="19" borderId="34" xfId="0" applyNumberFormat="1" applyFont="1" applyFill="1" applyBorder="1"/>
    <xf numFmtId="1" fontId="149" fillId="19" borderId="38" xfId="0" applyNumberFormat="1" applyFont="1" applyFill="1" applyBorder="1"/>
    <xf numFmtId="2" fontId="149" fillId="19" borderId="34" xfId="0" applyNumberFormat="1" applyFont="1" applyFill="1" applyBorder="1"/>
    <xf numFmtId="0" fontId="7" fillId="42" borderId="69" xfId="0" applyFont="1" applyFill="1" applyBorder="1"/>
    <xf numFmtId="1" fontId="121" fillId="41" borderId="35" xfId="0" applyNumberFormat="1" applyFont="1" applyFill="1" applyBorder="1"/>
    <xf numFmtId="1" fontId="121" fillId="41" borderId="34" xfId="0" applyNumberFormat="1" applyFont="1" applyFill="1" applyBorder="1"/>
    <xf numFmtId="1" fontId="121" fillId="47" borderId="0" xfId="0" applyNumberFormat="1" applyFont="1" applyFill="1" applyBorder="1"/>
    <xf numFmtId="0" fontId="34" fillId="41" borderId="36" xfId="0" applyFont="1" applyFill="1" applyBorder="1"/>
    <xf numFmtId="0" fontId="35" fillId="41" borderId="171" xfId="0" applyFont="1" applyFill="1" applyBorder="1" applyAlignment="1">
      <alignment horizontal="center"/>
    </xf>
    <xf numFmtId="0" fontId="35" fillId="41" borderId="61" xfId="0" applyFont="1" applyFill="1" applyBorder="1" applyAlignment="1">
      <alignment horizontal="center"/>
    </xf>
    <xf numFmtId="0" fontId="34" fillId="41" borderId="176" xfId="0" applyFont="1" applyFill="1" applyBorder="1"/>
    <xf numFmtId="1" fontId="149" fillId="19" borderId="32" xfId="0" applyNumberFormat="1" applyFont="1" applyFill="1" applyBorder="1"/>
    <xf numFmtId="1" fontId="0" fillId="19" borderId="38" xfId="0" applyNumberFormat="1" applyFont="1" applyFill="1" applyBorder="1"/>
    <xf numFmtId="1" fontId="152" fillId="26" borderId="34" xfId="0" applyNumberFormat="1" applyFont="1" applyFill="1" applyBorder="1"/>
    <xf numFmtId="2" fontId="153" fillId="19" borderId="34" xfId="0" applyNumberFormat="1" applyFont="1" applyFill="1" applyBorder="1"/>
    <xf numFmtId="1" fontId="153" fillId="19" borderId="38" xfId="0" applyNumberFormat="1" applyFont="1" applyFill="1" applyBorder="1"/>
    <xf numFmtId="0" fontId="151" fillId="41" borderId="68" xfId="0" applyFont="1" applyFill="1" applyBorder="1"/>
    <xf numFmtId="0" fontId="151" fillId="41" borderId="32" xfId="0" applyFont="1" applyFill="1" applyBorder="1"/>
    <xf numFmtId="0" fontId="0" fillId="20" borderId="34" xfId="0" applyFill="1" applyBorder="1" applyAlignment="1" applyProtection="1">
      <alignment horizontal="left"/>
    </xf>
    <xf numFmtId="0" fontId="9" fillId="27" borderId="38" xfId="0" applyFont="1" applyFill="1" applyBorder="1" applyAlignment="1">
      <alignment horizontal="center"/>
    </xf>
    <xf numFmtId="0" fontId="0" fillId="27" borderId="36" xfId="0" applyFill="1" applyBorder="1" applyAlignment="1">
      <alignment horizontal="center"/>
    </xf>
    <xf numFmtId="0" fontId="0" fillId="27" borderId="37" xfId="0" applyFill="1" applyBorder="1" applyAlignment="1">
      <alignment horizontal="center"/>
    </xf>
    <xf numFmtId="0" fontId="0" fillId="18" borderId="68" xfId="0" applyFont="1" applyFill="1" applyBorder="1" applyAlignment="1">
      <alignment horizontal="center"/>
    </xf>
    <xf numFmtId="1" fontId="0" fillId="26" borderId="38" xfId="0" applyNumberFormat="1" applyFill="1" applyBorder="1" applyAlignment="1">
      <alignment horizontal="center"/>
    </xf>
    <xf numFmtId="1" fontId="0" fillId="26" borderId="37" xfId="0" applyNumberFormat="1" applyFill="1" applyBorder="1" applyAlignment="1">
      <alignment horizontal="center"/>
    </xf>
    <xf numFmtId="0" fontId="7" fillId="47" borderId="0" xfId="0" applyFont="1" applyFill="1" applyBorder="1" applyAlignment="1"/>
    <xf numFmtId="0" fontId="0" fillId="47" borderId="0" xfId="0" applyFill="1" applyAlignment="1"/>
    <xf numFmtId="0" fontId="8" fillId="48" borderId="0" xfId="0" applyFont="1" applyFill="1" applyBorder="1" applyAlignment="1">
      <alignment horizontal="center" vertical="center"/>
    </xf>
    <xf numFmtId="0" fontId="44" fillId="41" borderId="82" xfId="0" applyFont="1" applyFill="1" applyBorder="1" applyAlignment="1">
      <alignment horizontal="center" vertical="center"/>
    </xf>
    <xf numFmtId="0" fontId="44" fillId="41" borderId="83" xfId="0" applyFont="1" applyFill="1" applyBorder="1" applyAlignment="1">
      <alignment horizontal="center" vertical="center"/>
    </xf>
    <xf numFmtId="0" fontId="44" fillId="41" borderId="84" xfId="0" applyFont="1" applyFill="1" applyBorder="1" applyAlignment="1">
      <alignment horizontal="center" vertical="center"/>
    </xf>
    <xf numFmtId="0" fontId="44" fillId="41" borderId="85" xfId="0" applyFont="1" applyFill="1" applyBorder="1" applyAlignment="1">
      <alignment horizontal="center" vertical="center"/>
    </xf>
    <xf numFmtId="0" fontId="44" fillId="41" borderId="86" xfId="0" applyFont="1" applyFill="1" applyBorder="1" applyAlignment="1">
      <alignment horizontal="center" vertical="center"/>
    </xf>
    <xf numFmtId="0" fontId="44" fillId="41" borderId="87" xfId="0" applyFont="1" applyFill="1" applyBorder="1" applyAlignment="1">
      <alignment horizontal="center" vertical="center"/>
    </xf>
    <xf numFmtId="0" fontId="42" fillId="41" borderId="38" xfId="0" applyFont="1" applyFill="1" applyBorder="1" applyAlignment="1">
      <alignment horizontal="center" vertical="center"/>
    </xf>
    <xf numFmtId="0" fontId="42" fillId="41" borderId="36" xfId="0" applyFont="1" applyFill="1" applyBorder="1" applyAlignment="1">
      <alignment horizontal="center" vertical="center"/>
    </xf>
    <xf numFmtId="0" fontId="42" fillId="41" borderId="37" xfId="0" applyFont="1" applyFill="1" applyBorder="1" applyAlignment="1">
      <alignment horizontal="center" vertical="center"/>
    </xf>
    <xf numFmtId="0" fontId="125" fillId="41" borderId="38" xfId="0" applyFont="1" applyFill="1" applyBorder="1" applyAlignment="1">
      <alignment horizontal="center" vertical="center"/>
    </xf>
    <xf numFmtId="0" fontId="125" fillId="41" borderId="36" xfId="0" applyFont="1" applyFill="1" applyBorder="1" applyAlignment="1">
      <alignment horizontal="center" vertical="center"/>
    </xf>
    <xf numFmtId="0" fontId="125" fillId="41" borderId="37" xfId="0" applyFont="1" applyFill="1" applyBorder="1" applyAlignment="1">
      <alignment horizontal="center" vertical="center"/>
    </xf>
    <xf numFmtId="0" fontId="9" fillId="45" borderId="0" xfId="43" applyFont="1" applyFill="1" applyAlignment="1">
      <alignment horizontal="left"/>
    </xf>
    <xf numFmtId="0" fontId="111" fillId="94" borderId="126" xfId="43" applyFont="1" applyFill="1" applyBorder="1" applyAlignment="1">
      <alignment horizontal="center"/>
    </xf>
    <xf numFmtId="0" fontId="111" fillId="94" borderId="127" xfId="43" applyFont="1" applyFill="1" applyBorder="1" applyAlignment="1">
      <alignment horizontal="center"/>
    </xf>
    <xf numFmtId="0" fontId="114" fillId="94" borderId="128" xfId="43" applyFont="1" applyFill="1" applyBorder="1" applyAlignment="1">
      <alignment horizontal="center"/>
    </xf>
    <xf numFmtId="0" fontId="114" fillId="94" borderId="129" xfId="43" applyFont="1" applyFill="1" applyBorder="1" applyAlignment="1">
      <alignment horizontal="center"/>
    </xf>
    <xf numFmtId="49" fontId="3" fillId="0" borderId="0" xfId="43" applyNumberFormat="1" applyFont="1" applyFill="1" applyBorder="1" applyAlignment="1" applyProtection="1">
      <alignment horizontal="left"/>
      <protection locked="0"/>
    </xf>
    <xf numFmtId="1" fontId="114" fillId="94" borderId="128" xfId="43" applyNumberFormat="1" applyFont="1" applyFill="1" applyBorder="1" applyAlignment="1">
      <alignment horizontal="center"/>
    </xf>
    <xf numFmtId="1" fontId="114" fillId="94" borderId="129" xfId="43" applyNumberFormat="1" applyFont="1" applyFill="1" applyBorder="1" applyAlignment="1">
      <alignment horizontal="center"/>
    </xf>
    <xf numFmtId="0" fontId="9" fillId="0" borderId="0" xfId="0" applyFont="1" applyAlignment="1">
      <alignment horizontal="center"/>
    </xf>
    <xf numFmtId="0" fontId="0" fillId="18" borderId="9" xfId="0" applyFont="1" applyFill="1" applyBorder="1" applyAlignment="1">
      <alignment horizontal="left"/>
    </xf>
    <xf numFmtId="0" fontId="0" fillId="18" borderId="88" xfId="0" applyFont="1" applyFill="1" applyBorder="1" applyAlignment="1">
      <alignment horizontal="left"/>
    </xf>
    <xf numFmtId="0" fontId="0" fillId="18" borderId="88" xfId="0" applyFont="1" applyFill="1" applyBorder="1" applyAlignment="1">
      <alignment horizontal="center"/>
    </xf>
    <xf numFmtId="1" fontId="25" fillId="18" borderId="92" xfId="0" applyNumberFormat="1" applyFont="1" applyFill="1" applyBorder="1" applyAlignment="1">
      <alignment horizontal="left"/>
    </xf>
    <xf numFmtId="1" fontId="25" fillId="18" borderId="89" xfId="0" applyNumberFormat="1" applyFont="1" applyFill="1" applyBorder="1" applyAlignment="1">
      <alignment horizontal="left"/>
    </xf>
    <xf numFmtId="1" fontId="25" fillId="18" borderId="88" xfId="0" applyNumberFormat="1" applyFont="1" applyFill="1" applyBorder="1" applyAlignment="1">
      <alignment horizontal="left"/>
    </xf>
    <xf numFmtId="0" fontId="9" fillId="0" borderId="0" xfId="0" applyFont="1" applyBorder="1" applyAlignment="1">
      <alignment horizontal="center"/>
    </xf>
    <xf numFmtId="0" fontId="5" fillId="0" borderId="88" xfId="0" applyFont="1" applyBorder="1" applyAlignment="1">
      <alignment vertical="top" wrapText="1"/>
    </xf>
    <xf numFmtId="0" fontId="8" fillId="0" borderId="0" xfId="0" applyFont="1" applyBorder="1" applyAlignment="1">
      <alignment horizontal="center" vertical="center"/>
    </xf>
    <xf numFmtId="0" fontId="9" fillId="27" borderId="38" xfId="43" applyFont="1" applyFill="1" applyBorder="1" applyAlignment="1">
      <alignment horizontal="center"/>
    </xf>
    <xf numFmtId="0" fontId="9" fillId="27" borderId="37" xfId="43" applyFont="1" applyFill="1" applyBorder="1" applyAlignment="1">
      <alignment horizontal="center"/>
    </xf>
    <xf numFmtId="0" fontId="106" fillId="26" borderId="37" xfId="43" applyFill="1" applyBorder="1" applyAlignment="1">
      <alignment horizontal="center"/>
    </xf>
    <xf numFmtId="0" fontId="106" fillId="26" borderId="34" xfId="43" applyFill="1" applyBorder="1" applyAlignment="1">
      <alignment horizontal="center"/>
    </xf>
  </cellXfs>
  <cellStyles count="49">
    <cellStyle name="20 % - Dekorfärg1" xfId="1" builtinId="30" customBuiltin="1"/>
    <cellStyle name="20 % - Dekorfärg2" xfId="2" builtinId="34" customBuiltin="1"/>
    <cellStyle name="20 % - Dekorfärg3" xfId="3" builtinId="38" customBuiltin="1"/>
    <cellStyle name="20 % - Dekorfärg4" xfId="4" builtinId="42" customBuiltin="1"/>
    <cellStyle name="20 % - Dekorfärg5" xfId="5" builtinId="46" customBuiltin="1"/>
    <cellStyle name="20 % - Dekorfärg6" xfId="6" builtinId="50" customBuiltin="1"/>
    <cellStyle name="40 % - Dekorfärg1" xfId="7" builtinId="31" customBuiltin="1"/>
    <cellStyle name="40 % - Dekorfärg2" xfId="8" builtinId="35" customBuiltin="1"/>
    <cellStyle name="40 % - Dekorfärg3" xfId="9" builtinId="39" customBuiltin="1"/>
    <cellStyle name="40 % - Dekorfärg4" xfId="10" builtinId="43" customBuiltin="1"/>
    <cellStyle name="40 % - Dekorfärg5" xfId="11" builtinId="47" customBuiltin="1"/>
    <cellStyle name="40 % - Dekorfärg6" xfId="12" builtinId="51" customBuiltin="1"/>
    <cellStyle name="60 % - Dekorfärg1" xfId="13" builtinId="32" customBuiltin="1"/>
    <cellStyle name="60 % - Dekorfärg2" xfId="14" builtinId="36" customBuiltin="1"/>
    <cellStyle name="60 % - Dekorfärg3" xfId="15" builtinId="40" customBuiltin="1"/>
    <cellStyle name="60 % - Dekorfärg4" xfId="16" builtinId="44" customBuiltin="1"/>
    <cellStyle name="60 % - Dekorfärg5" xfId="17" builtinId="48" customBuiltin="1"/>
    <cellStyle name="60 % - Dekorfärg6" xfId="18" builtinId="52" customBuiltin="1"/>
    <cellStyle name="Anteckning" xfId="19" builtinId="10" customBuiltin="1"/>
    <cellStyle name="Anteckning 2" xfId="45"/>
    <cellStyle name="Beräkning" xfId="20" builtinId="22" customBuiltin="1"/>
    <cellStyle name="Bra" xfId="21" builtinId="26" customBuiltin="1"/>
    <cellStyle name="Dekorfärg1" xfId="23" builtinId="29" customBuiltin="1"/>
    <cellStyle name="Dekorfärg2" xfId="24" builtinId="33" customBuiltin="1"/>
    <cellStyle name="Dekorfärg3" xfId="25" builtinId="37" customBuiltin="1"/>
    <cellStyle name="Dekorfärg4" xfId="26" builtinId="41" customBuiltin="1"/>
    <cellStyle name="Dekorfärg5" xfId="27" builtinId="45" customBuiltin="1"/>
    <cellStyle name="Dekorfärg6" xfId="28" builtinId="49" customBuiltin="1"/>
    <cellStyle name="Dålig" xfId="22" builtinId="27" customBuiltin="1"/>
    <cellStyle name="Förklarande text" xfId="29" builtinId="53" customBuiltin="1"/>
    <cellStyle name="Indata" xfId="30" builtinId="20" customBuiltin="1"/>
    <cellStyle name="Kontrollcell" xfId="31" builtinId="23" customBuiltin="1"/>
    <cellStyle name="Länkad cell" xfId="32" builtinId="24" customBuiltin="1"/>
    <cellStyle name="Neutral" xfId="33" builtinId="28" customBuiltin="1"/>
    <cellStyle name="Normal" xfId="0" builtinId="0"/>
    <cellStyle name="Normal 2" xfId="43"/>
    <cellStyle name="Normal 3" xfId="47"/>
    <cellStyle name="Normal 4" xfId="48"/>
    <cellStyle name="Procent" xfId="34" builtinId="5"/>
    <cellStyle name="Procent 2" xfId="44"/>
    <cellStyle name="Procent 3" xfId="46"/>
    <cellStyle name="Rubrik" xfId="35" builtinId="15" customBuiltin="1"/>
    <cellStyle name="Rubrik 1" xfId="36" builtinId="16" customBuiltin="1"/>
    <cellStyle name="Rubrik 2" xfId="37" builtinId="17" customBuiltin="1"/>
    <cellStyle name="Rubrik 3" xfId="38" builtinId="18" customBuiltin="1"/>
    <cellStyle name="Rubrik 4" xfId="39" builtinId="19" customBuiltin="1"/>
    <cellStyle name="Summa" xfId="40" builtinId="25" customBuiltin="1"/>
    <cellStyle name="Utdata" xfId="41" builtinId="21" customBuiltin="1"/>
    <cellStyle name="Varningstext" xfId="42" builtinId="11" customBuiltin="1"/>
  </cellStyles>
  <dxfs count="22">
    <dxf>
      <fill>
        <patternFill>
          <bgColor rgb="FFFF0000"/>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theme="1"/>
      </font>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theme="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rgb="FFFF0000"/>
        </patternFill>
      </fill>
    </dxf>
    <dxf>
      <font>
        <color auto="1"/>
      </font>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auto="1"/>
      </font>
      <fill>
        <patternFill>
          <bgColor rgb="FFFF0000"/>
        </patternFill>
      </fill>
    </dxf>
    <dxf>
      <fill>
        <patternFill>
          <bgColor rgb="FFFF0000"/>
        </patternFill>
      </fill>
    </dxf>
    <dxf>
      <font>
        <color auto="1"/>
      </font>
      <fill>
        <patternFill>
          <bgColor rgb="FFFF00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1A1A1A"/>
    </indexedColors>
    <mruColors>
      <color rgb="FFFFFF99"/>
      <color rgb="FF8EFC70"/>
      <color rgb="FFCCFFFF"/>
      <color rgb="FFFFCC66"/>
      <color rgb="FFFFCC00"/>
      <color rgb="FFCC3300"/>
      <color rgb="FFFE9802"/>
      <color rgb="FFFFFFCC"/>
      <color rgb="FF99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Mullhalt</a:t>
            </a:r>
          </a:p>
        </c:rich>
      </c:tx>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Huvudinmatning!$Y$64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Huvudinmatning!$Y$65:$Y$114</c:f>
              <c:numCache>
                <c:formatCode>0.00</c:formatCode>
                <c:ptCount val="50"/>
                <c:pt idx="0">
                  <c:v>2.9171999999999998</c:v>
                </c:pt>
                <c:pt idx="1">
                  <c:v>2.9436879929075692</c:v>
                </c:pt>
                <c:pt idx="2">
                  <c:v>2.9488268854815614</c:v>
                </c:pt>
                <c:pt idx="3">
                  <c:v>2.9505435712347059</c:v>
                </c:pt>
                <c:pt idx="4">
                  <c:v>2.9517012637882529</c:v>
                </c:pt>
                <c:pt idx="5">
                  <c:v>2.9527574093374902</c:v>
                </c:pt>
                <c:pt idx="6">
                  <c:v>2.9537852353966874</c:v>
                </c:pt>
                <c:pt idx="7">
                  <c:v>2.9547966049579562</c:v>
                </c:pt>
                <c:pt idx="8">
                  <c:v>2.9557935783760967</c:v>
                </c:pt>
                <c:pt idx="9">
                  <c:v>2.9567766481602904</c:v>
                </c:pt>
                <c:pt idx="10">
                  <c:v>2.9577460541544189</c:v>
                </c:pt>
                <c:pt idx="11">
                  <c:v>2.9587019936112133</c:v>
                </c:pt>
                <c:pt idx="12">
                  <c:v>2.9596446547735304</c:v>
                </c:pt>
                <c:pt idx="13">
                  <c:v>2.9605742222681561</c:v>
                </c:pt>
                <c:pt idx="14">
                  <c:v>2.9614908779974742</c:v>
                </c:pt>
                <c:pt idx="15">
                  <c:v>2.9623948013116905</c:v>
                </c:pt>
                <c:pt idx="16">
                  <c:v>2.963286169065745</c:v>
                </c:pt>
                <c:pt idx="17">
                  <c:v>2.9641651556573962</c:v>
                </c:pt>
                <c:pt idx="18">
                  <c:v>2.9650319330619026</c:v>
                </c:pt>
                <c:pt idx="19">
                  <c:v>2.9658866708657574</c:v>
                </c:pt>
                <c:pt idx="20">
                  <c:v>2.9667295362998831</c:v>
                </c:pt>
                <c:pt idx="21">
                  <c:v>2.96756069427235</c:v>
                </c:pt>
                <c:pt idx="22">
                  <c:v>2.9683803074006456</c:v>
                </c:pt>
                <c:pt idx="23">
                  <c:v>2.9691885360434882</c:v>
                </c:pt>
                <c:pt idx="24">
                  <c:v>2.9699855383322005</c:v>
                </c:pt>
                <c:pt idx="25">
                  <c:v>2.9707714702016523</c:v>
                </c:pt>
                <c:pt idx="26">
                  <c:v>2.9715464854207654</c:v>
                </c:pt>
                <c:pt idx="27">
                  <c:v>2.9723107356225986</c:v>
                </c:pt>
                <c:pt idx="28">
                  <c:v>2.9730643703340198</c:v>
                </c:pt>
                <c:pt idx="29">
                  <c:v>2.973807537004955</c:v>
                </c:pt>
                <c:pt idx="30">
                  <c:v>2.9745403810372424</c:v>
                </c:pt>
                <c:pt idx="31">
                  <c:v>2.9752630458130764</c:v>
                </c:pt>
                <c:pt idx="32">
                  <c:v>2.9759756727230644</c:v>
                </c:pt>
                <c:pt idx="33">
                  <c:v>2.9766784011938858</c:v>
                </c:pt>
                <c:pt idx="34">
                  <c:v>2.9773713687155738</c:v>
                </c:pt>
                <c:pt idx="35">
                  <c:v>2.9780547108684168</c:v>
                </c:pt>
                <c:pt idx="36">
                  <c:v>2.9787285613494823</c:v>
                </c:pt>
                <c:pt idx="37">
                  <c:v>2.9793930519987746</c:v>
                </c:pt>
                <c:pt idx="38">
                  <c:v>2.980048312825033</c:v>
                </c:pt>
                <c:pt idx="39">
                  <c:v>2.9806944720311646</c:v>
                </c:pt>
                <c:pt idx="40">
                  <c:v>2.981331656039329</c:v>
                </c:pt>
                <c:pt idx="41">
                  <c:v>2.9819599895156736</c:v>
                </c:pt>
                <c:pt idx="42">
                  <c:v>2.9825795953947236</c:v>
                </c:pt>
                <c:pt idx="43">
                  <c:v>2.9831905949034341</c:v>
                </c:pt>
                <c:pt idx="44">
                  <c:v>2.9837931075849107</c:v>
                </c:pt>
                <c:pt idx="45">
                  <c:v>2.9843872513217944</c:v>
                </c:pt>
                <c:pt idx="46">
                  <c:v>2.9849731423593302</c:v>
                </c:pt>
                <c:pt idx="47">
                  <c:v>2.9855508953281067</c:v>
                </c:pt>
                <c:pt idx="48">
                  <c:v>2.9861206232664861</c:v>
                </c:pt>
                <c:pt idx="49">
                  <c:v>2.9866824376427186</c:v>
                </c:pt>
              </c:numCache>
            </c:numRef>
          </c:val>
          <c:smooth val="0"/>
          <c:extLst>
            <c:ext xmlns:c16="http://schemas.microsoft.com/office/drawing/2014/chart" uri="{C3380CC4-5D6E-409C-BE32-E72D297353CC}">
              <c16:uniqueId val="{00000000-133D-4841-9537-EDCD1AAFCD7C}"/>
            </c:ext>
          </c:extLst>
        </c:ser>
        <c:ser>
          <c:idx val="1"/>
          <c:order val="1"/>
          <c:tx>
            <c:strRef>
              <c:f>Huvudinmatning!$Z$64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Huvudinmatning!$Z$65:$Z$114</c:f>
              <c:numCache>
                <c:formatCode>0.00</c:formatCode>
                <c:ptCount val="50"/>
                <c:pt idx="0">
                  <c:v>2.9171999999999998</c:v>
                </c:pt>
                <c:pt idx="1">
                  <c:v>2.9436879929075692</c:v>
                </c:pt>
                <c:pt idx="2">
                  <c:v>2.9488268854815614</c:v>
                </c:pt>
                <c:pt idx="3">
                  <c:v>2.9505435712347059</c:v>
                </c:pt>
                <c:pt idx="4">
                  <c:v>2.9517012637882529</c:v>
                </c:pt>
                <c:pt idx="5">
                  <c:v>2.9527574093374902</c:v>
                </c:pt>
                <c:pt idx="6">
                  <c:v>2.9537852353966874</c:v>
                </c:pt>
                <c:pt idx="7">
                  <c:v>2.9547966049579562</c:v>
                </c:pt>
                <c:pt idx="8">
                  <c:v>2.9557935783760967</c:v>
                </c:pt>
                <c:pt idx="9">
                  <c:v>2.9567766481602904</c:v>
                </c:pt>
                <c:pt idx="10">
                  <c:v>2.9577460541544189</c:v>
                </c:pt>
                <c:pt idx="11">
                  <c:v>2.9587019936112133</c:v>
                </c:pt>
                <c:pt idx="12">
                  <c:v>2.9596446547735304</c:v>
                </c:pt>
                <c:pt idx="13">
                  <c:v>2.9605742222681561</c:v>
                </c:pt>
                <c:pt idx="14">
                  <c:v>2.9614908779974742</c:v>
                </c:pt>
                <c:pt idx="15">
                  <c:v>2.9623948013116905</c:v>
                </c:pt>
                <c:pt idx="16">
                  <c:v>2.963286169065745</c:v>
                </c:pt>
                <c:pt idx="17">
                  <c:v>2.9641651556573962</c:v>
                </c:pt>
                <c:pt idx="18">
                  <c:v>2.9650319330619026</c:v>
                </c:pt>
                <c:pt idx="19">
                  <c:v>2.9658866708657574</c:v>
                </c:pt>
                <c:pt idx="20">
                  <c:v>2.9667295362998831</c:v>
                </c:pt>
                <c:pt idx="21">
                  <c:v>2.96756069427235</c:v>
                </c:pt>
                <c:pt idx="22">
                  <c:v>2.9683803074006456</c:v>
                </c:pt>
                <c:pt idx="23">
                  <c:v>2.9691885360434882</c:v>
                </c:pt>
                <c:pt idx="24">
                  <c:v>2.9699855383322005</c:v>
                </c:pt>
                <c:pt idx="25">
                  <c:v>2.9707714702016523</c:v>
                </c:pt>
                <c:pt idx="26">
                  <c:v>2.9715464854207654</c:v>
                </c:pt>
                <c:pt idx="27">
                  <c:v>2.9723107356225986</c:v>
                </c:pt>
                <c:pt idx="28">
                  <c:v>2.9730643703340198</c:v>
                </c:pt>
                <c:pt idx="29">
                  <c:v>2.973807537004955</c:v>
                </c:pt>
                <c:pt idx="30">
                  <c:v>2.9745403810372424</c:v>
                </c:pt>
                <c:pt idx="31">
                  <c:v>2.9752630458130764</c:v>
                </c:pt>
                <c:pt idx="32">
                  <c:v>2.9759756727230644</c:v>
                </c:pt>
                <c:pt idx="33">
                  <c:v>2.9766784011938858</c:v>
                </c:pt>
                <c:pt idx="34">
                  <c:v>2.9773713687155738</c:v>
                </c:pt>
                <c:pt idx="35">
                  <c:v>2.9780547108684168</c:v>
                </c:pt>
                <c:pt idx="36">
                  <c:v>2.9787285613494823</c:v>
                </c:pt>
                <c:pt idx="37">
                  <c:v>2.9793930519987746</c:v>
                </c:pt>
                <c:pt idx="38">
                  <c:v>2.980048312825033</c:v>
                </c:pt>
                <c:pt idx="39">
                  <c:v>2.9806944720311646</c:v>
                </c:pt>
                <c:pt idx="40">
                  <c:v>2.981331656039329</c:v>
                </c:pt>
                <c:pt idx="41">
                  <c:v>2.9819599895156736</c:v>
                </c:pt>
                <c:pt idx="42">
                  <c:v>2.9825795953947236</c:v>
                </c:pt>
                <c:pt idx="43">
                  <c:v>2.9831905949034341</c:v>
                </c:pt>
                <c:pt idx="44">
                  <c:v>2.9837931075849107</c:v>
                </c:pt>
                <c:pt idx="45">
                  <c:v>2.9843872513217944</c:v>
                </c:pt>
                <c:pt idx="46">
                  <c:v>2.9849731423593302</c:v>
                </c:pt>
                <c:pt idx="47">
                  <c:v>2.9855508953281067</c:v>
                </c:pt>
                <c:pt idx="48">
                  <c:v>2.9861206232664861</c:v>
                </c:pt>
                <c:pt idx="49">
                  <c:v>2.9866824376427186</c:v>
                </c:pt>
              </c:numCache>
            </c:numRef>
          </c:val>
          <c:smooth val="0"/>
          <c:extLst>
            <c:ext xmlns:c16="http://schemas.microsoft.com/office/drawing/2014/chart" uri="{C3380CC4-5D6E-409C-BE32-E72D297353CC}">
              <c16:uniqueId val="{00000001-133D-4841-9537-EDCD1AAFCD7C}"/>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ax val="5"/>
          <c:min val="0"/>
        </c:scaling>
        <c:delete val="0"/>
        <c:axPos val="l"/>
        <c:majorGridlines/>
        <c:title>
          <c:tx>
            <c:rich>
              <a:bodyPr rot="-5400000" vert="horz"/>
              <a:lstStyle/>
              <a:p>
                <a:pPr>
                  <a:defRPr/>
                </a:pPr>
                <a:r>
                  <a:rPr lang="en-US"/>
                  <a:t>Mullhalt %</a:t>
                </a:r>
              </a:p>
            </c:rich>
          </c:tx>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9941317978757597"/>
          <c:y val="0.67555691106074711"/>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Mullberäkning!$AF$102</c:f>
              <c:strCache>
                <c:ptCount val="1"/>
                <c:pt idx="0">
                  <c:v>Nytt läge</c:v>
                </c:pt>
              </c:strCache>
            </c:strRef>
          </c:tx>
          <c:spPr>
            <a:ln w="38100">
              <a:solidFill>
                <a:srgbClr val="FF0000"/>
              </a:solidFill>
            </a:ln>
          </c:spPr>
          <c:marker>
            <c:symbol val="none"/>
          </c:marker>
          <c:val>
            <c:numRef>
              <c:f>Mullberäkning!$AF$103:$AF$152</c:f>
              <c:numCache>
                <c:formatCode>0.00</c:formatCode>
                <c:ptCount val="50"/>
                <c:pt idx="0">
                  <c:v>2.9020062857142852</c:v>
                </c:pt>
                <c:pt idx="1">
                  <c:v>2.9039824771428568</c:v>
                </c:pt>
                <c:pt idx="2">
                  <c:v>2.9059290256999999</c:v>
                </c:pt>
                <c:pt idx="3">
                  <c:v>2.9078463760287852</c:v>
                </c:pt>
                <c:pt idx="4">
                  <c:v>2.9097349661026386</c:v>
                </c:pt>
                <c:pt idx="5">
                  <c:v>2.9115952273253849</c:v>
                </c:pt>
                <c:pt idx="6">
                  <c:v>2.9134275846297895</c:v>
                </c:pt>
                <c:pt idx="7">
                  <c:v>2.9152324565746284</c:v>
                </c:pt>
                <c:pt idx="8">
                  <c:v>2.9170102554402946</c:v>
                </c:pt>
                <c:pt idx="9">
                  <c:v>2.9187613873229763</c:v>
                </c:pt>
                <c:pt idx="10">
                  <c:v>2.9204862522274171</c:v>
                </c:pt>
                <c:pt idx="11">
                  <c:v>2.9221852441582916</c:v>
                </c:pt>
                <c:pt idx="12">
                  <c:v>2.923858751210203</c:v>
                </c:pt>
                <c:pt idx="13">
                  <c:v>2.9255071556563359</c:v>
                </c:pt>
                <c:pt idx="14">
                  <c:v>2.9271308340357756</c:v>
                </c:pt>
                <c:pt idx="15">
                  <c:v>2.9287301572395243</c:v>
                </c:pt>
                <c:pt idx="16">
                  <c:v>2.9303054905952175</c:v>
                </c:pt>
                <c:pt idx="17">
                  <c:v>2.9318571939505746</c:v>
                </c:pt>
                <c:pt idx="18">
                  <c:v>2.9333856217556016</c:v>
                </c:pt>
                <c:pt idx="19">
                  <c:v>2.934891123143553</c:v>
                </c:pt>
                <c:pt idx="20">
                  <c:v>2.9363740420106854</c:v>
                </c:pt>
                <c:pt idx="21">
                  <c:v>2.9378347170948098</c:v>
                </c:pt>
                <c:pt idx="22">
                  <c:v>2.9392734820526738</c:v>
                </c:pt>
                <c:pt idx="23">
                  <c:v>2.9406906655361693</c:v>
                </c:pt>
                <c:pt idx="24">
                  <c:v>2.9420865912674117</c:v>
                </c:pt>
                <c:pt idx="25">
                  <c:v>2.9434615781126867</c:v>
                </c:pt>
                <c:pt idx="26">
                  <c:v>2.9448159401552818</c:v>
                </c:pt>
                <c:pt idx="27">
                  <c:v>2.9461499867672378</c:v>
                </c:pt>
                <c:pt idx="28">
                  <c:v>2.9474640226800148</c:v>
                </c:pt>
                <c:pt idx="29">
                  <c:v>2.9487583480541004</c:v>
                </c:pt>
                <c:pt idx="30">
                  <c:v>2.9500332585475744</c:v>
                </c:pt>
                <c:pt idx="31">
                  <c:v>2.9512890453836458</c:v>
                </c:pt>
                <c:pt idx="32">
                  <c:v>2.9525259954171776</c:v>
                </c:pt>
                <c:pt idx="33">
                  <c:v>2.953744391200205</c:v>
                </c:pt>
                <c:pt idx="34">
                  <c:v>2.954944511046488</c:v>
                </c:pt>
                <c:pt idx="35">
                  <c:v>2.9561266290950763</c:v>
                </c:pt>
                <c:pt idx="36">
                  <c:v>2.957291015372935</c:v>
                </c:pt>
                <c:pt idx="37">
                  <c:v>2.9584379358566273</c:v>
                </c:pt>
                <c:pt idx="38">
                  <c:v>2.9595676525330634</c:v>
                </c:pt>
                <c:pt idx="39">
                  <c:v>2.9606804234593529</c:v>
                </c:pt>
                <c:pt idx="40">
                  <c:v>2.9617765028217482</c:v>
                </c:pt>
                <c:pt idx="41">
                  <c:v>2.9628561409937073</c:v>
                </c:pt>
                <c:pt idx="42">
                  <c:v>2.963919584593087</c:v>
                </c:pt>
                <c:pt idx="43">
                  <c:v>2.964967076538477</c:v>
                </c:pt>
                <c:pt idx="44">
                  <c:v>2.9659988561046848</c:v>
                </c:pt>
                <c:pt idx="45">
                  <c:v>2.9670151589774001</c:v>
                </c:pt>
                <c:pt idx="46">
                  <c:v>2.9680162173070253</c:v>
                </c:pt>
                <c:pt idx="47">
                  <c:v>2.9690022597617047</c:v>
                </c:pt>
                <c:pt idx="48">
                  <c:v>2.9699735115795649</c:v>
                </c:pt>
                <c:pt idx="49">
                  <c:v>2.9709301946201569</c:v>
                </c:pt>
              </c:numCache>
            </c:numRef>
          </c:val>
          <c:smooth val="0"/>
          <c:extLst>
            <c:ext xmlns:c16="http://schemas.microsoft.com/office/drawing/2014/chart" uri="{C3380CC4-5D6E-409C-BE32-E72D297353CC}">
              <c16:uniqueId val="{00000000-80BB-4676-AD1F-5DA5EA2EA7AE}"/>
            </c:ext>
          </c:extLst>
        </c:ser>
        <c:ser>
          <c:idx val="1"/>
          <c:order val="1"/>
          <c:tx>
            <c:strRef>
              <c:f>Mullberäkning!$AG$102</c:f>
              <c:strCache>
                <c:ptCount val="1"/>
                <c:pt idx="0">
                  <c:v>Basläge</c:v>
                </c:pt>
              </c:strCache>
            </c:strRef>
          </c:tx>
          <c:spPr>
            <a:ln w="38100">
              <a:solidFill>
                <a:schemeClr val="tx2"/>
              </a:solidFill>
            </a:ln>
          </c:spPr>
          <c:marker>
            <c:symbol val="none"/>
          </c:marker>
          <c:val>
            <c:numRef>
              <c:f>Mullberäkning!$AG$103:$AG$152</c:f>
              <c:numCache>
                <c:formatCode>0.00</c:formatCode>
                <c:ptCount val="50"/>
                <c:pt idx="0">
                  <c:v>2.9020062857142852</c:v>
                </c:pt>
                <c:pt idx="1">
                  <c:v>2.9039824771428568</c:v>
                </c:pt>
                <c:pt idx="2">
                  <c:v>2.9059290256999999</c:v>
                </c:pt>
                <c:pt idx="3">
                  <c:v>2.9078463760287852</c:v>
                </c:pt>
                <c:pt idx="4">
                  <c:v>2.9097349661026386</c:v>
                </c:pt>
                <c:pt idx="5">
                  <c:v>2.9115952273253849</c:v>
                </c:pt>
                <c:pt idx="6">
                  <c:v>2.9134275846297895</c:v>
                </c:pt>
                <c:pt idx="7">
                  <c:v>2.9152324565746284</c:v>
                </c:pt>
                <c:pt idx="8">
                  <c:v>2.9170102554402946</c:v>
                </c:pt>
                <c:pt idx="9">
                  <c:v>2.9187613873229763</c:v>
                </c:pt>
                <c:pt idx="10">
                  <c:v>2.9204862522274171</c:v>
                </c:pt>
                <c:pt idx="11">
                  <c:v>2.9221852441582916</c:v>
                </c:pt>
                <c:pt idx="12">
                  <c:v>2.923858751210203</c:v>
                </c:pt>
                <c:pt idx="13">
                  <c:v>2.9255071556563359</c:v>
                </c:pt>
                <c:pt idx="14">
                  <c:v>2.9271308340357756</c:v>
                </c:pt>
                <c:pt idx="15">
                  <c:v>2.9287301572395243</c:v>
                </c:pt>
                <c:pt idx="16">
                  <c:v>2.9303054905952175</c:v>
                </c:pt>
                <c:pt idx="17">
                  <c:v>2.9318571939505746</c:v>
                </c:pt>
                <c:pt idx="18">
                  <c:v>2.9333856217556016</c:v>
                </c:pt>
                <c:pt idx="19">
                  <c:v>2.934891123143553</c:v>
                </c:pt>
                <c:pt idx="20">
                  <c:v>2.9363740420106854</c:v>
                </c:pt>
                <c:pt idx="21">
                  <c:v>2.9378347170948098</c:v>
                </c:pt>
                <c:pt idx="22">
                  <c:v>2.9392734820526738</c:v>
                </c:pt>
                <c:pt idx="23">
                  <c:v>2.9406906655361693</c:v>
                </c:pt>
                <c:pt idx="24">
                  <c:v>2.9420865912674117</c:v>
                </c:pt>
                <c:pt idx="25">
                  <c:v>2.9434615781126867</c:v>
                </c:pt>
                <c:pt idx="26">
                  <c:v>2.9448159401552818</c:v>
                </c:pt>
                <c:pt idx="27">
                  <c:v>2.9461499867672378</c:v>
                </c:pt>
                <c:pt idx="28">
                  <c:v>2.9474640226800148</c:v>
                </c:pt>
                <c:pt idx="29">
                  <c:v>2.9487583480541004</c:v>
                </c:pt>
                <c:pt idx="30">
                  <c:v>2.9500332585475744</c:v>
                </c:pt>
                <c:pt idx="31">
                  <c:v>2.9512890453836458</c:v>
                </c:pt>
                <c:pt idx="32">
                  <c:v>2.9525259954171776</c:v>
                </c:pt>
                <c:pt idx="33">
                  <c:v>2.953744391200205</c:v>
                </c:pt>
                <c:pt idx="34">
                  <c:v>2.954944511046488</c:v>
                </c:pt>
                <c:pt idx="35">
                  <c:v>2.9561266290950763</c:v>
                </c:pt>
                <c:pt idx="36">
                  <c:v>2.957291015372935</c:v>
                </c:pt>
                <c:pt idx="37">
                  <c:v>2.9584379358566273</c:v>
                </c:pt>
                <c:pt idx="38">
                  <c:v>2.9595676525330634</c:v>
                </c:pt>
                <c:pt idx="39">
                  <c:v>2.9606804234593529</c:v>
                </c:pt>
                <c:pt idx="40">
                  <c:v>2.9617765028217482</c:v>
                </c:pt>
                <c:pt idx="41">
                  <c:v>2.9628561409937073</c:v>
                </c:pt>
                <c:pt idx="42">
                  <c:v>2.963919584593087</c:v>
                </c:pt>
                <c:pt idx="43">
                  <c:v>2.964967076538477</c:v>
                </c:pt>
                <c:pt idx="44">
                  <c:v>2.9659988561046848</c:v>
                </c:pt>
                <c:pt idx="45">
                  <c:v>2.9670151589774001</c:v>
                </c:pt>
                <c:pt idx="46">
                  <c:v>2.9680162173070253</c:v>
                </c:pt>
                <c:pt idx="47">
                  <c:v>2.9690022597617047</c:v>
                </c:pt>
                <c:pt idx="48">
                  <c:v>2.9699735115795649</c:v>
                </c:pt>
                <c:pt idx="49">
                  <c:v>2.9709301946201569</c:v>
                </c:pt>
              </c:numCache>
            </c:numRef>
          </c:val>
          <c:smooth val="0"/>
          <c:extLst>
            <c:ext xmlns:c16="http://schemas.microsoft.com/office/drawing/2014/chart" uri="{C3380CC4-5D6E-409C-BE32-E72D297353CC}">
              <c16:uniqueId val="{00000001-80BB-4676-AD1F-5DA5EA2EA7AE}"/>
            </c:ext>
          </c:extLst>
        </c:ser>
        <c:dLbls>
          <c:showLegendKey val="0"/>
          <c:showVal val="0"/>
          <c:showCatName val="0"/>
          <c:showSerName val="0"/>
          <c:showPercent val="0"/>
          <c:showBubbleSize val="0"/>
        </c:dLbls>
        <c:smooth val="0"/>
        <c:axId val="116377472"/>
        <c:axId val="116383744"/>
      </c:lineChart>
      <c:catAx>
        <c:axId val="116377472"/>
        <c:scaling>
          <c:orientation val="minMax"/>
        </c:scaling>
        <c:delete val="0"/>
        <c:axPos val="b"/>
        <c:title>
          <c:tx>
            <c:rich>
              <a:bodyPr/>
              <a:lstStyle/>
              <a:p>
                <a:pPr>
                  <a:defRPr/>
                </a:pPr>
                <a:r>
                  <a:rPr lang="en-US"/>
                  <a:t>År</a:t>
                </a:r>
              </a:p>
            </c:rich>
          </c:tx>
          <c:overlay val="0"/>
        </c:title>
        <c:majorTickMark val="out"/>
        <c:minorTickMark val="none"/>
        <c:tickLblPos val="nextTo"/>
        <c:crossAx val="116383744"/>
        <c:crosses val="autoZero"/>
        <c:auto val="1"/>
        <c:lblAlgn val="ctr"/>
        <c:lblOffset val="100"/>
        <c:noMultiLvlLbl val="0"/>
      </c:catAx>
      <c:valAx>
        <c:axId val="116383744"/>
        <c:scaling>
          <c:orientation val="minMax"/>
          <c:min val="1"/>
        </c:scaling>
        <c:delete val="0"/>
        <c:axPos val="l"/>
        <c:majorGridlines/>
        <c:title>
          <c:tx>
            <c:rich>
              <a:bodyPr rot="-5400000" vert="horz"/>
              <a:lstStyle/>
              <a:p>
                <a:pPr>
                  <a:defRPr/>
                </a:pPr>
                <a:r>
                  <a:rPr lang="en-US"/>
                  <a:t>% mull</a:t>
                </a:r>
              </a:p>
            </c:rich>
          </c:tx>
          <c:overlay val="0"/>
        </c:title>
        <c:numFmt formatCode="0.00" sourceLinked="1"/>
        <c:majorTickMark val="out"/>
        <c:minorTickMark val="none"/>
        <c:tickLblPos val="nextTo"/>
        <c:crossAx val="116377472"/>
        <c:crosses val="autoZero"/>
        <c:crossBetween val="between"/>
      </c:valAx>
    </c:plotArea>
    <c:legend>
      <c:legendPos val="r"/>
      <c:layout>
        <c:manualLayout>
          <c:xMode val="edge"/>
          <c:yMode val="edge"/>
          <c:x val="0.86891027683344824"/>
          <c:y val="3.0674541364348572E-2"/>
          <c:w val="0.11193711745894831"/>
          <c:h val="0.10138934478792068"/>
        </c:manualLayout>
      </c:layout>
      <c:overlay val="0"/>
    </c:legend>
    <c:plotVisOnly val="1"/>
    <c:dispBlanksAs val="gap"/>
    <c:showDLblsOverMax val="0"/>
  </c:chart>
  <c:spPr>
    <a:ln w="12700"/>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8622193413467489E-2"/>
          <c:y val="9.5717913562507861E-2"/>
          <c:w val="0.85177594122674238"/>
          <c:h val="0.81108337281914544"/>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4"/>
            <c:dispRSqr val="0"/>
            <c:dispEq val="1"/>
            <c:trendlineLbl>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sv-SE"/>
                </a:p>
              </c:txPr>
            </c:trendlineLbl>
          </c:trendline>
          <c:xVal>
            <c:numRef>
              <c:f>Blad1!$B$4:$B$6</c:f>
              <c:numCache>
                <c:formatCode>General</c:formatCode>
                <c:ptCount val="3"/>
                <c:pt idx="0">
                  <c:v>0</c:v>
                </c:pt>
                <c:pt idx="1">
                  <c:v>20</c:v>
                </c:pt>
                <c:pt idx="2">
                  <c:v>40</c:v>
                </c:pt>
              </c:numCache>
            </c:numRef>
          </c:xVal>
          <c:yVal>
            <c:numRef>
              <c:f>Blad1!$C$4:$C$6</c:f>
              <c:numCache>
                <c:formatCode>General</c:formatCode>
                <c:ptCount val="3"/>
                <c:pt idx="0">
                  <c:v>1</c:v>
                </c:pt>
                <c:pt idx="1">
                  <c:v>0.7</c:v>
                </c:pt>
                <c:pt idx="2">
                  <c:v>0.3</c:v>
                </c:pt>
              </c:numCache>
            </c:numRef>
          </c:yVal>
          <c:smooth val="0"/>
          <c:extLst>
            <c:ext xmlns:c16="http://schemas.microsoft.com/office/drawing/2014/chart" uri="{C3380CC4-5D6E-409C-BE32-E72D297353CC}">
              <c16:uniqueId val="{00000001-9F70-4AFC-8F55-73BED7ED011F}"/>
            </c:ext>
          </c:extLst>
        </c:ser>
        <c:dLbls>
          <c:showLegendKey val="0"/>
          <c:showVal val="0"/>
          <c:showCatName val="0"/>
          <c:showSerName val="0"/>
          <c:showPercent val="0"/>
          <c:showBubbleSize val="0"/>
        </c:dLbls>
        <c:axId val="134738304"/>
        <c:axId val="134739840"/>
      </c:scatterChart>
      <c:valAx>
        <c:axId val="1347383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739840"/>
        <c:crosses val="autoZero"/>
        <c:crossBetween val="midCat"/>
      </c:valAx>
      <c:valAx>
        <c:axId val="13473984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738304"/>
        <c:crosses val="autoZero"/>
        <c:crossBetween val="midCat"/>
      </c:valAx>
      <c:spPr>
        <a:solidFill>
          <a:srgbClr val="C0C0C0"/>
        </a:solidFill>
        <a:ln w="12700">
          <a:solidFill>
            <a:srgbClr val="808080"/>
          </a:solidFill>
          <a:prstDash val="solid"/>
        </a:ln>
      </c:spPr>
    </c:plotArea>
    <c:legend>
      <c:legendPos val="r"/>
      <c:layout>
        <c:manualLayout>
          <c:xMode val="edge"/>
          <c:yMode val="edge"/>
          <c:x val="0.86743352018367226"/>
          <c:y val="0.61712879403928411"/>
          <c:w val="0.12630507564425009"/>
          <c:h val="0.10831234256926958"/>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367280634888836E-2"/>
          <c:y val="6.1310829709717601E-2"/>
          <c:w val="0.78908739661325844"/>
          <c:h val="0.83720995051890246"/>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trendline>
            <c:spPr>
              <a:ln w="25400">
                <a:solidFill>
                  <a:srgbClr val="000000"/>
                </a:solidFill>
                <a:prstDash val="solid"/>
              </a:ln>
            </c:spPr>
            <c:trendlineType val="poly"/>
            <c:order val="2"/>
            <c:dispRSqr val="0"/>
            <c:dispEq val="1"/>
            <c:trendlineLbl>
              <c:layout>
                <c:manualLayout>
                  <c:x val="-0.16265596826894302"/>
                  <c:y val="9.3086286307272184E-2"/>
                </c:manualLayout>
              </c:layout>
              <c:numFmt formatCode="General" sourceLinked="0"/>
              <c:spPr>
                <a:noFill/>
                <a:ln w="25400">
                  <a:noFill/>
                </a:ln>
              </c:spPr>
              <c:txPr>
                <a:bodyPr/>
                <a:lstStyle/>
                <a:p>
                  <a:pPr>
                    <a:defRPr sz="800" b="0" i="0" u="none" strike="noStrike" baseline="0">
                      <a:solidFill>
                        <a:srgbClr val="000000"/>
                      </a:solidFill>
                      <a:latin typeface="Arial"/>
                      <a:ea typeface="Arial"/>
                      <a:cs typeface="Arial"/>
                    </a:defRPr>
                  </a:pPr>
                  <a:endParaRPr lang="sv-SE"/>
                </a:p>
              </c:txPr>
            </c:trendlineLbl>
          </c:trendline>
          <c:xVal>
            <c:numRef>
              <c:f>Blad1!$B$24:$B$26</c:f>
              <c:numCache>
                <c:formatCode>General</c:formatCode>
                <c:ptCount val="3"/>
                <c:pt idx="0">
                  <c:v>0</c:v>
                </c:pt>
                <c:pt idx="1">
                  <c:v>20</c:v>
                </c:pt>
                <c:pt idx="2">
                  <c:v>40</c:v>
                </c:pt>
              </c:numCache>
            </c:numRef>
          </c:xVal>
          <c:yVal>
            <c:numRef>
              <c:f>Blad1!$C$24:$C$26</c:f>
              <c:numCache>
                <c:formatCode>General</c:formatCode>
                <c:ptCount val="3"/>
                <c:pt idx="0">
                  <c:v>1</c:v>
                </c:pt>
                <c:pt idx="1">
                  <c:v>0.75</c:v>
                </c:pt>
                <c:pt idx="2">
                  <c:v>0.45</c:v>
                </c:pt>
              </c:numCache>
            </c:numRef>
          </c:yVal>
          <c:smooth val="0"/>
          <c:extLst>
            <c:ext xmlns:c16="http://schemas.microsoft.com/office/drawing/2014/chart" uri="{C3380CC4-5D6E-409C-BE32-E72D297353CC}">
              <c16:uniqueId val="{00000001-949D-48A8-B5B8-CD529A453772}"/>
            </c:ext>
          </c:extLst>
        </c:ser>
        <c:dLbls>
          <c:showLegendKey val="0"/>
          <c:showVal val="0"/>
          <c:showCatName val="0"/>
          <c:showSerName val="0"/>
          <c:showPercent val="0"/>
          <c:showBubbleSize val="0"/>
        </c:dLbls>
        <c:axId val="134592768"/>
        <c:axId val="134594560"/>
      </c:scatterChart>
      <c:valAx>
        <c:axId val="1345927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594560"/>
        <c:crosses val="autoZero"/>
        <c:crossBetween val="midCat"/>
      </c:valAx>
      <c:valAx>
        <c:axId val="134594560"/>
        <c:scaling>
          <c:orientation val="minMax"/>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sv-SE"/>
          </a:p>
        </c:txPr>
        <c:crossAx val="134592768"/>
        <c:crosses val="autoZero"/>
        <c:crossBetween val="midCat"/>
      </c:valAx>
      <c:spPr>
        <a:solidFill>
          <a:srgbClr val="C0C0C0"/>
        </a:solidFill>
        <a:ln w="12700">
          <a:solidFill>
            <a:srgbClr val="808080"/>
          </a:solidFill>
          <a:prstDash val="solid"/>
        </a:ln>
      </c:spPr>
    </c:plotArea>
    <c:legend>
      <c:legendPos val="r"/>
      <c:layout>
        <c:manualLayout>
          <c:xMode val="edge"/>
          <c:yMode val="edge"/>
          <c:x val="0.86253962483440882"/>
          <c:y val="0.43551824785115389"/>
          <c:w val="0.12696747114375651"/>
          <c:h val="9.0909090909090939E-2"/>
        </c:manualLayout>
      </c:layout>
      <c:overlay val="0"/>
      <c:spPr>
        <a:solidFill>
          <a:srgbClr val="FFFFFF"/>
        </a:solidFill>
        <a:ln w="3175">
          <a:solidFill>
            <a:srgbClr val="000000"/>
          </a:solidFill>
          <a:prstDash val="solid"/>
        </a:ln>
      </c:spPr>
      <c:txPr>
        <a:bodyPr/>
        <a:lstStyle/>
        <a:p>
          <a:pPr>
            <a:defRPr sz="73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sv-SE"/>
              <a:t>Olika förfrukter och brukning till höstvete.
46 försök.  Stina Olofsson 1993.</a:t>
            </a:r>
          </a:p>
        </c:rich>
      </c:tx>
      <c:layout>
        <c:manualLayout>
          <c:xMode val="edge"/>
          <c:yMode val="edge"/>
          <c:x val="0.23980441270289826"/>
          <c:y val="3.2786885245901641E-2"/>
        </c:manualLayout>
      </c:layout>
      <c:overlay val="0"/>
      <c:spPr>
        <a:noFill/>
        <a:ln w="25400">
          <a:noFill/>
        </a:ln>
      </c:spPr>
    </c:title>
    <c:autoTitleDeleted val="0"/>
    <c:plotArea>
      <c:layout>
        <c:manualLayout>
          <c:layoutTarget val="inner"/>
          <c:xMode val="edge"/>
          <c:yMode val="edge"/>
          <c:x val="0.11419258688107514"/>
          <c:y val="0.30874399319072637"/>
          <c:w val="0.85318175626860426"/>
          <c:h val="0.56557527956177311"/>
        </c:manualLayout>
      </c:layout>
      <c:barChart>
        <c:barDir val="col"/>
        <c:grouping val="clustered"/>
        <c:varyColors val="0"/>
        <c:ser>
          <c:idx val="0"/>
          <c:order val="0"/>
          <c:tx>
            <c:v>Plöjning</c:v>
          </c:tx>
          <c:spPr>
            <a:solidFill>
              <a:srgbClr val="99CCFF"/>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3740</c:v>
              </c:pt>
              <c:pt idx="1">
                <c:v>4190</c:v>
              </c:pt>
              <c:pt idx="2">
                <c:v>4530</c:v>
              </c:pt>
              <c:pt idx="3">
                <c:v>4970</c:v>
              </c:pt>
              <c:pt idx="4">
                <c:v>5100</c:v>
              </c:pt>
            </c:numLit>
          </c:val>
          <c:extLst>
            <c:ext xmlns:c16="http://schemas.microsoft.com/office/drawing/2014/chart" uri="{C3380CC4-5D6E-409C-BE32-E72D297353CC}">
              <c16:uniqueId val="{00000000-7198-4078-A5A0-967CC1CF7574}"/>
            </c:ext>
          </c:extLst>
        </c:ser>
        <c:ser>
          <c:idx val="1"/>
          <c:order val="1"/>
          <c:tx>
            <c:v>Kultivering 10 cm</c:v>
          </c:tx>
          <c:spPr>
            <a:solidFill>
              <a:srgbClr val="3366FF"/>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2890</c:v>
              </c:pt>
              <c:pt idx="1">
                <c:v>3580</c:v>
              </c:pt>
              <c:pt idx="2">
                <c:v>3950</c:v>
              </c:pt>
              <c:pt idx="3">
                <c:v>4710</c:v>
              </c:pt>
              <c:pt idx="4">
                <c:v>4860</c:v>
              </c:pt>
            </c:numLit>
          </c:val>
          <c:extLst>
            <c:ext xmlns:c16="http://schemas.microsoft.com/office/drawing/2014/chart" uri="{C3380CC4-5D6E-409C-BE32-E72D297353CC}">
              <c16:uniqueId val="{00000001-7198-4078-A5A0-967CC1CF7574}"/>
            </c:ext>
          </c:extLst>
        </c:ser>
        <c:ser>
          <c:idx val="2"/>
          <c:order val="2"/>
          <c:tx>
            <c:v>Dir. sådd halm bort</c:v>
          </c:tx>
          <c:spPr>
            <a:solidFill>
              <a:srgbClr val="FF0000"/>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2280</c:v>
              </c:pt>
              <c:pt idx="1">
                <c:v>3060</c:v>
              </c:pt>
              <c:pt idx="2">
                <c:v>3760</c:v>
              </c:pt>
              <c:pt idx="3">
                <c:v>4770</c:v>
              </c:pt>
              <c:pt idx="4">
                <c:v>4770</c:v>
              </c:pt>
            </c:numLit>
          </c:val>
          <c:extLst>
            <c:ext xmlns:c16="http://schemas.microsoft.com/office/drawing/2014/chart" uri="{C3380CC4-5D6E-409C-BE32-E72D297353CC}">
              <c16:uniqueId val="{00000002-7198-4078-A5A0-967CC1CF7574}"/>
            </c:ext>
          </c:extLst>
        </c:ser>
        <c:ser>
          <c:idx val="3"/>
          <c:order val="3"/>
          <c:tx>
            <c:v>Dir. sådd halm kvar</c:v>
          </c:tx>
          <c:spPr>
            <a:solidFill>
              <a:srgbClr val="99CC00"/>
            </a:solidFill>
            <a:ln w="12700">
              <a:solidFill>
                <a:srgbClr val="000000"/>
              </a:solidFill>
              <a:prstDash val="solid"/>
            </a:ln>
          </c:spPr>
          <c:invertIfNegative val="0"/>
          <c:cat>
            <c:strLit>
              <c:ptCount val="5"/>
              <c:pt idx="0">
                <c:v>Vete</c:v>
              </c:pt>
              <c:pt idx="1">
                <c:v>Korn</c:v>
              </c:pt>
              <c:pt idx="2">
                <c:v>Havre</c:v>
              </c:pt>
              <c:pt idx="3">
                <c:v>Raps</c:v>
              </c:pt>
              <c:pt idx="4">
                <c:v>Ärter</c:v>
              </c:pt>
            </c:strLit>
          </c:cat>
          <c:val>
            <c:numLit>
              <c:formatCode>General</c:formatCode>
              <c:ptCount val="5"/>
              <c:pt idx="0">
                <c:v>2060</c:v>
              </c:pt>
              <c:pt idx="1">
                <c:v>2810</c:v>
              </c:pt>
              <c:pt idx="2">
                <c:v>3500</c:v>
              </c:pt>
              <c:pt idx="3">
                <c:v>4590</c:v>
              </c:pt>
              <c:pt idx="4">
                <c:v>4800</c:v>
              </c:pt>
            </c:numLit>
          </c:val>
          <c:extLst>
            <c:ext xmlns:c16="http://schemas.microsoft.com/office/drawing/2014/chart" uri="{C3380CC4-5D6E-409C-BE32-E72D297353CC}">
              <c16:uniqueId val="{00000003-7198-4078-A5A0-967CC1CF7574}"/>
            </c:ext>
          </c:extLst>
        </c:ser>
        <c:dLbls>
          <c:showLegendKey val="0"/>
          <c:showVal val="0"/>
          <c:showCatName val="0"/>
          <c:showSerName val="0"/>
          <c:showPercent val="0"/>
          <c:showBubbleSize val="0"/>
        </c:dLbls>
        <c:gapWidth val="150"/>
        <c:axId val="103047552"/>
        <c:axId val="103049472"/>
      </c:barChart>
      <c:catAx>
        <c:axId val="103047552"/>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sv-SE"/>
                  <a:t>Förfrukt</a:t>
                </a:r>
              </a:p>
            </c:rich>
          </c:tx>
          <c:layout>
            <c:manualLayout>
              <c:xMode val="edge"/>
              <c:yMode val="edge"/>
              <c:x val="0.49755336047920601"/>
              <c:y val="0.92623208984122885"/>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03049472"/>
        <c:crosses val="autoZero"/>
        <c:auto val="1"/>
        <c:lblAlgn val="ctr"/>
        <c:lblOffset val="100"/>
        <c:tickLblSkip val="1"/>
        <c:tickMarkSkip val="1"/>
        <c:noMultiLvlLbl val="0"/>
      </c:catAx>
      <c:valAx>
        <c:axId val="103049472"/>
        <c:scaling>
          <c:orientation val="minMax"/>
        </c:scaling>
        <c:delete val="0"/>
        <c:axPos val="l"/>
        <c:majorGridlines>
          <c:spPr>
            <a:ln w="3175">
              <a:solidFill>
                <a:srgbClr val="000000"/>
              </a:solidFill>
              <a:prstDash val="solid"/>
            </a:ln>
          </c:spPr>
        </c:majorGridlines>
        <c:title>
          <c:tx>
            <c:rich>
              <a:bodyPr/>
              <a:lstStyle/>
              <a:p>
                <a:pPr>
                  <a:defRPr sz="1000" b="1" i="0" u="none" strike="noStrike" baseline="0">
                    <a:solidFill>
                      <a:srgbClr val="000000"/>
                    </a:solidFill>
                    <a:latin typeface="Arial"/>
                    <a:ea typeface="Arial"/>
                    <a:cs typeface="Arial"/>
                  </a:defRPr>
                </a:pPr>
                <a:r>
                  <a:rPr lang="sv-SE"/>
                  <a:t>Skörd</a:t>
                </a:r>
              </a:p>
            </c:rich>
          </c:tx>
          <c:layout>
            <c:manualLayout>
              <c:xMode val="edge"/>
              <c:yMode val="edge"/>
              <c:x val="1.1419249592169658E-2"/>
              <c:y val="0.5355205599300088"/>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sv-SE"/>
          </a:p>
        </c:txPr>
        <c:crossAx val="103047552"/>
        <c:crosses val="autoZero"/>
        <c:crossBetween val="between"/>
      </c:valAx>
      <c:spPr>
        <a:solidFill>
          <a:srgbClr val="FFFFFF"/>
        </a:solidFill>
        <a:ln w="12700">
          <a:solidFill>
            <a:srgbClr val="808080"/>
          </a:solidFill>
          <a:prstDash val="solid"/>
        </a:ln>
      </c:spPr>
    </c:plotArea>
    <c:legend>
      <c:legendPos val="r"/>
      <c:layout>
        <c:manualLayout>
          <c:xMode val="edge"/>
          <c:yMode val="edge"/>
          <c:x val="9.2985318107667206E-2"/>
          <c:y val="0.17213172123976306"/>
          <c:w val="0.87275761818516562"/>
          <c:h val="0.10928990433572855"/>
        </c:manualLayout>
      </c:layout>
      <c:overlay val="0"/>
      <c:spPr>
        <a:solidFill>
          <a:srgbClr val="FFFFFF"/>
        </a:solidFill>
        <a:ln w="3175">
          <a:solidFill>
            <a:srgbClr val="000000"/>
          </a:solidFill>
          <a:prstDash val="solid"/>
        </a:ln>
      </c:spPr>
      <c:txPr>
        <a:bodyPr/>
        <a:lstStyle/>
        <a:p>
          <a:pPr>
            <a:defRPr sz="895" b="0" i="0" u="none" strike="noStrike" baseline="0">
              <a:solidFill>
                <a:srgbClr val="000000"/>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6754951085664"/>
          <c:y val="6.5858585858585852E-2"/>
          <c:w val="0.43567406346933907"/>
          <c:h val="0.59241425330308284"/>
        </c:manualLayout>
      </c:layout>
      <c:barChart>
        <c:barDir val="col"/>
        <c:grouping val="stacked"/>
        <c:varyColors val="0"/>
        <c:ser>
          <c:idx val="0"/>
          <c:order val="0"/>
          <c:tx>
            <c:strRef>
              <c:f>RAPPORT!$V$20</c:f>
              <c:strCache>
                <c:ptCount val="1"/>
                <c:pt idx="0">
                  <c:v>Ändring</c:v>
                </c:pt>
              </c:strCache>
            </c:strRef>
          </c:tx>
          <c:spPr>
            <a:solidFill>
              <a:schemeClr val="tx1"/>
            </a:solidFill>
            <a:ln>
              <a:solidFill>
                <a:schemeClr val="tx1"/>
              </a:solidFill>
            </a:ln>
            <a:effectLst/>
          </c:spPr>
          <c:invertIfNegative val="0"/>
          <c:cat>
            <c:strRef>
              <c:f>RAPPORT!$U$21:$U$23</c:f>
              <c:strCache>
                <c:ptCount val="3"/>
                <c:pt idx="0">
                  <c:v>IN</c:v>
                </c:pt>
                <c:pt idx="1">
                  <c:v>Nedbrytning</c:v>
                </c:pt>
                <c:pt idx="2">
                  <c:v>Ändring</c:v>
                </c:pt>
              </c:strCache>
            </c:strRef>
          </c:cat>
          <c:val>
            <c:numRef>
              <c:f>RAPPORT!$V$21:$V$23</c:f>
              <c:numCache>
                <c:formatCode>General</c:formatCode>
                <c:ptCount val="3"/>
                <c:pt idx="2">
                  <c:v>69.029037488879112</c:v>
                </c:pt>
              </c:numCache>
            </c:numRef>
          </c:val>
          <c:extLst>
            <c:ext xmlns:c16="http://schemas.microsoft.com/office/drawing/2014/chart" uri="{C3380CC4-5D6E-409C-BE32-E72D297353CC}">
              <c16:uniqueId val="{00000000-AD23-4C72-8CAB-F383B4A60F32}"/>
            </c:ext>
          </c:extLst>
        </c:ser>
        <c:ser>
          <c:idx val="1"/>
          <c:order val="1"/>
          <c:tx>
            <c:strRef>
              <c:f>RAPPORT!$W$20</c:f>
              <c:strCache>
                <c:ptCount val="1"/>
                <c:pt idx="0">
                  <c:v>nedbrytning</c:v>
                </c:pt>
              </c:strCache>
            </c:strRef>
          </c:tx>
          <c:spPr>
            <a:solidFill>
              <a:srgbClr val="00B0F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RAPPORT!$W$21:$W$23</c:f>
              <c:numCache>
                <c:formatCode>General</c:formatCode>
                <c:ptCount val="3"/>
                <c:pt idx="1">
                  <c:v>651.57868565836372</c:v>
                </c:pt>
              </c:numCache>
            </c:numRef>
          </c:val>
          <c:extLst>
            <c:ext xmlns:c16="http://schemas.microsoft.com/office/drawing/2014/chart" uri="{C3380CC4-5D6E-409C-BE32-E72D297353CC}">
              <c16:uniqueId val="{00000001-AD23-4C72-8CAB-F383B4A60F32}"/>
            </c:ext>
          </c:extLst>
        </c:ser>
        <c:ser>
          <c:idx val="2"/>
          <c:order val="2"/>
          <c:tx>
            <c:strRef>
              <c:f>RAPPORT!$X$20</c:f>
              <c:strCache>
                <c:ptCount val="1"/>
                <c:pt idx="0">
                  <c:v>Skörde-rester</c:v>
                </c:pt>
              </c:strCache>
            </c:strRef>
          </c:tx>
          <c:spPr>
            <a:solidFill>
              <a:srgbClr val="FFFF0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RAPPORT!$X$21:$X$23</c:f>
              <c:numCache>
                <c:formatCode>General</c:formatCode>
                <c:ptCount val="3"/>
                <c:pt idx="0">
                  <c:v>465.07197853767923</c:v>
                </c:pt>
                <c:pt idx="1">
                  <c:v>0</c:v>
                </c:pt>
                <c:pt idx="2">
                  <c:v>0</c:v>
                </c:pt>
              </c:numCache>
            </c:numRef>
          </c:val>
          <c:extLst>
            <c:ext xmlns:c16="http://schemas.microsoft.com/office/drawing/2014/chart" uri="{C3380CC4-5D6E-409C-BE32-E72D297353CC}">
              <c16:uniqueId val="{00000002-AD23-4C72-8CAB-F383B4A60F32}"/>
            </c:ext>
          </c:extLst>
        </c:ser>
        <c:ser>
          <c:idx val="3"/>
          <c:order val="3"/>
          <c:tx>
            <c:strRef>
              <c:f>RAPPORT!$Y$20</c:f>
              <c:strCache>
                <c:ptCount val="1"/>
                <c:pt idx="0">
                  <c:v>Rötter</c:v>
                </c:pt>
              </c:strCache>
            </c:strRef>
          </c:tx>
          <c:spPr>
            <a:solidFill>
              <a:sysClr val="window" lastClr="FFFFFF"/>
            </a:solidFill>
            <a:ln>
              <a:solidFill>
                <a:schemeClr val="tx1"/>
              </a:solidFill>
            </a:ln>
            <a:effectLst/>
          </c:spPr>
          <c:invertIfNegative val="0"/>
          <c:cat>
            <c:strRef>
              <c:f>RAPPORT!$U$21:$U$23</c:f>
              <c:strCache>
                <c:ptCount val="3"/>
                <c:pt idx="0">
                  <c:v>IN</c:v>
                </c:pt>
                <c:pt idx="1">
                  <c:v>Nedbrytning</c:v>
                </c:pt>
                <c:pt idx="2">
                  <c:v>Ändring</c:v>
                </c:pt>
              </c:strCache>
            </c:strRef>
          </c:cat>
          <c:val>
            <c:numRef>
              <c:f>RAPPORT!$Y$21:$Y$23</c:f>
              <c:numCache>
                <c:formatCode>General</c:formatCode>
                <c:ptCount val="3"/>
                <c:pt idx="0">
                  <c:v>255.53574460956361</c:v>
                </c:pt>
                <c:pt idx="1">
                  <c:v>0</c:v>
                </c:pt>
                <c:pt idx="2">
                  <c:v>0</c:v>
                </c:pt>
              </c:numCache>
            </c:numRef>
          </c:val>
          <c:extLst>
            <c:ext xmlns:c16="http://schemas.microsoft.com/office/drawing/2014/chart" uri="{C3380CC4-5D6E-409C-BE32-E72D297353CC}">
              <c16:uniqueId val="{00000003-AD23-4C72-8CAB-F383B4A60F32}"/>
            </c:ext>
          </c:extLst>
        </c:ser>
        <c:ser>
          <c:idx val="4"/>
          <c:order val="4"/>
          <c:tx>
            <c:strRef>
              <c:f>RAPPORT!$Z$20</c:f>
              <c:strCache>
                <c:ptCount val="1"/>
                <c:pt idx="0">
                  <c:v>Fånggröda</c:v>
                </c:pt>
              </c:strCache>
            </c:strRef>
          </c:tx>
          <c:spPr>
            <a:solidFill>
              <a:srgbClr val="92D05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RAPPORT!$Z$21:$Z$23</c:f>
              <c:numCache>
                <c:formatCode>General</c:formatCode>
                <c:ptCount val="3"/>
                <c:pt idx="0">
                  <c:v>0</c:v>
                </c:pt>
                <c:pt idx="1">
                  <c:v>0</c:v>
                </c:pt>
                <c:pt idx="2">
                  <c:v>0</c:v>
                </c:pt>
              </c:numCache>
            </c:numRef>
          </c:val>
          <c:extLst>
            <c:ext xmlns:c16="http://schemas.microsoft.com/office/drawing/2014/chart" uri="{C3380CC4-5D6E-409C-BE32-E72D297353CC}">
              <c16:uniqueId val="{00000004-AD23-4C72-8CAB-F383B4A60F32}"/>
            </c:ext>
          </c:extLst>
        </c:ser>
        <c:ser>
          <c:idx val="5"/>
          <c:order val="5"/>
          <c:tx>
            <c:strRef>
              <c:f>RAPPORT!$AA$20</c:f>
              <c:strCache>
                <c:ptCount val="1"/>
                <c:pt idx="0">
                  <c:v>Stallgödsel</c:v>
                </c:pt>
              </c:strCache>
            </c:strRef>
          </c:tx>
          <c:spPr>
            <a:solidFill>
              <a:srgbClr val="C00000"/>
            </a:solidFill>
            <a:ln>
              <a:solidFill>
                <a:sysClr val="windowText" lastClr="000000"/>
              </a:solidFill>
            </a:ln>
            <a:effectLst/>
          </c:spPr>
          <c:invertIfNegative val="0"/>
          <c:cat>
            <c:strRef>
              <c:f>RAPPORT!$U$21:$U$23</c:f>
              <c:strCache>
                <c:ptCount val="3"/>
                <c:pt idx="0">
                  <c:v>IN</c:v>
                </c:pt>
                <c:pt idx="1">
                  <c:v>Nedbrytning</c:v>
                </c:pt>
                <c:pt idx="2">
                  <c:v>Ändring</c:v>
                </c:pt>
              </c:strCache>
            </c:strRef>
          </c:cat>
          <c:val>
            <c:numRef>
              <c:f>RAPPORT!$AA$21:$AA$23</c:f>
              <c:numCache>
                <c:formatCode>General</c:formatCode>
                <c:ptCount val="3"/>
                <c:pt idx="0">
                  <c:v>0</c:v>
                </c:pt>
                <c:pt idx="1">
                  <c:v>0</c:v>
                </c:pt>
                <c:pt idx="2">
                  <c:v>0</c:v>
                </c:pt>
              </c:numCache>
            </c:numRef>
          </c:val>
          <c:extLst>
            <c:ext xmlns:c16="http://schemas.microsoft.com/office/drawing/2014/chart" uri="{C3380CC4-5D6E-409C-BE32-E72D297353CC}">
              <c16:uniqueId val="{00000005-AD23-4C72-8CAB-F383B4A60F32}"/>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sv-SE" sz="1050">
                    <a:solidFill>
                      <a:schemeClr val="tx1"/>
                    </a:solidFill>
                  </a:rPr>
                  <a:t>kg</a:t>
                </a:r>
                <a:r>
                  <a:rPr lang="sv-SE" sz="1050" baseline="0">
                    <a:solidFill>
                      <a:schemeClr val="tx1"/>
                    </a:solidFill>
                  </a:rPr>
                  <a:t> kol per ha och år</a:t>
                </a:r>
                <a:endParaRPr lang="sv-SE" sz="1050">
                  <a:solidFill>
                    <a:schemeClr val="tx1"/>
                  </a:solidFill>
                </a:endParaRPr>
              </a:p>
            </c:rich>
          </c:tx>
          <c:layout>
            <c:manualLayout>
              <c:xMode val="edge"/>
              <c:yMode val="edge"/>
              <c:x val="2.3716346740492941E-2"/>
              <c:y val="9.530005783175409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crossAx val="257664936"/>
        <c:crosses val="autoZero"/>
        <c:crossBetween val="between"/>
      </c:valAx>
      <c:spPr>
        <a:noFill/>
        <a:ln>
          <a:noFill/>
        </a:ln>
        <a:effectLst/>
      </c:spPr>
    </c:plotArea>
    <c:legend>
      <c:legendPos val="r"/>
      <c:layout>
        <c:manualLayout>
          <c:xMode val="edge"/>
          <c:yMode val="edge"/>
          <c:x val="0.66607213870993409"/>
          <c:y val="0.13637172472085057"/>
          <c:w val="0.32743429798547907"/>
          <c:h val="0.575492682058810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sv-S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96754951085664"/>
          <c:y val="6.5858585858585852E-2"/>
          <c:w val="0.43567406346933907"/>
          <c:h val="0.59241425330308284"/>
        </c:manualLayout>
      </c:layout>
      <c:barChart>
        <c:barDir val="col"/>
        <c:grouping val="stacked"/>
        <c:varyColors val="0"/>
        <c:ser>
          <c:idx val="0"/>
          <c:order val="0"/>
          <c:tx>
            <c:strRef>
              <c:f>RAPPORT!$V$34</c:f>
              <c:strCache>
                <c:ptCount val="1"/>
                <c:pt idx="0">
                  <c:v>Ändring</c:v>
                </c:pt>
              </c:strCache>
            </c:strRef>
          </c:tx>
          <c:spPr>
            <a:solidFill>
              <a:schemeClr val="tx1"/>
            </a:solidFill>
            <a:ln>
              <a:noFill/>
            </a:ln>
            <a:effectLst/>
          </c:spPr>
          <c:invertIfNegative val="0"/>
          <c:cat>
            <c:strRef>
              <c:f>RAPPORT!$U$35:$U$37</c:f>
              <c:strCache>
                <c:ptCount val="3"/>
                <c:pt idx="0">
                  <c:v>IN</c:v>
                </c:pt>
                <c:pt idx="1">
                  <c:v>Nedbrytning</c:v>
                </c:pt>
                <c:pt idx="2">
                  <c:v>Ändring</c:v>
                </c:pt>
              </c:strCache>
            </c:strRef>
          </c:cat>
          <c:val>
            <c:numRef>
              <c:f>RAPPORT!$V$35:$V$37</c:f>
              <c:numCache>
                <c:formatCode>General</c:formatCode>
                <c:ptCount val="3"/>
                <c:pt idx="2">
                  <c:v>69.029037488879112</c:v>
                </c:pt>
              </c:numCache>
            </c:numRef>
          </c:val>
          <c:extLst>
            <c:ext xmlns:c16="http://schemas.microsoft.com/office/drawing/2014/chart" uri="{C3380CC4-5D6E-409C-BE32-E72D297353CC}">
              <c16:uniqueId val="{00000000-E4EE-4BCE-BB99-0CD72945B9B2}"/>
            </c:ext>
          </c:extLst>
        </c:ser>
        <c:ser>
          <c:idx val="1"/>
          <c:order val="1"/>
          <c:tx>
            <c:strRef>
              <c:f>RAPPORT!$W$34</c:f>
              <c:strCache>
                <c:ptCount val="1"/>
                <c:pt idx="0">
                  <c:v>nedbrytning</c:v>
                </c:pt>
              </c:strCache>
            </c:strRef>
          </c:tx>
          <c:spPr>
            <a:solidFill>
              <a:srgbClr val="00B0F0"/>
            </a:solidFill>
            <a:ln>
              <a:solidFill>
                <a:sysClr val="windowText" lastClr="000000"/>
              </a:solidFill>
            </a:ln>
            <a:effectLst/>
          </c:spPr>
          <c:invertIfNegative val="0"/>
          <c:cat>
            <c:strRef>
              <c:f>RAPPORT!$U$35:$U$37</c:f>
              <c:strCache>
                <c:ptCount val="3"/>
                <c:pt idx="0">
                  <c:v>IN</c:v>
                </c:pt>
                <c:pt idx="1">
                  <c:v>Nedbrytning</c:v>
                </c:pt>
                <c:pt idx="2">
                  <c:v>Ändring</c:v>
                </c:pt>
              </c:strCache>
            </c:strRef>
          </c:cat>
          <c:val>
            <c:numRef>
              <c:f>RAPPORT!$W$35:$W$37</c:f>
              <c:numCache>
                <c:formatCode>General</c:formatCode>
                <c:ptCount val="3"/>
                <c:pt idx="1">
                  <c:v>651.5796798185479</c:v>
                </c:pt>
              </c:numCache>
            </c:numRef>
          </c:val>
          <c:extLst>
            <c:ext xmlns:c16="http://schemas.microsoft.com/office/drawing/2014/chart" uri="{C3380CC4-5D6E-409C-BE32-E72D297353CC}">
              <c16:uniqueId val="{00000001-E4EE-4BCE-BB99-0CD72945B9B2}"/>
            </c:ext>
          </c:extLst>
        </c:ser>
        <c:ser>
          <c:idx val="2"/>
          <c:order val="2"/>
          <c:tx>
            <c:strRef>
              <c:f>RAPPORT!$X$34</c:f>
              <c:strCache>
                <c:ptCount val="1"/>
                <c:pt idx="0">
                  <c:v>Skörde-rester</c:v>
                </c:pt>
              </c:strCache>
            </c:strRef>
          </c:tx>
          <c:spPr>
            <a:solidFill>
              <a:srgbClr val="FFFF00"/>
            </a:solidFill>
            <a:ln>
              <a:solidFill>
                <a:schemeClr val="tx1"/>
              </a:solidFill>
            </a:ln>
            <a:effectLst/>
          </c:spPr>
          <c:invertIfNegative val="0"/>
          <c:cat>
            <c:strRef>
              <c:f>RAPPORT!$U$35:$U$37</c:f>
              <c:strCache>
                <c:ptCount val="3"/>
                <c:pt idx="0">
                  <c:v>IN</c:v>
                </c:pt>
                <c:pt idx="1">
                  <c:v>Nedbrytning</c:v>
                </c:pt>
                <c:pt idx="2">
                  <c:v>Ändring</c:v>
                </c:pt>
              </c:strCache>
            </c:strRef>
          </c:cat>
          <c:val>
            <c:numRef>
              <c:f>RAPPORT!$X$35:$X$37</c:f>
              <c:numCache>
                <c:formatCode>General</c:formatCode>
                <c:ptCount val="3"/>
                <c:pt idx="0">
                  <c:v>465.07294795160271</c:v>
                </c:pt>
                <c:pt idx="1">
                  <c:v>0</c:v>
                </c:pt>
                <c:pt idx="2">
                  <c:v>0</c:v>
                </c:pt>
              </c:numCache>
            </c:numRef>
          </c:val>
          <c:extLst>
            <c:ext xmlns:c16="http://schemas.microsoft.com/office/drawing/2014/chart" uri="{C3380CC4-5D6E-409C-BE32-E72D297353CC}">
              <c16:uniqueId val="{00000002-E4EE-4BCE-BB99-0CD72945B9B2}"/>
            </c:ext>
          </c:extLst>
        </c:ser>
        <c:ser>
          <c:idx val="3"/>
          <c:order val="3"/>
          <c:tx>
            <c:strRef>
              <c:f>RAPPORT!$Y$34</c:f>
              <c:strCache>
                <c:ptCount val="1"/>
                <c:pt idx="0">
                  <c:v>Rötter</c:v>
                </c:pt>
              </c:strCache>
            </c:strRef>
          </c:tx>
          <c:spPr>
            <a:solidFill>
              <a:schemeClr val="bg1"/>
            </a:solidFill>
            <a:ln>
              <a:solidFill>
                <a:schemeClr val="tx1"/>
              </a:solidFill>
            </a:ln>
            <a:effectLst/>
          </c:spPr>
          <c:invertIfNegative val="0"/>
          <c:cat>
            <c:strRef>
              <c:f>RAPPORT!$U$35:$U$37</c:f>
              <c:strCache>
                <c:ptCount val="3"/>
                <c:pt idx="0">
                  <c:v>IN</c:v>
                </c:pt>
                <c:pt idx="1">
                  <c:v>Nedbrytning</c:v>
                </c:pt>
                <c:pt idx="2">
                  <c:v>Ändring</c:v>
                </c:pt>
              </c:strCache>
            </c:strRef>
          </c:cat>
          <c:val>
            <c:numRef>
              <c:f>RAPPORT!$Y$35:$Y$37</c:f>
              <c:numCache>
                <c:formatCode>General</c:formatCode>
                <c:ptCount val="3"/>
                <c:pt idx="0">
                  <c:v>255.53576935582424</c:v>
                </c:pt>
                <c:pt idx="1">
                  <c:v>0</c:v>
                </c:pt>
                <c:pt idx="2">
                  <c:v>0</c:v>
                </c:pt>
              </c:numCache>
            </c:numRef>
          </c:val>
          <c:extLst>
            <c:ext xmlns:c16="http://schemas.microsoft.com/office/drawing/2014/chart" uri="{C3380CC4-5D6E-409C-BE32-E72D297353CC}">
              <c16:uniqueId val="{00000003-E4EE-4BCE-BB99-0CD72945B9B2}"/>
            </c:ext>
          </c:extLst>
        </c:ser>
        <c:ser>
          <c:idx val="4"/>
          <c:order val="4"/>
          <c:tx>
            <c:strRef>
              <c:f>RAPPORT!$Z$34</c:f>
              <c:strCache>
                <c:ptCount val="1"/>
                <c:pt idx="0">
                  <c:v>Fånggröda</c:v>
                </c:pt>
              </c:strCache>
            </c:strRef>
          </c:tx>
          <c:spPr>
            <a:solidFill>
              <a:srgbClr val="92D050"/>
            </a:solidFill>
            <a:ln>
              <a:solidFill>
                <a:schemeClr val="tx1"/>
              </a:solidFill>
            </a:ln>
            <a:effectLst/>
          </c:spPr>
          <c:invertIfNegative val="0"/>
          <c:cat>
            <c:strRef>
              <c:f>RAPPORT!$U$35:$U$37</c:f>
              <c:strCache>
                <c:ptCount val="3"/>
                <c:pt idx="0">
                  <c:v>IN</c:v>
                </c:pt>
                <c:pt idx="1">
                  <c:v>Nedbrytning</c:v>
                </c:pt>
                <c:pt idx="2">
                  <c:v>Ändring</c:v>
                </c:pt>
              </c:strCache>
            </c:strRef>
          </c:cat>
          <c:val>
            <c:numRef>
              <c:f>RAPPORT!$Z$35:$Z$37</c:f>
              <c:numCache>
                <c:formatCode>General</c:formatCode>
                <c:ptCount val="3"/>
                <c:pt idx="0">
                  <c:v>0</c:v>
                </c:pt>
                <c:pt idx="1">
                  <c:v>0</c:v>
                </c:pt>
                <c:pt idx="2">
                  <c:v>0</c:v>
                </c:pt>
              </c:numCache>
            </c:numRef>
          </c:val>
          <c:extLst>
            <c:ext xmlns:c16="http://schemas.microsoft.com/office/drawing/2014/chart" uri="{C3380CC4-5D6E-409C-BE32-E72D297353CC}">
              <c16:uniqueId val="{00000004-E4EE-4BCE-BB99-0CD72945B9B2}"/>
            </c:ext>
          </c:extLst>
        </c:ser>
        <c:ser>
          <c:idx val="5"/>
          <c:order val="5"/>
          <c:tx>
            <c:strRef>
              <c:f>RAPPORT!$AA$34</c:f>
              <c:strCache>
                <c:ptCount val="1"/>
                <c:pt idx="0">
                  <c:v>Stallgödsel</c:v>
                </c:pt>
              </c:strCache>
            </c:strRef>
          </c:tx>
          <c:spPr>
            <a:solidFill>
              <a:srgbClr val="C00000"/>
            </a:solidFill>
            <a:ln>
              <a:solidFill>
                <a:schemeClr val="tx1"/>
              </a:solidFill>
            </a:ln>
            <a:effectLst/>
          </c:spPr>
          <c:invertIfNegative val="0"/>
          <c:cat>
            <c:strRef>
              <c:f>RAPPORT!$U$35:$U$37</c:f>
              <c:strCache>
                <c:ptCount val="3"/>
                <c:pt idx="0">
                  <c:v>IN</c:v>
                </c:pt>
                <c:pt idx="1">
                  <c:v>Nedbrytning</c:v>
                </c:pt>
                <c:pt idx="2">
                  <c:v>Ändring</c:v>
                </c:pt>
              </c:strCache>
            </c:strRef>
          </c:cat>
          <c:val>
            <c:numRef>
              <c:f>RAPPORT!$AA$35:$AA$37</c:f>
              <c:numCache>
                <c:formatCode>General</c:formatCode>
                <c:ptCount val="3"/>
                <c:pt idx="0">
                  <c:v>0</c:v>
                </c:pt>
                <c:pt idx="1">
                  <c:v>0</c:v>
                </c:pt>
                <c:pt idx="2">
                  <c:v>0</c:v>
                </c:pt>
              </c:numCache>
            </c:numRef>
          </c:val>
          <c:extLst>
            <c:ext xmlns:c16="http://schemas.microsoft.com/office/drawing/2014/chart" uri="{C3380CC4-5D6E-409C-BE32-E72D297353CC}">
              <c16:uniqueId val="{00000005-E4EE-4BCE-BB99-0CD72945B9B2}"/>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r>
                  <a:rPr lang="sv-SE" sz="1050"/>
                  <a:t>kg</a:t>
                </a:r>
                <a:r>
                  <a:rPr lang="sv-SE" sz="1050" baseline="0"/>
                  <a:t> kol per ha och år</a:t>
                </a:r>
                <a:endParaRPr lang="sv-SE" sz="1050"/>
              </a:p>
            </c:rich>
          </c:tx>
          <c:layout>
            <c:manualLayout>
              <c:xMode val="edge"/>
              <c:yMode val="edge"/>
              <c:x val="1.8627614729976937E-2"/>
              <c:y val="8.9650340317629792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sv-SE"/>
          </a:p>
        </c:txPr>
        <c:crossAx val="257664936"/>
        <c:crosses val="autoZero"/>
        <c:crossBetween val="between"/>
      </c:valAx>
      <c:spPr>
        <a:noFill/>
        <a:ln>
          <a:noFill/>
        </a:ln>
        <a:effectLst/>
      </c:spPr>
    </c:plotArea>
    <c:legend>
      <c:legendPos val="r"/>
      <c:layout>
        <c:manualLayout>
          <c:xMode val="edge"/>
          <c:yMode val="edge"/>
          <c:x val="0.66607213870993409"/>
          <c:y val="5.7275679523110468E-2"/>
          <c:w val="0.32743429798547907"/>
          <c:h val="0.5754926820588104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solidFill>
      <a:round/>
    </a:ln>
    <a:effectLst/>
  </c:spPr>
  <c:txPr>
    <a:bodyPr/>
    <a:lstStyle/>
    <a:p>
      <a:pPr>
        <a:defRPr/>
      </a:pPr>
      <a:endParaRPr lang="sv-S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Mullhalt</a:t>
            </a:r>
          </a:p>
        </c:rich>
      </c:tx>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Huvudinmatning!$Y$64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Huvudinmatning!$Y$65:$Y$114</c:f>
              <c:numCache>
                <c:formatCode>0.00</c:formatCode>
                <c:ptCount val="50"/>
                <c:pt idx="0">
                  <c:v>2.9171999999999998</c:v>
                </c:pt>
                <c:pt idx="1">
                  <c:v>2.9436879929075692</c:v>
                </c:pt>
                <c:pt idx="2">
                  <c:v>2.9488268854815614</c:v>
                </c:pt>
                <c:pt idx="3">
                  <c:v>2.9505435712347059</c:v>
                </c:pt>
                <c:pt idx="4">
                  <c:v>2.9517012637882529</c:v>
                </c:pt>
                <c:pt idx="5">
                  <c:v>2.9527574093374902</c:v>
                </c:pt>
                <c:pt idx="6">
                  <c:v>2.9537852353966874</c:v>
                </c:pt>
                <c:pt idx="7">
                  <c:v>2.9547966049579562</c:v>
                </c:pt>
                <c:pt idx="8">
                  <c:v>2.9557935783760967</c:v>
                </c:pt>
                <c:pt idx="9">
                  <c:v>2.9567766481602904</c:v>
                </c:pt>
                <c:pt idx="10">
                  <c:v>2.9577460541544189</c:v>
                </c:pt>
                <c:pt idx="11">
                  <c:v>2.9587019936112133</c:v>
                </c:pt>
                <c:pt idx="12">
                  <c:v>2.9596446547735304</c:v>
                </c:pt>
                <c:pt idx="13">
                  <c:v>2.9605742222681561</c:v>
                </c:pt>
                <c:pt idx="14">
                  <c:v>2.9614908779974742</c:v>
                </c:pt>
                <c:pt idx="15">
                  <c:v>2.9623948013116905</c:v>
                </c:pt>
                <c:pt idx="16">
                  <c:v>2.963286169065745</c:v>
                </c:pt>
                <c:pt idx="17">
                  <c:v>2.9641651556573962</c:v>
                </c:pt>
                <c:pt idx="18">
                  <c:v>2.9650319330619026</c:v>
                </c:pt>
                <c:pt idx="19">
                  <c:v>2.9658866708657574</c:v>
                </c:pt>
                <c:pt idx="20">
                  <c:v>2.9667295362998831</c:v>
                </c:pt>
                <c:pt idx="21">
                  <c:v>2.96756069427235</c:v>
                </c:pt>
                <c:pt idx="22">
                  <c:v>2.9683803074006456</c:v>
                </c:pt>
                <c:pt idx="23">
                  <c:v>2.9691885360434882</c:v>
                </c:pt>
                <c:pt idx="24">
                  <c:v>2.9699855383322005</c:v>
                </c:pt>
                <c:pt idx="25">
                  <c:v>2.9707714702016523</c:v>
                </c:pt>
                <c:pt idx="26">
                  <c:v>2.9715464854207654</c:v>
                </c:pt>
                <c:pt idx="27">
                  <c:v>2.9723107356225986</c:v>
                </c:pt>
                <c:pt idx="28">
                  <c:v>2.9730643703340198</c:v>
                </c:pt>
                <c:pt idx="29">
                  <c:v>2.973807537004955</c:v>
                </c:pt>
                <c:pt idx="30">
                  <c:v>2.9745403810372424</c:v>
                </c:pt>
                <c:pt idx="31">
                  <c:v>2.9752630458130764</c:v>
                </c:pt>
                <c:pt idx="32">
                  <c:v>2.9759756727230644</c:v>
                </c:pt>
                <c:pt idx="33">
                  <c:v>2.9766784011938858</c:v>
                </c:pt>
                <c:pt idx="34">
                  <c:v>2.9773713687155738</c:v>
                </c:pt>
                <c:pt idx="35">
                  <c:v>2.9780547108684168</c:v>
                </c:pt>
                <c:pt idx="36">
                  <c:v>2.9787285613494823</c:v>
                </c:pt>
                <c:pt idx="37">
                  <c:v>2.9793930519987746</c:v>
                </c:pt>
                <c:pt idx="38">
                  <c:v>2.980048312825033</c:v>
                </c:pt>
                <c:pt idx="39">
                  <c:v>2.9806944720311646</c:v>
                </c:pt>
                <c:pt idx="40">
                  <c:v>2.981331656039329</c:v>
                </c:pt>
                <c:pt idx="41">
                  <c:v>2.9819599895156736</c:v>
                </c:pt>
                <c:pt idx="42">
                  <c:v>2.9825795953947236</c:v>
                </c:pt>
                <c:pt idx="43">
                  <c:v>2.9831905949034341</c:v>
                </c:pt>
                <c:pt idx="44">
                  <c:v>2.9837931075849107</c:v>
                </c:pt>
                <c:pt idx="45">
                  <c:v>2.9843872513217944</c:v>
                </c:pt>
                <c:pt idx="46">
                  <c:v>2.9849731423593302</c:v>
                </c:pt>
                <c:pt idx="47">
                  <c:v>2.9855508953281067</c:v>
                </c:pt>
                <c:pt idx="48">
                  <c:v>2.9861206232664861</c:v>
                </c:pt>
                <c:pt idx="49">
                  <c:v>2.9866824376427186</c:v>
                </c:pt>
              </c:numCache>
            </c:numRef>
          </c:val>
          <c:smooth val="0"/>
          <c:extLst>
            <c:ext xmlns:c16="http://schemas.microsoft.com/office/drawing/2014/chart" uri="{C3380CC4-5D6E-409C-BE32-E72D297353CC}">
              <c16:uniqueId val="{00000000-6815-4420-9638-B983ACD5E1E4}"/>
            </c:ext>
          </c:extLst>
        </c:ser>
        <c:ser>
          <c:idx val="1"/>
          <c:order val="1"/>
          <c:tx>
            <c:strRef>
              <c:f>Huvudinmatning!$Z$64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Huvudinmatning!$Z$65:$Z$114</c:f>
              <c:numCache>
                <c:formatCode>0.00</c:formatCode>
                <c:ptCount val="50"/>
                <c:pt idx="0">
                  <c:v>2.9171999999999998</c:v>
                </c:pt>
                <c:pt idx="1">
                  <c:v>2.9436879929075692</c:v>
                </c:pt>
                <c:pt idx="2">
                  <c:v>2.9488268854815614</c:v>
                </c:pt>
                <c:pt idx="3">
                  <c:v>2.9505435712347059</c:v>
                </c:pt>
                <c:pt idx="4">
                  <c:v>2.9517012637882529</c:v>
                </c:pt>
                <c:pt idx="5">
                  <c:v>2.9527574093374902</c:v>
                </c:pt>
                <c:pt idx="6">
                  <c:v>2.9537852353966874</c:v>
                </c:pt>
                <c:pt idx="7">
                  <c:v>2.9547966049579562</c:v>
                </c:pt>
                <c:pt idx="8">
                  <c:v>2.9557935783760967</c:v>
                </c:pt>
                <c:pt idx="9">
                  <c:v>2.9567766481602904</c:v>
                </c:pt>
                <c:pt idx="10">
                  <c:v>2.9577460541544189</c:v>
                </c:pt>
                <c:pt idx="11">
                  <c:v>2.9587019936112133</c:v>
                </c:pt>
                <c:pt idx="12">
                  <c:v>2.9596446547735304</c:v>
                </c:pt>
                <c:pt idx="13">
                  <c:v>2.9605742222681561</c:v>
                </c:pt>
                <c:pt idx="14">
                  <c:v>2.9614908779974742</c:v>
                </c:pt>
                <c:pt idx="15">
                  <c:v>2.9623948013116905</c:v>
                </c:pt>
                <c:pt idx="16">
                  <c:v>2.963286169065745</c:v>
                </c:pt>
                <c:pt idx="17">
                  <c:v>2.9641651556573962</c:v>
                </c:pt>
                <c:pt idx="18">
                  <c:v>2.9650319330619026</c:v>
                </c:pt>
                <c:pt idx="19">
                  <c:v>2.9658866708657574</c:v>
                </c:pt>
                <c:pt idx="20">
                  <c:v>2.9667295362998831</c:v>
                </c:pt>
                <c:pt idx="21">
                  <c:v>2.96756069427235</c:v>
                </c:pt>
                <c:pt idx="22">
                  <c:v>2.9683803074006456</c:v>
                </c:pt>
                <c:pt idx="23">
                  <c:v>2.9691885360434882</c:v>
                </c:pt>
                <c:pt idx="24">
                  <c:v>2.9699855383322005</c:v>
                </c:pt>
                <c:pt idx="25">
                  <c:v>2.9707714702016523</c:v>
                </c:pt>
                <c:pt idx="26">
                  <c:v>2.9715464854207654</c:v>
                </c:pt>
                <c:pt idx="27">
                  <c:v>2.9723107356225986</c:v>
                </c:pt>
                <c:pt idx="28">
                  <c:v>2.9730643703340198</c:v>
                </c:pt>
                <c:pt idx="29">
                  <c:v>2.973807537004955</c:v>
                </c:pt>
                <c:pt idx="30">
                  <c:v>2.9745403810372424</c:v>
                </c:pt>
                <c:pt idx="31">
                  <c:v>2.9752630458130764</c:v>
                </c:pt>
                <c:pt idx="32">
                  <c:v>2.9759756727230644</c:v>
                </c:pt>
                <c:pt idx="33">
                  <c:v>2.9766784011938858</c:v>
                </c:pt>
                <c:pt idx="34">
                  <c:v>2.9773713687155738</c:v>
                </c:pt>
                <c:pt idx="35">
                  <c:v>2.9780547108684168</c:v>
                </c:pt>
                <c:pt idx="36">
                  <c:v>2.9787285613494823</c:v>
                </c:pt>
                <c:pt idx="37">
                  <c:v>2.9793930519987746</c:v>
                </c:pt>
                <c:pt idx="38">
                  <c:v>2.980048312825033</c:v>
                </c:pt>
                <c:pt idx="39">
                  <c:v>2.9806944720311646</c:v>
                </c:pt>
                <c:pt idx="40">
                  <c:v>2.981331656039329</c:v>
                </c:pt>
                <c:pt idx="41">
                  <c:v>2.9819599895156736</c:v>
                </c:pt>
                <c:pt idx="42">
                  <c:v>2.9825795953947236</c:v>
                </c:pt>
                <c:pt idx="43">
                  <c:v>2.9831905949034341</c:v>
                </c:pt>
                <c:pt idx="44">
                  <c:v>2.9837931075849107</c:v>
                </c:pt>
                <c:pt idx="45">
                  <c:v>2.9843872513217944</c:v>
                </c:pt>
                <c:pt idx="46">
                  <c:v>2.9849731423593302</c:v>
                </c:pt>
                <c:pt idx="47">
                  <c:v>2.9855508953281067</c:v>
                </c:pt>
                <c:pt idx="48">
                  <c:v>2.9861206232664861</c:v>
                </c:pt>
                <c:pt idx="49">
                  <c:v>2.9866824376427186</c:v>
                </c:pt>
              </c:numCache>
            </c:numRef>
          </c:val>
          <c:smooth val="0"/>
          <c:extLst>
            <c:ext xmlns:c16="http://schemas.microsoft.com/office/drawing/2014/chart" uri="{C3380CC4-5D6E-409C-BE32-E72D297353CC}">
              <c16:uniqueId val="{00000001-6815-4420-9638-B983ACD5E1E4}"/>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in val="1"/>
        </c:scaling>
        <c:delete val="0"/>
        <c:axPos val="l"/>
        <c:majorGridlines/>
        <c:title>
          <c:tx>
            <c:rich>
              <a:bodyPr rot="-5400000" vert="horz"/>
              <a:lstStyle/>
              <a:p>
                <a:pPr>
                  <a:defRPr/>
                </a:pPr>
                <a:r>
                  <a:rPr lang="en-US"/>
                  <a:t>Mullhalt %</a:t>
                </a:r>
              </a:p>
            </c:rich>
          </c:tx>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7747382235115344"/>
          <c:y val="0.68446113670849384"/>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Mull_ICBM!$AA$4</c:f>
              <c:strCache>
                <c:ptCount val="1"/>
                <c:pt idx="0">
                  <c:v>Skörderester</c:v>
                </c:pt>
              </c:strCache>
            </c:strRef>
          </c:tx>
          <c:spPr>
            <a:solidFill>
              <a:srgbClr val="FFFF00"/>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Mull_ICBM!$AA$5:$AA$11</c:f>
              <c:numCache>
                <c:formatCode>General</c:formatCode>
                <c:ptCount val="7"/>
                <c:pt idx="0" formatCode="0">
                  <c:v>465.07197853767923</c:v>
                </c:pt>
                <c:pt idx="4" formatCode="0">
                  <c:v>465.07294795160271</c:v>
                </c:pt>
              </c:numCache>
            </c:numRef>
          </c:val>
          <c:extLst>
            <c:ext xmlns:c16="http://schemas.microsoft.com/office/drawing/2014/chart" uri="{C3380CC4-5D6E-409C-BE32-E72D297353CC}">
              <c16:uniqueId val="{00000000-0041-4ED8-93B7-1BD9DB7ACCCC}"/>
            </c:ext>
          </c:extLst>
        </c:ser>
        <c:ser>
          <c:idx val="1"/>
          <c:order val="1"/>
          <c:tx>
            <c:strRef>
              <c:f>Mull_ICBM!$AB$4</c:f>
              <c:strCache>
                <c:ptCount val="1"/>
                <c:pt idx="0">
                  <c:v>Rötter</c:v>
                </c:pt>
              </c:strCache>
            </c:strRef>
          </c:tx>
          <c:spPr>
            <a:solidFill>
              <a:schemeClr val="bg1"/>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Mull_ICBM!$AB$5:$AB$11</c:f>
              <c:numCache>
                <c:formatCode>General</c:formatCode>
                <c:ptCount val="7"/>
                <c:pt idx="0" formatCode="0">
                  <c:v>255.53574460956361</c:v>
                </c:pt>
                <c:pt idx="4" formatCode="0">
                  <c:v>255.53576935582424</c:v>
                </c:pt>
              </c:numCache>
            </c:numRef>
          </c:val>
          <c:extLst>
            <c:ext xmlns:c16="http://schemas.microsoft.com/office/drawing/2014/chart" uri="{C3380CC4-5D6E-409C-BE32-E72D297353CC}">
              <c16:uniqueId val="{00000001-0041-4ED8-93B7-1BD9DB7ACCCC}"/>
            </c:ext>
          </c:extLst>
        </c:ser>
        <c:ser>
          <c:idx val="2"/>
          <c:order val="2"/>
          <c:tx>
            <c:strRef>
              <c:f>Mull_ICBM!$AC$4</c:f>
              <c:strCache>
                <c:ptCount val="1"/>
                <c:pt idx="0">
                  <c:v>Fånggröda</c:v>
                </c:pt>
              </c:strCache>
            </c:strRef>
          </c:tx>
          <c:spPr>
            <a:solidFill>
              <a:schemeClr val="accent3"/>
            </a:solidFill>
            <a:ln>
              <a:solidFill>
                <a:sysClr val="windowText" lastClr="000000"/>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Mull_ICBM!$AC$5:$AC$11</c:f>
              <c:numCache>
                <c:formatCode>General</c:formatCode>
                <c:ptCount val="7"/>
                <c:pt idx="0" formatCode="0">
                  <c:v>0</c:v>
                </c:pt>
                <c:pt idx="4" formatCode="0">
                  <c:v>0</c:v>
                </c:pt>
              </c:numCache>
            </c:numRef>
          </c:val>
          <c:extLst>
            <c:ext xmlns:c16="http://schemas.microsoft.com/office/drawing/2014/chart" uri="{C3380CC4-5D6E-409C-BE32-E72D297353CC}">
              <c16:uniqueId val="{00000002-0041-4ED8-93B7-1BD9DB7ACCCC}"/>
            </c:ext>
          </c:extLst>
        </c:ser>
        <c:ser>
          <c:idx val="3"/>
          <c:order val="3"/>
          <c:tx>
            <c:strRef>
              <c:f>Mull_ICBM!$AE$4</c:f>
              <c:strCache>
                <c:ptCount val="1"/>
                <c:pt idx="0">
                  <c:v>Stallgödsel</c:v>
                </c:pt>
              </c:strCache>
            </c:strRef>
          </c:tx>
          <c:spPr>
            <a:solidFill>
              <a:srgbClr val="C00000"/>
            </a:solidFill>
            <a:ln>
              <a:solidFill>
                <a:sysClr val="windowText" lastClr="000000"/>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Mull_ICBM!$AE$5:$AE$11</c:f>
              <c:numCache>
                <c:formatCode>0</c:formatCode>
                <c:ptCount val="7"/>
                <c:pt idx="0">
                  <c:v>0</c:v>
                </c:pt>
                <c:pt idx="4">
                  <c:v>0</c:v>
                </c:pt>
              </c:numCache>
            </c:numRef>
          </c:val>
          <c:extLst>
            <c:ext xmlns:c16="http://schemas.microsoft.com/office/drawing/2014/chart" uri="{C3380CC4-5D6E-409C-BE32-E72D297353CC}">
              <c16:uniqueId val="{00000003-0041-4ED8-93B7-1BD9DB7ACCCC}"/>
            </c:ext>
          </c:extLst>
        </c:ser>
        <c:ser>
          <c:idx val="4"/>
          <c:order val="4"/>
          <c:tx>
            <c:strRef>
              <c:f>Mull_ICBM!$AF$3</c:f>
              <c:strCache>
                <c:ptCount val="1"/>
                <c:pt idx="0">
                  <c:v>Nedbrytning</c:v>
                </c:pt>
              </c:strCache>
            </c:strRef>
          </c:tx>
          <c:spPr>
            <a:solidFill>
              <a:schemeClr val="accent5"/>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Mull_ICBM!$AF$5:$AF$11</c:f>
              <c:numCache>
                <c:formatCode>0</c:formatCode>
                <c:ptCount val="7"/>
                <c:pt idx="1">
                  <c:v>651.57868565836372</c:v>
                </c:pt>
                <c:pt idx="5">
                  <c:v>651.5796798185479</c:v>
                </c:pt>
              </c:numCache>
            </c:numRef>
          </c:val>
          <c:extLst>
            <c:ext xmlns:c16="http://schemas.microsoft.com/office/drawing/2014/chart" uri="{C3380CC4-5D6E-409C-BE32-E72D297353CC}">
              <c16:uniqueId val="{00000004-0041-4ED8-93B7-1BD9DB7ACCCC}"/>
            </c:ext>
          </c:extLst>
        </c:ser>
        <c:ser>
          <c:idx val="5"/>
          <c:order val="5"/>
          <c:tx>
            <c:strRef>
              <c:f>Mull_ICBM!$AG$3</c:f>
              <c:strCache>
                <c:ptCount val="1"/>
                <c:pt idx="0">
                  <c:v>Ändring</c:v>
                </c:pt>
              </c:strCache>
            </c:strRef>
          </c:tx>
          <c:spPr>
            <a:solidFill>
              <a:schemeClr val="tx1"/>
            </a:solidFill>
            <a:ln>
              <a:solidFill>
                <a:schemeClr val="tx1"/>
              </a:solidFill>
            </a:ln>
            <a:effectLst/>
          </c:spPr>
          <c:invertIfNegative val="0"/>
          <c:cat>
            <c:strRef>
              <c:f>Mull_ICBM!$Z$5:$Z$11</c:f>
              <c:strCache>
                <c:ptCount val="7"/>
                <c:pt idx="0">
                  <c:v>Bas in</c:v>
                </c:pt>
                <c:pt idx="1">
                  <c:v>Bas ut</c:v>
                </c:pt>
                <c:pt idx="2">
                  <c:v>Ändring bas</c:v>
                </c:pt>
                <c:pt idx="4">
                  <c:v>Nytt  in</c:v>
                </c:pt>
                <c:pt idx="5">
                  <c:v>Nytt ut</c:v>
                </c:pt>
                <c:pt idx="6">
                  <c:v>Ändring nytt</c:v>
                </c:pt>
              </c:strCache>
            </c:strRef>
          </c:cat>
          <c:val>
            <c:numRef>
              <c:f>Mull_ICBM!$AG$5:$AG$11</c:f>
              <c:numCache>
                <c:formatCode>General</c:formatCode>
                <c:ptCount val="7"/>
                <c:pt idx="2" formatCode="0">
                  <c:v>69.029037488879112</c:v>
                </c:pt>
                <c:pt idx="6" formatCode="0">
                  <c:v>69.029037488879112</c:v>
                </c:pt>
              </c:numCache>
            </c:numRef>
          </c:val>
          <c:extLst>
            <c:ext xmlns:c16="http://schemas.microsoft.com/office/drawing/2014/chart" uri="{C3380CC4-5D6E-409C-BE32-E72D297353CC}">
              <c16:uniqueId val="{0000000A-9CAC-4085-86D5-3880282C1CD3}"/>
            </c:ext>
          </c:extLst>
        </c:ser>
        <c:dLbls>
          <c:showLegendKey val="0"/>
          <c:showVal val="0"/>
          <c:showCatName val="0"/>
          <c:showSerName val="0"/>
          <c:showPercent val="0"/>
          <c:showBubbleSize val="0"/>
        </c:dLbls>
        <c:gapWidth val="75"/>
        <c:overlap val="100"/>
        <c:axId val="257664936"/>
        <c:axId val="257671824"/>
      </c:barChart>
      <c:catAx>
        <c:axId val="2576649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crossAx val="257671824"/>
        <c:crossesAt val="0"/>
        <c:auto val="1"/>
        <c:lblAlgn val="ctr"/>
        <c:lblOffset val="100"/>
        <c:noMultiLvlLbl val="0"/>
      </c:catAx>
      <c:valAx>
        <c:axId val="257671824"/>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title>
          <c:tx>
            <c:rich>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r>
                  <a:rPr lang="sv-SE" sz="1050" baseline="0">
                    <a:solidFill>
                      <a:schemeClr val="tx1"/>
                    </a:solidFill>
                  </a:rPr>
                  <a:t>kg kol per ha och år</a:t>
                </a:r>
              </a:p>
            </c:rich>
          </c:tx>
          <c:overlay val="0"/>
          <c:spPr>
            <a:noFill/>
            <a:ln>
              <a:noFill/>
            </a:ln>
            <a:effectLst/>
          </c:spPr>
          <c:txPr>
            <a:bodyPr rot="-54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solidFill>
                <a:latin typeface="+mn-lt"/>
                <a:ea typeface="+mn-ea"/>
                <a:cs typeface="+mn-cs"/>
              </a:defRPr>
            </a:pPr>
            <a:endParaRPr lang="sv-SE"/>
          </a:p>
        </c:txPr>
        <c:crossAx val="25766493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sv-S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Kolhaltsutveckling</a:t>
            </a:r>
          </a:p>
        </c:rich>
      </c:tx>
      <c:overlay val="1"/>
    </c:title>
    <c:autoTitleDeleted val="0"/>
    <c:plotArea>
      <c:layout>
        <c:manualLayout>
          <c:layoutTarget val="inner"/>
          <c:xMode val="edge"/>
          <c:yMode val="edge"/>
          <c:x val="0.15190529308836395"/>
          <c:y val="0.11830240438497025"/>
          <c:w val="0.8036439195100612"/>
          <c:h val="0.73765290025692021"/>
        </c:manualLayout>
      </c:layout>
      <c:lineChart>
        <c:grouping val="standard"/>
        <c:varyColors val="0"/>
        <c:ser>
          <c:idx val="0"/>
          <c:order val="0"/>
          <c:tx>
            <c:strRef>
              <c:f>Huvudinmatning!$W$64</c:f>
              <c:strCache>
                <c:ptCount val="1"/>
                <c:pt idx="0">
                  <c:v>Bas</c:v>
                </c:pt>
              </c:strCache>
            </c:strRef>
          </c:tx>
          <c:spPr>
            <a:ln>
              <a:solidFill>
                <a:srgbClr val="FF0000"/>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Huvudinmatning!$W$65:$W$114</c:f>
              <c:numCache>
                <c:formatCode>0.00</c:formatCode>
                <c:ptCount val="50"/>
                <c:pt idx="0">
                  <c:v>1.6960465116279069</c:v>
                </c:pt>
                <c:pt idx="1">
                  <c:v>1.7114465075044007</c:v>
                </c:pt>
                <c:pt idx="2">
                  <c:v>1.7144342357450939</c:v>
                </c:pt>
                <c:pt idx="3">
                  <c:v>1.7154323088573873</c:v>
                </c:pt>
                <c:pt idx="4">
                  <c:v>1.7161053859234028</c:v>
                </c:pt>
                <c:pt idx="5">
                  <c:v>1.7167194240334245</c:v>
                </c:pt>
                <c:pt idx="6">
                  <c:v>1.7173169973236555</c:v>
                </c:pt>
                <c:pt idx="7">
                  <c:v>1.7179050028825327</c:v>
                </c:pt>
                <c:pt idx="8">
                  <c:v>1.718484638590754</c:v>
                </c:pt>
                <c:pt idx="9">
                  <c:v>1.7190561907908666</c:v>
                </c:pt>
                <c:pt idx="10">
                  <c:v>1.7196197989269877</c:v>
                </c:pt>
                <c:pt idx="11">
                  <c:v>1.720175577680938</c:v>
                </c:pt>
                <c:pt idx="12">
                  <c:v>1.7207236364962386</c:v>
                </c:pt>
                <c:pt idx="13">
                  <c:v>1.7212640827140442</c:v>
                </c:pt>
                <c:pt idx="14">
                  <c:v>1.7217970220915548</c:v>
                </c:pt>
                <c:pt idx="15">
                  <c:v>1.7223225589021458</c:v>
                </c:pt>
                <c:pt idx="16">
                  <c:v>1.7228407959684564</c:v>
                </c:pt>
                <c:pt idx="17">
                  <c:v>1.7233518346845327</c:v>
                </c:pt>
                <c:pt idx="18">
                  <c:v>1.72385577503599</c:v>
                </c:pt>
                <c:pt idx="19">
                  <c:v>1.7243527156196266</c:v>
                </c:pt>
                <c:pt idx="20">
                  <c:v>1.7248427536627227</c:v>
                </c:pt>
                <c:pt idx="21">
                  <c:v>1.7253259850420639</c:v>
                </c:pt>
                <c:pt idx="22">
                  <c:v>1.725802504302701</c:v>
                </c:pt>
                <c:pt idx="23">
                  <c:v>1.7262724046764466</c:v>
                </c:pt>
                <c:pt idx="24">
                  <c:v>1.7267357781001167</c:v>
                </c:pt>
                <c:pt idx="25">
                  <c:v>1.7271927152335189</c:v>
                </c:pt>
                <c:pt idx="26">
                  <c:v>1.7276433054771891</c:v>
                </c:pt>
                <c:pt idx="27">
                  <c:v>1.728087636989883</c:v>
                </c:pt>
                <c:pt idx="28">
                  <c:v>1.7285257967058254</c:v>
                </c:pt>
                <c:pt idx="29">
                  <c:v>1.7289578703517181</c:v>
                </c:pt>
                <c:pt idx="30">
                  <c:v>1.7293839424635131</c:v>
                </c:pt>
                <c:pt idx="31">
                  <c:v>1.7298040964029515</c:v>
                </c:pt>
                <c:pt idx="32">
                  <c:v>1.7302184143738746</c:v>
                </c:pt>
                <c:pt idx="33">
                  <c:v>1.7306269774383056</c:v>
                </c:pt>
                <c:pt idx="34">
                  <c:v>1.7310298655323104</c:v>
                </c:pt>
                <c:pt idx="35">
                  <c:v>1.7314271574816378</c:v>
                </c:pt>
                <c:pt idx="36">
                  <c:v>1.7318189310171408</c:v>
                </c:pt>
                <c:pt idx="37">
                  <c:v>1.7322052627899853</c:v>
                </c:pt>
                <c:pt idx="38">
                  <c:v>1.7325862283866471</c:v>
                </c:pt>
                <c:pt idx="39">
                  <c:v>1.7329619023437004</c:v>
                </c:pt>
                <c:pt idx="40">
                  <c:v>1.7333323581624007</c:v>
                </c:pt>
                <c:pt idx="41">
                  <c:v>1.733697668323066</c:v>
                </c:pt>
                <c:pt idx="42">
                  <c:v>1.7340579042992579</c:v>
                </c:pt>
                <c:pt idx="43">
                  <c:v>1.7344131365717641</c:v>
                </c:pt>
                <c:pt idx="44">
                  <c:v>1.7347634346423899</c:v>
                </c:pt>
                <c:pt idx="45">
                  <c:v>1.735108867047555</c:v>
                </c:pt>
                <c:pt idx="46">
                  <c:v>1.7354495013717035</c:v>
                </c:pt>
                <c:pt idx="47">
                  <c:v>1.7357854042605272</c:v>
                </c:pt>
                <c:pt idx="48">
                  <c:v>1.7361166414340035</c:v>
                </c:pt>
                <c:pt idx="49">
                  <c:v>1.7364432776992549</c:v>
                </c:pt>
              </c:numCache>
            </c:numRef>
          </c:val>
          <c:smooth val="0"/>
          <c:extLst>
            <c:ext xmlns:c16="http://schemas.microsoft.com/office/drawing/2014/chart" uri="{C3380CC4-5D6E-409C-BE32-E72D297353CC}">
              <c16:uniqueId val="{00000000-8472-481A-8AF2-3415E2197F55}"/>
            </c:ext>
          </c:extLst>
        </c:ser>
        <c:ser>
          <c:idx val="1"/>
          <c:order val="1"/>
          <c:tx>
            <c:strRef>
              <c:f>Huvudinmatning!$X$64</c:f>
              <c:strCache>
                <c:ptCount val="1"/>
                <c:pt idx="0">
                  <c:v>Nytt</c:v>
                </c:pt>
              </c:strCache>
            </c:strRef>
          </c:tx>
          <c:spPr>
            <a:ln>
              <a:solidFill>
                <a:schemeClr val="accent1"/>
              </a:solidFill>
            </a:ln>
          </c:spPr>
          <c:marker>
            <c:symbol val="none"/>
          </c:marker>
          <c:cat>
            <c:numRef>
              <c:f>Huvudinmatning!$V$65:$V$114</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cat>
          <c:val>
            <c:numRef>
              <c:f>Huvudinmatning!$X$65:$X$114</c:f>
              <c:numCache>
                <c:formatCode>0.00</c:formatCode>
                <c:ptCount val="50"/>
                <c:pt idx="0">
                  <c:v>1.6960465116279069</c:v>
                </c:pt>
                <c:pt idx="1">
                  <c:v>1.7114465075044007</c:v>
                </c:pt>
                <c:pt idx="2">
                  <c:v>1.7144342357450939</c:v>
                </c:pt>
                <c:pt idx="3">
                  <c:v>1.7154323088573873</c:v>
                </c:pt>
                <c:pt idx="4">
                  <c:v>1.7161053859234028</c:v>
                </c:pt>
                <c:pt idx="5">
                  <c:v>1.7167194240334245</c:v>
                </c:pt>
                <c:pt idx="6">
                  <c:v>1.7173169973236555</c:v>
                </c:pt>
                <c:pt idx="7">
                  <c:v>1.7179050028825327</c:v>
                </c:pt>
                <c:pt idx="8">
                  <c:v>1.718484638590754</c:v>
                </c:pt>
                <c:pt idx="9">
                  <c:v>1.7190561907908666</c:v>
                </c:pt>
                <c:pt idx="10">
                  <c:v>1.7196197989269877</c:v>
                </c:pt>
                <c:pt idx="11">
                  <c:v>1.720175577680938</c:v>
                </c:pt>
                <c:pt idx="12">
                  <c:v>1.7207236364962386</c:v>
                </c:pt>
                <c:pt idx="13">
                  <c:v>1.7212640827140442</c:v>
                </c:pt>
                <c:pt idx="14">
                  <c:v>1.7217970220915548</c:v>
                </c:pt>
                <c:pt idx="15">
                  <c:v>1.7223225589021458</c:v>
                </c:pt>
                <c:pt idx="16">
                  <c:v>1.7228407959684564</c:v>
                </c:pt>
                <c:pt idx="17">
                  <c:v>1.7233518346845327</c:v>
                </c:pt>
                <c:pt idx="18">
                  <c:v>1.72385577503599</c:v>
                </c:pt>
                <c:pt idx="19">
                  <c:v>1.7243527156196266</c:v>
                </c:pt>
                <c:pt idx="20">
                  <c:v>1.7248427536627227</c:v>
                </c:pt>
                <c:pt idx="21">
                  <c:v>1.7253259850420639</c:v>
                </c:pt>
                <c:pt idx="22">
                  <c:v>1.725802504302701</c:v>
                </c:pt>
                <c:pt idx="23">
                  <c:v>1.7262724046764466</c:v>
                </c:pt>
                <c:pt idx="24">
                  <c:v>1.7267357781001167</c:v>
                </c:pt>
                <c:pt idx="25">
                  <c:v>1.7271927152335189</c:v>
                </c:pt>
                <c:pt idx="26">
                  <c:v>1.7276433054771891</c:v>
                </c:pt>
                <c:pt idx="27">
                  <c:v>1.728087636989883</c:v>
                </c:pt>
                <c:pt idx="28">
                  <c:v>1.7285257967058254</c:v>
                </c:pt>
                <c:pt idx="29">
                  <c:v>1.7289578703517181</c:v>
                </c:pt>
                <c:pt idx="30">
                  <c:v>1.7293839424635131</c:v>
                </c:pt>
                <c:pt idx="31">
                  <c:v>1.7298040964029515</c:v>
                </c:pt>
                <c:pt idx="32">
                  <c:v>1.7302184143738746</c:v>
                </c:pt>
                <c:pt idx="33">
                  <c:v>1.7306269774383056</c:v>
                </c:pt>
                <c:pt idx="34">
                  <c:v>1.7310298655323104</c:v>
                </c:pt>
                <c:pt idx="35">
                  <c:v>1.7314271574816378</c:v>
                </c:pt>
                <c:pt idx="36">
                  <c:v>1.7318189310171408</c:v>
                </c:pt>
                <c:pt idx="37">
                  <c:v>1.7322052627899853</c:v>
                </c:pt>
                <c:pt idx="38">
                  <c:v>1.7325862283866471</c:v>
                </c:pt>
                <c:pt idx="39">
                  <c:v>1.7329619023437004</c:v>
                </c:pt>
                <c:pt idx="40">
                  <c:v>1.7333323581624007</c:v>
                </c:pt>
                <c:pt idx="41">
                  <c:v>1.733697668323066</c:v>
                </c:pt>
                <c:pt idx="42">
                  <c:v>1.7340579042992579</c:v>
                </c:pt>
                <c:pt idx="43">
                  <c:v>1.7344131365717641</c:v>
                </c:pt>
                <c:pt idx="44">
                  <c:v>1.7347634346423899</c:v>
                </c:pt>
                <c:pt idx="45">
                  <c:v>1.735108867047555</c:v>
                </c:pt>
                <c:pt idx="46">
                  <c:v>1.7354495013717035</c:v>
                </c:pt>
                <c:pt idx="47">
                  <c:v>1.7357854042605272</c:v>
                </c:pt>
                <c:pt idx="48">
                  <c:v>1.7361166414340035</c:v>
                </c:pt>
                <c:pt idx="49">
                  <c:v>1.7364432776992549</c:v>
                </c:pt>
              </c:numCache>
            </c:numRef>
          </c:val>
          <c:smooth val="0"/>
          <c:extLst>
            <c:ext xmlns:c16="http://schemas.microsoft.com/office/drawing/2014/chart" uri="{C3380CC4-5D6E-409C-BE32-E72D297353CC}">
              <c16:uniqueId val="{00000001-8472-481A-8AF2-3415E2197F55}"/>
            </c:ext>
          </c:extLst>
        </c:ser>
        <c:dLbls>
          <c:showLegendKey val="0"/>
          <c:showVal val="0"/>
          <c:showCatName val="0"/>
          <c:showSerName val="0"/>
          <c:showPercent val="0"/>
          <c:showBubbleSize val="0"/>
        </c:dLbls>
        <c:smooth val="0"/>
        <c:axId val="113352064"/>
        <c:axId val="113468928"/>
      </c:lineChart>
      <c:catAx>
        <c:axId val="113352064"/>
        <c:scaling>
          <c:orientation val="minMax"/>
        </c:scaling>
        <c:delete val="0"/>
        <c:axPos val="b"/>
        <c:title>
          <c:tx>
            <c:rich>
              <a:bodyPr/>
              <a:lstStyle/>
              <a:p>
                <a:pPr>
                  <a:defRPr/>
                </a:pPr>
                <a:r>
                  <a:rPr lang="en-US"/>
                  <a:t>År</a:t>
                </a:r>
              </a:p>
            </c:rich>
          </c:tx>
          <c:overlay val="0"/>
        </c:title>
        <c:numFmt formatCode="General" sourceLinked="1"/>
        <c:majorTickMark val="out"/>
        <c:minorTickMark val="none"/>
        <c:tickLblPos val="nextTo"/>
        <c:crossAx val="113468928"/>
        <c:crosses val="autoZero"/>
        <c:auto val="1"/>
        <c:lblAlgn val="ctr"/>
        <c:lblOffset val="100"/>
        <c:noMultiLvlLbl val="0"/>
      </c:catAx>
      <c:valAx>
        <c:axId val="113468928"/>
        <c:scaling>
          <c:orientation val="minMax"/>
          <c:max val="3"/>
          <c:min val="0"/>
        </c:scaling>
        <c:delete val="0"/>
        <c:axPos val="l"/>
        <c:majorGridlines/>
        <c:title>
          <c:tx>
            <c:rich>
              <a:bodyPr rot="-5400000" vert="horz"/>
              <a:lstStyle/>
              <a:p>
                <a:pPr>
                  <a:defRPr/>
                </a:pPr>
                <a:r>
                  <a:rPr lang="en-US"/>
                  <a:t>Kolhalt %</a:t>
                </a:r>
              </a:p>
            </c:rich>
          </c:tx>
          <c:overlay val="0"/>
        </c:title>
        <c:numFmt formatCode="0.00" sourceLinked="1"/>
        <c:majorTickMark val="out"/>
        <c:minorTickMark val="none"/>
        <c:tickLblPos val="nextTo"/>
        <c:crossAx val="113352064"/>
        <c:crosses val="autoZero"/>
        <c:crossBetween val="between"/>
      </c:valAx>
      <c:spPr>
        <a:noFill/>
        <a:ln w="25400">
          <a:noFill/>
        </a:ln>
      </c:spPr>
    </c:plotArea>
    <c:legend>
      <c:legendPos val="r"/>
      <c:layout>
        <c:manualLayout>
          <c:xMode val="edge"/>
          <c:yMode val="edge"/>
          <c:x val="0.16814489465697241"/>
          <c:y val="0.69728233052129351"/>
          <c:w val="0.43501347904995802"/>
          <c:h val="0.13626928746584216"/>
        </c:manualLayout>
      </c:layout>
      <c:overlay val="1"/>
      <c:spPr>
        <a:solidFill>
          <a:schemeClr val="bg1"/>
        </a:solidFill>
        <a:ln>
          <a:solidFill>
            <a:sysClr val="windowText" lastClr="000000"/>
          </a:solidFill>
        </a:ln>
      </c:spPr>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sv-SE"/>
              <a:t>Relativ skörd för försöksled med sämre mullhushållning</a:t>
            </a:r>
          </a:p>
        </c:rich>
      </c:tx>
      <c:layout>
        <c:manualLayout>
          <c:xMode val="edge"/>
          <c:yMode val="edge"/>
          <c:x val="0.11350314087451396"/>
          <c:y val="3.3426183844011144E-2"/>
        </c:manualLayout>
      </c:layout>
      <c:overlay val="0"/>
      <c:spPr>
        <a:noFill/>
        <a:ln w="25400">
          <a:noFill/>
        </a:ln>
      </c:spPr>
    </c:title>
    <c:autoTitleDeleted val="0"/>
    <c:plotArea>
      <c:layout>
        <c:manualLayout>
          <c:layoutTarget val="inner"/>
          <c:xMode val="edge"/>
          <c:yMode val="edge"/>
          <c:x val="0.1272016871041072"/>
          <c:y val="0.17548746518105848"/>
          <c:w val="0.82778944069288229"/>
          <c:h val="0.64902506963788298"/>
        </c:manualLayout>
      </c:layout>
      <c:scatterChart>
        <c:scatterStyle val="lineMarker"/>
        <c:varyColors val="0"/>
        <c:ser>
          <c:idx val="0"/>
          <c:order val="0"/>
          <c:spPr>
            <a:ln w="28575">
              <a:noFill/>
            </a:ln>
          </c:spPr>
          <c:marker>
            <c:symbol val="diamond"/>
            <c:size val="5"/>
            <c:spPr>
              <a:solidFill>
                <a:srgbClr val="000080"/>
              </a:solidFill>
              <a:ln>
                <a:solidFill>
                  <a:srgbClr val="000080"/>
                </a:solidFill>
                <a:prstDash val="solid"/>
              </a:ln>
            </c:spPr>
          </c:marker>
          <c:xVal>
            <c:numRef>
              <c:f>'Data skörd-mull'!$B$68:$B$85</c:f>
              <c:numCache>
                <c:formatCode>General</c:formatCode>
                <c:ptCount val="18"/>
                <c:pt idx="0">
                  <c:v>1.1000000000000001</c:v>
                </c:pt>
                <c:pt idx="1">
                  <c:v>1</c:v>
                </c:pt>
                <c:pt idx="2">
                  <c:v>1</c:v>
                </c:pt>
                <c:pt idx="3">
                  <c:v>0.9</c:v>
                </c:pt>
                <c:pt idx="4">
                  <c:v>0.95</c:v>
                </c:pt>
                <c:pt idx="5">
                  <c:v>1.3</c:v>
                </c:pt>
                <c:pt idx="6">
                  <c:v>1.3</c:v>
                </c:pt>
                <c:pt idx="7">
                  <c:v>1.5</c:v>
                </c:pt>
                <c:pt idx="8">
                  <c:v>1.6</c:v>
                </c:pt>
                <c:pt idx="9">
                  <c:v>1.7</c:v>
                </c:pt>
                <c:pt idx="10">
                  <c:v>1.9</c:v>
                </c:pt>
                <c:pt idx="11">
                  <c:v>1.5</c:v>
                </c:pt>
                <c:pt idx="12">
                  <c:v>2</c:v>
                </c:pt>
                <c:pt idx="13">
                  <c:v>2.2000000000000002</c:v>
                </c:pt>
                <c:pt idx="14">
                  <c:v>2.4</c:v>
                </c:pt>
                <c:pt idx="15">
                  <c:v>3</c:v>
                </c:pt>
                <c:pt idx="16">
                  <c:v>1.5</c:v>
                </c:pt>
                <c:pt idx="17">
                  <c:v>1</c:v>
                </c:pt>
              </c:numCache>
            </c:numRef>
          </c:xVal>
          <c:yVal>
            <c:numRef>
              <c:f>'Data skörd-mull'!$C$68:$C$85</c:f>
              <c:numCache>
                <c:formatCode>General</c:formatCode>
                <c:ptCount val="18"/>
                <c:pt idx="0">
                  <c:v>65</c:v>
                </c:pt>
                <c:pt idx="1">
                  <c:v>73</c:v>
                </c:pt>
                <c:pt idx="2">
                  <c:v>80</c:v>
                </c:pt>
                <c:pt idx="3">
                  <c:v>90</c:v>
                </c:pt>
                <c:pt idx="4">
                  <c:v>90</c:v>
                </c:pt>
                <c:pt idx="5">
                  <c:v>77</c:v>
                </c:pt>
                <c:pt idx="6">
                  <c:v>90</c:v>
                </c:pt>
                <c:pt idx="7">
                  <c:v>95</c:v>
                </c:pt>
                <c:pt idx="8">
                  <c:v>83</c:v>
                </c:pt>
                <c:pt idx="9">
                  <c:v>95</c:v>
                </c:pt>
                <c:pt idx="10">
                  <c:v>85</c:v>
                </c:pt>
                <c:pt idx="11">
                  <c:v>80</c:v>
                </c:pt>
                <c:pt idx="12">
                  <c:v>100</c:v>
                </c:pt>
                <c:pt idx="13">
                  <c:v>100</c:v>
                </c:pt>
                <c:pt idx="14">
                  <c:v>100</c:v>
                </c:pt>
                <c:pt idx="15">
                  <c:v>100</c:v>
                </c:pt>
                <c:pt idx="16">
                  <c:v>85</c:v>
                </c:pt>
                <c:pt idx="17">
                  <c:v>95</c:v>
                </c:pt>
              </c:numCache>
            </c:numRef>
          </c:yVal>
          <c:smooth val="0"/>
          <c:extLst>
            <c:ext xmlns:c16="http://schemas.microsoft.com/office/drawing/2014/chart" uri="{C3380CC4-5D6E-409C-BE32-E72D297353CC}">
              <c16:uniqueId val="{00000000-2288-4B96-8E43-45ACC3960B4C}"/>
            </c:ext>
          </c:extLst>
        </c:ser>
        <c:dLbls>
          <c:showLegendKey val="0"/>
          <c:showVal val="0"/>
          <c:showCatName val="0"/>
          <c:showSerName val="0"/>
          <c:showPercent val="0"/>
          <c:showBubbleSize val="0"/>
        </c:dLbls>
        <c:axId val="123149312"/>
        <c:axId val="123168256"/>
      </c:scatterChart>
      <c:valAx>
        <c:axId val="123149312"/>
        <c:scaling>
          <c:orientation val="minMax"/>
        </c:scaling>
        <c:delete val="0"/>
        <c:axPos val="b"/>
        <c:title>
          <c:tx>
            <c:rich>
              <a:bodyPr/>
              <a:lstStyle/>
              <a:p>
                <a:pPr>
                  <a:defRPr sz="850" b="1" i="0" u="none" strike="noStrike" baseline="0">
                    <a:solidFill>
                      <a:srgbClr val="000000"/>
                    </a:solidFill>
                    <a:latin typeface="Arial"/>
                    <a:ea typeface="Arial"/>
                    <a:cs typeface="Arial"/>
                  </a:defRPr>
                </a:pPr>
                <a:r>
                  <a:rPr lang="sv-SE"/>
                  <a:t>Org kol i marken</a:t>
                </a:r>
              </a:p>
            </c:rich>
          </c:tx>
          <c:layout>
            <c:manualLayout>
              <c:xMode val="edge"/>
              <c:yMode val="edge"/>
              <c:x val="0.44618436394080874"/>
              <c:y val="0.8997214484679665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v-SE"/>
          </a:p>
        </c:txPr>
        <c:crossAx val="123168256"/>
        <c:crosses val="autoZero"/>
        <c:crossBetween val="midCat"/>
      </c:valAx>
      <c:valAx>
        <c:axId val="123168256"/>
        <c:scaling>
          <c:orientation val="minMax"/>
        </c:scaling>
        <c:delete val="0"/>
        <c:axPos val="l"/>
        <c:majorGridlines>
          <c:spPr>
            <a:ln w="3175">
              <a:solidFill>
                <a:srgbClr val="000000"/>
              </a:solidFill>
              <a:prstDash val="solid"/>
            </a:ln>
          </c:spPr>
        </c:majorGridlines>
        <c:title>
          <c:tx>
            <c:rich>
              <a:bodyPr/>
              <a:lstStyle/>
              <a:p>
                <a:pPr>
                  <a:defRPr sz="850" b="1" i="0" u="none" strike="noStrike" baseline="0">
                    <a:solidFill>
                      <a:srgbClr val="000000"/>
                    </a:solidFill>
                    <a:latin typeface="Arial"/>
                    <a:ea typeface="Arial"/>
                    <a:cs typeface="Arial"/>
                  </a:defRPr>
                </a:pPr>
                <a:r>
                  <a:rPr lang="sv-SE"/>
                  <a:t>Rel skörd, mullhushållning=100</a:t>
                </a:r>
              </a:p>
            </c:rich>
          </c:tx>
          <c:layout>
            <c:manualLayout>
              <c:xMode val="edge"/>
              <c:yMode val="edge"/>
              <c:x val="3.131115459882583E-2"/>
              <c:y val="0.25626740947075211"/>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sv-SE"/>
          </a:p>
        </c:txPr>
        <c:crossAx val="123149312"/>
        <c:crosses val="autoZero"/>
        <c:crossBetween val="midCat"/>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50" b="0" i="0" u="none" strike="noStrike" baseline="0">
          <a:solidFill>
            <a:srgbClr val="000000"/>
          </a:solidFill>
          <a:latin typeface="Arial"/>
          <a:ea typeface="Arial"/>
          <a:cs typeface="Arial"/>
        </a:defRPr>
      </a:pPr>
      <a:endParaRPr lang="sv-SE"/>
    </a:p>
  </c:txPr>
  <c:printSettings>
    <c:headerFooter alignWithMargins="0"/>
    <c:pageMargins b="1" l="0.75" r="0.75" t="1" header="0.5" footer="0.5"/>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901763224181361E-2"/>
          <c:y val="5.8823654564216038E-2"/>
          <c:w val="0.74685138539042817"/>
          <c:h val="0.79303000968054216"/>
        </c:manualLayout>
      </c:layout>
      <c:scatterChart>
        <c:scatterStyle val="lineMarker"/>
        <c:varyColors val="0"/>
        <c:ser>
          <c:idx val="0"/>
          <c:order val="0"/>
          <c:tx>
            <c:strRef>
              <c:f>Mullberäkning!$Z$102</c:f>
              <c:strCache>
                <c:ptCount val="1"/>
                <c:pt idx="0">
                  <c:v>Nytt läge</c:v>
                </c:pt>
              </c:strCache>
            </c:strRef>
          </c:tx>
          <c:spPr>
            <a:ln w="25400">
              <a:solidFill>
                <a:srgbClr val="FF0000"/>
              </a:solidFill>
              <a:prstDash val="solid"/>
            </a:ln>
          </c:spPr>
          <c:marker>
            <c:symbol val="diamond"/>
            <c:size val="5"/>
            <c:spPr>
              <a:solidFill>
                <a:srgbClr val="FF0000"/>
              </a:solidFill>
              <a:ln>
                <a:solidFill>
                  <a:srgbClr val="FF0000"/>
                </a:solidFill>
                <a:prstDash val="solid"/>
              </a:ln>
            </c:spPr>
          </c:marker>
          <c:xVal>
            <c:numRef>
              <c:f>Mullberäkning!$Y$103:$Y$152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Mullberäkning!$Z$103:$Z$152</c:f>
              <c:numCache>
                <c:formatCode>General</c:formatCode>
                <c:ptCount val="50"/>
                <c:pt idx="0">
                  <c:v>1.6872129568106309</c:v>
                </c:pt>
                <c:pt idx="1">
                  <c:v>1.6883619053156145</c:v>
                </c:pt>
                <c:pt idx="2">
                  <c:v>1.6894936195930232</c:v>
                </c:pt>
                <c:pt idx="3">
                  <c:v>1.6906083581562705</c:v>
                </c:pt>
                <c:pt idx="4">
                  <c:v>1.6917063756410691</c:v>
                </c:pt>
                <c:pt idx="5">
                  <c:v>1.6927879228635958</c:v>
                </c:pt>
                <c:pt idx="6">
                  <c:v>1.6938532468777847</c:v>
                </c:pt>
                <c:pt idx="7">
                  <c:v>1.6949025910317608</c:v>
                </c:pt>
                <c:pt idx="8">
                  <c:v>1.6959361950234271</c:v>
                </c:pt>
                <c:pt idx="9">
                  <c:v>1.6969542949552188</c:v>
                </c:pt>
                <c:pt idx="10">
                  <c:v>1.6979571233880333</c:v>
                </c:pt>
                <c:pt idx="11">
                  <c:v>1.6989449093943556</c:v>
                </c:pt>
                <c:pt idx="12">
                  <c:v>1.6999178786105831</c:v>
                </c:pt>
                <c:pt idx="13">
                  <c:v>1.7008762532885673</c:v>
                </c:pt>
                <c:pt idx="14">
                  <c:v>1.7018202523463812</c:v>
                </c:pt>
                <c:pt idx="15">
                  <c:v>1.7027500914183282</c:v>
                </c:pt>
                <c:pt idx="16">
                  <c:v>1.7036659829041962</c:v>
                </c:pt>
                <c:pt idx="17">
                  <c:v>1.704568136017776</c:v>
                </c:pt>
                <c:pt idx="18">
                  <c:v>1.7054567568346521</c:v>
                </c:pt>
                <c:pt idx="19">
                  <c:v>1.706332048339275</c:v>
                </c:pt>
                <c:pt idx="20">
                  <c:v>1.7071942104713287</c:v>
                </c:pt>
                <c:pt idx="21">
                  <c:v>1.7080434401714011</c:v>
                </c:pt>
                <c:pt idx="22">
                  <c:v>1.7088799314259731</c:v>
                </c:pt>
                <c:pt idx="23">
                  <c:v>1.7097038753117264</c:v>
                </c:pt>
                <c:pt idx="24">
                  <c:v>1.710515460039193</c:v>
                </c:pt>
                <c:pt idx="25">
                  <c:v>1.7113148709957482</c:v>
                </c:pt>
                <c:pt idx="26">
                  <c:v>1.7121022907879546</c:v>
                </c:pt>
                <c:pt idx="27">
                  <c:v>1.7128778992832778</c:v>
                </c:pt>
                <c:pt idx="28">
                  <c:v>1.7136418736511714</c:v>
                </c:pt>
                <c:pt idx="29">
                  <c:v>1.7143943884035469</c:v>
                </c:pt>
                <c:pt idx="30">
                  <c:v>1.7151356154346362</c:v>
                </c:pt>
                <c:pt idx="31">
                  <c:v>1.7158657240602593</c:v>
                </c:pt>
                <c:pt idx="32">
                  <c:v>1.7165848810564985</c:v>
                </c:pt>
                <c:pt idx="33">
                  <c:v>1.7172932506977936</c:v>
                </c:pt>
                <c:pt idx="34">
                  <c:v>1.7179909947944698</c:v>
                </c:pt>
                <c:pt idx="35">
                  <c:v>1.7186782727296954</c:v>
                </c:pt>
                <c:pt idx="36">
                  <c:v>1.7193552414958926</c:v>
                </c:pt>
                <c:pt idx="37">
                  <c:v>1.7200220557305972</c:v>
                </c:pt>
                <c:pt idx="38">
                  <c:v>1.720678867751781</c:v>
                </c:pt>
                <c:pt idx="39">
                  <c:v>1.7213258275926471</c:v>
                </c:pt>
                <c:pt idx="40">
                  <c:v>1.7219630830359001</c:v>
                </c:pt>
                <c:pt idx="41">
                  <c:v>1.7225907796475042</c:v>
                </c:pt>
                <c:pt idx="42">
                  <c:v>1.7232090608099344</c:v>
                </c:pt>
                <c:pt idx="43">
                  <c:v>1.7238180677549284</c:v>
                </c:pt>
                <c:pt idx="44">
                  <c:v>1.7244179395957471</c:v>
                </c:pt>
                <c:pt idx="45">
                  <c:v>1.7250088133589536</c:v>
                </c:pt>
                <c:pt idx="46">
                  <c:v>1.7255908240157123</c:v>
                </c:pt>
                <c:pt idx="47">
                  <c:v>1.726164104512619</c:v>
                </c:pt>
                <c:pt idx="48">
                  <c:v>1.7267287858020726</c:v>
                </c:pt>
                <c:pt idx="49">
                  <c:v>1.7272849968721844</c:v>
                </c:pt>
              </c:numCache>
            </c:numRef>
          </c:yVal>
          <c:smooth val="1"/>
          <c:extLst>
            <c:ext xmlns:c16="http://schemas.microsoft.com/office/drawing/2014/chart" uri="{C3380CC4-5D6E-409C-BE32-E72D297353CC}">
              <c16:uniqueId val="{00000000-3CB3-4000-B041-9C5D1AE1A936}"/>
            </c:ext>
          </c:extLst>
        </c:ser>
        <c:ser>
          <c:idx val="1"/>
          <c:order val="1"/>
          <c:tx>
            <c:strRef>
              <c:f>Mullberäkning!$AA$102</c:f>
              <c:strCache>
                <c:ptCount val="1"/>
                <c:pt idx="0">
                  <c:v>Basläge</c:v>
                </c:pt>
              </c:strCache>
            </c:strRef>
          </c:tx>
          <c:spPr>
            <a:ln w="25400">
              <a:solidFill>
                <a:srgbClr val="0066CC"/>
              </a:solidFill>
              <a:prstDash val="solid"/>
            </a:ln>
          </c:spPr>
          <c:marker>
            <c:symbol val="square"/>
            <c:size val="5"/>
            <c:spPr>
              <a:solidFill>
                <a:srgbClr val="0066CC"/>
              </a:solidFill>
              <a:ln>
                <a:solidFill>
                  <a:srgbClr val="0066CC"/>
                </a:solidFill>
                <a:prstDash val="solid"/>
              </a:ln>
            </c:spPr>
          </c:marker>
          <c:xVal>
            <c:numRef>
              <c:f>Mullberäkning!$Y$103:$Y$152</c:f>
              <c:numCache>
                <c:formatCode>General</c:formatCode>
                <c:ptCount val="5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numCache>
            </c:numRef>
          </c:xVal>
          <c:yVal>
            <c:numRef>
              <c:f>Mullberäkning!$AA$103:$AA$152</c:f>
              <c:numCache>
                <c:formatCode>General</c:formatCode>
                <c:ptCount val="50"/>
                <c:pt idx="0">
                  <c:v>1.6872129568106309</c:v>
                </c:pt>
                <c:pt idx="1">
                  <c:v>1.6883619053156145</c:v>
                </c:pt>
                <c:pt idx="2">
                  <c:v>1.6894936195930232</c:v>
                </c:pt>
                <c:pt idx="3">
                  <c:v>1.6906083581562705</c:v>
                </c:pt>
                <c:pt idx="4">
                  <c:v>1.6917063756410691</c:v>
                </c:pt>
                <c:pt idx="5">
                  <c:v>1.6927879228635958</c:v>
                </c:pt>
                <c:pt idx="6">
                  <c:v>1.6938532468777847</c:v>
                </c:pt>
                <c:pt idx="7">
                  <c:v>1.6949025910317608</c:v>
                </c:pt>
                <c:pt idx="8">
                  <c:v>1.6959361950234271</c:v>
                </c:pt>
                <c:pt idx="9">
                  <c:v>1.6969542949552188</c:v>
                </c:pt>
                <c:pt idx="10">
                  <c:v>1.6979571233880333</c:v>
                </c:pt>
                <c:pt idx="11">
                  <c:v>1.6989449093943556</c:v>
                </c:pt>
                <c:pt idx="12">
                  <c:v>1.6999178786105831</c:v>
                </c:pt>
                <c:pt idx="13">
                  <c:v>1.7008762532885673</c:v>
                </c:pt>
                <c:pt idx="14">
                  <c:v>1.7018202523463812</c:v>
                </c:pt>
                <c:pt idx="15">
                  <c:v>1.7027500914183282</c:v>
                </c:pt>
                <c:pt idx="16">
                  <c:v>1.7036659829041962</c:v>
                </c:pt>
                <c:pt idx="17">
                  <c:v>1.704568136017776</c:v>
                </c:pt>
                <c:pt idx="18">
                  <c:v>1.7054567568346521</c:v>
                </c:pt>
                <c:pt idx="19">
                  <c:v>1.706332048339275</c:v>
                </c:pt>
                <c:pt idx="20">
                  <c:v>1.7071942104713287</c:v>
                </c:pt>
                <c:pt idx="21">
                  <c:v>1.7080434401714011</c:v>
                </c:pt>
                <c:pt idx="22">
                  <c:v>1.7088799314259731</c:v>
                </c:pt>
                <c:pt idx="23">
                  <c:v>1.7097038753117264</c:v>
                </c:pt>
                <c:pt idx="24">
                  <c:v>1.710515460039193</c:v>
                </c:pt>
                <c:pt idx="25">
                  <c:v>1.7113148709957482</c:v>
                </c:pt>
                <c:pt idx="26">
                  <c:v>1.7121022907879546</c:v>
                </c:pt>
                <c:pt idx="27">
                  <c:v>1.7128778992832778</c:v>
                </c:pt>
                <c:pt idx="28">
                  <c:v>1.7136418736511714</c:v>
                </c:pt>
                <c:pt idx="29">
                  <c:v>1.7143943884035469</c:v>
                </c:pt>
                <c:pt idx="30">
                  <c:v>1.7151356154346362</c:v>
                </c:pt>
                <c:pt idx="31">
                  <c:v>1.7158657240602593</c:v>
                </c:pt>
                <c:pt idx="32">
                  <c:v>1.7165848810564985</c:v>
                </c:pt>
                <c:pt idx="33">
                  <c:v>1.7172932506977936</c:v>
                </c:pt>
                <c:pt idx="34">
                  <c:v>1.7179909947944698</c:v>
                </c:pt>
                <c:pt idx="35">
                  <c:v>1.7186782727296954</c:v>
                </c:pt>
                <c:pt idx="36">
                  <c:v>1.7193552414958926</c:v>
                </c:pt>
                <c:pt idx="37">
                  <c:v>1.7200220557305972</c:v>
                </c:pt>
                <c:pt idx="38">
                  <c:v>1.720678867751781</c:v>
                </c:pt>
                <c:pt idx="39">
                  <c:v>1.7213258275926471</c:v>
                </c:pt>
                <c:pt idx="40">
                  <c:v>1.7219630830359001</c:v>
                </c:pt>
                <c:pt idx="41">
                  <c:v>1.7225907796475042</c:v>
                </c:pt>
                <c:pt idx="42">
                  <c:v>1.7232090608099344</c:v>
                </c:pt>
                <c:pt idx="43">
                  <c:v>1.7238180677549284</c:v>
                </c:pt>
                <c:pt idx="44">
                  <c:v>1.7244179395957471</c:v>
                </c:pt>
                <c:pt idx="45">
                  <c:v>1.7250088133589536</c:v>
                </c:pt>
                <c:pt idx="46">
                  <c:v>1.7255908240157123</c:v>
                </c:pt>
                <c:pt idx="47">
                  <c:v>1.726164104512619</c:v>
                </c:pt>
                <c:pt idx="48">
                  <c:v>1.7267287858020726</c:v>
                </c:pt>
                <c:pt idx="49">
                  <c:v>1.7272849968721844</c:v>
                </c:pt>
              </c:numCache>
            </c:numRef>
          </c:yVal>
          <c:smooth val="1"/>
          <c:extLst>
            <c:ext xmlns:c16="http://schemas.microsoft.com/office/drawing/2014/chart" uri="{C3380CC4-5D6E-409C-BE32-E72D297353CC}">
              <c16:uniqueId val="{00000001-3CB3-4000-B041-9C5D1AE1A936}"/>
            </c:ext>
          </c:extLst>
        </c:ser>
        <c:dLbls>
          <c:showLegendKey val="0"/>
          <c:showVal val="0"/>
          <c:showCatName val="0"/>
          <c:showSerName val="0"/>
          <c:showPercent val="0"/>
          <c:showBubbleSize val="0"/>
        </c:dLbls>
        <c:axId val="116336512"/>
        <c:axId val="116351360"/>
      </c:scatterChart>
      <c:valAx>
        <c:axId val="116336512"/>
        <c:scaling>
          <c:orientation val="minMax"/>
          <c:max val="50"/>
        </c:scaling>
        <c:delete val="0"/>
        <c:axPos val="b"/>
        <c:title>
          <c:tx>
            <c:rich>
              <a:bodyPr/>
              <a:lstStyle/>
              <a:p>
                <a:pPr>
                  <a:defRPr sz="800" b="1" i="0" u="none" strike="noStrike" baseline="0">
                    <a:solidFill>
                      <a:srgbClr val="1A1A1A"/>
                    </a:solidFill>
                    <a:latin typeface="Arial"/>
                    <a:ea typeface="Arial"/>
                    <a:cs typeface="Arial"/>
                  </a:defRPr>
                </a:pPr>
                <a:r>
                  <a:rPr lang="sv-SE"/>
                  <a:t>År</a:t>
                </a:r>
              </a:p>
            </c:rich>
          </c:tx>
          <c:layout>
            <c:manualLayout>
              <c:xMode val="edge"/>
              <c:yMode val="edge"/>
              <c:x val="0.44962216624685136"/>
              <c:y val="0.92157068601718906"/>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25" b="1" i="0" u="none" strike="noStrike" baseline="0">
                <a:solidFill>
                  <a:srgbClr val="1A1A1A"/>
                </a:solidFill>
                <a:latin typeface="Arial"/>
                <a:ea typeface="Arial"/>
                <a:cs typeface="Arial"/>
              </a:defRPr>
            </a:pPr>
            <a:endParaRPr lang="sv-SE"/>
          </a:p>
        </c:txPr>
        <c:crossAx val="116351360"/>
        <c:crosses val="autoZero"/>
        <c:crossBetween val="midCat"/>
      </c:valAx>
      <c:valAx>
        <c:axId val="116351360"/>
        <c:scaling>
          <c:orientation val="minMax"/>
          <c:min val="0.60000000000000009"/>
        </c:scaling>
        <c:delete val="0"/>
        <c:axPos val="l"/>
        <c:majorGridlines>
          <c:spPr>
            <a:ln w="3175">
              <a:solidFill>
                <a:srgbClr val="000000"/>
              </a:solidFill>
              <a:prstDash val="solid"/>
            </a:ln>
          </c:spPr>
        </c:majorGridlines>
        <c:title>
          <c:tx>
            <c:rich>
              <a:bodyPr/>
              <a:lstStyle/>
              <a:p>
                <a:pPr>
                  <a:defRPr sz="800" b="1" i="0" u="none" strike="noStrike" baseline="0">
                    <a:solidFill>
                      <a:srgbClr val="1A1A1A"/>
                    </a:solidFill>
                    <a:latin typeface="Arial"/>
                    <a:ea typeface="Arial"/>
                    <a:cs typeface="Arial"/>
                  </a:defRPr>
                </a:pPr>
                <a:r>
                  <a:rPr lang="sv-SE"/>
                  <a:t>% kol</a:t>
                </a:r>
              </a:p>
            </c:rich>
          </c:tx>
          <c:layout>
            <c:manualLayout>
              <c:xMode val="edge"/>
              <c:yMode val="edge"/>
              <c:x val="2.0151133501259445E-2"/>
              <c:y val="0.42048021775055894"/>
            </c:manualLayout>
          </c:layout>
          <c:overlay val="0"/>
          <c:spPr>
            <a:noFill/>
            <a:ln w="25400">
              <a:noFill/>
            </a:ln>
          </c:spPr>
        </c:title>
        <c:numFmt formatCode="General" sourceLinked="1"/>
        <c:majorTickMark val="out"/>
        <c:minorTickMark val="none"/>
        <c:tickLblPos val="low"/>
        <c:spPr>
          <a:ln w="3175">
            <a:solidFill>
              <a:srgbClr val="000000"/>
            </a:solidFill>
            <a:prstDash val="solid"/>
          </a:ln>
        </c:spPr>
        <c:txPr>
          <a:bodyPr rot="0" vert="horz"/>
          <a:lstStyle/>
          <a:p>
            <a:pPr>
              <a:defRPr sz="1025" b="1" i="0" u="none" strike="noStrike" baseline="0">
                <a:solidFill>
                  <a:srgbClr val="1A1A1A"/>
                </a:solidFill>
                <a:latin typeface="Arial"/>
                <a:ea typeface="Arial"/>
                <a:cs typeface="Arial"/>
              </a:defRPr>
            </a:pPr>
            <a:endParaRPr lang="sv-SE"/>
          </a:p>
        </c:txPr>
        <c:crossAx val="116336512"/>
        <c:crosses val="autoZero"/>
        <c:crossBetween val="midCat"/>
      </c:valAx>
      <c:spPr>
        <a:solidFill>
          <a:srgbClr val="FFFFFF"/>
        </a:solidFill>
        <a:ln w="12700">
          <a:solidFill>
            <a:srgbClr val="808080"/>
          </a:solidFill>
          <a:prstDash val="solid"/>
        </a:ln>
      </c:spPr>
    </c:plotArea>
    <c:legend>
      <c:legendPos val="r"/>
      <c:layout>
        <c:manualLayout>
          <c:xMode val="edge"/>
          <c:yMode val="edge"/>
          <c:x val="0.85642317380352639"/>
          <c:y val="7.4074302803652806E-2"/>
          <c:w val="0.12972292191435764"/>
          <c:h val="0.1067540413657443"/>
        </c:manualLayout>
      </c:layout>
      <c:overlay val="0"/>
      <c:spPr>
        <a:solidFill>
          <a:srgbClr val="FFFFFF"/>
        </a:solidFill>
        <a:ln w="3175">
          <a:solidFill>
            <a:srgbClr val="000000"/>
          </a:solidFill>
          <a:prstDash val="solid"/>
        </a:ln>
      </c:spPr>
      <c:txPr>
        <a:bodyPr/>
        <a:lstStyle/>
        <a:p>
          <a:pPr>
            <a:defRPr sz="1100" b="0" i="0" u="none" strike="noStrike" baseline="0">
              <a:solidFill>
                <a:srgbClr val="1A1A1A"/>
              </a:solidFill>
              <a:latin typeface="Arial"/>
              <a:ea typeface="Arial"/>
              <a:cs typeface="Arial"/>
            </a:defRPr>
          </a:pPr>
          <a:endParaRPr lang="sv-SE"/>
        </a:p>
      </c:txPr>
    </c:legend>
    <c:plotVisOnly val="1"/>
    <c:dispBlanksAs val="gap"/>
    <c:showDLblsOverMax val="0"/>
  </c:chart>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sv-SE"/>
    </a:p>
  </c:txPr>
  <c:printSettings>
    <c:headerFooter alignWithMargins="0"/>
    <c:pageMargins b="1" l="0.75" r="0.75" t="1" header="0.51180555555555551" footer="0.51180555555555551"/>
    <c:pageSetup firstPageNumber="0"/>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CheckBox" fmlaLink="H14" lockText="1"/>
</file>

<file path=xl/ctrlProps/ctrlProp10.xml><?xml version="1.0" encoding="utf-8"?>
<formControlPr xmlns="http://schemas.microsoft.com/office/spreadsheetml/2009/9/main" objectType="CheckBox" fmlaLink="H16" lockText="1"/>
</file>

<file path=xl/ctrlProps/ctrlProp100.xml><?xml version="1.0" encoding="utf-8"?>
<formControlPr xmlns="http://schemas.microsoft.com/office/spreadsheetml/2009/9/main" objectType="CheckBox" fmlaLink="P41" lockText="1"/>
</file>

<file path=xl/ctrlProps/ctrlProp101.xml><?xml version="1.0" encoding="utf-8"?>
<formControlPr xmlns="http://schemas.microsoft.com/office/spreadsheetml/2009/9/main" objectType="CheckBox" fmlaLink="P42" lockText="1"/>
</file>

<file path=xl/ctrlProps/ctrlProp102.xml><?xml version="1.0" encoding="utf-8"?>
<formControlPr xmlns="http://schemas.microsoft.com/office/spreadsheetml/2009/9/main" objectType="CheckBox" fmlaLink="F15" lockText="1"/>
</file>

<file path=xl/ctrlProps/ctrlProp103.xml><?xml version="1.0" encoding="utf-8"?>
<formControlPr xmlns="http://schemas.microsoft.com/office/spreadsheetml/2009/9/main" objectType="CheckBox" fmlaLink="H14" lockText="1"/>
</file>

<file path=xl/ctrlProps/ctrlProp104.xml><?xml version="1.0" encoding="utf-8"?>
<formControlPr xmlns="http://schemas.microsoft.com/office/spreadsheetml/2009/9/main" objectType="CheckBox" fmlaLink="G15" lockText="1"/>
</file>

<file path=xl/ctrlProps/ctrlProp105.xml><?xml version="1.0" encoding="utf-8"?>
<formControlPr xmlns="http://schemas.microsoft.com/office/spreadsheetml/2009/9/main" objectType="CheckBox" fmlaLink="G16" lockText="1"/>
</file>

<file path=xl/ctrlProps/ctrlProp106.xml><?xml version="1.0" encoding="utf-8"?>
<formControlPr xmlns="http://schemas.microsoft.com/office/spreadsheetml/2009/9/main" objectType="CheckBox" fmlaLink="G18" lockText="1"/>
</file>

<file path=xl/ctrlProps/ctrlProp107.xml><?xml version="1.0" encoding="utf-8"?>
<formControlPr xmlns="http://schemas.microsoft.com/office/spreadsheetml/2009/9/main" objectType="CheckBox" fmlaLink="G17" lockText="1"/>
</file>

<file path=xl/ctrlProps/ctrlProp108.xml><?xml version="1.0" encoding="utf-8"?>
<formControlPr xmlns="http://schemas.microsoft.com/office/spreadsheetml/2009/9/main" objectType="CheckBox" fmlaLink="G14" lockText="1"/>
</file>

<file path=xl/ctrlProps/ctrlProp109.xml><?xml version="1.0" encoding="utf-8"?>
<formControlPr xmlns="http://schemas.microsoft.com/office/spreadsheetml/2009/9/main" objectType="CheckBox" fmlaLink="F14" lockText="1"/>
</file>

<file path=xl/ctrlProps/ctrlProp11.xml><?xml version="1.0" encoding="utf-8"?>
<formControlPr xmlns="http://schemas.microsoft.com/office/spreadsheetml/2009/9/main" objectType="CheckBox" fmlaLink="H17" lockText="1"/>
</file>

<file path=xl/ctrlProps/ctrlProp110.xml><?xml version="1.0" encoding="utf-8"?>
<formControlPr xmlns="http://schemas.microsoft.com/office/spreadsheetml/2009/9/main" objectType="CheckBox" fmlaLink="F16" lockText="1"/>
</file>

<file path=xl/ctrlProps/ctrlProp111.xml><?xml version="1.0" encoding="utf-8"?>
<formControlPr xmlns="http://schemas.microsoft.com/office/spreadsheetml/2009/9/main" objectType="CheckBox" fmlaLink="F17" lockText="1"/>
</file>

<file path=xl/ctrlProps/ctrlProp112.xml><?xml version="1.0" encoding="utf-8"?>
<formControlPr xmlns="http://schemas.microsoft.com/office/spreadsheetml/2009/9/main" objectType="CheckBox" fmlaLink="F18" lockText="1"/>
</file>

<file path=xl/ctrlProps/ctrlProp113.xml><?xml version="1.0" encoding="utf-8"?>
<formControlPr xmlns="http://schemas.microsoft.com/office/spreadsheetml/2009/9/main" objectType="CheckBox" fmlaLink="F19" lockText="1"/>
</file>

<file path=xl/ctrlProps/ctrlProp114.xml><?xml version="1.0" encoding="utf-8"?>
<formControlPr xmlns="http://schemas.microsoft.com/office/spreadsheetml/2009/9/main" objectType="CheckBox" fmlaLink="F20" lockText="1"/>
</file>

<file path=xl/ctrlProps/ctrlProp115.xml><?xml version="1.0" encoding="utf-8"?>
<formControlPr xmlns="http://schemas.microsoft.com/office/spreadsheetml/2009/9/main" objectType="CheckBox" fmlaLink="F21" lockText="1"/>
</file>

<file path=xl/ctrlProps/ctrlProp116.xml><?xml version="1.0" encoding="utf-8"?>
<formControlPr xmlns="http://schemas.microsoft.com/office/spreadsheetml/2009/9/main" objectType="CheckBox" fmlaLink="F22" lockText="1"/>
</file>

<file path=xl/ctrlProps/ctrlProp117.xml><?xml version="1.0" encoding="utf-8"?>
<formControlPr xmlns="http://schemas.microsoft.com/office/spreadsheetml/2009/9/main" objectType="CheckBox" fmlaLink="F23" lockText="1"/>
</file>

<file path=xl/ctrlProps/ctrlProp118.xml><?xml version="1.0" encoding="utf-8"?>
<formControlPr xmlns="http://schemas.microsoft.com/office/spreadsheetml/2009/9/main" objectType="CheckBox" fmlaLink="G19" lockText="1"/>
</file>

<file path=xl/ctrlProps/ctrlProp119.xml><?xml version="1.0" encoding="utf-8"?>
<formControlPr xmlns="http://schemas.microsoft.com/office/spreadsheetml/2009/9/main" objectType="CheckBox" fmlaLink="G20" lockText="1"/>
</file>

<file path=xl/ctrlProps/ctrlProp12.xml><?xml version="1.0" encoding="utf-8"?>
<formControlPr xmlns="http://schemas.microsoft.com/office/spreadsheetml/2009/9/main" objectType="CheckBox" fmlaLink="M34" lockText="1"/>
</file>

<file path=xl/ctrlProps/ctrlProp120.xml><?xml version="1.0" encoding="utf-8"?>
<formControlPr xmlns="http://schemas.microsoft.com/office/spreadsheetml/2009/9/main" objectType="CheckBox" fmlaLink="G21" lockText="1"/>
</file>

<file path=xl/ctrlProps/ctrlProp121.xml><?xml version="1.0" encoding="utf-8"?>
<formControlPr xmlns="http://schemas.microsoft.com/office/spreadsheetml/2009/9/main" objectType="CheckBox" fmlaLink="G22" lockText="1"/>
</file>

<file path=xl/ctrlProps/ctrlProp122.xml><?xml version="1.0" encoding="utf-8"?>
<formControlPr xmlns="http://schemas.microsoft.com/office/spreadsheetml/2009/9/main" objectType="CheckBox" fmlaLink="G23" lockText="1"/>
</file>

<file path=xl/ctrlProps/ctrlProp123.xml><?xml version="1.0" encoding="utf-8"?>
<formControlPr xmlns="http://schemas.microsoft.com/office/spreadsheetml/2009/9/main" objectType="CheckBox" fmlaLink="K34" lockText="1"/>
</file>

<file path=xl/ctrlProps/ctrlProp124.xml><?xml version="1.0" encoding="utf-8"?>
<formControlPr xmlns="http://schemas.microsoft.com/office/spreadsheetml/2009/9/main" objectType="CheckBox" fmlaLink="H14" lockText="1"/>
</file>

<file path=xl/ctrlProps/ctrlProp125.xml><?xml version="1.0" encoding="utf-8"?>
<formControlPr xmlns="http://schemas.microsoft.com/office/spreadsheetml/2009/9/main" objectType="CheckBox" fmlaLink="L34" lockText="1"/>
</file>

<file path=xl/ctrlProps/ctrlProp126.xml><?xml version="1.0" encoding="utf-8"?>
<formControlPr xmlns="http://schemas.microsoft.com/office/spreadsheetml/2009/9/main" objectType="CheckBox" fmlaLink="L35" lockText="1"/>
</file>

<file path=xl/ctrlProps/ctrlProp127.xml><?xml version="1.0" encoding="utf-8"?>
<formControlPr xmlns="http://schemas.microsoft.com/office/spreadsheetml/2009/9/main" objectType="CheckBox" fmlaLink="L37" lockText="1"/>
</file>

<file path=xl/ctrlProps/ctrlProp128.xml><?xml version="1.0" encoding="utf-8"?>
<formControlPr xmlns="http://schemas.microsoft.com/office/spreadsheetml/2009/9/main" objectType="CheckBox" fmlaLink="L36" lockText="1"/>
</file>

<file path=xl/ctrlProps/ctrlProp129.xml><?xml version="1.0" encoding="utf-8"?>
<formControlPr xmlns="http://schemas.microsoft.com/office/spreadsheetml/2009/9/main" objectType="CheckBox" fmlaLink="L33" lockText="1"/>
</file>

<file path=xl/ctrlProps/ctrlProp13.xml><?xml version="1.0" encoding="utf-8"?>
<formControlPr xmlns="http://schemas.microsoft.com/office/spreadsheetml/2009/9/main" objectType="CheckBox" fmlaLink="M35" lockText="1"/>
</file>

<file path=xl/ctrlProps/ctrlProp130.xml><?xml version="1.0" encoding="utf-8"?>
<formControlPr xmlns="http://schemas.microsoft.com/office/spreadsheetml/2009/9/main" objectType="CheckBox" fmlaLink="K33" lockText="1"/>
</file>

<file path=xl/ctrlProps/ctrlProp131.xml><?xml version="1.0" encoding="utf-8"?>
<formControlPr xmlns="http://schemas.microsoft.com/office/spreadsheetml/2009/9/main" objectType="CheckBox" fmlaLink="K35" lockText="1"/>
</file>

<file path=xl/ctrlProps/ctrlProp132.xml><?xml version="1.0" encoding="utf-8"?>
<formControlPr xmlns="http://schemas.microsoft.com/office/spreadsheetml/2009/9/main" objectType="CheckBox" fmlaLink="K36" lockText="1"/>
</file>

<file path=xl/ctrlProps/ctrlProp133.xml><?xml version="1.0" encoding="utf-8"?>
<formControlPr xmlns="http://schemas.microsoft.com/office/spreadsheetml/2009/9/main" objectType="CheckBox" fmlaLink="K37" lockText="1"/>
</file>

<file path=xl/ctrlProps/ctrlProp134.xml><?xml version="1.0" encoding="utf-8"?>
<formControlPr xmlns="http://schemas.microsoft.com/office/spreadsheetml/2009/9/main" objectType="CheckBox" fmlaLink="K38" lockText="1"/>
</file>

<file path=xl/ctrlProps/ctrlProp135.xml><?xml version="1.0" encoding="utf-8"?>
<formControlPr xmlns="http://schemas.microsoft.com/office/spreadsheetml/2009/9/main" objectType="CheckBox" fmlaLink="K39" lockText="1"/>
</file>

<file path=xl/ctrlProps/ctrlProp136.xml><?xml version="1.0" encoding="utf-8"?>
<formControlPr xmlns="http://schemas.microsoft.com/office/spreadsheetml/2009/9/main" objectType="CheckBox" fmlaLink="K40" lockText="1"/>
</file>

<file path=xl/ctrlProps/ctrlProp137.xml><?xml version="1.0" encoding="utf-8"?>
<formControlPr xmlns="http://schemas.microsoft.com/office/spreadsheetml/2009/9/main" objectType="CheckBox" fmlaLink="K41" lockText="1"/>
</file>

<file path=xl/ctrlProps/ctrlProp138.xml><?xml version="1.0" encoding="utf-8"?>
<formControlPr xmlns="http://schemas.microsoft.com/office/spreadsheetml/2009/9/main" objectType="CheckBox" fmlaLink="K42" lockText="1"/>
</file>

<file path=xl/ctrlProps/ctrlProp139.xml><?xml version="1.0" encoding="utf-8"?>
<formControlPr xmlns="http://schemas.microsoft.com/office/spreadsheetml/2009/9/main" objectType="CheckBox" fmlaLink="L38" lockText="1"/>
</file>

<file path=xl/ctrlProps/ctrlProp14.xml><?xml version="1.0" encoding="utf-8"?>
<formControlPr xmlns="http://schemas.microsoft.com/office/spreadsheetml/2009/9/main" objectType="CheckBox" fmlaLink="M36" lockText="1"/>
</file>

<file path=xl/ctrlProps/ctrlProp140.xml><?xml version="1.0" encoding="utf-8"?>
<formControlPr xmlns="http://schemas.microsoft.com/office/spreadsheetml/2009/9/main" objectType="CheckBox" fmlaLink="L39" lockText="1"/>
</file>

<file path=xl/ctrlProps/ctrlProp141.xml><?xml version="1.0" encoding="utf-8"?>
<formControlPr xmlns="http://schemas.microsoft.com/office/spreadsheetml/2009/9/main" objectType="CheckBox" fmlaLink="L40" lockText="1"/>
</file>

<file path=xl/ctrlProps/ctrlProp142.xml><?xml version="1.0" encoding="utf-8"?>
<formControlPr xmlns="http://schemas.microsoft.com/office/spreadsheetml/2009/9/main" objectType="CheckBox" fmlaLink="L41" lockText="1"/>
</file>

<file path=xl/ctrlProps/ctrlProp143.xml><?xml version="1.0" encoding="utf-8"?>
<formControlPr xmlns="http://schemas.microsoft.com/office/spreadsheetml/2009/9/main" objectType="CheckBox" fmlaLink="L42" lockText="1"/>
</file>

<file path=xl/ctrlProps/ctrlProp144.xml><?xml version="1.0" encoding="utf-8"?>
<formControlPr xmlns="http://schemas.microsoft.com/office/spreadsheetml/2009/9/main" objectType="CheckBox" fmlaLink="G15" lockText="1"/>
</file>

<file path=xl/ctrlProps/ctrlProp145.xml><?xml version="1.0" encoding="utf-8"?>
<formControlPr xmlns="http://schemas.microsoft.com/office/spreadsheetml/2009/9/main" objectType="CheckBox" fmlaLink="G16" lockText="1"/>
</file>

<file path=xl/ctrlProps/ctrlProp146.xml><?xml version="1.0" encoding="utf-8"?>
<formControlPr xmlns="http://schemas.microsoft.com/office/spreadsheetml/2009/9/main" objectType="CheckBox" fmlaLink="G17" lockText="1"/>
</file>

<file path=xl/ctrlProps/ctrlProp147.xml><?xml version="1.0" encoding="utf-8"?>
<formControlPr xmlns="http://schemas.microsoft.com/office/spreadsheetml/2009/9/main" objectType="CheckBox" fmlaLink="G18" lockText="1"/>
</file>

<file path=xl/ctrlProps/ctrlProp148.xml><?xml version="1.0" encoding="utf-8"?>
<formControlPr xmlns="http://schemas.microsoft.com/office/spreadsheetml/2009/9/main" objectType="CheckBox" fmlaLink="G19" lockText="1"/>
</file>

<file path=xl/ctrlProps/ctrlProp149.xml><?xml version="1.0" encoding="utf-8"?>
<formControlPr xmlns="http://schemas.microsoft.com/office/spreadsheetml/2009/9/main" objectType="CheckBox" fmlaLink="G20" lockText="1"/>
</file>

<file path=xl/ctrlProps/ctrlProp15.xml><?xml version="1.0" encoding="utf-8"?>
<formControlPr xmlns="http://schemas.microsoft.com/office/spreadsheetml/2009/9/main" objectType="CheckBox" fmlaLink="M37" lockText="1"/>
</file>

<file path=xl/ctrlProps/ctrlProp150.xml><?xml version="1.0" encoding="utf-8"?>
<formControlPr xmlns="http://schemas.microsoft.com/office/spreadsheetml/2009/9/main" objectType="CheckBox" fmlaLink="G21" lockText="1"/>
</file>

<file path=xl/ctrlProps/ctrlProp151.xml><?xml version="1.0" encoding="utf-8"?>
<formControlPr xmlns="http://schemas.microsoft.com/office/spreadsheetml/2009/9/main" objectType="CheckBox" fmlaLink="G22" lockText="1"/>
</file>

<file path=xl/ctrlProps/ctrlProp152.xml><?xml version="1.0" encoding="utf-8"?>
<formControlPr xmlns="http://schemas.microsoft.com/office/spreadsheetml/2009/9/main" objectType="CheckBox" fmlaLink="G23" lockText="1"/>
</file>

<file path=xl/ctrlProps/ctrlProp16.xml><?xml version="1.0" encoding="utf-8"?>
<formControlPr xmlns="http://schemas.microsoft.com/office/spreadsheetml/2009/9/main" objectType="CheckBox" fmlaLink="M38" lockText="1"/>
</file>

<file path=xl/ctrlProps/ctrlProp17.xml><?xml version="1.0" encoding="utf-8"?>
<formControlPr xmlns="http://schemas.microsoft.com/office/spreadsheetml/2009/9/main" objectType="CheckBox" fmlaLink="M39" lockText="1"/>
</file>

<file path=xl/ctrlProps/ctrlProp18.xml><?xml version="1.0" encoding="utf-8"?>
<formControlPr xmlns="http://schemas.microsoft.com/office/spreadsheetml/2009/9/main" objectType="CheckBox" fmlaLink="M40" lockText="1"/>
</file>

<file path=xl/ctrlProps/ctrlProp19.xml><?xml version="1.0" encoding="utf-8"?>
<formControlPr xmlns="http://schemas.microsoft.com/office/spreadsheetml/2009/9/main" objectType="CheckBox" fmlaLink="M41" lockText="1"/>
</file>

<file path=xl/ctrlProps/ctrlProp2.xml><?xml version="1.0" encoding="utf-8"?>
<formControlPr xmlns="http://schemas.microsoft.com/office/spreadsheetml/2009/9/main" objectType="CheckBox" fmlaLink="H15" lockText="1"/>
</file>

<file path=xl/ctrlProps/ctrlProp20.xml><?xml version="1.0" encoding="utf-8"?>
<formControlPr xmlns="http://schemas.microsoft.com/office/spreadsheetml/2009/9/main" objectType="CheckBox" fmlaLink="M42" lockText="1"/>
</file>

<file path=xl/ctrlProps/ctrlProp21.xml><?xml version="1.0" encoding="utf-8"?>
<formControlPr xmlns="http://schemas.microsoft.com/office/spreadsheetml/2009/9/main" objectType="CheckBox" fmlaLink="K14" lockText="1"/>
</file>

<file path=xl/ctrlProps/ctrlProp22.xml><?xml version="1.0" encoding="utf-8"?>
<formControlPr xmlns="http://schemas.microsoft.com/office/spreadsheetml/2009/9/main" objectType="CheckBox" fmlaLink="K14" lockText="1"/>
</file>

<file path=xl/ctrlProps/ctrlProp23.xml><?xml version="1.0" encoding="utf-8"?>
<formControlPr xmlns="http://schemas.microsoft.com/office/spreadsheetml/2009/9/main" objectType="CheckBox" fmlaLink="K14" lockText="1"/>
</file>

<file path=xl/ctrlProps/ctrlProp24.xml><?xml version="1.0" encoding="utf-8"?>
<formControlPr xmlns="http://schemas.microsoft.com/office/spreadsheetml/2009/9/main" objectType="CheckBox" fmlaLink="K14" lockText="1"/>
</file>

<file path=xl/ctrlProps/ctrlProp25.xml><?xml version="1.0" encoding="utf-8"?>
<formControlPr xmlns="http://schemas.microsoft.com/office/spreadsheetml/2009/9/main" objectType="CheckBox" fmlaLink="K14" lockText="1"/>
</file>

<file path=xl/ctrlProps/ctrlProp26.xml><?xml version="1.0" encoding="utf-8"?>
<formControlPr xmlns="http://schemas.microsoft.com/office/spreadsheetml/2009/9/main" objectType="CheckBox" fmlaLink="K14" lockText="1"/>
</file>

<file path=xl/ctrlProps/ctrlProp27.xml><?xml version="1.0" encoding="utf-8"?>
<formControlPr xmlns="http://schemas.microsoft.com/office/spreadsheetml/2009/9/main" objectType="CheckBox" fmlaLink="K14" lockText="1"/>
</file>

<file path=xl/ctrlProps/ctrlProp28.xml><?xml version="1.0" encoding="utf-8"?>
<formControlPr xmlns="http://schemas.microsoft.com/office/spreadsheetml/2009/9/main" objectType="CheckBox" fmlaLink="K14" lockText="1"/>
</file>

<file path=xl/ctrlProps/ctrlProp29.xml><?xml version="1.0" encoding="utf-8"?>
<formControlPr xmlns="http://schemas.microsoft.com/office/spreadsheetml/2009/9/main" objectType="CheckBox" fmlaLink="K14" lockText="1"/>
</file>

<file path=xl/ctrlProps/ctrlProp3.xml><?xml version="1.0" encoding="utf-8"?>
<formControlPr xmlns="http://schemas.microsoft.com/office/spreadsheetml/2009/9/main" objectType="CheckBox" fmlaLink="H18" lockText="1"/>
</file>

<file path=xl/ctrlProps/ctrlProp30.xml><?xml version="1.0" encoding="utf-8"?>
<formControlPr xmlns="http://schemas.microsoft.com/office/spreadsheetml/2009/9/main" objectType="CheckBox" fmlaLink="K14" lockText="1"/>
</file>

<file path=xl/ctrlProps/ctrlProp31.xml><?xml version="1.0" encoding="utf-8"?>
<formControlPr xmlns="http://schemas.microsoft.com/office/spreadsheetml/2009/9/main" objectType="CheckBox" fmlaLink="K14" lockText="1"/>
</file>

<file path=xl/ctrlProps/ctrlProp32.xml><?xml version="1.0" encoding="utf-8"?>
<formControlPr xmlns="http://schemas.microsoft.com/office/spreadsheetml/2009/9/main" objectType="CheckBox" fmlaLink="K15" lockText="1"/>
</file>

<file path=xl/ctrlProps/ctrlProp33.xml><?xml version="1.0" encoding="utf-8"?>
<formControlPr xmlns="http://schemas.microsoft.com/office/spreadsheetml/2009/9/main" objectType="CheckBox" fmlaLink="K16" lockText="1"/>
</file>

<file path=xl/ctrlProps/ctrlProp34.xml><?xml version="1.0" encoding="utf-8"?>
<formControlPr xmlns="http://schemas.microsoft.com/office/spreadsheetml/2009/9/main" objectType="CheckBox" fmlaLink="K17" lockText="1"/>
</file>

<file path=xl/ctrlProps/ctrlProp35.xml><?xml version="1.0" encoding="utf-8"?>
<formControlPr xmlns="http://schemas.microsoft.com/office/spreadsheetml/2009/9/main" objectType="CheckBox" fmlaLink="K18" lockText="1"/>
</file>

<file path=xl/ctrlProps/ctrlProp36.xml><?xml version="1.0" encoding="utf-8"?>
<formControlPr xmlns="http://schemas.microsoft.com/office/spreadsheetml/2009/9/main" objectType="CheckBox" fmlaLink="K19" lockText="1"/>
</file>

<file path=xl/ctrlProps/ctrlProp37.xml><?xml version="1.0" encoding="utf-8"?>
<formControlPr xmlns="http://schemas.microsoft.com/office/spreadsheetml/2009/9/main" objectType="CheckBox" fmlaLink="K14" lockText="1"/>
</file>

<file path=xl/ctrlProps/ctrlProp38.xml><?xml version="1.0" encoding="utf-8"?>
<formControlPr xmlns="http://schemas.microsoft.com/office/spreadsheetml/2009/9/main" objectType="CheckBox" fmlaLink="K14" lockText="1"/>
</file>

<file path=xl/ctrlProps/ctrlProp39.xml><?xml version="1.0" encoding="utf-8"?>
<formControlPr xmlns="http://schemas.microsoft.com/office/spreadsheetml/2009/9/main" objectType="CheckBox" fmlaLink="K14" lockText="1"/>
</file>

<file path=xl/ctrlProps/ctrlProp4.xml><?xml version="1.0" encoding="utf-8"?>
<formControlPr xmlns="http://schemas.microsoft.com/office/spreadsheetml/2009/9/main" objectType="CheckBox" fmlaLink="H19" lockText="1"/>
</file>

<file path=xl/ctrlProps/ctrlProp40.xml><?xml version="1.0" encoding="utf-8"?>
<formControlPr xmlns="http://schemas.microsoft.com/office/spreadsheetml/2009/9/main" objectType="CheckBox" fmlaLink="K14" lockText="1"/>
</file>

<file path=xl/ctrlProps/ctrlProp41.xml><?xml version="1.0" encoding="utf-8"?>
<formControlPr xmlns="http://schemas.microsoft.com/office/spreadsheetml/2009/9/main" objectType="CheckBox" fmlaLink="K14" lockText="1"/>
</file>

<file path=xl/ctrlProps/ctrlProp42.xml><?xml version="1.0" encoding="utf-8"?>
<formControlPr xmlns="http://schemas.microsoft.com/office/spreadsheetml/2009/9/main" objectType="CheckBox" fmlaLink="K14" lockText="1"/>
</file>

<file path=xl/ctrlProps/ctrlProp43.xml><?xml version="1.0" encoding="utf-8"?>
<formControlPr xmlns="http://schemas.microsoft.com/office/spreadsheetml/2009/9/main" objectType="CheckBox" fmlaLink="K20" lockText="1"/>
</file>

<file path=xl/ctrlProps/ctrlProp44.xml><?xml version="1.0" encoding="utf-8"?>
<formControlPr xmlns="http://schemas.microsoft.com/office/spreadsheetml/2009/9/main" objectType="CheckBox" fmlaLink="K21" lockText="1"/>
</file>

<file path=xl/ctrlProps/ctrlProp45.xml><?xml version="1.0" encoding="utf-8"?>
<formControlPr xmlns="http://schemas.microsoft.com/office/spreadsheetml/2009/9/main" objectType="CheckBox" fmlaLink="K22" lockText="1"/>
</file>

<file path=xl/ctrlProps/ctrlProp46.xml><?xml version="1.0" encoding="utf-8"?>
<formControlPr xmlns="http://schemas.microsoft.com/office/spreadsheetml/2009/9/main" objectType="CheckBox" fmlaLink="K23" lockText="1"/>
</file>

<file path=xl/ctrlProps/ctrlProp47.xml><?xml version="1.0" encoding="utf-8"?>
<formControlPr xmlns="http://schemas.microsoft.com/office/spreadsheetml/2009/9/main" objectType="CheckBox" fmlaLink="K23" lockText="1"/>
</file>

<file path=xl/ctrlProps/ctrlProp48.xml><?xml version="1.0" encoding="utf-8"?>
<formControlPr xmlns="http://schemas.microsoft.com/office/spreadsheetml/2009/9/main" objectType="CheckBox" fmlaLink="K23" lockText="1"/>
</file>

<file path=xl/ctrlProps/ctrlProp49.xml><?xml version="1.0" encoding="utf-8"?>
<formControlPr xmlns="http://schemas.microsoft.com/office/spreadsheetml/2009/9/main" objectType="CheckBox" fmlaLink="K23" lockText="1"/>
</file>

<file path=xl/ctrlProps/ctrlProp5.xml><?xml version="1.0" encoding="utf-8"?>
<formControlPr xmlns="http://schemas.microsoft.com/office/spreadsheetml/2009/9/main" objectType="CheckBox" fmlaLink="H20" lockText="1"/>
</file>

<file path=xl/ctrlProps/ctrlProp50.xml><?xml version="1.0" encoding="utf-8"?>
<formControlPr xmlns="http://schemas.microsoft.com/office/spreadsheetml/2009/9/main" objectType="CheckBox" fmlaLink="K23" lockText="1"/>
</file>

<file path=xl/ctrlProps/ctrlProp51.xml><?xml version="1.0" encoding="utf-8"?>
<formControlPr xmlns="http://schemas.microsoft.com/office/spreadsheetml/2009/9/main" objectType="CheckBox" fmlaLink="K23" lockText="1"/>
</file>

<file path=xl/ctrlProps/ctrlProp52.xml><?xml version="1.0" encoding="utf-8"?>
<formControlPr xmlns="http://schemas.microsoft.com/office/spreadsheetml/2009/9/main" objectType="CheckBox" fmlaLink="K23" lockText="1"/>
</file>

<file path=xl/ctrlProps/ctrlProp53.xml><?xml version="1.0" encoding="utf-8"?>
<formControlPr xmlns="http://schemas.microsoft.com/office/spreadsheetml/2009/9/main" objectType="CheckBox" fmlaLink="K23" lockText="1"/>
</file>

<file path=xl/ctrlProps/ctrlProp54.xml><?xml version="1.0" encoding="utf-8"?>
<formControlPr xmlns="http://schemas.microsoft.com/office/spreadsheetml/2009/9/main" objectType="CheckBox" fmlaLink="K23" lockText="1"/>
</file>

<file path=xl/ctrlProps/ctrlProp55.xml><?xml version="1.0" encoding="utf-8"?>
<formControlPr xmlns="http://schemas.microsoft.com/office/spreadsheetml/2009/9/main" objectType="CheckBox" fmlaLink="K23" lockText="1"/>
</file>

<file path=xl/ctrlProps/ctrlProp56.xml><?xml version="1.0" encoding="utf-8"?>
<formControlPr xmlns="http://schemas.microsoft.com/office/spreadsheetml/2009/9/main" objectType="CheckBox" fmlaLink="K23" lockText="1"/>
</file>

<file path=xl/ctrlProps/ctrlProp57.xml><?xml version="1.0" encoding="utf-8"?>
<formControlPr xmlns="http://schemas.microsoft.com/office/spreadsheetml/2009/9/main" objectType="CheckBox" fmlaLink="K23" lockText="1"/>
</file>

<file path=xl/ctrlProps/ctrlProp58.xml><?xml version="1.0" encoding="utf-8"?>
<formControlPr xmlns="http://schemas.microsoft.com/office/spreadsheetml/2009/9/main" objectType="CheckBox" fmlaLink="K23" lockText="1"/>
</file>

<file path=xl/ctrlProps/ctrlProp59.xml><?xml version="1.0" encoding="utf-8"?>
<formControlPr xmlns="http://schemas.microsoft.com/office/spreadsheetml/2009/9/main" objectType="CheckBox" fmlaLink="K23" lockText="1"/>
</file>

<file path=xl/ctrlProps/ctrlProp6.xml><?xml version="1.0" encoding="utf-8"?>
<formControlPr xmlns="http://schemas.microsoft.com/office/spreadsheetml/2009/9/main" objectType="CheckBox" fmlaLink="H21" lockText="1"/>
</file>

<file path=xl/ctrlProps/ctrlProp60.xml><?xml version="1.0" encoding="utf-8"?>
<formControlPr xmlns="http://schemas.microsoft.com/office/spreadsheetml/2009/9/main" objectType="CheckBox" fmlaLink="K23" lockText="1"/>
</file>

<file path=xl/ctrlProps/ctrlProp61.xml><?xml version="1.0" encoding="utf-8"?>
<formControlPr xmlns="http://schemas.microsoft.com/office/spreadsheetml/2009/9/main" objectType="CheckBox" fmlaLink="K23" lockText="1"/>
</file>

<file path=xl/ctrlProps/ctrlProp62.xml><?xml version="1.0" encoding="utf-8"?>
<formControlPr xmlns="http://schemas.microsoft.com/office/spreadsheetml/2009/9/main" objectType="CheckBox" fmlaLink="K23" lockText="1"/>
</file>

<file path=xl/ctrlProps/ctrlProp63.xml><?xml version="1.0" encoding="utf-8"?>
<formControlPr xmlns="http://schemas.microsoft.com/office/spreadsheetml/2009/9/main" objectType="CheckBox" fmlaLink="K23" lockText="1"/>
</file>

<file path=xl/ctrlProps/ctrlProp64.xml><?xml version="1.0" encoding="utf-8"?>
<formControlPr xmlns="http://schemas.microsoft.com/office/spreadsheetml/2009/9/main" objectType="CheckBox" fmlaLink="K23" lockText="1"/>
</file>

<file path=xl/ctrlProps/ctrlProp65.xml><?xml version="1.0" encoding="utf-8"?>
<formControlPr xmlns="http://schemas.microsoft.com/office/spreadsheetml/2009/9/main" objectType="CheckBox" fmlaLink="K23" lockText="1"/>
</file>

<file path=xl/ctrlProps/ctrlProp66.xml><?xml version="1.0" encoding="utf-8"?>
<formControlPr xmlns="http://schemas.microsoft.com/office/spreadsheetml/2009/9/main" objectType="CheckBox" fmlaLink="K23" lockText="1"/>
</file>

<file path=xl/ctrlProps/ctrlProp67.xml><?xml version="1.0" encoding="utf-8"?>
<formControlPr xmlns="http://schemas.microsoft.com/office/spreadsheetml/2009/9/main" objectType="CheckBox" fmlaLink="K23" lockText="1"/>
</file>

<file path=xl/ctrlProps/ctrlProp68.xml><?xml version="1.0" encoding="utf-8"?>
<formControlPr xmlns="http://schemas.microsoft.com/office/spreadsheetml/2009/9/main" objectType="CheckBox" fmlaLink="K23" lockText="1"/>
</file>

<file path=xl/ctrlProps/ctrlProp69.xml><?xml version="1.0" encoding="utf-8"?>
<formControlPr xmlns="http://schemas.microsoft.com/office/spreadsheetml/2009/9/main" objectType="CheckBox" fmlaLink="K23" lockText="1"/>
</file>

<file path=xl/ctrlProps/ctrlProp7.xml><?xml version="1.0" encoding="utf-8"?>
<formControlPr xmlns="http://schemas.microsoft.com/office/spreadsheetml/2009/9/main" objectType="CheckBox" fmlaLink="H22" lockText="1"/>
</file>

<file path=xl/ctrlProps/ctrlProp70.xml><?xml version="1.0" encoding="utf-8"?>
<formControlPr xmlns="http://schemas.microsoft.com/office/spreadsheetml/2009/9/main" objectType="CheckBox" fmlaLink="K23" lockText="1"/>
</file>

<file path=xl/ctrlProps/ctrlProp71.xml><?xml version="1.0" encoding="utf-8"?>
<formControlPr xmlns="http://schemas.microsoft.com/office/spreadsheetml/2009/9/main" objectType="CheckBox" fmlaLink="K23" lockText="1"/>
</file>

<file path=xl/ctrlProps/ctrlProp72.xml><?xml version="1.0" encoding="utf-8"?>
<formControlPr xmlns="http://schemas.microsoft.com/office/spreadsheetml/2009/9/main" objectType="CheckBox" fmlaLink="K23" lockText="1"/>
</file>

<file path=xl/ctrlProps/ctrlProp73.xml><?xml version="1.0" encoding="utf-8"?>
<formControlPr xmlns="http://schemas.microsoft.com/office/spreadsheetml/2009/9/main" objectType="CheckBox" fmlaLink="K23" lockText="1"/>
</file>

<file path=xl/ctrlProps/ctrlProp74.xml><?xml version="1.0" encoding="utf-8"?>
<formControlPr xmlns="http://schemas.microsoft.com/office/spreadsheetml/2009/9/main" objectType="CheckBox" fmlaLink="K23" lockText="1"/>
</file>

<file path=xl/ctrlProps/ctrlProp75.xml><?xml version="1.0" encoding="utf-8"?>
<formControlPr xmlns="http://schemas.microsoft.com/office/spreadsheetml/2009/9/main" objectType="CheckBox" fmlaLink="K23" lockText="1"/>
</file>

<file path=xl/ctrlProps/ctrlProp76.xml><?xml version="1.0" encoding="utf-8"?>
<formControlPr xmlns="http://schemas.microsoft.com/office/spreadsheetml/2009/9/main" objectType="CheckBox" fmlaLink="K23" lockText="1"/>
</file>

<file path=xl/ctrlProps/ctrlProp77.xml><?xml version="1.0" encoding="utf-8"?>
<formControlPr xmlns="http://schemas.microsoft.com/office/spreadsheetml/2009/9/main" objectType="CheckBox" fmlaLink="K23" lockText="1"/>
</file>

<file path=xl/ctrlProps/ctrlProp78.xml><?xml version="1.0" encoding="utf-8"?>
<formControlPr xmlns="http://schemas.microsoft.com/office/spreadsheetml/2009/9/main" objectType="CheckBox" fmlaLink="K23" lockText="1"/>
</file>

<file path=xl/ctrlProps/ctrlProp79.xml><?xml version="1.0" encoding="utf-8"?>
<formControlPr xmlns="http://schemas.microsoft.com/office/spreadsheetml/2009/9/main" objectType="CheckBox" fmlaLink="K23" lockText="1"/>
</file>

<file path=xl/ctrlProps/ctrlProp8.xml><?xml version="1.0" encoding="utf-8"?>
<formControlPr xmlns="http://schemas.microsoft.com/office/spreadsheetml/2009/9/main" objectType="CheckBox" fmlaLink="H23" lockText="1"/>
</file>

<file path=xl/ctrlProps/ctrlProp80.xml><?xml version="1.0" encoding="utf-8"?>
<formControlPr xmlns="http://schemas.microsoft.com/office/spreadsheetml/2009/9/main" objectType="CheckBox" fmlaLink="K23" lockText="1"/>
</file>

<file path=xl/ctrlProps/ctrlProp81.xml><?xml version="1.0" encoding="utf-8"?>
<formControlPr xmlns="http://schemas.microsoft.com/office/spreadsheetml/2009/9/main" objectType="CheckBox" fmlaLink="K23" lockText="1"/>
</file>

<file path=xl/ctrlProps/ctrlProp82.xml><?xml version="1.0" encoding="utf-8"?>
<formControlPr xmlns="http://schemas.microsoft.com/office/spreadsheetml/2009/9/main" objectType="CheckBox" fmlaLink="K23" lockText="1"/>
</file>

<file path=xl/ctrlProps/ctrlProp83.xml><?xml version="1.0" encoding="utf-8"?>
<formControlPr xmlns="http://schemas.microsoft.com/office/spreadsheetml/2009/9/main" objectType="CheckBox" fmlaLink="K23" lockText="1"/>
</file>

<file path=xl/ctrlProps/ctrlProp84.xml><?xml version="1.0" encoding="utf-8"?>
<formControlPr xmlns="http://schemas.microsoft.com/office/spreadsheetml/2009/9/main" objectType="CheckBox" fmlaLink="K23" lockText="1"/>
</file>

<file path=xl/ctrlProps/ctrlProp85.xml><?xml version="1.0" encoding="utf-8"?>
<formControlPr xmlns="http://schemas.microsoft.com/office/spreadsheetml/2009/9/main" objectType="CheckBox" fmlaLink="K23" lockText="1"/>
</file>

<file path=xl/ctrlProps/ctrlProp86.xml><?xml version="1.0" encoding="utf-8"?>
<formControlPr xmlns="http://schemas.microsoft.com/office/spreadsheetml/2009/9/main" objectType="CheckBox" fmlaLink="K23" lockText="1"/>
</file>

<file path=xl/ctrlProps/ctrlProp87.xml><?xml version="1.0" encoding="utf-8"?>
<formControlPr xmlns="http://schemas.microsoft.com/office/spreadsheetml/2009/9/main" objectType="CheckBox" fmlaLink="K23" lockText="1"/>
</file>

<file path=xl/ctrlProps/ctrlProp88.xml><?xml version="1.0" encoding="utf-8"?>
<formControlPr xmlns="http://schemas.microsoft.com/office/spreadsheetml/2009/9/main" objectType="CheckBox" fmlaLink="K23" lockText="1"/>
</file>

<file path=xl/ctrlProps/ctrlProp89.xml><?xml version="1.0" encoding="utf-8"?>
<formControlPr xmlns="http://schemas.microsoft.com/office/spreadsheetml/2009/9/main" objectType="CheckBox" fmlaLink="K23" lockText="1"/>
</file>

<file path=xl/ctrlProps/ctrlProp9.xml><?xml version="1.0" encoding="utf-8"?>
<formControlPr xmlns="http://schemas.microsoft.com/office/spreadsheetml/2009/9/main" objectType="CheckBox" fmlaLink="M33" lockText="1"/>
</file>

<file path=xl/ctrlProps/ctrlProp90.xml><?xml version="1.0" encoding="utf-8"?>
<formControlPr xmlns="http://schemas.microsoft.com/office/spreadsheetml/2009/9/main" objectType="CheckBox" fmlaLink="K23" lockText="1"/>
</file>

<file path=xl/ctrlProps/ctrlProp91.xml><?xml version="1.0" encoding="utf-8"?>
<formControlPr xmlns="http://schemas.microsoft.com/office/spreadsheetml/2009/9/main" objectType="CheckBox" fmlaLink="K23" lockText="1"/>
</file>

<file path=xl/ctrlProps/ctrlProp92.xml><?xml version="1.0" encoding="utf-8"?>
<formControlPr xmlns="http://schemas.microsoft.com/office/spreadsheetml/2009/9/main" objectType="CheckBox" fmlaLink="P33" lockText="1"/>
</file>

<file path=xl/ctrlProps/ctrlProp93.xml><?xml version="1.0" encoding="utf-8"?>
<formControlPr xmlns="http://schemas.microsoft.com/office/spreadsheetml/2009/9/main" objectType="CheckBox" fmlaLink="P34" lockText="1"/>
</file>

<file path=xl/ctrlProps/ctrlProp94.xml><?xml version="1.0" encoding="utf-8"?>
<formControlPr xmlns="http://schemas.microsoft.com/office/spreadsheetml/2009/9/main" objectType="CheckBox" fmlaLink="P35" lockText="1"/>
</file>

<file path=xl/ctrlProps/ctrlProp95.xml><?xml version="1.0" encoding="utf-8"?>
<formControlPr xmlns="http://schemas.microsoft.com/office/spreadsheetml/2009/9/main" objectType="CheckBox" fmlaLink="P36" lockText="1"/>
</file>

<file path=xl/ctrlProps/ctrlProp96.xml><?xml version="1.0" encoding="utf-8"?>
<formControlPr xmlns="http://schemas.microsoft.com/office/spreadsheetml/2009/9/main" objectType="CheckBox" fmlaLink="P37" lockText="1"/>
</file>

<file path=xl/ctrlProps/ctrlProp97.xml><?xml version="1.0" encoding="utf-8"?>
<formControlPr xmlns="http://schemas.microsoft.com/office/spreadsheetml/2009/9/main" objectType="CheckBox" fmlaLink="P38" lockText="1"/>
</file>

<file path=xl/ctrlProps/ctrlProp98.xml><?xml version="1.0" encoding="utf-8"?>
<formControlPr xmlns="http://schemas.microsoft.com/office/spreadsheetml/2009/9/main" objectType="CheckBox" fmlaLink="P39" lockText="1"/>
</file>

<file path=xl/ctrlProps/ctrlProp99.xml><?xml version="1.0" encoding="utf-8"?>
<formControlPr xmlns="http://schemas.microsoft.com/office/spreadsheetml/2009/9/main" objectType="CheckBox" fmlaLink="P40" lockText="1"/>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gif"/></Relationships>
</file>

<file path=xl/drawings/_rels/drawing16.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jpeg"/></Relationships>
</file>

<file path=xl/drawings/_rels/drawing2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31750</xdr:colOff>
      <xdr:row>1</xdr:row>
      <xdr:rowOff>19048</xdr:rowOff>
    </xdr:from>
    <xdr:to>
      <xdr:col>8</xdr:col>
      <xdr:colOff>466725</xdr:colOff>
      <xdr:row>508</xdr:row>
      <xdr:rowOff>0</xdr:rowOff>
    </xdr:to>
    <xdr:sp macro="" textlink="">
      <xdr:nvSpPr>
        <xdr:cNvPr id="3" name="textruta 2">
          <a:extLst>
            <a:ext uri="{FF2B5EF4-FFF2-40B4-BE49-F238E27FC236}">
              <a16:creationId xmlns:a16="http://schemas.microsoft.com/office/drawing/2014/main" id="{00000000-0008-0000-0000-000003000000}"/>
            </a:ext>
          </a:extLst>
        </xdr:cNvPr>
        <xdr:cNvSpPr txBox="1"/>
      </xdr:nvSpPr>
      <xdr:spPr>
        <a:xfrm>
          <a:off x="31750" y="180973"/>
          <a:ext cx="5311775" cy="820769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solidFill>
                <a:schemeClr val="dk1"/>
              </a:solidFill>
              <a:effectLst/>
              <a:latin typeface="+mn-lt"/>
              <a:ea typeface="+mn-ea"/>
              <a:cs typeface="+mn-cs"/>
            </a:rPr>
            <a:t>Anvisningar till kalkylprogrammet Odlingsperspektiv</a:t>
          </a:r>
          <a:endParaRPr lang="sv-SE" sz="10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Odlingsperspektiv har ursprungligen konstruerats av Göte Bertilsson, Greengard, för att i första hand beräkna förändringar i mullhalt och dess ekonomiska påverkan då förändringar görs i växtföljd och tillförsel av organiskt material. I Odlingsperspektiv är det uppgifterna i Nytt läge som hela tiden blir jämförda med uppgifter i Basläge. Det som skiljer Basläge från Nytt läge är det centrala i beräkningen. Kalkylprogrammet används i Greppa Näringens modul 12B Mull och bördighet.</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000">
              <a:solidFill>
                <a:schemeClr val="dk1"/>
              </a:solidFill>
              <a:effectLst/>
              <a:latin typeface="+mn-lt"/>
              <a:ea typeface="+mn-ea"/>
              <a:cs typeface="+mn-cs"/>
            </a:rPr>
            <a:t>Odlingsperspektiv har omarbetats, nu senast av Hans Nilsson, Jordbruksverket. Från det ursprungliga programmet har under åren tillkommit beräkningar av utlakning, lustagasförluster, stallgödseltillförsel, NPK-rekommendationer och kvävebehovsberäkning. Många av beräkningarna sker automatiskt. Observera att detta inte ersätter de mer avancerade beräkningarna av utlakning respektive klimateffekter som finns i VERA, utan att de ger en indikation, vilket räcker för syftet i detta program. Från version 3.0 har underlaget för mullberäkning ändrats och bygger nu på ICBM, den svenska klimatrapporteringen för kol i mark, men har anpassats efter ett antal långliggande försök i främst södra Sverige när det gäller nedbrytningsprocessen. Huvudintresset i Odlingsperspektiv kretsar kring ekonomin i olika odlingsåtgärder med inriktning på effekten av mullförändring.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Kortfattad arbetsgång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Utgå från inledande uppgifter som odling (grödor, fång/mellangrödor, stallgödsel, priser, skörderester osv) jordarter, upplevda strukturproblem, mullhalt osv. och lyssna och spåna idéer om möjliga förändringar.</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Vid behov starta med att gå igenom de </a:t>
          </a:r>
          <a:r>
            <a:rPr lang="sv-SE" sz="1100" b="1">
              <a:solidFill>
                <a:schemeClr val="dk1"/>
              </a:solidFill>
              <a:effectLst/>
              <a:latin typeface="+mn-lt"/>
              <a:ea typeface="+mn-ea"/>
              <a:cs typeface="+mn-cs"/>
            </a:rPr>
            <a:t>blå flikarna</a:t>
          </a:r>
          <a:r>
            <a:rPr lang="sv-SE" sz="1100">
              <a:solidFill>
                <a:schemeClr val="dk1"/>
              </a:solidFill>
              <a:effectLst/>
              <a:latin typeface="+mn-lt"/>
              <a:ea typeface="+mn-ea"/>
              <a:cs typeface="+mn-cs"/>
            </a:rPr>
            <a:t> (Gröddata, Stallgödseldata, Underlag Spannmål, Underlag Oljeväxter, trindsäd) samt Mull_ICBM i programmet och anpassa efter lantbrukarens förutsättningar.</a:t>
          </a:r>
        </a:p>
        <a:p>
          <a:pPr lvl="0"/>
          <a:r>
            <a:rPr lang="sv-SE" sz="1100" b="1">
              <a:solidFill>
                <a:schemeClr val="dk1"/>
              </a:solidFill>
              <a:effectLst/>
              <a:latin typeface="+mn-lt"/>
              <a:ea typeface="+mn-ea"/>
              <a:cs typeface="+mn-cs"/>
            </a:rPr>
            <a:t>Gröddata</a:t>
          </a:r>
          <a:r>
            <a:rPr lang="sv-SE" sz="1100">
              <a:solidFill>
                <a:schemeClr val="dk1"/>
              </a:solidFill>
              <a:effectLst/>
              <a:latin typeface="+mn-lt"/>
              <a:ea typeface="+mn-ea"/>
              <a:cs typeface="+mn-cs"/>
            </a:rPr>
            <a:t> – Produkt- och NPK-pris. Nya grödor kan läggas till om man har tillgång till kostnaderna (kräver dessutom komplettering under Mull_ICBM, utlaknings och växthusgasberäkningen). </a:t>
          </a:r>
        </a:p>
        <a:p>
          <a:pPr lvl="0"/>
          <a:r>
            <a:rPr lang="sv-SE" sz="1100" b="1">
              <a:solidFill>
                <a:schemeClr val="dk1"/>
              </a:solidFill>
              <a:effectLst/>
              <a:latin typeface="+mn-lt"/>
              <a:ea typeface="+mn-ea"/>
              <a:cs typeface="+mn-cs"/>
            </a:rPr>
            <a:t>Stallgödseldata</a:t>
          </a:r>
          <a:r>
            <a:rPr lang="sv-SE" sz="1100">
              <a:solidFill>
                <a:schemeClr val="dk1"/>
              </a:solidFill>
              <a:effectLst/>
              <a:latin typeface="+mn-lt"/>
              <a:ea typeface="+mn-ea"/>
              <a:cs typeface="+mn-cs"/>
            </a:rPr>
            <a:t> – Procentuell N-, P- och K-effekt (beräkning av växtnärings-värde) samt genomsnittligt skördevärde (för beräkning av packningskostnad)</a:t>
          </a:r>
        </a:p>
        <a:p>
          <a:pPr lvl="0"/>
          <a:r>
            <a:rPr lang="sv-SE" sz="1100" b="1">
              <a:solidFill>
                <a:schemeClr val="dk1"/>
              </a:solidFill>
              <a:effectLst/>
              <a:latin typeface="+mn-lt"/>
              <a:ea typeface="+mn-ea"/>
              <a:cs typeface="+mn-cs"/>
            </a:rPr>
            <a:t>Underlag spannmål resp oljeväxter, trindsäd</a:t>
          </a:r>
          <a:r>
            <a:rPr lang="sv-SE" sz="1100">
              <a:solidFill>
                <a:schemeClr val="dk1"/>
              </a:solidFill>
              <a:effectLst/>
              <a:latin typeface="+mn-lt"/>
              <a:ea typeface="+mn-ea"/>
              <a:cs typeface="+mn-cs"/>
            </a:rPr>
            <a:t> – Se t.ex. över om doser och preparat bör justeras. </a:t>
          </a:r>
        </a:p>
        <a:p>
          <a:pPr lvl="0"/>
          <a:r>
            <a:rPr lang="sv-SE" sz="1100" b="1">
              <a:solidFill>
                <a:schemeClr val="dk1"/>
              </a:solidFill>
              <a:effectLst/>
              <a:latin typeface="+mn-lt"/>
              <a:ea typeface="+mn-ea"/>
              <a:cs typeface="+mn-cs"/>
            </a:rPr>
            <a:t>Mull_ICBM</a:t>
          </a:r>
          <a:r>
            <a:rPr lang="sv-SE" sz="1100">
              <a:solidFill>
                <a:schemeClr val="dk1"/>
              </a:solidFill>
              <a:effectLst/>
              <a:latin typeface="+mn-lt"/>
              <a:ea typeface="+mn-ea"/>
              <a:cs typeface="+mn-cs"/>
            </a:rPr>
            <a:t> – ton jord/ha, % kvar efter skörderester, humifieringsprocent och nedbrytningsfaktor</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Efter detta moment kommer du använda dig mest av de </a:t>
          </a:r>
          <a:r>
            <a:rPr lang="sv-SE" sz="1100" b="1">
              <a:solidFill>
                <a:schemeClr val="dk1"/>
              </a:solidFill>
              <a:effectLst/>
              <a:latin typeface="+mn-lt"/>
              <a:ea typeface="+mn-ea"/>
              <a:cs typeface="+mn-cs"/>
            </a:rPr>
            <a:t>gröna flikarna</a:t>
          </a:r>
          <a:r>
            <a:rPr lang="sv-SE" sz="1100">
              <a:solidFill>
                <a:schemeClr val="dk1"/>
              </a:solidFill>
              <a:effectLst/>
              <a:latin typeface="+mn-lt"/>
              <a:ea typeface="+mn-ea"/>
              <a:cs typeface="+mn-cs"/>
            </a:rPr>
            <a:t> (Huvudinmatning, Försöksdata, Kostnader). Många beräkningar är automatiserade utifrån de data som matas in främst under Huvudinmatning och Kostnader. När kalkylen är klar i de gröna flikarna kan en Miljösammanfattning göras i fliken med samma namn.</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Observera att de bara går att mata in i vissa rutor. Gröna rutor genom att välja olika alternativ eller ljusblå rutor där det skall vara värden. Övriga delar är skyddade för att undvika att du tappar kopplingarna i arket.</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a:solidFill>
                <a:schemeClr val="dk1"/>
              </a:solidFill>
              <a:effectLst/>
              <a:latin typeface="+mn-lt"/>
              <a:ea typeface="+mn-ea"/>
              <a:cs typeface="+mn-cs"/>
            </a:rPr>
            <a:t>Programmet är inte anpassat för långvariga vallar. Tillämpa helst inte mer än 2-årsvallar. </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Försök åstadkomma möjlighet till aktiv samverkan i mötet mellan rådgivare och lantbrukare. Ibland får man goda idéer något i efterskott. Hör av dig till lantbrukaren i efterhand, det är enkelt att maila ett nytt alternativt kalkylark och ta en telefonkontakt.</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Anvisningarna nedan följer flikarna i kalkylarket</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Grunddata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pPr lvl="0"/>
          <a:r>
            <a:rPr lang="sv-SE" sz="1100">
              <a:solidFill>
                <a:schemeClr val="dk1"/>
              </a:solidFill>
              <a:effectLst/>
              <a:latin typeface="+mn-lt"/>
              <a:ea typeface="+mn-ea"/>
              <a:cs typeface="+mn-cs"/>
            </a:rPr>
            <a:t>Här lägger du in identifikation, jordart, mullhalt och PK-status </a:t>
          </a:r>
        </a:p>
        <a:p>
          <a:pPr lvl="0"/>
          <a:r>
            <a:rPr lang="sv-SE" sz="1100">
              <a:solidFill>
                <a:schemeClr val="dk1"/>
              </a:solidFill>
              <a:effectLst/>
              <a:latin typeface="+mn-lt"/>
              <a:ea typeface="+mn-ea"/>
              <a:cs typeface="+mn-cs"/>
            </a:rPr>
            <a:t>Skriv en beskrivning för basläge och nytt läge när beräkningarna är klara. Det du noterar under förändring i nytt läge visas i fliken</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pPr lvl="0"/>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Flik Huvudinmatning</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Lägg in uppgifter i Basläge</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I fliken Huvudinmatning börjar du med att fylla i tabellen Basläge. Lägg in gårdens växtföljd under Basläge genom att välja grödor från listan som poppar upp då man klickar på resp. ruta. Det finns plats för 10 år. Lägg in bedömd medelskörd de senaste åren enligt realistiska bedömningar! Produktpris plockas från Gröddata där de också kan justeras efter gårdens uppgifter. Fattas det grödor kan man lägga in nya grödor i Gröddata inklusive kostnader. Glöm då inte att ange typgröda så kommer mulleffekten med, i varje fall hjälpligt.</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I praktiken är odlingen ibland fragmenterad på olika stora fält men försök vaska fram en huvudprincip i växtföljden.</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Nytt läge</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Se över grödor och åtgärder i Nytt läge. Växtföljd, grundskörd och pris i Basläge kopieras automatiskt till Nytt läge medan andra parametrar behöver läggas in på båda ställena. Vill du byta gröda i Nytt läge gör du detta genom att välja annan gröda i kolumnen Ny gröda. Utgå från om lantbrukaren funderat på någon förändring, annars föreslå själv. Ändra inte för mycket på en gång. Bäst är att t.ex. bara byta ut en gröda. Bedöm, genom diskussioner och med hjälp av information i fliken Försöksdata, skördejusteringar i växtföljden för det nya läget. Exempel: Om vårkorn utbyts mot oljeväxter bör efterföljande höstveteskörd öka med 1000-1200 kg/ha. Det matas in under Justering, 1-års-just. I vissa fall är det befogat med flerårseffekter och växtföljdseffekter att lägga i Justering, 2-4 års. När en skördejustering införs sker automatiskt en kostnadsjustering pga växtnäring, torkning och dieselåtgång i ”Kostn. för ändrad skörd”.</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Små förändringar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En bra utgångspunkt är att endast göra små förändringar i växtföljden i programmet. Med stora förändringar i växtföljden hamnar fokus ofta på kortsiktiga ekonomiska frågor medan vi hellre vill sträva efter en diskussion kring hur mullhalten förändras på sikt.</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i="1">
              <a:solidFill>
                <a:schemeClr val="dk1"/>
              </a:solidFill>
              <a:effectLst/>
              <a:latin typeface="+mn-lt"/>
              <a:ea typeface="+mn-ea"/>
              <a:cs typeface="+mn-cs"/>
            </a:rPr>
            <a:t>Längre växtföljd</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Det går att lägga in en längre växtföljd i Nytt läge jämfört med Basläge. Tänk då på att den annorlunda grödfördelningen kan påverka den ekonomiska beräkningen ganska mycket i och med grödornas olika lönsamhet, vilket då inte avspeglar en management-effekt.</a:t>
          </a: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Hantering av parametrar</a:t>
          </a: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Vallhantering</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Kryssa i om det finns vallinsådd i grödan samt vid vall om det är vallbrott. Kryssen påverkar både mullbildning och kväveutlakning.</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Halm/grönmassa</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Kryssa i om skörderester bortförs eller vallskörd tas. I normalfallet skördas och bortförs grönmassan i vall och då kryssar du i detta för vallen, i annat fall blir det gröngödsling. </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Ange ett pris för halmen under Basläge. Vill du få en exakt kalkyl använder du det pris som erhållits, men för en långsiktig ekonomisk bedömning är det bättre att ta höjd för P, K och ev N-värdet. Det finns stöd kring detta under fliken Gröddata långt till höger.</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Bearbetningstidpunkt</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Välj bearbetningstidpunkt. Blir cellfärgen ljusröd betyder det att du inte ska kombinera med fånggröda (kryssa inte fånggröda). Bearbetningstidpunkten påverkar för tillfället endast utlakningen då det inte finns stöd i forskning att mullhalten påtagligt påverkas av bearbetningstidpunkten.</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Om du inte anger bearbetningstidpunkt räknar programmet med tidig bearbetning/upptagning i öppen växtodling samt tidig höstbrytning i vall. OBS! I liggande vall måste du alltså ange ”Ingen”.</a:t>
          </a: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Bearbetningsteknik dvs plöjning – reducerarad bearbetning – direktsådd påverkar djupfördelning av mullen i matjorden men inte den totala mullhalten. Det finns därmed ingen funktion i programmet som hanterar detta.</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Fånggröda</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Ange om fånggröda sås och ange bedömd tillväxt i kg ts/ha. Det är viktigt att inte överdriva mängden, starta med 1000 kg/ha. En bra fånggröda ger normalt max mellan 1500-2000 kg ts per hektar. Fånggrödan påverkar både mullbildning och utlakning.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OBS! Glöm inte att justera bearbetningstidpunkt i kolumnen före, annars kan effekten på utlakningen utebli. Glöm heller inte att föra in kostnad för fånggrödan under fliken Kostnader.</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Stallgödsel</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Tillförs stallgödsel väljer du stallgödselslag, anger giva och väljer spridningstidpunkt. Dessa uppgifter påverkar mullhalt och därmed klimateffekten, utlakningsberäkningen samt packningskostnaden. </a:t>
          </a:r>
        </a:p>
        <a:p>
          <a:pPr lvl="0"/>
          <a:r>
            <a:rPr lang="sv-SE" sz="1100">
              <a:solidFill>
                <a:schemeClr val="dk1"/>
              </a:solidFill>
              <a:effectLst/>
              <a:latin typeface="+mn-lt"/>
              <a:ea typeface="+mn-ea"/>
              <a:cs typeface="+mn-cs"/>
            </a:rPr>
            <a:t>Spridningskostnaden kommer automatiskt med men kostnad för inköp av stallgödsel och tex transport till gården måste du aktivt lägga in under fliken Kostnader, för att kalkylen ska stämma. </a:t>
          </a:r>
        </a:p>
        <a:p>
          <a:pPr lvl="0"/>
          <a:r>
            <a:rPr lang="sv-SE" sz="1100">
              <a:solidFill>
                <a:schemeClr val="dk1"/>
              </a:solidFill>
              <a:effectLst/>
              <a:latin typeface="+mn-lt"/>
              <a:ea typeface="+mn-ea"/>
              <a:cs typeface="+mn-cs"/>
            </a:rPr>
            <a:t>Uppgifterna hämtas från fliken Stallgödseldata där du kan lägga in några nya stallgödselslag om det fattas något. Tänk då på att ange typ av stallgödsel (flyt=1, fast=2, urin=3 och djupströgödsel=4) samt växtnäringsinnehåll och spridningskostnad.</a:t>
          </a:r>
        </a:p>
        <a:p>
          <a:pPr lvl="0"/>
          <a:r>
            <a:rPr lang="sv-SE" sz="1100">
              <a:solidFill>
                <a:schemeClr val="dk1"/>
              </a:solidFill>
              <a:effectLst/>
              <a:latin typeface="+mn-lt"/>
              <a:ea typeface="+mn-ea"/>
              <a:cs typeface="+mn-cs"/>
            </a:rPr>
            <a:t>Innehållet av N, P och K värderas utifrån de effektivitetstal som finns i Stallgödseldata. Justera vid behov.</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Skördeeffekt mullhalt</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 Nytt läge finns en kolumn ”Skördeeffekt. Mullhalt/kolhalt” där värdet i förändrad skörd pga mullförändringen är beräknad. Siffror hämtas från tabellen ”Förändring över tid för kolhalt, mullhalt och skörd” i fliken ICBM. Här kan du samlat se effekten i femårsetapper för 5-50 år.</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i="1">
              <a:solidFill>
                <a:schemeClr val="dk1"/>
              </a:solidFill>
              <a:effectLst/>
              <a:latin typeface="+mn-lt"/>
              <a:ea typeface="+mn-ea"/>
              <a:cs typeface="+mn-cs"/>
            </a:rPr>
            <a:t>Övriga intäkter</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 kolumn ”Övriga intäkter” i Nytt läge kan du lägga in miljöstöd eller andra intäkter som påverkats av det du fört in</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Bedöm resultatet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Resultatet av dina inmatade förändringar kan följas direkt i fliken Huvudinmatning vad avser mullförändring, utlakning och klimateffekter. Ekonomisk effekt presenteras totalt samt hur mycket som beror av ändrad mullhalt respektive andra åtgärder. </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i="1">
              <a:solidFill>
                <a:schemeClr val="dk1"/>
              </a:solidFill>
              <a:effectLst/>
              <a:latin typeface="+mn-lt"/>
              <a:ea typeface="+mn-ea"/>
              <a:cs typeface="+mn-cs"/>
            </a:rPr>
            <a:t>Mullförändring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I diagrammet Mullhalt – till höger i fliken Huvudinmatning – kan mullhaltsförändringen mellan Basläge och Nytt läge följas över tid.</a:t>
          </a:r>
          <a:endParaRPr lang="sv-SE" sz="800">
            <a:solidFill>
              <a:schemeClr val="dk1"/>
            </a:solidFill>
            <a:effectLst/>
            <a:latin typeface="+mn-lt"/>
            <a:ea typeface="+mn-ea"/>
            <a:cs typeface="+mn-cs"/>
          </a:endParaRPr>
        </a:p>
        <a:p>
          <a:r>
            <a:rPr lang="sv-SE" sz="1100" i="1">
              <a:solidFill>
                <a:schemeClr val="dk1"/>
              </a:solidFill>
              <a:effectLst/>
              <a:latin typeface="+mn-lt"/>
              <a:ea typeface="+mn-ea"/>
              <a:cs typeface="+mn-cs"/>
            </a:rPr>
            <a:t>Ekonomisk effekt – mullhalt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En ökad mullhalt kan innebära en ökad avkastning och det avspeglar sig i den ekonomiska beräkningen. I diagrammet mullhalt för du själv in hur mycket skörde­nivåerna ökar för varje 0,17 % ökad mullhalt (0,10 % kolhalt) för den kommande tioårsperioden. Programmet föreslår, baserat på långliggande försök, att du prövat en skördeökning mellan 3 och 9 procent som effekt i kalkylen. Detta gäller för platser där kolhalten är upp till 2 % (mullhalten = 3,4 %), se gärna vidare i fliken Data skörd-mull.</a:t>
          </a:r>
          <a:endParaRPr lang="sv-SE" sz="800">
            <a:solidFill>
              <a:schemeClr val="dk1"/>
            </a:solidFill>
            <a:effectLst/>
            <a:latin typeface="+mn-lt"/>
            <a:ea typeface="+mn-ea"/>
            <a:cs typeface="+mn-cs"/>
          </a:endParaRPr>
        </a:p>
        <a:p>
          <a:r>
            <a:rPr lang="sv-SE" sz="1100" i="1">
              <a:solidFill>
                <a:schemeClr val="dk1"/>
              </a:solidFill>
              <a:effectLst/>
              <a:latin typeface="+mn-lt"/>
              <a:ea typeface="+mn-ea"/>
              <a:cs typeface="+mn-cs"/>
            </a:rPr>
            <a:t>Ekonomisk effekt – övrigt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Den ekonomiska effekten för ”övrigt” handlar ofta om förändringar i växtföljden som innebär kortsiktiga ekonomiska förändringar. Det kan gälla ett annat avsalupris, förutsättningar för annan skördenivå eller förändrade kostnader med en annan gröda som alla påverkar posten ”övrigt” ganska kortsiktigt i den ekonomiska nettoberäkningen. När man diskuterar det ekonomiska utfallet kommer även andra effekter såsom arbetsfördelning över året eller påverkan på växtskyddsbehov eller klimateffekter in och kan påverka hur intressant förändringarna bedöms vara på den aktuella gården.</a:t>
          </a:r>
        </a:p>
        <a:p>
          <a:r>
            <a:rPr lang="sv-SE" sz="1100" i="1">
              <a:solidFill>
                <a:schemeClr val="dk1"/>
              </a:solidFill>
              <a:effectLst/>
              <a:latin typeface="+mn-lt"/>
              <a:ea typeface="+mn-ea"/>
              <a:cs typeface="+mn-cs"/>
            </a:rPr>
            <a:t>Ekonomisk effekt – 10 års sikt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Siffrorna kan ge en känsla av exakthet som inte finns i verkligheten men lantbrukarna brukar vara medvetna om det och uppskattar normalt att vi sätter siffror på mullhalts­höjande åtgärder som ofta annars diskuteras i luddiga ordalag. </a:t>
          </a:r>
        </a:p>
        <a:p>
          <a:r>
            <a:rPr lang="sv-SE" sz="1100">
              <a:solidFill>
                <a:schemeClr val="dk1"/>
              </a:solidFill>
              <a:effectLst/>
              <a:latin typeface="+mn-lt"/>
              <a:ea typeface="+mn-ea"/>
              <a:cs typeface="+mn-cs"/>
            </a:rPr>
            <a:t>Du kan variera antalet år för den ekonomiska beräkningen mellan 5-50 år. Osäkerheten ökas vid längre period och det är förinställt på 10 år vilket rekommenderas. Vill man se effekten på längre tid finns möjligheten. Tänk på att det normalt behövs ett besök även i flik Kostnader för att ekonomin skall stämma, speciellt vid olika långa växtföljder.</a:t>
          </a:r>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Huvudinmatning – känslighetsanalys</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Resultatet (kr/ha/år) där förändringen mellan Basläge och Nytt läge jämförs återfinns i fliken Huvudinmatning men även i flikarna Kostnader, Miljösammanfattning och Rapport. Resultatet presenteras och delas upp mellan mulleffekt och övrig effekt.</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Du kan med hjälp av Odlingsperspektiv titta på känsligheten av olika åtgärder eller av gjorda bedömningar. Man kan justera exempelvis skördejustering eller ett pris och se på känsligheten. Det är lätt att byta någon siffra, t ex skördejustering eller pris, och se på känsligheten. Du kan också titta på hur mullhaltens startnivå påverkar riktningen på mullhaltsutvecklingen. Det är lättare att få en uppåtgående trend på mullhalten om du utgår från ett startläge med en låg nivå eftersom mängden kol som mineraliseras då är lägre.</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Försöksdata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För att fylla i kolumnen Justering i Nytt läge i fliken Huvudinmatning tar du hjälp av fliken Försöksdata. När du byter gröda i växtföljden kan det innebära andra förfruktsvärden. För att bedöma skörde­effekten i växtföljden kan du titta i fliken Försöksdata. Här hittar du enskilda försök och vad de gett för växtföljds- och förfruktseffekter framförallt när det gäller spannmål. Resonera med lantbrukaren för att lägga in uppgifter om en lämplig skörde­effekt av en ny förfrukt.</a:t>
          </a:r>
        </a:p>
        <a:p>
          <a:r>
            <a:rPr lang="sv-SE" sz="1100">
              <a:solidFill>
                <a:schemeClr val="dk1"/>
              </a:solidFill>
              <a:effectLst/>
              <a:latin typeface="+mn-lt"/>
              <a:ea typeface="+mn-ea"/>
              <a:cs typeface="+mn-cs"/>
            </a:rPr>
            <a:t> </a:t>
          </a:r>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Kostnader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I fliken Kostnader kan du vid behov fylla i skillnaden mot Basläge. Förändringar i Nytt läge såsom ändrad gröda, en fånggröda/mellangröda eller stallgödsel innebär oftast förändrade kostnader. I fliken Kostnader fyller du i de förändringar av kostnaderna som inte sker automatiskt. Bedöm endast de år då förändringar gjorts. Minskar en kostnad ska ett minustecken sättas framför siffran.</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Automatiska kostnader</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Från Gröddata plockas automatiskt kostnad som omfattar utsäde, växtnäring, växtskydd, torkning, transport, drivmedel och maskinunderhåll. Detta benämns ”Summa kostn”. Endast växtnäringskostnaden är skörderelaterad medan övriga kostnader är schabloner baserade på data från HS Skåne och Agriwise. Detta är färskvara och ambitionen är att dessa kostnader skall uppdateras efterhand men eftersom vi egentligen är ute efter skillnaden i kostnad mellan de två alternativen är inte ambitionen att kostnadsnivån alltid behöver stämma exakt. </a:t>
          </a:r>
        </a:p>
        <a:p>
          <a:r>
            <a:rPr lang="sv-SE" sz="1100">
              <a:solidFill>
                <a:schemeClr val="dk1"/>
              </a:solidFill>
              <a:effectLst/>
              <a:latin typeface="+mn-lt"/>
              <a:ea typeface="+mn-ea"/>
              <a:cs typeface="+mn-cs"/>
            </a:rPr>
            <a:t> </a:t>
          </a:r>
        </a:p>
        <a:p>
          <a:r>
            <a:rPr lang="sv-SE" sz="1100" i="1">
              <a:solidFill>
                <a:schemeClr val="dk1"/>
              </a:solidFill>
              <a:effectLst/>
              <a:latin typeface="+mn-lt"/>
              <a:ea typeface="+mn-ea"/>
              <a:cs typeface="+mn-cs"/>
            </a:rPr>
            <a:t>Kostnader som regleras manuellt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Kostnader som inte direkt kommer med är kostnad för fånggröda, stallgödsel och ”övrigt” som exempel arbetsinsats, därav speciella kolumner för detta. Om man t.ex. vill värdera sin egen arbetsinsats som traktorförare och sparat 5 timmar per hektar kan det vara rimligt att sätta minst -700 under övrigt.</a:t>
          </a:r>
        </a:p>
        <a:p>
          <a:r>
            <a:rPr lang="sv-SE" sz="800">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800" b="1">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1100" b="1">
              <a:solidFill>
                <a:schemeClr val="dk1"/>
              </a:solidFill>
              <a:effectLst/>
              <a:latin typeface="+mn-lt"/>
              <a:ea typeface="+mn-ea"/>
              <a:cs typeface="+mn-cs"/>
            </a:rPr>
            <a:t>KALKYLEN ÄR NU I HUVUDSAK KLAR!</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Flik Miljösammanfattning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kan bedömningar göras kring hur ensidig växtföljden är utifrån andel spannmål (Mångfaldsindex) samt hur stor andel av marken som ligger obearbetad under hösten. Man tittar även på bekämpningsanvändning och dieselåtgång.</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Bekämpning </a:t>
          </a:r>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För bekämpning är tanken följande. Är bekämpningsmedelsanvändningen för grödan normalt enligt rekommendation noterar man siffran 1. För restriktiv bekämpning – dra ner till kanske 0,6. Förekommer ingen bekämpning notera 0. Gör samma för Nytt läge. Behövs t.ex. en extra glyfosatbekämpning addera då förslagsvis 0,3.</a:t>
          </a:r>
          <a:br>
            <a:rPr lang="sv-SE" sz="1100">
              <a:solidFill>
                <a:schemeClr val="dk1"/>
              </a:solidFill>
              <a:effectLst/>
              <a:latin typeface="+mn-lt"/>
              <a:ea typeface="+mn-ea"/>
              <a:cs typeface="+mn-cs"/>
            </a:rPr>
          </a:br>
          <a:r>
            <a:rPr lang="sv-SE" sz="1100" b="1">
              <a:solidFill>
                <a:schemeClr val="dk1"/>
              </a:solidFill>
              <a:effectLst/>
              <a:latin typeface="+mn-lt"/>
              <a:ea typeface="+mn-ea"/>
              <a:cs typeface="+mn-cs"/>
            </a:rPr>
            <a:t/>
          </a:r>
          <a:br>
            <a:rPr lang="sv-SE" sz="1100" b="1">
              <a:solidFill>
                <a:schemeClr val="dk1"/>
              </a:solidFill>
              <a:effectLst/>
              <a:latin typeface="+mn-lt"/>
              <a:ea typeface="+mn-ea"/>
              <a:cs typeface="+mn-cs"/>
            </a:rPr>
          </a:br>
          <a:r>
            <a:rPr lang="sv-SE" sz="1100" b="1">
              <a:solidFill>
                <a:schemeClr val="dk1"/>
              </a:solidFill>
              <a:effectLst/>
              <a:latin typeface="+mn-lt"/>
              <a:ea typeface="+mn-ea"/>
              <a:cs typeface="+mn-cs"/>
            </a:rPr>
            <a:t>Drivmedel</a:t>
          </a:r>
          <a:br>
            <a:rPr lang="sv-SE" sz="1100" b="1">
              <a:solidFill>
                <a:schemeClr val="dk1"/>
              </a:solidFill>
              <a:effectLst/>
              <a:latin typeface="+mn-lt"/>
              <a:ea typeface="+mn-ea"/>
              <a:cs typeface="+mn-cs"/>
            </a:rPr>
          </a:br>
          <a:r>
            <a:rPr lang="sv-SE" sz="1100">
              <a:solidFill>
                <a:schemeClr val="dk1"/>
              </a:solidFill>
              <a:effectLst/>
              <a:latin typeface="+mn-lt"/>
              <a:ea typeface="+mn-ea"/>
              <a:cs typeface="+mn-cs"/>
            </a:rPr>
            <a:t>För drivmedel gäller det körning och i infogad kommentarer (i cellerna) sägs ungefär vad som tänkts för tunga, medel och lätta körningar.  Enklast är att i Nytt läge fylla i uppskattad skillnad för de år där förändringar gjorts. Är körningen minskad anges ett minustecken framför siffran. Drivmedel är viktigt ur ekonomisk synvinkel men har ganska liten påverkan på växthusgaserna. Siffran som anges påverkar Växthusgasberäkningen men vill du få med skillnaden ekonomiskt måste du manuellt föra in detta under fliken Kostnader.</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Rapport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Huvudresultatet finns samlat i bladet Rapport. Det kan sparas eller skrivas ut. </a:t>
          </a: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Mull_ICBM resp flik ICBM</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Det finns mycket information i infogade kommentarer och i flikarna Data skörd-mull och Mullinfo. Några viktiga punkter.</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Grunddata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Använd standardvärdet 3000 ton matjord per hektar. Kolhalten beräknas automtiskt efter angiven mullhalt i fliken grunddata och den omräkningsfaktor som finns här. (se samband kolhalt – mullhalt i rutan under). Sambandet mellan mullhalt/kolhalt har vi i Sverige ofta satt till 1,72 och så är det inlagt nu. Det finns dock en variation och nyare forskning från bla. Belgien antyder att det borde vara en något högre siffra och det går att ändra här om man vill. Observera att det påverkar när man når brytgränsen på 2 % kol (se Samband mullhalt-skörd).</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Beräkningsark för växtföljd</a:t>
          </a:r>
          <a:endParaRPr lang="sv-SE" sz="1100">
            <a:solidFill>
              <a:schemeClr val="dk1"/>
            </a:solidFill>
            <a:effectLst/>
            <a:latin typeface="+mn-lt"/>
            <a:ea typeface="+mn-ea"/>
            <a:cs typeface="+mn-cs"/>
          </a:endParaRPr>
        </a:p>
        <a:p>
          <a:r>
            <a:rPr lang="sv-SE" sz="800">
              <a:solidFill>
                <a:schemeClr val="dk1"/>
              </a:solidFill>
              <a:effectLst/>
              <a:latin typeface="+mn-lt"/>
              <a:ea typeface="+mn-ea"/>
              <a:cs typeface="+mn-cs"/>
            </a:rPr>
            <a:t> </a:t>
          </a:r>
          <a:endParaRPr lang="sv-SE" sz="2000">
            <a:solidFill>
              <a:schemeClr val="dk1"/>
            </a:solidFill>
            <a:effectLst/>
            <a:latin typeface="+mn-lt"/>
            <a:ea typeface="+mn-ea"/>
            <a:cs typeface="+mn-cs"/>
          </a:endParaRPr>
        </a:p>
        <a:p>
          <a:r>
            <a:rPr lang="sv-SE" sz="1100" i="1">
              <a:solidFill>
                <a:schemeClr val="dk1"/>
              </a:solidFill>
              <a:effectLst/>
              <a:latin typeface="+mn-lt"/>
              <a:ea typeface="+mn-ea"/>
              <a:cs typeface="+mn-cs"/>
            </a:rPr>
            <a:t>Tillskott skörderester från olika grödor</a:t>
          </a:r>
          <a:br>
            <a:rPr lang="sv-SE" sz="1100" i="1">
              <a:solidFill>
                <a:schemeClr val="dk1"/>
              </a:solidFill>
              <a:effectLst/>
              <a:latin typeface="+mn-lt"/>
              <a:ea typeface="+mn-ea"/>
              <a:cs typeface="+mn-cs"/>
            </a:rPr>
          </a:br>
          <a:r>
            <a:rPr lang="sv-SE" sz="1100">
              <a:solidFill>
                <a:schemeClr val="dk1"/>
              </a:solidFill>
              <a:effectLst/>
              <a:latin typeface="+mn-lt"/>
              <a:ea typeface="+mn-ea"/>
              <a:cs typeface="+mn-cs"/>
            </a:rPr>
            <a:t>Information om skörderestbehandling hämtas från Huvudinmatning. Här finns inlagt ett utgångsläge att om halm/grönmassa skördas bortförs är endast 20 % kvar på fältet av ovanjordiskt plantmaterial. Detta utgöra av stubb, agnar etc.</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Beräkningen av koltillförsel sker i programmet ICBM som kan följas under flik ICM där det finns en beskrivning med förklaring till har programmet räknar. Vi har tidigare räknat med att ca 20 % av ts-mängden från färskt material och 30 % från stallgödsel in i den organiska poolen. Högre värde desto mer omsatt stallgödsel. Vi använde tidigare en schablon för bidrag för skörderester och rötter som var lite olika för olika grödor men behandla allt material lika.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Om du studerar ICBM-modellen, som nu istället användes, finner du att ca 12,5 % av ovanjordiskt material går in i organisk pool medan motsvarande för rötter är 25 % och för stallgödsel 31 %. Jämfört med tidigare uppvärderas rötternas betydelse ganska betydligt jämfört med bidrag från ovanjordiska delar. Hur stor andel som kommer från ovanjordiskt resp rötter skiljer mellan olika grödor och kan studeras längre ner på sidan.</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Fånggrödor</a:t>
          </a:r>
          <a:r>
            <a:rPr lang="sv-SE" sz="1100">
              <a:solidFill>
                <a:schemeClr val="dk1"/>
              </a:solidFill>
              <a:effectLst/>
              <a:latin typeface="+mn-lt"/>
              <a:ea typeface="+mn-ea"/>
              <a:cs typeface="+mn-cs"/>
            </a:rPr>
            <a:t>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Hämtas från Huvudinmatning. Normalt går ca 20 % av ts-mängden från färskt material in i den organiska poolen. Kan ändras vid behov.</a:t>
          </a:r>
        </a:p>
        <a:p>
          <a:r>
            <a:rPr lang="sv-SE" sz="1100" b="1">
              <a:solidFill>
                <a:schemeClr val="dk1"/>
              </a:solidFill>
              <a:effectLst/>
              <a:latin typeface="+mn-lt"/>
              <a:ea typeface="+mn-ea"/>
              <a:cs typeface="+mn-cs"/>
            </a:rPr>
            <a:t> </a:t>
          </a: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Tillskott av stallgödsel</a:t>
          </a:r>
          <a:r>
            <a:rPr lang="sv-SE" sz="1100">
              <a:solidFill>
                <a:schemeClr val="dk1"/>
              </a:solidFill>
              <a:effectLst/>
              <a:latin typeface="+mn-lt"/>
              <a:ea typeface="+mn-ea"/>
              <a:cs typeface="+mn-cs"/>
            </a:rPr>
            <a:t>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Typ och giva hämtas från Huvudinmatning och ts-mängden kommer från Stallgödseldata. Stallgödsel är delvis nedbrutet och omsatt och ca 31 % av ts-mängden går in i den organiska poolen. Kan ändras vid behov.</a:t>
          </a:r>
          <a:r>
            <a:rPr lang="sv-SE" sz="1100" b="1">
              <a:solidFill>
                <a:schemeClr val="dk1"/>
              </a:solidFill>
              <a:effectLst/>
              <a:latin typeface="+mn-lt"/>
              <a:ea typeface="+mn-ea"/>
              <a:cs typeface="+mn-cs"/>
            </a:rPr>
            <a:t/>
          </a:r>
          <a:br>
            <a:rPr lang="sv-SE" sz="1100" b="1">
              <a:solidFill>
                <a:schemeClr val="dk1"/>
              </a:solidFill>
              <a:effectLst/>
              <a:latin typeface="+mn-lt"/>
              <a:ea typeface="+mn-ea"/>
              <a:cs typeface="+mn-cs"/>
            </a:rPr>
          </a:br>
          <a:endParaRPr lang="sv-SE" sz="1100">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Nedbrytningsfaktor</a:t>
          </a:r>
          <a:br>
            <a:rPr lang="sv-SE" sz="1100" b="1">
              <a:solidFill>
                <a:schemeClr val="dk1"/>
              </a:solidFill>
              <a:effectLst/>
              <a:latin typeface="+mn-lt"/>
              <a:ea typeface="+mn-ea"/>
              <a:cs typeface="+mn-cs"/>
            </a:rPr>
          </a:br>
          <a:r>
            <a:rPr lang="sv-SE" sz="1100">
              <a:solidFill>
                <a:schemeClr val="dk1"/>
              </a:solidFill>
              <a:effectLst/>
              <a:latin typeface="+mn-lt"/>
              <a:ea typeface="+mn-ea"/>
              <a:cs typeface="+mn-cs"/>
            </a:rPr>
            <a:t>Den organiska poolen bryts sakta ner av olika mikroorganismer och svampar. Typiskt handlar det om ca 1,5-2% som årligen mineraliseras. Vid 2 % mullhalt betyder det att runt 500-700 kg kol återförs till atmosfären i form av koldioxid. Det är dock skillnad mellan olika grödtyper. I en vall är nedbrytningen lägre och i öppen växtodling högre, speciellt i grödor som potatis/sockerbetor/grönsaker är den speciellt hög, runt 30 % högre än i spannmål. De värden som nu finns i tabellen ovanför nedbrytningsfaktor skiljer sig mot den ursprungliga ICBM-modellen och kan inte direkt översättas till en viss nedbrytning. De har dessutom använts för anpassa resultatet till långliggande försök.</a:t>
          </a:r>
        </a:p>
        <a:p>
          <a:r>
            <a:rPr lang="sv-SE" sz="1100">
              <a:solidFill>
                <a:schemeClr val="dk1"/>
              </a:solidFill>
              <a:effectLst/>
              <a:latin typeface="+mn-lt"/>
              <a:ea typeface="+mn-ea"/>
              <a:cs typeface="+mn-cs"/>
            </a:rPr>
            <a:t>Det är också skillnad var i landet vi befinner oss. Under fliken Produktionsområde kan du se den relativa skillnaden vi använder där nedbrytning. I Götalands södra slättbygder är nedbrytningshastigheten ca 30 % högre än i Svealands slättbygder vilken i sin tur ar runt 50 % högre än i Övre Norrland.</a:t>
          </a:r>
        </a:p>
        <a:p>
          <a:r>
            <a:rPr lang="sv-SE" sz="1100">
              <a:solidFill>
                <a:schemeClr val="dk1"/>
              </a:solidFill>
              <a:effectLst/>
              <a:latin typeface="+mn-lt"/>
              <a:ea typeface="+mn-ea"/>
              <a:cs typeface="+mn-cs"/>
            </a:rPr>
            <a:t> </a:t>
          </a:r>
          <a:endParaRPr lang="sv-SE" sz="1600">
            <a:solidFill>
              <a:schemeClr val="dk1"/>
            </a:solidFill>
            <a:effectLst/>
            <a:latin typeface="+mn-lt"/>
            <a:ea typeface="+mn-ea"/>
            <a:cs typeface="+mn-cs"/>
          </a:endParaRPr>
        </a:p>
        <a:p>
          <a:r>
            <a:rPr lang="sv-SE" sz="1100" b="1">
              <a:solidFill>
                <a:schemeClr val="dk1"/>
              </a:solidFill>
              <a:effectLst/>
              <a:latin typeface="+mn-lt"/>
              <a:ea typeface="+mn-ea"/>
              <a:cs typeface="+mn-cs"/>
            </a:rPr>
            <a:t>Diagram att visa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Balanserna för respektive alternativ finns nu sammanfattat under i ett stapeldiagram längs upp. Ett diagram över kolutvecklingen kompletterar. Ute till höger finns de konkreta siffrorna. Det måste dock sägas att det finns ett stort mått av osäkerhet i de absoluta siffrorna. Titta främst på skillnaderna och vilken riktning utveckling tar i de två alternativen.</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Data skörd-mull</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Sammanfattande material kring mullhalt och skördeutveckling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Mullinfo</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Olika faktorers påverkan på mullhalten</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Utlakningsberäkning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Här sker automatiskt en beräkning av utlakning utifrån fakta från Huvudinmatning och 4 principer. Inget att fylla i</a:t>
          </a:r>
        </a:p>
        <a:p>
          <a:pPr lvl="0"/>
          <a:r>
            <a:rPr lang="sv-SE" sz="1100">
              <a:solidFill>
                <a:schemeClr val="dk1"/>
              </a:solidFill>
              <a:effectLst/>
              <a:latin typeface="+mn-lt"/>
              <a:ea typeface="+mn-ea"/>
              <a:cs typeface="+mn-cs"/>
            </a:rPr>
            <a:t>Grundutlakning utifrån gröda och jordart</a:t>
          </a:r>
        </a:p>
        <a:p>
          <a:pPr lvl="0"/>
          <a:r>
            <a:rPr lang="sv-SE" sz="1100">
              <a:solidFill>
                <a:schemeClr val="dk1"/>
              </a:solidFill>
              <a:effectLst/>
              <a:latin typeface="+mn-lt"/>
              <a:ea typeface="+mn-ea"/>
              <a:cs typeface="+mn-cs"/>
            </a:rPr>
            <a:t>Justering utifrån bearbetningstidpunkt på hösten</a:t>
          </a:r>
        </a:p>
        <a:p>
          <a:pPr lvl="0"/>
          <a:r>
            <a:rPr lang="sv-SE" sz="1100">
              <a:solidFill>
                <a:schemeClr val="dk1"/>
              </a:solidFill>
              <a:effectLst/>
              <a:latin typeface="+mn-lt"/>
              <a:ea typeface="+mn-ea"/>
              <a:cs typeface="+mn-cs"/>
            </a:rPr>
            <a:t>Justering utifrån fånggröda</a:t>
          </a:r>
        </a:p>
        <a:p>
          <a:pPr lvl="0"/>
          <a:r>
            <a:rPr lang="sv-SE" sz="1100">
              <a:solidFill>
                <a:schemeClr val="dk1"/>
              </a:solidFill>
              <a:effectLst/>
              <a:latin typeface="+mn-lt"/>
              <a:ea typeface="+mn-ea"/>
              <a:cs typeface="+mn-cs"/>
            </a:rPr>
            <a:t>Tillägg för stallgödseltillförsel med hänsyn till spridningstidpunkt</a:t>
          </a:r>
        </a:p>
        <a:p>
          <a:r>
            <a:rPr lang="sv-SE" sz="1100">
              <a:solidFill>
                <a:schemeClr val="dk1"/>
              </a:solidFill>
              <a:effectLst/>
              <a:latin typeface="+mn-lt"/>
              <a:ea typeface="+mn-ea"/>
              <a:cs typeface="+mn-cs"/>
            </a:rPr>
            <a:t> </a:t>
          </a:r>
        </a:p>
        <a:p>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endParaRPr lang="sv-SE" sz="1100" b="1">
            <a:solidFill>
              <a:schemeClr val="dk1"/>
            </a:solidFill>
            <a:effectLst/>
            <a:latin typeface="+mn-lt"/>
            <a:ea typeface="+mn-ea"/>
            <a:cs typeface="+mn-cs"/>
          </a:endParaRPr>
        </a:p>
        <a:p>
          <a:r>
            <a:rPr lang="sv-SE" sz="1100" b="1">
              <a:solidFill>
                <a:schemeClr val="dk1"/>
              </a:solidFill>
              <a:effectLst/>
              <a:latin typeface="+mn-lt"/>
              <a:ea typeface="+mn-ea"/>
              <a:cs typeface="+mn-cs"/>
            </a:rPr>
            <a:t>Flik Växthusgasberäkning</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sker automatiskt en beräkning av klimatgasutsläpp uttryckt som koldioxidekvivalenter (CO2e) utifrån fakta från Huvudinmatning, Miljösammanfattning (Dieselåtgång) och indirekt mullberäkning. Inget att fylla i förutom ev. N-faktor om nya grödor läggs till. Baseras på 5 poster utifrån samma principer som i VERA:</a:t>
          </a:r>
        </a:p>
        <a:p>
          <a:pPr lvl="0"/>
          <a:r>
            <a:rPr lang="sv-SE" sz="1100">
              <a:solidFill>
                <a:schemeClr val="dk1"/>
              </a:solidFill>
              <a:effectLst/>
              <a:latin typeface="+mn-lt"/>
              <a:ea typeface="+mn-ea"/>
              <a:cs typeface="+mn-cs"/>
            </a:rPr>
            <a:t>Lustgasavgång pga. av tillverkning av kvävegödselmedel.</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(N-giva från Gröddata*scablon (IPCC)).</a:t>
          </a:r>
        </a:p>
        <a:p>
          <a:pPr lvl="0"/>
          <a:r>
            <a:rPr lang="sv-SE" sz="1100">
              <a:solidFill>
                <a:schemeClr val="dk1"/>
              </a:solidFill>
              <a:effectLst/>
              <a:latin typeface="+mn-lt"/>
              <a:ea typeface="+mn-ea"/>
              <a:cs typeface="+mn-cs"/>
            </a:rPr>
            <a:t>CO</a:t>
          </a:r>
          <a:r>
            <a:rPr lang="sv-SE" sz="1100" baseline="-25000">
              <a:solidFill>
                <a:schemeClr val="dk1"/>
              </a:solidFill>
              <a:effectLst/>
              <a:latin typeface="+mn-lt"/>
              <a:ea typeface="+mn-ea"/>
              <a:cs typeface="+mn-cs"/>
            </a:rPr>
            <a:t>2</a:t>
          </a:r>
          <a:r>
            <a:rPr lang="sv-SE" sz="1100">
              <a:solidFill>
                <a:schemeClr val="dk1"/>
              </a:solidFill>
              <a:effectLst/>
              <a:latin typeface="+mn-lt"/>
              <a:ea typeface="+mn-ea"/>
              <a:cs typeface="+mn-cs"/>
            </a:rPr>
            <a:t>-avgång pga. diselanvändning. Skillnad i dieselanvändning fås från Miljösammanfattning</a:t>
          </a:r>
        </a:p>
        <a:p>
          <a:pPr lvl="0"/>
          <a:r>
            <a:rPr lang="sv-SE" sz="1100">
              <a:solidFill>
                <a:schemeClr val="dk1"/>
              </a:solidFill>
              <a:effectLst/>
              <a:latin typeface="+mn-lt"/>
              <a:ea typeface="+mn-ea"/>
              <a:cs typeface="+mn-cs"/>
            </a:rPr>
            <a:t>Lustgasavgång pga. kväveutlakning.</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(kg N från Utlakningsberäkning*schablon (IPCC).</a:t>
          </a:r>
        </a:p>
        <a:p>
          <a:pPr lvl="0"/>
          <a:r>
            <a:rPr lang="sv-SE" sz="1100">
              <a:solidFill>
                <a:schemeClr val="dk1"/>
              </a:solidFill>
              <a:effectLst/>
              <a:latin typeface="+mn-lt"/>
              <a:ea typeface="+mn-ea"/>
              <a:cs typeface="+mn-cs"/>
            </a:rPr>
            <a:t>Övriga insatsvaror (Schablon för fasta arbeten exkl. diesel enligt Odling i balans).</a:t>
          </a:r>
        </a:p>
        <a:p>
          <a:pPr lvl="0"/>
          <a:r>
            <a:rPr lang="sv-SE" sz="1100">
              <a:solidFill>
                <a:schemeClr val="dk1"/>
              </a:solidFill>
              <a:effectLst/>
              <a:latin typeface="+mn-lt"/>
              <a:ea typeface="+mn-ea"/>
              <a:cs typeface="+mn-cs"/>
            </a:rPr>
            <a:t>Lustgasavgång från marken pga. kvävetillförsel från mineralgödsel (kg N från Gröddata*schablon (IPCC)), stallgödsel (kg N från huvudinmatning*schablon (IPCC)) samt växter och rötter (grödschablon, NV)).</a:t>
          </a:r>
        </a:p>
        <a:p>
          <a:pPr lvl="0"/>
          <a:r>
            <a:rPr lang="sv-SE" sz="1100">
              <a:solidFill>
                <a:schemeClr val="dk1"/>
              </a:solidFill>
              <a:effectLst/>
              <a:latin typeface="+mn-lt"/>
              <a:ea typeface="+mn-ea"/>
              <a:cs typeface="+mn-cs"/>
            </a:rPr>
            <a:t>Mullförändring (+/- CO</a:t>
          </a:r>
          <a:r>
            <a:rPr lang="sv-SE" sz="1100" baseline="-25000">
              <a:solidFill>
                <a:schemeClr val="dk1"/>
              </a:solidFill>
              <a:effectLst/>
              <a:latin typeface="+mn-lt"/>
              <a:ea typeface="+mn-ea"/>
              <a:cs typeface="+mn-cs"/>
            </a:rPr>
            <a:t>2</a:t>
          </a:r>
          <a:r>
            <a:rPr lang="sv-SE" sz="1100">
              <a:solidFill>
                <a:schemeClr val="dk1"/>
              </a:solidFill>
              <a:effectLst/>
              <a:latin typeface="+mn-lt"/>
              <a:ea typeface="+mn-ea"/>
              <a:cs typeface="+mn-cs"/>
            </a:rPr>
            <a:t>). Skillnad i kolbalans från Mullberäkning</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Gröddata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Innehåller data grödvis för den ekonomiska beräkningen och som ett stöd i diskussionen med lantbrukaren. Ekonomiska data är en färskvara och du ser i ovankant när dessa senast är uppdaterade. Observera de praktiska summeringskolumnerna Sum kostn (som automatiskt överförs till Kostnader) där alla kostnader finns med</a:t>
          </a:r>
        </a:p>
        <a:p>
          <a:pPr lvl="0"/>
          <a:r>
            <a:rPr lang="sv-SE" sz="1100">
              <a:solidFill>
                <a:schemeClr val="dk1"/>
              </a:solidFill>
              <a:effectLst/>
              <a:latin typeface="+mn-lt"/>
              <a:ea typeface="+mn-ea"/>
              <a:cs typeface="+mn-cs"/>
            </a:rPr>
            <a:t>Justera NPK-priserna</a:t>
          </a:r>
        </a:p>
        <a:p>
          <a:pPr lvl="0"/>
          <a:r>
            <a:rPr lang="sv-SE" sz="1100">
              <a:solidFill>
                <a:schemeClr val="dk1"/>
              </a:solidFill>
              <a:effectLst/>
              <a:latin typeface="+mn-lt"/>
              <a:ea typeface="+mn-ea"/>
              <a:cs typeface="+mn-cs"/>
            </a:rPr>
            <a:t>Justera produktpriserna</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b="1">
              <a:solidFill>
                <a:schemeClr val="dk1"/>
              </a:solidFill>
              <a:effectLst/>
              <a:latin typeface="+mn-lt"/>
              <a:ea typeface="+mn-ea"/>
              <a:cs typeface="+mn-cs"/>
            </a:rPr>
            <a:t>Lägga in ny gröda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Du kan lägga till nya grödor i de blå rutorna i kolumn A. </a:t>
          </a:r>
          <a:r>
            <a:rPr lang="sv-SE" sz="1100" b="1">
              <a:solidFill>
                <a:schemeClr val="dk1"/>
              </a:solidFill>
              <a:effectLst/>
              <a:latin typeface="+mn-lt"/>
              <a:ea typeface="+mn-ea"/>
              <a:cs typeface="+mn-cs"/>
            </a:rPr>
            <a:t>OBS! Du måste även fylla i</a:t>
          </a:r>
          <a:r>
            <a:rPr lang="sv-SE" sz="1100">
              <a:solidFill>
                <a:schemeClr val="dk1"/>
              </a:solidFill>
              <a:effectLst/>
              <a:latin typeface="+mn-lt"/>
              <a:ea typeface="+mn-ea"/>
              <a:cs typeface="+mn-cs"/>
            </a:rPr>
            <a:t>:</a:t>
          </a:r>
        </a:p>
        <a:p>
          <a:pPr lvl="0"/>
          <a:r>
            <a:rPr lang="sv-SE" sz="1100">
              <a:solidFill>
                <a:schemeClr val="dk1"/>
              </a:solidFill>
              <a:effectLst/>
              <a:latin typeface="+mn-lt"/>
              <a:ea typeface="+mn-ea"/>
              <a:cs typeface="+mn-cs"/>
            </a:rPr>
            <a:t>Schablonskörd i kolumn B</a:t>
          </a:r>
        </a:p>
        <a:p>
          <a:pPr lvl="0"/>
          <a:r>
            <a:rPr lang="sv-SE" sz="1100">
              <a:solidFill>
                <a:schemeClr val="dk1"/>
              </a:solidFill>
              <a:effectLst/>
              <a:latin typeface="+mn-lt"/>
              <a:ea typeface="+mn-ea"/>
              <a:cs typeface="+mn-cs"/>
            </a:rPr>
            <a:t>Produktpris i kolumn D</a:t>
          </a:r>
        </a:p>
        <a:p>
          <a:pPr lvl="0"/>
          <a:r>
            <a:rPr lang="sv-SE" sz="1100">
              <a:solidFill>
                <a:schemeClr val="dk1"/>
              </a:solidFill>
              <a:effectLst/>
              <a:latin typeface="+mn-lt"/>
              <a:ea typeface="+mn-ea"/>
              <a:cs typeface="+mn-cs"/>
            </a:rPr>
            <a:t>Kostnader i kolumn E till I. Ta stöd i uppgifterna ovanför vid brist på annat.</a:t>
          </a:r>
        </a:p>
        <a:p>
          <a:pPr lvl="0"/>
          <a:r>
            <a:rPr lang="sv-SE" sz="1100">
              <a:solidFill>
                <a:schemeClr val="dk1"/>
              </a:solidFill>
              <a:effectLst/>
              <a:latin typeface="+mn-lt"/>
              <a:ea typeface="+mn-ea"/>
              <a:cs typeface="+mn-cs"/>
            </a:rPr>
            <a:t>Typ av gröda för mullberäkning i kolumn N. Typ 1 = spannmål, Typ 2 = vall,</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Typ 3 = potatis/sockerbetor/grönsaker. </a:t>
          </a:r>
        </a:p>
        <a:p>
          <a:pPr lvl="0"/>
          <a:r>
            <a:rPr lang="sv-SE" sz="1100">
              <a:solidFill>
                <a:schemeClr val="dk1"/>
              </a:solidFill>
              <a:effectLst/>
              <a:latin typeface="+mn-lt"/>
              <a:ea typeface="+mn-ea"/>
              <a:cs typeface="+mn-cs"/>
            </a:rPr>
            <a:t>Gå till Utlakning och Växthusgaser och gör de tillägg som krävs där</a:t>
          </a: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 </a:t>
          </a:r>
        </a:p>
        <a:p>
          <a:r>
            <a:rPr lang="sv-SE" sz="1100" b="1">
              <a:solidFill>
                <a:schemeClr val="dk1"/>
              </a:solidFill>
              <a:effectLst/>
              <a:latin typeface="+mn-lt"/>
              <a:ea typeface="+mn-ea"/>
              <a:cs typeface="+mn-cs"/>
            </a:rPr>
            <a:t>Flik Stallgödseldata</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t>
          </a:r>
        </a:p>
        <a:p>
          <a:r>
            <a:rPr lang="sv-SE" sz="1100">
              <a:solidFill>
                <a:schemeClr val="dk1"/>
              </a:solidFill>
              <a:effectLst/>
              <a:latin typeface="+mn-lt"/>
              <a:ea typeface="+mn-ea"/>
              <a:cs typeface="+mn-cs"/>
            </a:rPr>
            <a:t>Här finns data till de vanligast förekommande stallgödselslagen hämtat från Greppa Näringens Stallgödselkalkyl. Förutom växtnäringsinnehåll finns här spridningskostnader samt kostnad för packning vid olika spridningstidpunkter. </a:t>
          </a:r>
        </a:p>
        <a:p>
          <a:pPr lvl="0"/>
          <a:r>
            <a:rPr lang="sv-SE" sz="1100">
              <a:solidFill>
                <a:schemeClr val="dk1"/>
              </a:solidFill>
              <a:effectLst/>
              <a:latin typeface="+mn-lt"/>
              <a:ea typeface="+mn-ea"/>
              <a:cs typeface="+mn-cs"/>
            </a:rPr>
            <a:t>Här beräknas automatiskt ekonomiskt utfall vid stallgödseltillförsel inkl. packningskostnad. Packningskostnaden beror på lerhalten, vilket styrs via inmatad jordart i Grunddata.</a:t>
          </a:r>
        </a:p>
        <a:p>
          <a:pPr lvl="0"/>
          <a:r>
            <a:rPr lang="sv-SE" sz="1100">
              <a:solidFill>
                <a:schemeClr val="dk1"/>
              </a:solidFill>
              <a:effectLst/>
              <a:latin typeface="+mn-lt"/>
              <a:ea typeface="+mn-ea"/>
              <a:cs typeface="+mn-cs"/>
            </a:rPr>
            <a:t>Packningskostnaden beräknas som en procentuell skada multiplicerad med skördevärdet. Ändra detta skördevärde så det stämmer med den aktuella situationen.</a:t>
          </a:r>
        </a:p>
        <a:p>
          <a:pPr lvl="0"/>
          <a:r>
            <a:rPr lang="sv-SE" sz="1100">
              <a:solidFill>
                <a:schemeClr val="dk1"/>
              </a:solidFill>
              <a:effectLst/>
              <a:latin typeface="+mn-lt"/>
              <a:ea typeface="+mn-ea"/>
              <a:cs typeface="+mn-cs"/>
            </a:rPr>
            <a:t>NPK-värdet kan justeras i tabellen genom att ändra procenttalen vilket kan vara aktuellt t.ex. vid höga markvärden när PK-effekten inte fullt ut erhålles.</a:t>
          </a:r>
        </a:p>
        <a:p>
          <a:pPr lvl="0"/>
          <a:r>
            <a:rPr lang="sv-SE" sz="1100">
              <a:solidFill>
                <a:schemeClr val="dk1"/>
              </a:solidFill>
              <a:effectLst/>
              <a:latin typeface="+mn-lt"/>
              <a:ea typeface="+mn-ea"/>
              <a:cs typeface="+mn-cs"/>
            </a:rPr>
            <a:t>Justera spridningskostnaderna efter situationen på gården/bygden.</a:t>
          </a:r>
        </a:p>
        <a:p>
          <a:pPr lvl="0"/>
          <a:r>
            <a:rPr lang="sv-SE" sz="1100">
              <a:solidFill>
                <a:schemeClr val="dk1"/>
              </a:solidFill>
              <a:effectLst/>
              <a:latin typeface="+mn-lt"/>
              <a:ea typeface="+mn-ea"/>
              <a:cs typeface="+mn-cs"/>
            </a:rPr>
            <a:t>Lägger du in nytt stallgödselslag fyller du i stallgödseltyp, växtnäringsinnehåll och spridningskostnad.</a:t>
          </a:r>
          <a:br>
            <a:rPr lang="sv-SE" sz="1100">
              <a:solidFill>
                <a:schemeClr val="dk1"/>
              </a:solidFill>
              <a:effectLst/>
              <a:latin typeface="+mn-lt"/>
              <a:ea typeface="+mn-ea"/>
              <a:cs typeface="+mn-cs"/>
            </a:rPr>
          </a:b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a:r>
          <a:br>
            <a:rPr lang="sv-SE" sz="1100">
              <a:solidFill>
                <a:schemeClr val="dk1"/>
              </a:solidFill>
              <a:effectLst/>
              <a:latin typeface="+mn-lt"/>
              <a:ea typeface="+mn-ea"/>
              <a:cs typeface="+mn-cs"/>
            </a:rPr>
          </a:br>
          <a:r>
            <a:rPr lang="sv-SE" sz="1100">
              <a:solidFill>
                <a:schemeClr val="dk1"/>
              </a:solidFill>
              <a:effectLst/>
              <a:latin typeface="+mn-lt"/>
              <a:ea typeface="+mn-ea"/>
              <a:cs typeface="+mn-cs"/>
            </a:rPr>
            <a:t> </a:t>
          </a:r>
        </a:p>
        <a:p>
          <a:r>
            <a:rPr lang="sv-SE" sz="1100" b="1">
              <a:solidFill>
                <a:srgbClr val="FF0000"/>
              </a:solidFill>
              <a:effectLst/>
              <a:latin typeface="+mn-lt"/>
              <a:ea typeface="+mn-ea"/>
              <a:cs typeface="+mn-cs"/>
            </a:rPr>
            <a:t>Flik Underlag spannmål</a:t>
          </a:r>
          <a:endParaRPr lang="sv-SE" sz="1100">
            <a:solidFill>
              <a:srgbClr val="FF0000"/>
            </a:solidFill>
            <a:effectLst/>
            <a:latin typeface="+mn-lt"/>
            <a:ea typeface="+mn-ea"/>
            <a:cs typeface="+mn-cs"/>
          </a:endParaRPr>
        </a:p>
        <a:p>
          <a:r>
            <a:rPr lang="sv-SE" sz="1100">
              <a:solidFill>
                <a:srgbClr val="FF0000"/>
              </a:solidFill>
              <a:effectLst/>
              <a:latin typeface="+mn-lt"/>
              <a:ea typeface="+mn-ea"/>
              <a:cs typeface="+mn-cs"/>
            </a:rPr>
            <a:t> </a:t>
          </a:r>
        </a:p>
        <a:p>
          <a:r>
            <a:rPr lang="sv-SE" sz="1100">
              <a:solidFill>
                <a:srgbClr val="FF0000"/>
              </a:solidFill>
              <a:effectLst/>
              <a:latin typeface="+mn-lt"/>
              <a:ea typeface="+mn-ea"/>
              <a:cs typeface="+mn-cs"/>
            </a:rPr>
            <a:t/>
          </a:r>
          <a:br>
            <a:rPr lang="sv-SE" sz="1100">
              <a:solidFill>
                <a:srgbClr val="FF0000"/>
              </a:solidFill>
              <a:effectLst/>
              <a:latin typeface="+mn-lt"/>
              <a:ea typeface="+mn-ea"/>
              <a:cs typeface="+mn-cs"/>
            </a:rPr>
          </a:br>
          <a:r>
            <a:rPr lang="sv-SE" sz="1100">
              <a:solidFill>
                <a:srgbClr val="FF0000"/>
              </a:solidFill>
              <a:effectLst/>
              <a:latin typeface="+mn-lt"/>
              <a:ea typeface="+mn-ea"/>
              <a:cs typeface="+mn-cs"/>
            </a:rPr>
            <a:t>Underlag till kostnader för olika spannmålsslag</a:t>
          </a:r>
        </a:p>
        <a:p>
          <a:pPr lvl="0"/>
          <a:r>
            <a:rPr lang="sv-SE" sz="1100">
              <a:solidFill>
                <a:srgbClr val="FF0000"/>
              </a:solidFill>
              <a:effectLst/>
              <a:latin typeface="+mn-lt"/>
              <a:ea typeface="+mn-ea"/>
              <a:cs typeface="+mn-cs"/>
            </a:rPr>
            <a:t>N, P och K-priset styrs från Gröddata</a:t>
          </a:r>
        </a:p>
        <a:p>
          <a:pPr lvl="0"/>
          <a:r>
            <a:rPr lang="sv-SE" sz="1100">
              <a:solidFill>
                <a:srgbClr val="FF0000"/>
              </a:solidFill>
              <a:effectLst/>
              <a:latin typeface="+mn-lt"/>
              <a:ea typeface="+mn-ea"/>
              <a:cs typeface="+mn-cs"/>
            </a:rPr>
            <a:t>N-, P- och K-mängden är skörderelaterad. </a:t>
          </a:r>
        </a:p>
        <a:p>
          <a:pPr lvl="1"/>
          <a:r>
            <a:rPr lang="sv-SE" sz="1100">
              <a:solidFill>
                <a:srgbClr val="FF0000"/>
              </a:solidFill>
              <a:effectLst/>
              <a:latin typeface="+mn-lt"/>
              <a:ea typeface="+mn-ea"/>
              <a:cs typeface="+mn-cs"/>
            </a:rPr>
            <a:t>N-givan kommer från kvävesimulatorn (se flik Kvävesimulator) </a:t>
          </a:r>
        </a:p>
        <a:p>
          <a:pPr lvl="1"/>
          <a:r>
            <a:rPr lang="sv-SE" sz="1100">
              <a:solidFill>
                <a:srgbClr val="FF0000"/>
              </a:solidFill>
              <a:effectLst/>
              <a:latin typeface="+mn-lt"/>
              <a:ea typeface="+mn-ea"/>
              <a:cs typeface="+mn-cs"/>
            </a:rPr>
            <a:t>P och K styrs utifrån angiven P- o K-klass i Grunddata och angiven skörd baserat på Riktlinjer för gödsling och kalkning.</a:t>
          </a:r>
        </a:p>
        <a:p>
          <a:pPr lvl="0"/>
          <a:r>
            <a:rPr lang="sv-SE" sz="1100">
              <a:solidFill>
                <a:srgbClr val="FF0000"/>
              </a:solidFill>
              <a:effectLst/>
              <a:latin typeface="+mn-lt"/>
              <a:ea typeface="+mn-ea"/>
              <a:cs typeface="+mn-cs"/>
            </a:rPr>
            <a:t>Ändra vid behov preparat och doserna för ogräs resp svampbehandlingen</a:t>
          </a:r>
        </a:p>
        <a:p>
          <a:r>
            <a:rPr lang="sv-SE" sz="1100">
              <a:solidFill>
                <a:srgbClr val="FF0000"/>
              </a:solidFill>
              <a:effectLst/>
              <a:latin typeface="+mn-lt"/>
              <a:ea typeface="+mn-ea"/>
              <a:cs typeface="+mn-cs"/>
            </a:rPr>
            <a:t> </a:t>
          </a:r>
        </a:p>
        <a:p>
          <a:r>
            <a:rPr lang="sv-SE" sz="1100">
              <a:solidFill>
                <a:srgbClr val="FF0000"/>
              </a:solidFill>
              <a:effectLst/>
              <a:latin typeface="+mn-lt"/>
              <a:ea typeface="+mn-ea"/>
              <a:cs typeface="+mn-cs"/>
            </a:rPr>
            <a:t/>
          </a:r>
          <a:br>
            <a:rPr lang="sv-SE" sz="1100">
              <a:solidFill>
                <a:srgbClr val="FF0000"/>
              </a:solidFill>
              <a:effectLst/>
              <a:latin typeface="+mn-lt"/>
              <a:ea typeface="+mn-ea"/>
              <a:cs typeface="+mn-cs"/>
            </a:rPr>
          </a:br>
          <a:endParaRPr lang="sv-SE" sz="1100">
            <a:solidFill>
              <a:srgbClr val="FF0000"/>
            </a:solidFill>
            <a:effectLst/>
            <a:latin typeface="+mn-lt"/>
            <a:ea typeface="+mn-ea"/>
            <a:cs typeface="+mn-cs"/>
          </a:endParaRPr>
        </a:p>
        <a:p>
          <a:r>
            <a:rPr lang="sv-SE" sz="1100" b="1">
              <a:solidFill>
                <a:srgbClr val="FF0000"/>
              </a:solidFill>
              <a:effectLst/>
              <a:latin typeface="+mn-lt"/>
              <a:ea typeface="+mn-ea"/>
              <a:cs typeface="+mn-cs"/>
            </a:rPr>
            <a:t>Flik Underlag oljeväxter, trindsäd</a:t>
          </a:r>
          <a:endParaRPr lang="sv-SE" sz="1100">
            <a:solidFill>
              <a:srgbClr val="FF0000"/>
            </a:solidFill>
            <a:effectLst/>
            <a:latin typeface="+mn-lt"/>
            <a:ea typeface="+mn-ea"/>
            <a:cs typeface="+mn-cs"/>
          </a:endParaRPr>
        </a:p>
        <a:p>
          <a:r>
            <a:rPr lang="sv-SE" sz="1100">
              <a:solidFill>
                <a:srgbClr val="FF0000"/>
              </a:solidFill>
              <a:effectLst/>
              <a:latin typeface="+mn-lt"/>
              <a:ea typeface="+mn-ea"/>
              <a:cs typeface="+mn-cs"/>
            </a:rPr>
            <a:t> </a:t>
          </a:r>
        </a:p>
        <a:p>
          <a:r>
            <a:rPr lang="sv-SE" sz="1100">
              <a:solidFill>
                <a:srgbClr val="FF0000"/>
              </a:solidFill>
              <a:effectLst/>
              <a:latin typeface="+mn-lt"/>
              <a:ea typeface="+mn-ea"/>
              <a:cs typeface="+mn-cs"/>
            </a:rPr>
            <a:t/>
          </a:r>
          <a:br>
            <a:rPr lang="sv-SE" sz="1100">
              <a:solidFill>
                <a:srgbClr val="FF0000"/>
              </a:solidFill>
              <a:effectLst/>
              <a:latin typeface="+mn-lt"/>
              <a:ea typeface="+mn-ea"/>
              <a:cs typeface="+mn-cs"/>
            </a:rPr>
          </a:br>
          <a:r>
            <a:rPr lang="sv-SE" sz="1100">
              <a:solidFill>
                <a:srgbClr val="FF0000"/>
              </a:solidFill>
              <a:effectLst/>
              <a:latin typeface="+mn-lt"/>
              <a:ea typeface="+mn-ea"/>
              <a:cs typeface="+mn-cs"/>
            </a:rPr>
            <a:t>Underlag till kostnader för olika slag av oljeväxter och trindsäd</a:t>
          </a:r>
        </a:p>
        <a:p>
          <a:pPr lvl="0"/>
          <a:r>
            <a:rPr lang="sv-SE" sz="1100">
              <a:solidFill>
                <a:srgbClr val="FF0000"/>
              </a:solidFill>
              <a:effectLst/>
              <a:latin typeface="+mn-lt"/>
              <a:ea typeface="+mn-ea"/>
              <a:cs typeface="+mn-cs"/>
            </a:rPr>
            <a:t>N, P och K-priset styrs från Gröddata</a:t>
          </a:r>
        </a:p>
        <a:p>
          <a:pPr lvl="0"/>
          <a:r>
            <a:rPr lang="sv-SE" sz="1100">
              <a:solidFill>
                <a:srgbClr val="FF0000"/>
              </a:solidFill>
              <a:effectLst/>
              <a:latin typeface="+mn-lt"/>
              <a:ea typeface="+mn-ea"/>
              <a:cs typeface="+mn-cs"/>
            </a:rPr>
            <a:t>N-, P- och K-mängden är skörderelaterad. </a:t>
          </a:r>
        </a:p>
        <a:p>
          <a:pPr lvl="1"/>
          <a:r>
            <a:rPr lang="sv-SE" sz="1100">
              <a:solidFill>
                <a:srgbClr val="FF0000"/>
              </a:solidFill>
              <a:effectLst/>
              <a:latin typeface="+mn-lt"/>
              <a:ea typeface="+mn-ea"/>
              <a:cs typeface="+mn-cs"/>
            </a:rPr>
            <a:t>N-givan kommer från kvävesimulatorn (se flik Kvävesimulator) + den höstgiva som är angiven</a:t>
          </a:r>
        </a:p>
        <a:p>
          <a:pPr lvl="1"/>
          <a:r>
            <a:rPr lang="sv-SE" sz="1100">
              <a:solidFill>
                <a:srgbClr val="FF0000"/>
              </a:solidFill>
              <a:effectLst/>
              <a:latin typeface="+mn-lt"/>
              <a:ea typeface="+mn-ea"/>
              <a:cs typeface="+mn-cs"/>
            </a:rPr>
            <a:t>P och K styrs utifrån angiven P- o K-klass i Grunddata och angiven skörd baserat på Riktlinjer för gödsling och kalkning.</a:t>
          </a:r>
        </a:p>
        <a:p>
          <a:pPr lvl="1"/>
          <a:r>
            <a:rPr lang="sv-SE" sz="1100">
              <a:solidFill>
                <a:srgbClr val="FF0000"/>
              </a:solidFill>
              <a:effectLst/>
              <a:latin typeface="+mn-lt"/>
              <a:ea typeface="+mn-ea"/>
              <a:cs typeface="+mn-cs"/>
            </a:rPr>
            <a:t> </a:t>
          </a:r>
        </a:p>
        <a:p>
          <a:r>
            <a:rPr lang="sv-SE" sz="1100">
              <a:solidFill>
                <a:srgbClr val="FF0000"/>
              </a:solidFill>
              <a:effectLst/>
              <a:latin typeface="+mn-lt"/>
              <a:ea typeface="+mn-ea"/>
              <a:cs typeface="+mn-cs"/>
            </a:rPr>
            <a:t>Ändra vid behov preparat och doserna för ogräs resp. svampbehandlingen</a:t>
          </a:r>
          <a:br>
            <a:rPr lang="sv-SE" sz="1100">
              <a:solidFill>
                <a:srgbClr val="FF0000"/>
              </a:solidFill>
              <a:effectLst/>
              <a:latin typeface="+mn-lt"/>
              <a:ea typeface="+mn-ea"/>
              <a:cs typeface="+mn-cs"/>
            </a:rPr>
          </a:br>
          <a:endParaRPr lang="sv-SE" sz="1100">
            <a:solidFill>
              <a:srgbClr val="FF0000"/>
            </a:solidFill>
            <a:effectLst/>
            <a:latin typeface="+mn-lt"/>
            <a:ea typeface="+mn-ea"/>
            <a:cs typeface="+mn-cs"/>
          </a:endParaRPr>
        </a:p>
        <a:p>
          <a:r>
            <a:rPr lang="sv-SE" sz="1100">
              <a:solidFill>
                <a:schemeClr val="dk1"/>
              </a:solidFill>
              <a:effectLst/>
              <a:latin typeface="+mn-lt"/>
              <a:ea typeface="+mn-ea"/>
              <a:cs typeface="+mn-cs"/>
            </a:rPr>
            <a:t> </a:t>
          </a:r>
          <a:r>
            <a:rPr lang="sv-SE" sz="1100" b="1">
              <a:solidFill>
                <a:schemeClr val="dk1"/>
              </a:solidFill>
              <a:effectLst/>
              <a:latin typeface="+mn-lt"/>
              <a:ea typeface="+mn-ea"/>
              <a:cs typeface="+mn-cs"/>
            </a:rPr>
            <a:t>Övrigt</a:t>
          </a:r>
          <a:endParaRPr lang="sv-SE" sz="1100">
            <a:solidFill>
              <a:schemeClr val="dk1"/>
            </a:solidFill>
            <a:effectLst/>
            <a:latin typeface="+mn-lt"/>
            <a:ea typeface="+mn-ea"/>
            <a:cs typeface="+mn-cs"/>
          </a:endParaRPr>
        </a:p>
        <a:p>
          <a:r>
            <a:rPr lang="sv-SE" sz="1100">
              <a:solidFill>
                <a:schemeClr val="dk1"/>
              </a:solidFill>
              <a:effectLst/>
              <a:latin typeface="+mn-lt"/>
              <a:ea typeface="+mn-ea"/>
              <a:cs typeface="+mn-cs"/>
            </a:rPr>
            <a:t> Det finns ytterligare några hjälpflikar kring Produktionsområde och NPK-rekommendationer</a:t>
          </a:r>
        </a:p>
        <a:p>
          <a:r>
            <a:rPr lang="sv-SE" sz="1100">
              <a:solidFill>
                <a:schemeClr val="dk1"/>
              </a:solidFill>
              <a:effectLst/>
              <a:latin typeface="+mn-lt"/>
              <a:ea typeface="+mn-ea"/>
              <a:cs typeface="+mn-cs"/>
            </a:rPr>
            <a:t> </a:t>
          </a:r>
        </a:p>
        <a:p>
          <a:pPr marL="0" marR="0" lvl="0" indent="0" algn="r" defTabSz="914400" eaLnBrk="1" fontAlgn="auto" latinLnBrk="0" hangingPunct="1">
            <a:lnSpc>
              <a:spcPct val="100000"/>
            </a:lnSpc>
            <a:spcBef>
              <a:spcPts val="0"/>
            </a:spcBef>
            <a:spcAft>
              <a:spcPts val="0"/>
            </a:spcAft>
            <a:buClrTx/>
            <a:buSzTx/>
            <a:buFontTx/>
            <a:buNone/>
            <a:tabLst/>
            <a:defRPr/>
          </a:pPr>
          <a:r>
            <a:rPr lang="sv-SE" sz="1100" b="0" i="1">
              <a:solidFill>
                <a:schemeClr val="dk1"/>
              </a:solidFill>
              <a:effectLst/>
              <a:latin typeface="+mn-lt"/>
              <a:ea typeface="+mn-ea"/>
              <a:cs typeface="+mn-cs"/>
            </a:rPr>
            <a:t>Rev. 2018-09-20</a:t>
          </a:r>
          <a:endParaRPr lang="sv-SE">
            <a:effectLst/>
          </a:endParaRPr>
        </a:p>
        <a:p>
          <a:r>
            <a:rPr lang="sv-SE" sz="1100" b="1">
              <a:solidFill>
                <a:schemeClr val="dk1"/>
              </a:solidFill>
              <a:effectLst/>
              <a:latin typeface="+mn-lt"/>
              <a:ea typeface="+mn-ea"/>
              <a:cs typeface="+mn-cs"/>
            </a:rPr>
            <a:t>Intressanta åtgärder att diskutera på olika typgårdar</a:t>
          </a:r>
          <a:endParaRPr lang="sv-SE" sz="1100">
            <a:solidFill>
              <a:schemeClr val="dk1"/>
            </a:solidFill>
            <a:effectLst/>
            <a:latin typeface="+mn-lt"/>
            <a:ea typeface="+mn-ea"/>
            <a:cs typeface="+mn-cs"/>
          </a:endParaRPr>
        </a:p>
        <a:p>
          <a:endParaRPr lang="sv-SE" sz="1100"/>
        </a:p>
      </xdr:txBody>
    </xdr:sp>
    <xdr:clientData/>
  </xdr:twoCellAnchor>
  <mc:AlternateContent xmlns:mc="http://schemas.openxmlformats.org/markup-compatibility/2006">
    <mc:Choice xmlns:a14="http://schemas.microsoft.com/office/drawing/2010/main" Requires="a14">
      <xdr:twoCellAnchor>
        <xdr:from>
          <xdr:col>0</xdr:col>
          <xdr:colOff>142875</xdr:colOff>
          <xdr:row>508</xdr:row>
          <xdr:rowOff>76200</xdr:rowOff>
        </xdr:from>
        <xdr:to>
          <xdr:col>8</xdr:col>
          <xdr:colOff>361950</xdr:colOff>
          <xdr:row>530</xdr:row>
          <xdr:rowOff>85725</xdr:rowOff>
        </xdr:to>
        <xdr:sp macro="" textlink="">
          <xdr:nvSpPr>
            <xdr:cNvPr id="134149" name="Object 5" hidden="1">
              <a:extLst>
                <a:ext uri="{63B3BB69-23CF-44E3-9099-C40C66FF867C}">
                  <a14:compatExt spid="_x0000_s134149"/>
                </a:ext>
                <a:ext uri="{FF2B5EF4-FFF2-40B4-BE49-F238E27FC236}">
                  <a16:creationId xmlns:a16="http://schemas.microsoft.com/office/drawing/2014/main" id="{00000000-0008-0000-0000-0000050C0200}"/>
                </a:ext>
              </a:extLst>
            </xdr:cNvPr>
            <xdr:cNvSpPr/>
          </xdr:nvSpPr>
          <xdr:spPr bwMode="auto">
            <a:xfrm>
              <a:off x="0" y="0"/>
              <a:ext cx="0" cy="0"/>
            </a:xfrm>
            <a:prstGeom prst="rect">
              <a:avLst/>
            </a:prstGeom>
            <a:solidFill>
              <a:srgbClr val="FFFFFF" mc:Ignorable="a14" a14:legacySpreadsheetColorIndex="65"/>
            </a:solidFill>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1</xdr:col>
      <xdr:colOff>0</xdr:colOff>
      <xdr:row>6</xdr:row>
      <xdr:rowOff>0</xdr:rowOff>
    </xdr:from>
    <xdr:to>
      <xdr:col>16</xdr:col>
      <xdr:colOff>228600</xdr:colOff>
      <xdr:row>34</xdr:row>
      <xdr:rowOff>28575</xdr:rowOff>
    </xdr:to>
    <xdr:sp macro="" textlink="" fLocksText="0">
      <xdr:nvSpPr>
        <xdr:cNvPr id="7171" name="Text 5">
          <a:extLst>
            <a:ext uri="{FF2B5EF4-FFF2-40B4-BE49-F238E27FC236}">
              <a16:creationId xmlns:a16="http://schemas.microsoft.com/office/drawing/2014/main" id="{00000000-0008-0000-0900-0000031C0000}"/>
            </a:ext>
          </a:extLst>
        </xdr:cNvPr>
        <xdr:cNvSpPr txBox="1">
          <a:spLocks noChangeArrowheads="1"/>
        </xdr:cNvSpPr>
      </xdr:nvSpPr>
      <xdr:spPr bwMode="auto">
        <a:xfrm>
          <a:off x="609600" y="1104900"/>
          <a:ext cx="9372600" cy="4562475"/>
        </a:xfrm>
        <a:prstGeom prst="rect">
          <a:avLst/>
        </a:prstGeom>
        <a:solidFill>
          <a:srgbClr val="CCFFFF"/>
        </a:solidFill>
        <a:ln w="9360">
          <a:solidFill>
            <a:srgbClr val="1A1A1A"/>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defRPr sz="1000"/>
          </a:pPr>
          <a:r>
            <a:rPr lang="sv-SE" sz="1500" b="1" i="0" u="none" strike="noStrike" baseline="0">
              <a:solidFill>
                <a:srgbClr val="000000"/>
              </a:solidFill>
              <a:latin typeface="Times New Roman"/>
              <a:cs typeface="Times New Roman"/>
            </a:rPr>
            <a:t>Om skördeutveckling och mullhalt</a:t>
          </a:r>
        </a:p>
        <a:p>
          <a:pPr algn="l" rtl="0">
            <a:defRPr sz="1000"/>
          </a:pPr>
          <a:endParaRPr lang="sv-SE" sz="1500" b="1"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Att mullhalt har ett visst samband med jordens bördighet är nog allmänt accepterat. Å andra sidan har flera av våra mest högavkastande jordar, t ex på Skånes slättbygder, låga mullhalter. Hur går det hela ihop?</a:t>
          </a: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1" i="0" u="none" strike="noStrike" baseline="0">
              <a:solidFill>
                <a:srgbClr val="000000"/>
              </a:solidFill>
              <a:latin typeface="Times New Roman"/>
              <a:cs typeface="Times New Roman"/>
            </a:rPr>
            <a:t>Vi kan sammanfatta så här:</a:t>
          </a:r>
        </a:p>
        <a:p>
          <a:pPr algn="l" rtl="0">
            <a:defRPr sz="1000"/>
          </a:pPr>
          <a:r>
            <a:rPr lang="sv-SE" sz="1200" b="0" i="0" u="none" strike="noStrike" baseline="0">
              <a:solidFill>
                <a:srgbClr val="000000"/>
              </a:solidFill>
              <a:latin typeface="Times New Roman"/>
              <a:cs typeface="Times New Roman"/>
            </a:rPr>
            <a:t>Om marken har under 2% org kol får man i medeltal positiva skördeeffekter av mullhushållande åtgärder, och alldeles särskilt när skördenivån är hög. Det är inte säkert det märks varje år, men odlingssäkerheten ökar och i medeltal märks det på skörden.</a:t>
          </a:r>
        </a:p>
        <a:p>
          <a:pPr algn="l" rtl="0">
            <a:defRPr sz="1000"/>
          </a:pPr>
          <a:r>
            <a:rPr lang="sv-SE" sz="1200" b="0" i="0" u="none" strike="noStrike" baseline="0">
              <a:solidFill>
                <a:srgbClr val="000000"/>
              </a:solidFill>
              <a:latin typeface="Times New Roman"/>
              <a:cs typeface="Times New Roman"/>
            </a:rPr>
            <a:t>Mullhushållning är alltså viktigast vid hög skördenivå.</a:t>
          </a: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Det tar lång tid att påverka mullhalten, men en bättre mullhushållning ger mer organiskt material under omsättning och det är positivt i sig.</a:t>
          </a:r>
        </a:p>
        <a:p>
          <a:pPr algn="l" rtl="0">
            <a:defRPr sz="1000"/>
          </a:pPr>
          <a:r>
            <a:rPr lang="sv-SE" sz="1200" b="0" i="0" u="none" strike="noStrike" baseline="0">
              <a:solidFill>
                <a:srgbClr val="000000"/>
              </a:solidFill>
              <a:latin typeface="Times New Roman"/>
              <a:cs typeface="Times New Roman"/>
            </a:rPr>
            <a:t>Man får </a:t>
          </a:r>
          <a:r>
            <a:rPr lang="sv-SE" sz="1200" b="1" i="0" u="none" strike="noStrike" baseline="0">
              <a:solidFill>
                <a:srgbClr val="000000"/>
              </a:solidFill>
              <a:latin typeface="Times New Roman"/>
              <a:cs typeface="Times New Roman"/>
            </a:rPr>
            <a:t>mer liv i marken.</a:t>
          </a:r>
          <a:endParaRPr lang="sv-SE" sz="1200" b="0" i="0" u="none" strike="noStrike" baseline="0">
            <a:solidFill>
              <a:srgbClr val="000000"/>
            </a:solidFill>
            <a:latin typeface="Times New Roman"/>
            <a:cs typeface="Times New Roman"/>
          </a:endParaRPr>
        </a:p>
        <a:p>
          <a:pPr algn="l" rtl="0">
            <a:defRPr sz="1000"/>
          </a:pPr>
          <a:r>
            <a:rPr lang="sv-SE" sz="1200" b="0" i="0" u="none" strike="noStrike" baseline="0">
              <a:solidFill>
                <a:srgbClr val="000000"/>
              </a:solidFill>
              <a:latin typeface="Times New Roman"/>
              <a:cs typeface="Times New Roman"/>
            </a:rPr>
            <a:t>Försöksresultat kan kvantifieras som följer: för en höjning av halten organiskt kol med 0,1% får vi en skördeökning med 3-9% - under förutsättning att marken håller mindre än 2% organiskt kol och att man siktar på en hög skördenivå.</a:t>
          </a:r>
        </a:p>
        <a:p>
          <a:pPr algn="l" rtl="0">
            <a:defRPr sz="1000"/>
          </a:pPr>
          <a:endParaRPr lang="sv-SE" sz="1200" b="0" i="0" u="none" strike="noStrike" baseline="0">
            <a:solidFill>
              <a:srgbClr val="000000"/>
            </a:solidFill>
            <a:latin typeface="Times New Roman"/>
            <a:cs typeface="Times New Roman"/>
          </a:endParaRPr>
        </a:p>
        <a:p>
          <a:pPr algn="l" rtl="0">
            <a:defRPr sz="1000"/>
          </a:pPr>
          <a:endParaRPr lang="sv-SE" sz="1200" b="0" i="0" u="none" strike="noStrike" baseline="0">
            <a:solidFill>
              <a:srgbClr val="000000"/>
            </a:solidFill>
            <a:latin typeface="Times New Roman"/>
            <a:cs typeface="Times New Roman"/>
          </a:endParaRPr>
        </a:p>
        <a:p>
          <a:pPr algn="l" rtl="0">
            <a:defRPr sz="1000"/>
          </a:pPr>
          <a:r>
            <a:rPr lang="sv-SE" sz="1200" b="1" i="0" u="none" strike="noStrike" baseline="0">
              <a:solidFill>
                <a:srgbClr val="000000"/>
              </a:solidFill>
              <a:latin typeface="Times New Roman"/>
              <a:cs typeface="Times New Roman"/>
            </a:rPr>
            <a:t>Vad ligger bakom detta?</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1. Ramförsöket på Ultuna är grunden i ICBM</a:t>
          </a:r>
        </a:p>
        <a:p>
          <a:pPr marL="0" marR="0" lvl="0" indent="0" algn="l" defTabSz="914400" rtl="0" eaLnBrk="1" fontAlgn="auto" latinLnBrk="0" hangingPunct="1">
            <a:lnSpc>
              <a:spcPct val="100000"/>
            </a:lnSpc>
            <a:spcBef>
              <a:spcPts val="0"/>
            </a:spcBef>
            <a:spcAft>
              <a:spcPts val="0"/>
            </a:spcAft>
            <a:buClrTx/>
            <a:buSzTx/>
            <a:buFontTx/>
            <a:buNone/>
            <a:tabLst/>
            <a:defRPr sz="1000"/>
          </a:pPr>
          <a:r>
            <a:rPr lang="sv-SE" sz="1200" b="0" i="0" u="none" strike="noStrike" baseline="0">
              <a:solidFill>
                <a:srgbClr val="000000"/>
              </a:solidFill>
              <a:latin typeface="Times New Roman"/>
              <a:cs typeface="Times New Roman"/>
            </a:rPr>
            <a:t>2</a:t>
          </a:r>
          <a:r>
            <a:rPr lang="sv-SE" sz="1200" b="0" i="0" u="none" strike="noStrike" baseline="0">
              <a:solidFill>
                <a:srgbClr val="000000"/>
              </a:solidFill>
              <a:latin typeface="Arial" panose="020B0604020202020204" pitchFamily="34" charset="0"/>
              <a:cs typeface="Arial" panose="020B0604020202020204" pitchFamily="34" charset="0"/>
            </a:rPr>
            <a:t>. Kalibrering har skett till försöken nedan vilket </a:t>
          </a:r>
          <a:r>
            <a:rPr lang="sv-SE" sz="1200" b="0" i="0" baseline="0">
              <a:effectLst/>
              <a:latin typeface="Arial" panose="020B0604020202020204" pitchFamily="34" charset="0"/>
              <a:ea typeface="+mn-ea"/>
              <a:cs typeface="Arial" panose="020B0604020202020204" pitchFamily="34" charset="0"/>
            </a:rPr>
            <a:t>resulterat till att nedbrytningen har justerat. </a:t>
          </a:r>
          <a:endParaRPr lang="sv-SE" sz="1100">
            <a:effectLst/>
            <a:latin typeface="Arial" panose="020B0604020202020204" pitchFamily="34" charset="0"/>
            <a:cs typeface="Arial" panose="020B0604020202020204" pitchFamily="34" charset="0"/>
          </a:endParaRPr>
        </a:p>
        <a:p>
          <a:pPr algn="l" rtl="0">
            <a:defRPr sz="1000"/>
          </a:pPr>
          <a:endParaRPr lang="sv-SE" sz="11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100" b="0" i="0" u="none" strike="noStrike" baseline="0">
              <a:solidFill>
                <a:srgbClr val="000000"/>
              </a:solidFill>
              <a:latin typeface="Arial" panose="020B0604020202020204" pitchFamily="34" charset="0"/>
              <a:cs typeface="Arial" panose="020B0604020202020204" pitchFamily="34" charset="0"/>
            </a:rPr>
            <a:t>	</a:t>
          </a:r>
          <a:r>
            <a:rPr lang="sv-SE" sz="1200" b="0" i="0" u="none" strike="noStrike" baseline="0">
              <a:solidFill>
                <a:srgbClr val="000000"/>
              </a:solidFill>
              <a:latin typeface="Arial" panose="020B0604020202020204" pitchFamily="34" charset="0"/>
              <a:cs typeface="Arial" panose="020B0604020202020204" pitchFamily="34" charset="0"/>
            </a:rPr>
            <a:t>- De svenska bördighetsförsöken.</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Försök i Danmark, Tyskland och England (Rothamsted).</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Sockerbetsprojektet 4T gav 7% skördeökning för en grönträda, och det är ingen kväveeffekt. </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 En bred internationell sammanfattning av försöksresultat.</a:t>
          </a: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a:t>
          </a:r>
          <a:r>
            <a:rPr lang="sv-SE" sz="1200" b="0" i="0" baseline="0">
              <a:effectLst/>
              <a:latin typeface="Arial" panose="020B0604020202020204" pitchFamily="34" charset="0"/>
              <a:ea typeface="+mn-ea"/>
              <a:cs typeface="Arial" panose="020B0604020202020204" pitchFamily="34" charset="0"/>
            </a:rPr>
            <a:t>Mer arbete pågår här och kommer sannolikt resultera i förändringar framöver.</a:t>
          </a:r>
          <a:endParaRPr lang="sv-SE" sz="1200" b="0"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200" b="0" i="0" u="none" strike="noStrike" baseline="0">
              <a:solidFill>
                <a:srgbClr val="000000"/>
              </a:solidFill>
              <a:latin typeface="Arial" panose="020B0604020202020204" pitchFamily="34" charset="0"/>
              <a:cs typeface="Arial" panose="020B0604020202020204" pitchFamily="34" charset="0"/>
            </a:rPr>
            <a:t>    </a:t>
          </a:r>
          <a:endParaRPr lang="sv-SE" sz="1000">
            <a:latin typeface="Arial" panose="020B0604020202020204" pitchFamily="34" charset="0"/>
            <a:cs typeface="Arial" panose="020B0604020202020204" pitchFamily="34" charset="0"/>
          </a:endParaRPr>
        </a:p>
      </xdr:txBody>
    </xdr:sp>
    <xdr:clientData/>
  </xdr:twoCellAnchor>
  <xdr:twoCellAnchor>
    <xdr:from>
      <xdr:col>0</xdr:col>
      <xdr:colOff>266700</xdr:colOff>
      <xdr:row>40</xdr:row>
      <xdr:rowOff>142875</xdr:rowOff>
    </xdr:from>
    <xdr:to>
      <xdr:col>8</xdr:col>
      <xdr:colOff>257175</xdr:colOff>
      <xdr:row>62</xdr:row>
      <xdr:rowOff>0</xdr:rowOff>
    </xdr:to>
    <xdr:graphicFrame macro="">
      <xdr:nvGraphicFramePr>
        <xdr:cNvPr id="7272" name="Diagram 6">
          <a:extLst>
            <a:ext uri="{FF2B5EF4-FFF2-40B4-BE49-F238E27FC236}">
              <a16:creationId xmlns:a16="http://schemas.microsoft.com/office/drawing/2014/main" id="{00000000-0008-0000-0900-0000681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4</xdr:row>
      <xdr:rowOff>76200</xdr:rowOff>
    </xdr:from>
    <xdr:to>
      <xdr:col>14</xdr:col>
      <xdr:colOff>0</xdr:colOff>
      <xdr:row>32</xdr:row>
      <xdr:rowOff>38100</xdr:rowOff>
    </xdr:to>
    <xdr:sp macro="" textlink="">
      <xdr:nvSpPr>
        <xdr:cNvPr id="15361" name="Text Box 1">
          <a:extLst>
            <a:ext uri="{FF2B5EF4-FFF2-40B4-BE49-F238E27FC236}">
              <a16:creationId xmlns:a16="http://schemas.microsoft.com/office/drawing/2014/main" id="{00000000-0008-0000-0A00-0000013C0000}"/>
            </a:ext>
          </a:extLst>
        </xdr:cNvPr>
        <xdr:cNvSpPr txBox="1">
          <a:spLocks noChangeArrowheads="1"/>
        </xdr:cNvSpPr>
      </xdr:nvSpPr>
      <xdr:spPr bwMode="auto">
        <a:xfrm>
          <a:off x="609600" y="923925"/>
          <a:ext cx="7924800" cy="44958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lnSpc>
              <a:spcPts val="1100"/>
            </a:lnSpc>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Allmänt om organisk substans, mull och kol i marken</a:t>
          </a:r>
          <a:endParaRPr lang="sv-SE" sz="1200" b="0" i="0" u="none" strike="noStrike" baseline="0">
            <a:solidFill>
              <a:srgbClr val="000000"/>
            </a:solidFill>
            <a:latin typeface="Arial"/>
            <a:cs typeface="Arial"/>
          </a:endParaRPr>
        </a:p>
        <a:p>
          <a:pPr algn="l" rtl="0">
            <a:lnSpc>
              <a:spcPts val="1300"/>
            </a:lnSpc>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Organiska material som växtprodukter innehåller ca 40-45% kol ( C ) i torrsubstansen. Vid nedbrytning i marken avgår koldioxid (mikroorganismerna lever och andas) och det blir kvar en rest som "stabil humus", mull.</a:t>
          </a:r>
        </a:p>
        <a:p>
          <a:pPr algn="l" rtl="0">
            <a:lnSpc>
              <a:spcPts val="1300"/>
            </a:lnSpc>
            <a:defRPr sz="1000"/>
          </a:pPr>
          <a:r>
            <a:rPr lang="sv-SE" sz="1200" b="0" i="0" u="none" strike="noStrike" baseline="0">
              <a:solidFill>
                <a:srgbClr val="000000"/>
              </a:solidFill>
              <a:latin typeface="Arial"/>
              <a:cs typeface="Arial"/>
            </a:rPr>
            <a:t>Mullen bryts också ner, mineraliseras, 1 - 2 % per år. Det styrs av en mångfald faktorer (jordart, fuktighet, temperatur, fältets topografi, mikrobliv, bearbetning mm). Kalkylen arbetar med 40% kol i organiskt material, något i underkant.</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Mullbildningen är en balans mellan tillskott och nedbrytning och det är grunden för kalkylen.</a:t>
          </a:r>
        </a:p>
        <a:p>
          <a:pPr rtl="0"/>
          <a:endParaRPr lang="sv-SE" sz="1200">
            <a:effectLst/>
          </a:endParaRPr>
        </a:p>
        <a:p>
          <a:r>
            <a:rPr lang="sv-SE" sz="1200" b="1" i="0" baseline="0">
              <a:effectLst/>
              <a:latin typeface="Arial" panose="020B0604020202020204" pitchFamily="34" charset="0"/>
              <a:ea typeface="+mn-ea"/>
              <a:cs typeface="Arial" panose="020B0604020202020204" pitchFamily="34" charset="0"/>
            </a:rPr>
            <a:t>Beräkningen styrs av data från odlingen</a:t>
          </a:r>
          <a:endParaRPr lang="sv-SE" sz="1400" b="1" i="0" u="none" strike="noStrike" baseline="0">
            <a:solidFill>
              <a:srgbClr val="000000"/>
            </a:solidFill>
            <a:latin typeface="Arial" panose="020B0604020202020204" pitchFamily="34" charset="0"/>
            <a:cs typeface="Arial" panose="020B0604020202020204" pitchFamily="34" charset="0"/>
          </a:endParaRPr>
        </a:p>
        <a:p>
          <a:pPr algn="l" rtl="0">
            <a:defRPr sz="1000"/>
          </a:pPr>
          <a:r>
            <a:rPr lang="sv-SE" sz="1200" b="0" i="0" u="none" strike="noStrike" baseline="0">
              <a:solidFill>
                <a:srgbClr val="000000"/>
              </a:solidFill>
              <a:latin typeface="Arial"/>
              <a:cs typeface="Arial"/>
            </a:rPr>
            <a:t>Basen är Moduleringsprogrammet ICBM, men tillpassning av nedbrytning har skett mot faktiska data från långvariga försök. Det innebär att mycket hänger ihop. I fliken MULL_ICBM kan beräkningen följas. Här finns angivet hur mycket som tillförs från ovanjordiska delar (skörderester) respektive från rotzonen (rötter, rotexudat etc). För ovanjordiska delar räknas med att 12,5 % av kolet blir stabil humus medan bidrag från rotzonen humifieras till 25 %. Bidrag från stallgödsel beror egentligen på hur mycket den omsatts före spridning men här räknas med att 31% humifieras.</a:t>
          </a:r>
        </a:p>
        <a:p>
          <a:pPr algn="l" rtl="0">
            <a:defRPr sz="1000"/>
          </a:pPr>
          <a:r>
            <a:rPr lang="sv-SE" sz="1200" b="0" i="0" u="none" strike="noStrike" baseline="0">
              <a:solidFill>
                <a:srgbClr val="000000"/>
              </a:solidFill>
              <a:latin typeface="Arial"/>
              <a:cs typeface="Arial"/>
            </a:rPr>
            <a:t>Den exakta förloppet är ganska komplicerat men kan följas i fliken ICBM.</a:t>
          </a:r>
        </a:p>
        <a:p>
          <a:pPr algn="l" rtl="0">
            <a:defRPr sz="1000"/>
          </a:pPr>
          <a:endParaRPr lang="sv-SE" sz="1200" b="0" i="0" u="none" strike="noStrike" baseline="0">
            <a:solidFill>
              <a:srgbClr val="000000"/>
            </a:solidFill>
            <a:latin typeface="Arial"/>
            <a:cs typeface="Arial"/>
          </a:endParaRPr>
        </a:p>
        <a:p>
          <a:pPr algn="l" rtl="0">
            <a:lnSpc>
              <a:spcPts val="1300"/>
            </a:lnSpc>
            <a:defRPr sz="1000"/>
          </a:pPr>
          <a:r>
            <a:rPr lang="sv-SE" sz="1200" b="0" i="0" u="none" strike="noStrike" baseline="0">
              <a:solidFill>
                <a:srgbClr val="000000"/>
              </a:solidFill>
              <a:latin typeface="Arial"/>
              <a:cs typeface="Arial"/>
            </a:rPr>
            <a:t>Mineraliseringen (nedbrytning av den organiska poolen) varierar ganska mycket och behöver inte stämma i det enskilda fallet men här rekommenderas att titta på skillnaden mellan tva lägen och då betyder det mindre.  </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är viktigt att systemet kollas upp och revideras vid behov. Nya frågor kommer också till.</a:t>
          </a:r>
        </a:p>
        <a:p>
          <a:pPr algn="l" rtl="0">
            <a:defRPr sz="1000"/>
          </a:pPr>
          <a:r>
            <a:rPr lang="sv-SE" sz="1200" b="0" i="0" u="none" strike="noStrike" baseline="0">
              <a:solidFill>
                <a:srgbClr val="000000"/>
              </a:solidFill>
              <a:latin typeface="Arial"/>
              <a:cs typeface="Arial"/>
            </a:rPr>
            <a:t>Det betyder att det är viktigt att ni som använder kalkylen hör av er med frågor och synpunkter så vi får en levande utveckling.</a:t>
          </a:r>
        </a:p>
        <a:p>
          <a:pPr algn="l" rtl="0">
            <a:defRPr sz="1000"/>
          </a:pPr>
          <a:endParaRPr lang="sv-SE" sz="1200" b="0" i="0" u="none" strike="noStrike" baseline="0">
            <a:solidFill>
              <a:srgbClr val="000000"/>
            </a:solidFill>
            <a:latin typeface="Arial"/>
            <a:cs typeface="Arial"/>
          </a:endParaRPr>
        </a:p>
        <a:p>
          <a:pPr algn="l" rtl="0">
            <a:lnSpc>
              <a:spcPts val="1100"/>
            </a:lnSpc>
            <a:defRPr sz="1000"/>
          </a:pPr>
          <a:endParaRPr lang="sv-SE"/>
        </a:p>
      </xdr:txBody>
    </xdr:sp>
    <xdr:clientData/>
  </xdr:twoCellAnchor>
  <xdr:twoCellAnchor>
    <xdr:from>
      <xdr:col>0</xdr:col>
      <xdr:colOff>590550</xdr:colOff>
      <xdr:row>33</xdr:row>
      <xdr:rowOff>19050</xdr:rowOff>
    </xdr:from>
    <xdr:to>
      <xdr:col>13</xdr:col>
      <xdr:colOff>590550</xdr:colOff>
      <xdr:row>41</xdr:row>
      <xdr:rowOff>95250</xdr:rowOff>
    </xdr:to>
    <xdr:sp macro="" textlink="">
      <xdr:nvSpPr>
        <xdr:cNvPr id="15362" name="Text Box 2">
          <a:extLst>
            <a:ext uri="{FF2B5EF4-FFF2-40B4-BE49-F238E27FC236}">
              <a16:creationId xmlns:a16="http://schemas.microsoft.com/office/drawing/2014/main" id="{00000000-0008-0000-0A00-0000023C0000}"/>
            </a:ext>
          </a:extLst>
        </xdr:cNvPr>
        <xdr:cNvSpPr txBox="1">
          <a:spLocks noChangeArrowheads="1"/>
        </xdr:cNvSpPr>
      </xdr:nvSpPr>
      <xdr:spPr bwMode="auto">
        <a:xfrm>
          <a:off x="590550" y="5562600"/>
          <a:ext cx="7924800" cy="13716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Skörderester</a:t>
          </a:r>
        </a:p>
        <a:p>
          <a:pPr algn="l" rtl="0">
            <a:defRPr sz="1000"/>
          </a:pPr>
          <a:r>
            <a:rPr lang="sv-SE" sz="1200" b="0" i="0" u="none" strike="noStrike" baseline="0">
              <a:solidFill>
                <a:srgbClr val="000000"/>
              </a:solidFill>
              <a:latin typeface="Arial"/>
              <a:cs typeface="Arial"/>
            </a:rPr>
            <a:t>Det finns schabloner för olika grödor. I enskilda fall kan detta tyckas vara fel, för t.ex. extremt kortstråiga grödor. Men att börja differentiera på sorter är inte fokus i denna överslagskalkyl. Men det är viktigt att justera för bortförd halm och andra rester.</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ska sägas att underlaget för många grödor är klent. Komplettera gärna med synpunkter.</a:t>
          </a: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571500</xdr:colOff>
      <xdr:row>42</xdr:row>
      <xdr:rowOff>38100</xdr:rowOff>
    </xdr:from>
    <xdr:to>
      <xdr:col>13</xdr:col>
      <xdr:colOff>561975</xdr:colOff>
      <xdr:row>51</xdr:row>
      <xdr:rowOff>133350</xdr:rowOff>
    </xdr:to>
    <xdr:sp macro="" textlink="">
      <xdr:nvSpPr>
        <xdr:cNvPr id="15363" name="Text Box 3">
          <a:extLst>
            <a:ext uri="{FF2B5EF4-FFF2-40B4-BE49-F238E27FC236}">
              <a16:creationId xmlns:a16="http://schemas.microsoft.com/office/drawing/2014/main" id="{00000000-0008-0000-0A00-0000033C0000}"/>
            </a:ext>
          </a:extLst>
        </xdr:cNvPr>
        <xdr:cNvSpPr txBox="1">
          <a:spLocks noChangeArrowheads="1"/>
        </xdr:cNvSpPr>
      </xdr:nvSpPr>
      <xdr:spPr bwMode="auto">
        <a:xfrm>
          <a:off x="571500" y="7038975"/>
          <a:ext cx="7915275" cy="15525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432" tIns="22860" rIns="0" bIns="0" anchor="t" upright="1"/>
        <a:lstStyle/>
        <a:p>
          <a:pPr algn="l" rtl="0">
            <a:lnSpc>
              <a:spcPts val="1100"/>
            </a:lnSpc>
            <a:defRPr sz="1000"/>
          </a:pPr>
          <a:endParaRPr lang="sv-SE" sz="1000" b="0"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Vallar</a:t>
          </a:r>
        </a:p>
        <a:p>
          <a:pPr algn="l" rtl="0">
            <a:defRPr sz="1000"/>
          </a:pPr>
          <a:r>
            <a:rPr lang="sv-SE" sz="1200" b="0" i="0" u="none" strike="noStrike" baseline="0">
              <a:solidFill>
                <a:srgbClr val="000000"/>
              </a:solidFill>
              <a:latin typeface="Arial"/>
              <a:cs typeface="Arial"/>
            </a:rPr>
            <a:t>Vallar påverkar på flera sätt. Dels produceras mycket rötter som bidrar mer än ovanjordiska skörderester, dels blir det andra förhållanden i marken vad gäller fuktiget som ger en lägre nedbrytningshastighet. Sedan - när man jämför gårdar och driftsformer ska man komma ihåg att vallen oftast innebär stallgödsel, och den kombinationen har stor betydelse.</a:t>
          </a:r>
        </a:p>
        <a:p>
          <a:pPr algn="l" rtl="0">
            <a:defRPr sz="1000"/>
          </a:pPr>
          <a:r>
            <a:rPr lang="sv-SE" sz="1200" b="0" i="0" u="none" strike="noStrike" baseline="0">
              <a:solidFill>
                <a:srgbClr val="000000"/>
              </a:solidFill>
              <a:latin typeface="Arial"/>
              <a:cs typeface="Arial"/>
            </a:rPr>
            <a:t>Kalkylen är kalibrerad för växtföljdsvallar som brytes någorlunda regelbundet. För permanenta vallar kan andra förhållanden gälla. Använd därför endast kalkylen för 1- och 2-årsvallar.</a:t>
          </a:r>
        </a:p>
        <a:p>
          <a:pPr algn="l" rtl="0">
            <a:lnSpc>
              <a:spcPts val="1300"/>
            </a:lnSpc>
            <a:defRPr sz="1000"/>
          </a:pPr>
          <a:endParaRPr lang="sv-SE" sz="1200" b="0" i="0" u="none" strike="noStrike" baseline="0">
            <a:solidFill>
              <a:srgbClr val="000000"/>
            </a:solidFill>
            <a:latin typeface="Arial"/>
            <a:cs typeface="Arial"/>
          </a:endParaRPr>
        </a:p>
        <a:p>
          <a:pPr algn="l" rtl="0">
            <a:defRPr sz="1000"/>
          </a:pP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533400</xdr:colOff>
      <xdr:row>52</xdr:row>
      <xdr:rowOff>114300</xdr:rowOff>
    </xdr:from>
    <xdr:to>
      <xdr:col>13</xdr:col>
      <xdr:colOff>533400</xdr:colOff>
      <xdr:row>64</xdr:row>
      <xdr:rowOff>85725</xdr:rowOff>
    </xdr:to>
    <xdr:sp macro="" textlink="">
      <xdr:nvSpPr>
        <xdr:cNvPr id="15364" name="Text Box 4">
          <a:extLst>
            <a:ext uri="{FF2B5EF4-FFF2-40B4-BE49-F238E27FC236}">
              <a16:creationId xmlns:a16="http://schemas.microsoft.com/office/drawing/2014/main" id="{00000000-0008-0000-0A00-0000043C0000}"/>
            </a:ext>
          </a:extLst>
        </xdr:cNvPr>
        <xdr:cNvSpPr txBox="1">
          <a:spLocks noChangeArrowheads="1"/>
        </xdr:cNvSpPr>
      </xdr:nvSpPr>
      <xdr:spPr bwMode="auto">
        <a:xfrm>
          <a:off x="533400" y="8734425"/>
          <a:ext cx="7924800" cy="19145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Fånggrödor</a:t>
          </a:r>
        </a:p>
        <a:p>
          <a:pPr algn="l" rtl="0">
            <a:defRPr sz="1000"/>
          </a:pPr>
          <a:r>
            <a:rPr lang="sv-SE" sz="1200" b="0" i="0" u="none" strike="noStrike" baseline="0">
              <a:solidFill>
                <a:srgbClr val="000000"/>
              </a:solidFill>
              <a:latin typeface="Arial"/>
              <a:cs typeface="Arial"/>
            </a:rPr>
            <a:t>Det finns inga svenska försök där långsiktig mulleffekt av fånggrödor kan kvantifieras. Det finns en antydan på Mellby men variationen i analyser är stor. Men där finns betydande erfarenheter utomlands och de är entydiga: fånggrödor påverkar mullhalten positivt.</a:t>
          </a:r>
          <a:endParaRPr lang="sv-SE" sz="1200" b="1" i="0" u="none" strike="noStrike" baseline="0">
            <a:solidFill>
              <a:srgbClr val="000000"/>
            </a:solidFill>
            <a:latin typeface="Arial"/>
            <a:cs typeface="Arial"/>
          </a:endParaRPr>
        </a:p>
        <a:p>
          <a:pPr algn="l" rtl="0">
            <a:defRPr sz="1000"/>
          </a:pPr>
          <a:endParaRPr lang="sv-SE" sz="1200" b="1"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Men hur kvantifiera? Fånggrödan bidrar på två sätt: den ger extra tillskott av organiskt material, både ovanjordiskt och underjordiskt och vidare sparar den marken från bearbetning.</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är viktigt att få in markvilan i kol O. Fördelaktigast för mullhalten är övervintrande fånggröda som ger 6 mån markvila.</a:t>
          </a:r>
        </a:p>
        <a:p>
          <a:pPr algn="l" rtl="0">
            <a:defRPr sz="1000"/>
          </a:pPr>
          <a:endParaRPr lang="sv-SE" sz="1200" b="1" i="0" u="none" strike="noStrike" baseline="0">
            <a:solidFill>
              <a:srgbClr val="000000"/>
            </a:solidFill>
            <a:latin typeface="Arial"/>
            <a:cs typeface="Arial"/>
          </a:endParaRPr>
        </a:p>
        <a:p>
          <a:pPr algn="l" rtl="0">
            <a:defRPr sz="1000"/>
          </a:pPr>
          <a:endParaRPr lang="sv-SE"/>
        </a:p>
      </xdr:txBody>
    </xdr:sp>
    <xdr:clientData/>
  </xdr:twoCellAnchor>
  <xdr:twoCellAnchor>
    <xdr:from>
      <xdr:col>0</xdr:col>
      <xdr:colOff>552450</xdr:colOff>
      <xdr:row>65</xdr:row>
      <xdr:rowOff>114301</xdr:rowOff>
    </xdr:from>
    <xdr:to>
      <xdr:col>13</xdr:col>
      <xdr:colOff>533400</xdr:colOff>
      <xdr:row>81</xdr:row>
      <xdr:rowOff>123825</xdr:rowOff>
    </xdr:to>
    <xdr:sp macro="" textlink="">
      <xdr:nvSpPr>
        <xdr:cNvPr id="15365" name="Text Box 5">
          <a:extLst>
            <a:ext uri="{FF2B5EF4-FFF2-40B4-BE49-F238E27FC236}">
              <a16:creationId xmlns:a16="http://schemas.microsoft.com/office/drawing/2014/main" id="{00000000-0008-0000-0A00-0000053C0000}"/>
            </a:ext>
          </a:extLst>
        </xdr:cNvPr>
        <xdr:cNvSpPr txBox="1">
          <a:spLocks noChangeArrowheads="1"/>
        </xdr:cNvSpPr>
      </xdr:nvSpPr>
      <xdr:spPr bwMode="auto">
        <a:xfrm>
          <a:off x="552450" y="10839451"/>
          <a:ext cx="7905750" cy="2600324"/>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Jordbearbetning.</a:t>
          </a:r>
          <a:endParaRPr lang="sv-SE" sz="10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Bearbetningen spelar roll, den ökar mineraliseringen. Mindre bearbetning bör då spara mull i marken, och det gör den, men inte så tydligt och klart man skulle vilja tro. Ju mer man forskat desto otydligare blir bilden om man ser på bearbetningen enbart.</a:t>
          </a:r>
        </a:p>
        <a:p>
          <a:pPr algn="l" rtl="0">
            <a:defRPr sz="1000"/>
          </a:pPr>
          <a:r>
            <a:rPr lang="sv-SE" sz="1200" b="0" i="0" u="none" strike="noStrike" baseline="0">
              <a:solidFill>
                <a:srgbClr val="000000"/>
              </a:solidFill>
              <a:latin typeface="Arial"/>
              <a:cs typeface="Arial"/>
            </a:rPr>
            <a:t>Men kombinationen skörderester och reducerad bearbetning är positiv och understödjer varandra.</a:t>
          </a:r>
        </a:p>
        <a:p>
          <a:pPr algn="l" rtl="0">
            <a:defRPr sz="1000"/>
          </a:pPr>
          <a:endParaRPr lang="sv-SE" sz="1200" b="0" i="0" u="none" strike="noStrike" baseline="0">
            <a:solidFill>
              <a:srgbClr val="000000"/>
            </a:solidFill>
            <a:latin typeface="Arial"/>
            <a:cs typeface="Arial"/>
          </a:endParaRPr>
        </a:p>
        <a:p>
          <a:pPr algn="l" rtl="0">
            <a:lnSpc>
              <a:spcPts val="1300"/>
            </a:lnSpc>
            <a:defRPr sz="1000"/>
          </a:pPr>
          <a:r>
            <a:rPr lang="sv-SE" sz="1200" b="0" i="0" u="none" strike="noStrike" baseline="0">
              <a:solidFill>
                <a:srgbClr val="000000"/>
              </a:solidFill>
              <a:latin typeface="Arial"/>
              <a:cs typeface="Arial"/>
            </a:rPr>
            <a:t>Mycket i denna fråga är dock oklart. Mullsådd t ex. En ganska grund bearbetning snabbt efter skörd. Vad innebär det?</a:t>
          </a:r>
        </a:p>
        <a:p>
          <a:pPr algn="l" rtl="0">
            <a:defRPr sz="1000"/>
          </a:pPr>
          <a:r>
            <a:rPr lang="sv-SE" sz="1200" b="0" i="0" u="none" strike="noStrike" baseline="0">
              <a:solidFill>
                <a:srgbClr val="000000"/>
              </a:solidFill>
              <a:latin typeface="Arial"/>
              <a:cs typeface="Arial"/>
            </a:rPr>
            <a:t>Eller en grund nedharvning för att etablera en fånggröda?</a:t>
          </a:r>
        </a:p>
        <a:p>
          <a:pPr algn="l" rtl="0">
            <a:defRPr sz="1000"/>
          </a:pPr>
          <a:r>
            <a:rPr lang="sv-SE" sz="1200" b="0" i="0" u="none" strike="noStrike" baseline="0">
              <a:solidFill>
                <a:srgbClr val="000000"/>
              </a:solidFill>
              <a:latin typeface="Arial"/>
              <a:cs typeface="Arial"/>
            </a:rPr>
            <a:t>Icke vändande bearbetning? Vi har ett försök på Alnarp (Christer Nilsson) där positiva effekter i det Integrerade ledet med icke vändande bearbetning efterhand kan noteras. Men så stor skillnad i bearbetningsdjup är det inte. Erfarenheten är i linje med många resultat internationellt.</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För tillfället finns det ingen påverkan av bearbetning med i kalkylen.</a:t>
          </a:r>
          <a:endParaRPr lang="sv-SE" sz="1200" b="1" i="0" u="none" strike="noStrike" baseline="0">
            <a:solidFill>
              <a:srgbClr val="000000"/>
            </a:solidFill>
            <a:latin typeface="Arial"/>
            <a:cs typeface="Arial"/>
          </a:endParaRPr>
        </a:p>
        <a:p>
          <a:pPr algn="l" rtl="0">
            <a:lnSpc>
              <a:spcPts val="1300"/>
            </a:lnSpc>
            <a:defRPr sz="1000"/>
          </a:pPr>
          <a:endParaRPr lang="sv-SE" sz="1200" b="1" i="0" u="none" strike="noStrike" baseline="0">
            <a:solidFill>
              <a:srgbClr val="000000"/>
            </a:solidFill>
            <a:latin typeface="Arial"/>
            <a:cs typeface="Arial"/>
          </a:endParaRPr>
        </a:p>
        <a:p>
          <a:pPr algn="l" rtl="0">
            <a:lnSpc>
              <a:spcPts val="1100"/>
            </a:lnSpc>
            <a:defRPr sz="1000"/>
          </a:pPr>
          <a:endParaRPr lang="sv-SE"/>
        </a:p>
      </xdr:txBody>
    </xdr:sp>
    <xdr:clientData/>
  </xdr:twoCellAnchor>
  <xdr:twoCellAnchor>
    <xdr:from>
      <xdr:col>0</xdr:col>
      <xdr:colOff>552450</xdr:colOff>
      <xdr:row>82</xdr:row>
      <xdr:rowOff>133350</xdr:rowOff>
    </xdr:from>
    <xdr:to>
      <xdr:col>13</xdr:col>
      <xdr:colOff>533400</xdr:colOff>
      <xdr:row>102</xdr:row>
      <xdr:rowOff>38100</xdr:rowOff>
    </xdr:to>
    <xdr:sp macro="" textlink="">
      <xdr:nvSpPr>
        <xdr:cNvPr id="15366" name="Text Box 6">
          <a:extLst>
            <a:ext uri="{FF2B5EF4-FFF2-40B4-BE49-F238E27FC236}">
              <a16:creationId xmlns:a16="http://schemas.microsoft.com/office/drawing/2014/main" id="{00000000-0008-0000-0A00-0000063C0000}"/>
            </a:ext>
          </a:extLst>
        </xdr:cNvPr>
        <xdr:cNvSpPr txBox="1">
          <a:spLocks noChangeArrowheads="1"/>
        </xdr:cNvSpPr>
      </xdr:nvSpPr>
      <xdr:spPr bwMode="auto">
        <a:xfrm>
          <a:off x="552450" y="13611225"/>
          <a:ext cx="7905750" cy="31432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Stallgödsel och slam</a:t>
          </a:r>
        </a:p>
        <a:p>
          <a:pPr algn="l" rtl="0">
            <a:defRPr sz="1000"/>
          </a:pPr>
          <a:r>
            <a:rPr lang="sv-SE" sz="1200" b="0" i="0" u="none" strike="noStrike" baseline="0">
              <a:solidFill>
                <a:srgbClr val="000000"/>
              </a:solidFill>
              <a:latin typeface="Arial"/>
              <a:cs typeface="Arial"/>
            </a:rPr>
            <a:t>Stallgödsel, både fast och flyt, har påbörjat en omsättning av det organiska materialet. En del kol har försvunnit redan. Därför är den effektivare mullbildare än färskt material eller halm. I kalkylen räknas med att 31 % av kolet blir stabil humus medan det är 12,5 % för färskt ovanjordiskt växtmaterial och halm och 25 % för rotmaterial. Det kan självklart vara stor skillnad på olika gödselslag, men det finns inte kunskap nog att differentiera.</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Biogasslam. Det är möjligt det ger ännu bättre mullbildning än stallgödsel. Men för dagen får det komma in i den kategorin.</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Rötslam.Halten av organiskt material i slam är ofta bara 40-60% av ts. Det är "utspätt" av både fällningskemikalier, kisel och aluminium.  Och det är bara det organiska som är mullbildande. Om man tillför 1 ton ts som slam bör man därför räkna med 0,5 ton organiskt material, om man inte har analys. Å andra sidan är det organiska materialet i slam mer omsatt än stallgödsel och bör ge en större mullbildande effekt. Vi brukar rekommendera 50 % humifiering istället för 31 %, vilket vi använder som standard för stallgödsel.  Helt korrekt är därför att öka humifieringen till 50 % för "stallgödselkolumnen" i flik Mull_ICBM  och sedan dra ner givan under Huvudinmatning till häften.  Sätter man bara in givan som lagts under Huvudinmatning och låter humifieringen ligga kvar på 31 % får man en mulleffekt av rötslam som troligen blir ca 25 % för hög, så det är ingen katastrof.</a:t>
          </a:r>
          <a:endParaRPr lang="sv-SE"/>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13</xdr:col>
      <xdr:colOff>201083</xdr:colOff>
      <xdr:row>2</xdr:row>
      <xdr:rowOff>158750</xdr:rowOff>
    </xdr:from>
    <xdr:to>
      <xdr:col>21</xdr:col>
      <xdr:colOff>21167</xdr:colOff>
      <xdr:row>23</xdr:row>
      <xdr:rowOff>74083</xdr:rowOff>
    </xdr:to>
    <xdr:sp macro="" textlink="">
      <xdr:nvSpPr>
        <xdr:cNvPr id="2" name="textruta 1">
          <a:extLst>
            <a:ext uri="{FF2B5EF4-FFF2-40B4-BE49-F238E27FC236}">
              <a16:creationId xmlns:a16="http://schemas.microsoft.com/office/drawing/2014/main" id="{00000000-0008-0000-0C00-000002000000}"/>
            </a:ext>
          </a:extLst>
        </xdr:cNvPr>
        <xdr:cNvSpPr txBox="1"/>
      </xdr:nvSpPr>
      <xdr:spPr>
        <a:xfrm>
          <a:off x="12043833" y="550333"/>
          <a:ext cx="6932084" cy="397933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400" b="1"/>
            <a:t>Utlakningsberäkning</a:t>
          </a:r>
        </a:p>
        <a:p>
          <a:endParaRPr lang="sv-SE" sz="1400" b="1"/>
        </a:p>
        <a:p>
          <a:r>
            <a:rPr lang="sv-SE" sz="1400" b="1"/>
            <a:t>Beräkning sker automatiskt utifrån de fakta som matas in i flik Växtföljd och pris</a:t>
          </a:r>
        </a:p>
        <a:p>
          <a:endParaRPr lang="sv-SE" sz="1400" b="1"/>
        </a:p>
        <a:p>
          <a:r>
            <a:rPr lang="sv-SE" sz="1400" b="1"/>
            <a:t>Beräkning bygger på simulering i VERA men</a:t>
          </a:r>
          <a:r>
            <a:rPr lang="sv-SE" sz="1400" b="1" baseline="0"/>
            <a:t> resultatet kommer inte att bli exakt som i VERA eftersom vi inte kan  ta hänsyn till alla de aspekter som detta program klarar av, men det ger en tillräcklig noggrannhet för att översiktligt jämföra två alternativ. Rötslam finns inte med i VERA. I brist på annan data är Rötslam tillsvidare likställt med Svinfastgödsel eftersom det liknar detta stallgödselslag vad avser ts-halt och kväveinnehåll.</a:t>
          </a:r>
        </a:p>
        <a:p>
          <a:endParaRPr lang="sv-SE" sz="1400" b="1" baseline="0"/>
        </a:p>
        <a:p>
          <a:r>
            <a:rPr lang="sv-SE" sz="1400" b="1" baseline="0"/>
            <a:t>I princip bygger den på följande </a:t>
          </a:r>
        </a:p>
        <a:p>
          <a:r>
            <a:rPr lang="sv-SE" sz="1400" b="1" baseline="0"/>
            <a:t>1.Grundutlakning utifrån gröda och jordart</a:t>
          </a:r>
        </a:p>
        <a:p>
          <a:r>
            <a:rPr lang="sv-SE" sz="1400" b="1" baseline="0"/>
            <a:t>2. Justering utifrån bearbetningstidpunkt på hösten</a:t>
          </a:r>
        </a:p>
        <a:p>
          <a:r>
            <a:rPr lang="sv-SE" sz="1400" b="1" baseline="0"/>
            <a:t>3. Justering utifrån fånggröda</a:t>
          </a:r>
        </a:p>
        <a:p>
          <a:r>
            <a:rPr lang="sv-SE" sz="1400" b="1" baseline="0"/>
            <a:t>4. Tillägg för stallgödseltillförsel som blir olika beroende på spridningstidpunkt</a:t>
          </a:r>
        </a:p>
        <a:p>
          <a:endParaRPr lang="sv-SE" sz="1400" b="1" baseline="0"/>
        </a:p>
        <a:p>
          <a:r>
            <a:rPr lang="sv-SE" sz="1400" b="1" baseline="0"/>
            <a:t>I rutorna nedan finns underlag och möjlighet att följa beräkningsgången</a:t>
          </a:r>
        </a:p>
        <a:p>
          <a:endParaRPr lang="sv-SE" sz="1400" b="1"/>
        </a:p>
      </xdr:txBody>
    </xdr:sp>
    <xdr:clientData/>
  </xdr:twoCellAnchor>
  <xdr:oneCellAnchor>
    <xdr:from>
      <xdr:col>14</xdr:col>
      <xdr:colOff>243418</xdr:colOff>
      <xdr:row>31</xdr:row>
      <xdr:rowOff>74084</xdr:rowOff>
    </xdr:from>
    <xdr:ext cx="3661831" cy="1219565"/>
    <xdr:sp macro="" textlink="">
      <xdr:nvSpPr>
        <xdr:cNvPr id="3" name="textruta 2">
          <a:extLst>
            <a:ext uri="{FF2B5EF4-FFF2-40B4-BE49-F238E27FC236}">
              <a16:creationId xmlns:a16="http://schemas.microsoft.com/office/drawing/2014/main" id="{00000000-0008-0000-0C00-000003000000}"/>
            </a:ext>
          </a:extLst>
        </xdr:cNvPr>
        <xdr:cNvSpPr txBox="1"/>
      </xdr:nvSpPr>
      <xdr:spPr>
        <a:xfrm>
          <a:off x="12827001" y="6117167"/>
          <a:ext cx="3661831" cy="1219565"/>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Om du lägger in en ny gröda behöver du också lägga ungefärlig kväveutlakning och lite info om grödtyp etc</a:t>
          </a:r>
        </a:p>
        <a:p>
          <a:r>
            <a:rPr lang="sv-SE" sz="1200" b="1"/>
            <a:t> i</a:t>
          </a:r>
          <a:r>
            <a:rPr lang="sv-SE" sz="1200" b="1" baseline="0"/>
            <a:t> de blå rutorna på rad 172 och nedåt. För övriga grödor i raderna ovanför  tas automatiskt hänsyn</a:t>
          </a:r>
        </a:p>
        <a:p>
          <a:r>
            <a:rPr lang="sv-SE" sz="1200" b="1" baseline="0"/>
            <a:t> till jordarten vilket ger en idé kring storleksordningen om man inte har andra källor.</a:t>
          </a:r>
        </a:p>
      </xdr:txBody>
    </xdr:sp>
    <xdr:clientData/>
  </xdr:oneCellAnchor>
  <xdr:twoCellAnchor>
    <xdr:from>
      <xdr:col>16</xdr:col>
      <xdr:colOff>137585</xdr:colOff>
      <xdr:row>38</xdr:row>
      <xdr:rowOff>105833</xdr:rowOff>
    </xdr:from>
    <xdr:to>
      <xdr:col>16</xdr:col>
      <xdr:colOff>508002</xdr:colOff>
      <xdr:row>40</xdr:row>
      <xdr:rowOff>169333</xdr:rowOff>
    </xdr:to>
    <xdr:sp macro="" textlink="">
      <xdr:nvSpPr>
        <xdr:cNvPr id="4" name="Ned 3">
          <a:extLst>
            <a:ext uri="{FF2B5EF4-FFF2-40B4-BE49-F238E27FC236}">
              <a16:creationId xmlns:a16="http://schemas.microsoft.com/office/drawing/2014/main" id="{00000000-0008-0000-0C00-000004000000}"/>
            </a:ext>
          </a:extLst>
        </xdr:cNvPr>
        <xdr:cNvSpPr/>
      </xdr:nvSpPr>
      <xdr:spPr bwMode="auto">
        <a:xfrm>
          <a:off x="14446252" y="7567083"/>
          <a:ext cx="370417" cy="476250"/>
        </a:xfrm>
        <a:prstGeom prst="downArrow">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sv-SE" sz="1100"/>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695646</xdr:colOff>
      <xdr:row>132</xdr:row>
      <xdr:rowOff>42809</xdr:rowOff>
    </xdr:from>
    <xdr:ext cx="966547" cy="311496"/>
    <xdr:sp macro="" textlink="">
      <xdr:nvSpPr>
        <xdr:cNvPr id="2" name="textruta 1">
          <a:extLst>
            <a:ext uri="{FF2B5EF4-FFF2-40B4-BE49-F238E27FC236}">
              <a16:creationId xmlns:a16="http://schemas.microsoft.com/office/drawing/2014/main" id="{00000000-0008-0000-0D00-000002000000}"/>
            </a:ext>
          </a:extLst>
        </xdr:cNvPr>
        <xdr:cNvSpPr txBox="1"/>
      </xdr:nvSpPr>
      <xdr:spPr>
        <a:xfrm>
          <a:off x="7639371" y="11044184"/>
          <a:ext cx="966547"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Växtrester</a:t>
          </a:r>
        </a:p>
      </xdr:txBody>
    </xdr:sp>
    <xdr:clientData/>
  </xdr:oneCellAnchor>
  <xdr:oneCellAnchor>
    <xdr:from>
      <xdr:col>17</xdr:col>
      <xdr:colOff>130995</xdr:colOff>
      <xdr:row>123</xdr:row>
      <xdr:rowOff>23973</xdr:rowOff>
    </xdr:from>
    <xdr:ext cx="1253164" cy="311496"/>
    <xdr:sp macro="" textlink="">
      <xdr:nvSpPr>
        <xdr:cNvPr id="3" name="textruta 2">
          <a:extLst>
            <a:ext uri="{FF2B5EF4-FFF2-40B4-BE49-F238E27FC236}">
              <a16:creationId xmlns:a16="http://schemas.microsoft.com/office/drawing/2014/main" id="{00000000-0008-0000-0D00-000003000000}"/>
            </a:ext>
          </a:extLst>
        </xdr:cNvPr>
        <xdr:cNvSpPr txBox="1"/>
      </xdr:nvSpPr>
      <xdr:spPr>
        <a:xfrm>
          <a:off x="11703870" y="9310848"/>
          <a:ext cx="1253164"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Mineralgödsel</a:t>
          </a:r>
        </a:p>
      </xdr:txBody>
    </xdr:sp>
    <xdr:clientData/>
  </xdr:oneCellAnchor>
  <xdr:oneCellAnchor>
    <xdr:from>
      <xdr:col>14</xdr:col>
      <xdr:colOff>684944</xdr:colOff>
      <xdr:row>131</xdr:row>
      <xdr:rowOff>149830</xdr:rowOff>
    </xdr:from>
    <xdr:ext cx="992772" cy="311496"/>
    <xdr:sp macro="" textlink="">
      <xdr:nvSpPr>
        <xdr:cNvPr id="4" name="textruta 3">
          <a:extLst>
            <a:ext uri="{FF2B5EF4-FFF2-40B4-BE49-F238E27FC236}">
              <a16:creationId xmlns:a16="http://schemas.microsoft.com/office/drawing/2014/main" id="{00000000-0008-0000-0D00-000004000000}"/>
            </a:ext>
          </a:extLst>
        </xdr:cNvPr>
        <xdr:cNvSpPr txBox="1"/>
      </xdr:nvSpPr>
      <xdr:spPr>
        <a:xfrm>
          <a:off x="9943244" y="10960705"/>
          <a:ext cx="992772"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Stallgödsel</a:t>
          </a:r>
        </a:p>
      </xdr:txBody>
    </xdr:sp>
    <xdr:clientData/>
  </xdr:oneCellAnchor>
  <xdr:oneCellAnchor>
    <xdr:from>
      <xdr:col>16</xdr:col>
      <xdr:colOff>227316</xdr:colOff>
      <xdr:row>131</xdr:row>
      <xdr:rowOff>173805</xdr:rowOff>
    </xdr:from>
    <xdr:ext cx="637097" cy="311496"/>
    <xdr:sp macro="" textlink="">
      <xdr:nvSpPr>
        <xdr:cNvPr id="5" name="textruta 4">
          <a:extLst>
            <a:ext uri="{FF2B5EF4-FFF2-40B4-BE49-F238E27FC236}">
              <a16:creationId xmlns:a16="http://schemas.microsoft.com/office/drawing/2014/main" id="{00000000-0008-0000-0D00-000005000000}"/>
            </a:ext>
          </a:extLst>
        </xdr:cNvPr>
        <xdr:cNvSpPr txBox="1"/>
      </xdr:nvSpPr>
      <xdr:spPr>
        <a:xfrm>
          <a:off x="11028666" y="10984680"/>
          <a:ext cx="637097"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Annat</a:t>
          </a:r>
        </a:p>
      </xdr:txBody>
    </xdr:sp>
    <xdr:clientData/>
  </xdr:oneCellAnchor>
  <xdr:oneCellAnchor>
    <xdr:from>
      <xdr:col>17</xdr:col>
      <xdr:colOff>454632</xdr:colOff>
      <xdr:row>131</xdr:row>
      <xdr:rowOff>154968</xdr:rowOff>
    </xdr:from>
    <xdr:ext cx="1314078" cy="311496"/>
    <xdr:sp macro="" textlink="">
      <xdr:nvSpPr>
        <xdr:cNvPr id="6" name="textruta 5">
          <a:extLst>
            <a:ext uri="{FF2B5EF4-FFF2-40B4-BE49-F238E27FC236}">
              <a16:creationId xmlns:a16="http://schemas.microsoft.com/office/drawing/2014/main" id="{00000000-0008-0000-0D00-000006000000}"/>
            </a:ext>
          </a:extLst>
        </xdr:cNvPr>
        <xdr:cNvSpPr txBox="1"/>
      </xdr:nvSpPr>
      <xdr:spPr>
        <a:xfrm>
          <a:off x="12027507" y="10965843"/>
          <a:ext cx="1314078"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Mullförändring</a:t>
          </a:r>
        </a:p>
      </xdr:txBody>
    </xdr:sp>
    <xdr:clientData/>
  </xdr:oneCellAnchor>
  <xdr:oneCellAnchor>
    <xdr:from>
      <xdr:col>18</xdr:col>
      <xdr:colOff>513280</xdr:colOff>
      <xdr:row>119</xdr:row>
      <xdr:rowOff>74487</xdr:rowOff>
    </xdr:from>
    <xdr:ext cx="638508" cy="311496"/>
    <xdr:sp macro="" textlink="">
      <xdr:nvSpPr>
        <xdr:cNvPr id="7" name="textruta 6">
          <a:extLst>
            <a:ext uri="{FF2B5EF4-FFF2-40B4-BE49-F238E27FC236}">
              <a16:creationId xmlns:a16="http://schemas.microsoft.com/office/drawing/2014/main" id="{00000000-0008-0000-0D00-000007000000}"/>
            </a:ext>
          </a:extLst>
        </xdr:cNvPr>
        <xdr:cNvSpPr txBox="1"/>
      </xdr:nvSpPr>
      <xdr:spPr>
        <a:xfrm>
          <a:off x="12857680" y="8599362"/>
          <a:ext cx="638508"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Diesel</a:t>
          </a:r>
        </a:p>
      </xdr:txBody>
    </xdr:sp>
    <xdr:clientData/>
  </xdr:oneCellAnchor>
  <xdr:twoCellAnchor>
    <xdr:from>
      <xdr:col>15</xdr:col>
      <xdr:colOff>288961</xdr:colOff>
      <xdr:row>130</xdr:row>
      <xdr:rowOff>171236</xdr:rowOff>
    </xdr:from>
    <xdr:to>
      <xdr:col>15</xdr:col>
      <xdr:colOff>321068</xdr:colOff>
      <xdr:row>131</xdr:row>
      <xdr:rowOff>128427</xdr:rowOff>
    </xdr:to>
    <xdr:cxnSp macro="">
      <xdr:nvCxnSpPr>
        <xdr:cNvPr id="8" name="Rak pil 7">
          <a:extLst>
            <a:ext uri="{FF2B5EF4-FFF2-40B4-BE49-F238E27FC236}">
              <a16:creationId xmlns:a16="http://schemas.microsoft.com/office/drawing/2014/main" id="{00000000-0008-0000-0D00-000008000000}"/>
            </a:ext>
          </a:extLst>
        </xdr:cNvPr>
        <xdr:cNvCxnSpPr/>
      </xdr:nvCxnSpPr>
      <xdr:spPr bwMode="auto">
        <a:xfrm flipV="1">
          <a:off x="10318786" y="10791611"/>
          <a:ext cx="32107" cy="147691"/>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19</xdr:col>
      <xdr:colOff>61972</xdr:colOff>
      <xdr:row>121</xdr:row>
      <xdr:rowOff>703</xdr:rowOff>
    </xdr:from>
    <xdr:to>
      <xdr:col>19</xdr:col>
      <xdr:colOff>363876</xdr:colOff>
      <xdr:row>130</xdr:row>
      <xdr:rowOff>32107</xdr:rowOff>
    </xdr:to>
    <xdr:cxnSp macro="">
      <xdr:nvCxnSpPr>
        <xdr:cNvPr id="9" name="Rak pil 8">
          <a:extLst>
            <a:ext uri="{FF2B5EF4-FFF2-40B4-BE49-F238E27FC236}">
              <a16:creationId xmlns:a16="http://schemas.microsoft.com/office/drawing/2014/main" id="{00000000-0008-0000-0D00-000009000000}"/>
            </a:ext>
          </a:extLst>
        </xdr:cNvPr>
        <xdr:cNvCxnSpPr>
          <a:stCxn id="7" idx="2"/>
        </xdr:cNvCxnSpPr>
      </xdr:nvCxnSpPr>
      <xdr:spPr bwMode="auto">
        <a:xfrm>
          <a:off x="13177897" y="8906578"/>
          <a:ext cx="301904" cy="1745904"/>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14</xdr:col>
      <xdr:colOff>567219</xdr:colOff>
      <xdr:row>123</xdr:row>
      <xdr:rowOff>179721</xdr:rowOff>
    </xdr:from>
    <xdr:to>
      <xdr:col>17</xdr:col>
      <xdr:colOff>130995</xdr:colOff>
      <xdr:row>130</xdr:row>
      <xdr:rowOff>42809</xdr:rowOff>
    </xdr:to>
    <xdr:cxnSp macro="">
      <xdr:nvCxnSpPr>
        <xdr:cNvPr id="10" name="Rak pil 9">
          <a:extLst>
            <a:ext uri="{FF2B5EF4-FFF2-40B4-BE49-F238E27FC236}">
              <a16:creationId xmlns:a16="http://schemas.microsoft.com/office/drawing/2014/main" id="{00000000-0008-0000-0D00-00000A000000}"/>
            </a:ext>
          </a:extLst>
        </xdr:cNvPr>
        <xdr:cNvCxnSpPr>
          <a:stCxn id="3" idx="1"/>
        </xdr:cNvCxnSpPr>
      </xdr:nvCxnSpPr>
      <xdr:spPr bwMode="auto">
        <a:xfrm flipH="1">
          <a:off x="9825519" y="9466596"/>
          <a:ext cx="1878351" cy="1196588"/>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757577</xdr:colOff>
      <xdr:row>124</xdr:row>
      <xdr:rowOff>142828</xdr:rowOff>
    </xdr:from>
    <xdr:to>
      <xdr:col>18</xdr:col>
      <xdr:colOff>267556</xdr:colOff>
      <xdr:row>130</xdr:row>
      <xdr:rowOff>128427</xdr:rowOff>
    </xdr:to>
    <xdr:cxnSp macro="">
      <xdr:nvCxnSpPr>
        <xdr:cNvPr id="11" name="Rak pil 10">
          <a:extLst>
            <a:ext uri="{FF2B5EF4-FFF2-40B4-BE49-F238E27FC236}">
              <a16:creationId xmlns:a16="http://schemas.microsoft.com/office/drawing/2014/main" id="{00000000-0008-0000-0D00-00000B000000}"/>
            </a:ext>
          </a:extLst>
        </xdr:cNvPr>
        <xdr:cNvCxnSpPr>
          <a:stCxn id="3" idx="2"/>
        </xdr:cNvCxnSpPr>
      </xdr:nvCxnSpPr>
      <xdr:spPr bwMode="auto">
        <a:xfrm>
          <a:off x="12330452" y="9620203"/>
          <a:ext cx="281504" cy="112859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11</xdr:col>
      <xdr:colOff>385281</xdr:colOff>
      <xdr:row>130</xdr:row>
      <xdr:rowOff>171236</xdr:rowOff>
    </xdr:from>
    <xdr:to>
      <xdr:col>11</xdr:col>
      <xdr:colOff>408358</xdr:colOff>
      <xdr:row>132</xdr:row>
      <xdr:rowOff>42809</xdr:rowOff>
    </xdr:to>
    <xdr:cxnSp macro="">
      <xdr:nvCxnSpPr>
        <xdr:cNvPr id="12" name="Rak pil 11">
          <a:extLst>
            <a:ext uri="{FF2B5EF4-FFF2-40B4-BE49-F238E27FC236}">
              <a16:creationId xmlns:a16="http://schemas.microsoft.com/office/drawing/2014/main" id="{00000000-0008-0000-0D00-00000C000000}"/>
            </a:ext>
          </a:extLst>
        </xdr:cNvPr>
        <xdr:cNvCxnSpPr>
          <a:stCxn id="2" idx="0"/>
        </xdr:cNvCxnSpPr>
      </xdr:nvCxnSpPr>
      <xdr:spPr bwMode="auto">
        <a:xfrm flipH="1" flipV="1">
          <a:off x="8100531" y="10791611"/>
          <a:ext cx="23077" cy="252573"/>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17</xdr:col>
      <xdr:colOff>470899</xdr:colOff>
      <xdr:row>130</xdr:row>
      <xdr:rowOff>181939</xdr:rowOff>
    </xdr:from>
    <xdr:to>
      <xdr:col>18</xdr:col>
      <xdr:colOff>341109</xdr:colOff>
      <xdr:row>131</xdr:row>
      <xdr:rowOff>154968</xdr:rowOff>
    </xdr:to>
    <xdr:cxnSp macro="">
      <xdr:nvCxnSpPr>
        <xdr:cNvPr id="13" name="Rak pil 12">
          <a:extLst>
            <a:ext uri="{FF2B5EF4-FFF2-40B4-BE49-F238E27FC236}">
              <a16:creationId xmlns:a16="http://schemas.microsoft.com/office/drawing/2014/main" id="{00000000-0008-0000-0D00-00000D000000}"/>
            </a:ext>
          </a:extLst>
        </xdr:cNvPr>
        <xdr:cNvCxnSpPr>
          <a:stCxn id="6" idx="0"/>
        </xdr:cNvCxnSpPr>
      </xdr:nvCxnSpPr>
      <xdr:spPr bwMode="auto">
        <a:xfrm flipH="1" flipV="1">
          <a:off x="12043774" y="10802314"/>
          <a:ext cx="641735" cy="163529"/>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16</xdr:col>
      <xdr:colOff>406686</xdr:colOff>
      <xdr:row>130</xdr:row>
      <xdr:rowOff>160534</xdr:rowOff>
    </xdr:from>
    <xdr:to>
      <xdr:col>16</xdr:col>
      <xdr:colOff>545865</xdr:colOff>
      <xdr:row>131</xdr:row>
      <xdr:rowOff>173805</xdr:rowOff>
    </xdr:to>
    <xdr:cxnSp macro="">
      <xdr:nvCxnSpPr>
        <xdr:cNvPr id="14" name="Rak pil 13">
          <a:extLst>
            <a:ext uri="{FF2B5EF4-FFF2-40B4-BE49-F238E27FC236}">
              <a16:creationId xmlns:a16="http://schemas.microsoft.com/office/drawing/2014/main" id="{00000000-0008-0000-0D00-00000E000000}"/>
            </a:ext>
          </a:extLst>
        </xdr:cNvPr>
        <xdr:cNvCxnSpPr>
          <a:stCxn id="5" idx="0"/>
        </xdr:cNvCxnSpPr>
      </xdr:nvCxnSpPr>
      <xdr:spPr bwMode="auto">
        <a:xfrm flipH="1" flipV="1">
          <a:off x="11208036" y="10780909"/>
          <a:ext cx="139179" cy="203771"/>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16</xdr:col>
      <xdr:colOff>93324</xdr:colOff>
      <xdr:row>102</xdr:row>
      <xdr:rowOff>146835</xdr:rowOff>
    </xdr:from>
    <xdr:ext cx="2084866" cy="311496"/>
    <xdr:sp macro="" textlink="">
      <xdr:nvSpPr>
        <xdr:cNvPr id="15" name="textruta 14">
          <a:extLst>
            <a:ext uri="{FF2B5EF4-FFF2-40B4-BE49-F238E27FC236}">
              <a16:creationId xmlns:a16="http://schemas.microsoft.com/office/drawing/2014/main" id="{00000000-0008-0000-0D00-00000F000000}"/>
            </a:ext>
          </a:extLst>
        </xdr:cNvPr>
        <xdr:cNvSpPr txBox="1"/>
      </xdr:nvSpPr>
      <xdr:spPr>
        <a:xfrm>
          <a:off x="10894674" y="5414160"/>
          <a:ext cx="2084866" cy="311496"/>
        </a:xfrm>
        <a:prstGeom prst="rect">
          <a:avLst/>
        </a:prstGeom>
        <a:solidFill>
          <a:schemeClr val="accent2"/>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Övrigt</a:t>
          </a:r>
          <a:r>
            <a:rPr lang="sv-SE" sz="1400" b="1" baseline="0"/>
            <a:t> gemensamt (- 210)</a:t>
          </a:r>
          <a:endParaRPr lang="sv-SE" sz="1400" b="1"/>
        </a:p>
      </xdr:txBody>
    </xdr:sp>
    <xdr:clientData/>
  </xdr:oneCellAnchor>
  <xdr:twoCellAnchor>
    <xdr:from>
      <xdr:col>17</xdr:col>
      <xdr:colOff>365195</xdr:colOff>
      <xdr:row>104</xdr:row>
      <xdr:rowOff>137263</xdr:rowOff>
    </xdr:from>
    <xdr:to>
      <xdr:col>18</xdr:col>
      <xdr:colOff>449494</xdr:colOff>
      <xdr:row>110</xdr:row>
      <xdr:rowOff>128427</xdr:rowOff>
    </xdr:to>
    <xdr:cxnSp macro="">
      <xdr:nvCxnSpPr>
        <xdr:cNvPr id="16" name="Rak pil 15">
          <a:extLst>
            <a:ext uri="{FF2B5EF4-FFF2-40B4-BE49-F238E27FC236}">
              <a16:creationId xmlns:a16="http://schemas.microsoft.com/office/drawing/2014/main" id="{00000000-0008-0000-0D00-000010000000}"/>
            </a:ext>
          </a:extLst>
        </xdr:cNvPr>
        <xdr:cNvCxnSpPr>
          <a:stCxn id="15" idx="2"/>
        </xdr:cNvCxnSpPr>
      </xdr:nvCxnSpPr>
      <xdr:spPr bwMode="auto">
        <a:xfrm>
          <a:off x="11938070" y="5728438"/>
          <a:ext cx="855824" cy="1115114"/>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twoCellAnchor>
    <xdr:from>
      <xdr:col>23</xdr:col>
      <xdr:colOff>114300</xdr:colOff>
      <xdr:row>119</xdr:row>
      <xdr:rowOff>121920</xdr:rowOff>
    </xdr:from>
    <xdr:to>
      <xdr:col>25</xdr:col>
      <xdr:colOff>295267</xdr:colOff>
      <xdr:row>122</xdr:row>
      <xdr:rowOff>114300</xdr:rowOff>
    </xdr:to>
    <xdr:sp macro="" textlink="" fLocksText="0">
      <xdr:nvSpPr>
        <xdr:cNvPr id="17" name="Text 32">
          <a:extLst>
            <a:ext uri="{FF2B5EF4-FFF2-40B4-BE49-F238E27FC236}">
              <a16:creationId xmlns:a16="http://schemas.microsoft.com/office/drawing/2014/main" id="{00000000-0008-0000-0D00-000011000000}"/>
            </a:ext>
          </a:extLst>
        </xdr:cNvPr>
        <xdr:cNvSpPr txBox="1">
          <a:spLocks noChangeArrowheads="1"/>
        </xdr:cNvSpPr>
      </xdr:nvSpPr>
      <xdr:spPr bwMode="auto">
        <a:xfrm>
          <a:off x="16316325" y="8646795"/>
          <a:ext cx="2895592" cy="563880"/>
        </a:xfrm>
        <a:prstGeom prst="rect">
          <a:avLst/>
        </a:prstGeom>
        <a:solidFill>
          <a:schemeClr val="accent1">
            <a:lumMod val="60000"/>
            <a:lumOff val="40000"/>
          </a:schemeClr>
        </a:solidFill>
        <a:ln>
          <a:noFill/>
        </a:ln>
        <a:effectLst/>
      </xdr:spPr>
      <xdr:txBody>
        <a:bodyPr vertOverflow="clip" wrap="square" lIns="20160" tIns="20160" rIns="20160" bIns="20160" anchor="t"/>
        <a:lstStyle/>
        <a:p>
          <a:pPr algn="l" rtl="0">
            <a:lnSpc>
              <a:spcPts val="1000"/>
            </a:lnSpc>
            <a:defRPr sz="1000"/>
          </a:pPr>
          <a:r>
            <a:rPr lang="sv-SE" sz="1000" b="1" i="0" u="none" strike="noStrike" baseline="0">
              <a:solidFill>
                <a:srgbClr val="000000"/>
              </a:solidFill>
              <a:latin typeface="Arial"/>
              <a:cs typeface="Arial"/>
            </a:rPr>
            <a:t>Specialanvisning för gröngödsling etc:</a:t>
          </a:r>
        </a:p>
        <a:p>
          <a:pPr algn="l" rtl="0">
            <a:lnSpc>
              <a:spcPts val="1000"/>
            </a:lnSpc>
            <a:defRPr sz="1000"/>
          </a:pPr>
          <a:r>
            <a:rPr lang="sv-SE" sz="1000" b="0" i="0" u="none" strike="noStrike" baseline="0">
              <a:solidFill>
                <a:srgbClr val="000000"/>
              </a:solidFill>
              <a:latin typeface="Arial"/>
              <a:cs typeface="Arial"/>
            </a:rPr>
            <a:t>Skörden ska inte in i ts-summeringen i kol H </a:t>
          </a:r>
        </a:p>
        <a:p>
          <a:pPr algn="l" rtl="0">
            <a:lnSpc>
              <a:spcPts val="1000"/>
            </a:lnSpc>
            <a:defRPr sz="1000"/>
          </a:pPr>
          <a:r>
            <a:rPr lang="sv-SE" sz="1000" b="0" i="0" u="none" strike="noStrike" baseline="0">
              <a:solidFill>
                <a:srgbClr val="000000"/>
              </a:solidFill>
              <a:latin typeface="Arial"/>
              <a:cs typeface="Arial"/>
            </a:rPr>
            <a:t>men den behövs för att räkna N i kolumn J.</a:t>
          </a:r>
        </a:p>
        <a:p>
          <a:pPr algn="l" rtl="0">
            <a:lnSpc>
              <a:spcPts val="1000"/>
            </a:lnSpc>
            <a:defRPr sz="1000"/>
          </a:pPr>
          <a:r>
            <a:rPr lang="sv-SE" sz="1000" b="0" i="0" u="none" strike="noStrike" baseline="0">
              <a:solidFill>
                <a:srgbClr val="000000"/>
              </a:solidFill>
              <a:latin typeface="Arial"/>
              <a:cs typeface="Arial"/>
            </a:rPr>
            <a:t>Använd nedanstående rutor för en förkalkyl:</a:t>
          </a:r>
        </a:p>
      </xdr:txBody>
    </xdr:sp>
    <xdr:clientData/>
  </xdr:twoCellAnchor>
  <xdr:twoCellAnchor>
    <xdr:from>
      <xdr:col>18</xdr:col>
      <xdr:colOff>729838</xdr:colOff>
      <xdr:row>112</xdr:row>
      <xdr:rowOff>0</xdr:rowOff>
    </xdr:from>
    <xdr:to>
      <xdr:col>19</xdr:col>
      <xdr:colOff>65586</xdr:colOff>
      <xdr:row>119</xdr:row>
      <xdr:rowOff>74487</xdr:rowOff>
    </xdr:to>
    <xdr:cxnSp macro="">
      <xdr:nvCxnSpPr>
        <xdr:cNvPr id="18" name="Rak pil 17">
          <a:extLst>
            <a:ext uri="{FF2B5EF4-FFF2-40B4-BE49-F238E27FC236}">
              <a16:creationId xmlns:a16="http://schemas.microsoft.com/office/drawing/2014/main" id="{00000000-0008-0000-0D00-000012000000}"/>
            </a:ext>
          </a:extLst>
        </xdr:cNvPr>
        <xdr:cNvCxnSpPr>
          <a:stCxn id="7" idx="0"/>
        </xdr:cNvCxnSpPr>
      </xdr:nvCxnSpPr>
      <xdr:spPr bwMode="auto">
        <a:xfrm flipH="1" flipV="1">
          <a:off x="13001007" y="8164286"/>
          <a:ext cx="102696" cy="1484682"/>
        </a:xfrm>
        <a:prstGeom prst="straightConnector1">
          <a:avLst/>
        </a:pr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xdr:oneCellAnchor>
    <xdr:from>
      <xdr:col>20</xdr:col>
      <xdr:colOff>511968</xdr:colOff>
      <xdr:row>10</xdr:row>
      <xdr:rowOff>95249</xdr:rowOff>
    </xdr:from>
    <xdr:ext cx="3661831" cy="843821"/>
    <xdr:sp macro="" textlink="">
      <xdr:nvSpPr>
        <xdr:cNvPr id="19" name="textruta 18">
          <a:extLst>
            <a:ext uri="{FF2B5EF4-FFF2-40B4-BE49-F238E27FC236}">
              <a16:creationId xmlns:a16="http://schemas.microsoft.com/office/drawing/2014/main" id="{00000000-0008-0000-0D00-000013000000}"/>
            </a:ext>
          </a:extLst>
        </xdr:cNvPr>
        <xdr:cNvSpPr txBox="1"/>
      </xdr:nvSpPr>
      <xdr:spPr>
        <a:xfrm>
          <a:off x="18359437" y="2000249"/>
          <a:ext cx="3661831" cy="843821"/>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Om du lägger in en ny gröda behöver du också lägga in en N-faktor i</a:t>
          </a:r>
          <a:r>
            <a:rPr lang="sv-SE" sz="1200" b="1" baseline="0"/>
            <a:t> de blå rutorna i  rutan "Underlag".  Använd värdena för befintliga grödor  kring storleksordningen om  du inte har annan källa</a:t>
          </a:r>
        </a:p>
      </xdr:txBody>
    </xdr:sp>
    <xdr:clientData/>
  </xdr:oneCellAnchor>
  <xdr:twoCellAnchor>
    <xdr:from>
      <xdr:col>22</xdr:col>
      <xdr:colOff>381001</xdr:colOff>
      <xdr:row>16</xdr:row>
      <xdr:rowOff>56885</xdr:rowOff>
    </xdr:from>
    <xdr:to>
      <xdr:col>22</xdr:col>
      <xdr:colOff>751418</xdr:colOff>
      <xdr:row>19</xdr:row>
      <xdr:rowOff>33072</xdr:rowOff>
    </xdr:to>
    <xdr:sp macro="" textlink="">
      <xdr:nvSpPr>
        <xdr:cNvPr id="20" name="Ned 19">
          <a:extLst>
            <a:ext uri="{FF2B5EF4-FFF2-40B4-BE49-F238E27FC236}">
              <a16:creationId xmlns:a16="http://schemas.microsoft.com/office/drawing/2014/main" id="{00000000-0008-0000-0D00-000014000000}"/>
            </a:ext>
          </a:extLst>
        </xdr:cNvPr>
        <xdr:cNvSpPr/>
      </xdr:nvSpPr>
      <xdr:spPr bwMode="auto">
        <a:xfrm>
          <a:off x="19776282" y="2962010"/>
          <a:ext cx="370417" cy="476250"/>
        </a:xfrm>
        <a:prstGeom prst="downArrow">
          <a:avLst/>
        </a:prstGeom>
        <a:solidFill>
          <a:srgbClr val="FFFF00"/>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endParaRPr lang="sv-SE" sz="1100"/>
        </a:p>
      </xdr:txBody>
    </xdr:sp>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598713</xdr:colOff>
      <xdr:row>0</xdr:row>
      <xdr:rowOff>40823</xdr:rowOff>
    </xdr:from>
    <xdr:ext cx="6504216" cy="749821"/>
    <xdr:sp macro="" textlink="">
      <xdr:nvSpPr>
        <xdr:cNvPr id="2" name="textruta 1">
          <a:extLst>
            <a:ext uri="{FF2B5EF4-FFF2-40B4-BE49-F238E27FC236}">
              <a16:creationId xmlns:a16="http://schemas.microsoft.com/office/drawing/2014/main" id="{00000000-0008-0000-0E00-000002000000}"/>
            </a:ext>
          </a:extLst>
        </xdr:cNvPr>
        <xdr:cNvSpPr txBox="1"/>
      </xdr:nvSpPr>
      <xdr:spPr>
        <a:xfrm>
          <a:off x="3083151" y="40823"/>
          <a:ext cx="6504216" cy="749821"/>
        </a:xfrm>
        <a:prstGeom prst="rect">
          <a:avLst/>
        </a:prstGeom>
        <a:solidFill>
          <a:srgbClr val="FFFF00"/>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b="1"/>
            <a:t>* Justera pris efter lantbrukarens</a:t>
          </a:r>
          <a:r>
            <a:rPr lang="sv-SE" sz="1400" b="1" baseline="0"/>
            <a:t>  förutsättningar	 * Justera vid behov gödselpriserna</a:t>
          </a:r>
        </a:p>
        <a:p>
          <a:r>
            <a:rPr lang="sv-SE" sz="1400" b="1" baseline="0"/>
            <a:t>* Nya grödor kan läggas till på rad 40-44 </a:t>
          </a:r>
        </a:p>
        <a:p>
          <a:r>
            <a:rPr lang="sv-SE" sz="1400" b="1" baseline="0"/>
            <a:t>* OBS! grovfodergröda där du skördar och bortför hela grödan på rad 34</a:t>
          </a:r>
          <a:endParaRPr lang="sv-SE" sz="1400" b="1"/>
        </a:p>
      </xdr:txBody>
    </xdr:sp>
    <xdr:clientData/>
  </xdr:oneCellAnchor>
  <xdr:twoCellAnchor editAs="oneCell">
    <xdr:from>
      <xdr:col>9</xdr:col>
      <xdr:colOff>0</xdr:colOff>
      <xdr:row>55</xdr:row>
      <xdr:rowOff>0</xdr:rowOff>
    </xdr:from>
    <xdr:to>
      <xdr:col>9</xdr:col>
      <xdr:colOff>9525</xdr:colOff>
      <xdr:row>55</xdr:row>
      <xdr:rowOff>9525</xdr:rowOff>
    </xdr:to>
    <xdr:pic>
      <xdr:nvPicPr>
        <xdr:cNvPr id="3" name="Bildobjekt 2" descr="http://www.svenskraps.se/bilderglobalt/1px_transp.gif">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55</xdr:row>
      <xdr:rowOff>0</xdr:rowOff>
    </xdr:from>
    <xdr:to>
      <xdr:col>10</xdr:col>
      <xdr:colOff>9525</xdr:colOff>
      <xdr:row>55</xdr:row>
      <xdr:rowOff>9525</xdr:rowOff>
    </xdr:to>
    <xdr:pic>
      <xdr:nvPicPr>
        <xdr:cNvPr id="4" name="Bildobjekt 3" descr="http://www.svenskraps.se/bilderglobalt/1px_transp.gif">
          <a:extLst>
            <a:ext uri="{FF2B5EF4-FFF2-40B4-BE49-F238E27FC236}">
              <a16:creationId xmlns:a16="http://schemas.microsoft.com/office/drawing/2014/main" id="{00000000-0008-0000-0E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571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56</xdr:row>
      <xdr:rowOff>0</xdr:rowOff>
    </xdr:from>
    <xdr:to>
      <xdr:col>9</xdr:col>
      <xdr:colOff>9525</xdr:colOff>
      <xdr:row>56</xdr:row>
      <xdr:rowOff>9525</xdr:rowOff>
    </xdr:to>
    <xdr:pic>
      <xdr:nvPicPr>
        <xdr:cNvPr id="5" name="Bildobjekt 4" descr="http://www.svenskraps.se/bilderglobalt/1px_transp.gif">
          <a:extLst>
            <a:ext uri="{FF2B5EF4-FFF2-40B4-BE49-F238E27FC236}">
              <a16:creationId xmlns:a16="http://schemas.microsoft.com/office/drawing/2014/main" id="{00000000-0008-0000-0E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56</xdr:row>
      <xdr:rowOff>0</xdr:rowOff>
    </xdr:from>
    <xdr:to>
      <xdr:col>10</xdr:col>
      <xdr:colOff>9525</xdr:colOff>
      <xdr:row>56</xdr:row>
      <xdr:rowOff>9525</xdr:rowOff>
    </xdr:to>
    <xdr:pic>
      <xdr:nvPicPr>
        <xdr:cNvPr id="6" name="Bildobjekt 5" descr="http://www.svenskraps.se/bilderglobalt/1px_transp.gif">
          <a:extLst>
            <a:ext uri="{FF2B5EF4-FFF2-40B4-BE49-F238E27FC236}">
              <a16:creationId xmlns:a16="http://schemas.microsoft.com/office/drawing/2014/main" id="{00000000-0008-0000-0E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762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57</xdr:row>
      <xdr:rowOff>0</xdr:rowOff>
    </xdr:from>
    <xdr:to>
      <xdr:col>9</xdr:col>
      <xdr:colOff>9525</xdr:colOff>
      <xdr:row>57</xdr:row>
      <xdr:rowOff>9525</xdr:rowOff>
    </xdr:to>
    <xdr:pic>
      <xdr:nvPicPr>
        <xdr:cNvPr id="7" name="Bildobjekt 6" descr="http://www.svenskraps.se/bilderglobalt/1px_transp.gif">
          <a:extLst>
            <a:ext uri="{FF2B5EF4-FFF2-40B4-BE49-F238E27FC236}">
              <a16:creationId xmlns:a16="http://schemas.microsoft.com/office/drawing/2014/main" id="{00000000-0008-0000-0E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57</xdr:row>
      <xdr:rowOff>0</xdr:rowOff>
    </xdr:from>
    <xdr:to>
      <xdr:col>10</xdr:col>
      <xdr:colOff>9525</xdr:colOff>
      <xdr:row>57</xdr:row>
      <xdr:rowOff>9525</xdr:rowOff>
    </xdr:to>
    <xdr:pic>
      <xdr:nvPicPr>
        <xdr:cNvPr id="8" name="Bildobjekt 7" descr="http://www.svenskraps.se/bilderglobalt/1px_transp.gif">
          <a:extLst>
            <a:ext uri="{FF2B5EF4-FFF2-40B4-BE49-F238E27FC236}">
              <a16:creationId xmlns:a16="http://schemas.microsoft.com/office/drawing/2014/main" id="{00000000-0008-0000-0E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952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58</xdr:row>
      <xdr:rowOff>0</xdr:rowOff>
    </xdr:from>
    <xdr:to>
      <xdr:col>9</xdr:col>
      <xdr:colOff>9525</xdr:colOff>
      <xdr:row>58</xdr:row>
      <xdr:rowOff>9525</xdr:rowOff>
    </xdr:to>
    <xdr:pic>
      <xdr:nvPicPr>
        <xdr:cNvPr id="9" name="Bildobjekt 8" descr="http://www.svenskraps.se/bilderglobalt/1px_transp.gif">
          <a:extLst>
            <a:ext uri="{FF2B5EF4-FFF2-40B4-BE49-F238E27FC236}">
              <a16:creationId xmlns:a16="http://schemas.microsoft.com/office/drawing/2014/main" id="{00000000-0008-0000-0E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1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58</xdr:row>
      <xdr:rowOff>0</xdr:rowOff>
    </xdr:from>
    <xdr:to>
      <xdr:col>10</xdr:col>
      <xdr:colOff>9525</xdr:colOff>
      <xdr:row>58</xdr:row>
      <xdr:rowOff>9525</xdr:rowOff>
    </xdr:to>
    <xdr:pic>
      <xdr:nvPicPr>
        <xdr:cNvPr id="10" name="Bildobjekt 9" descr="http://www.svenskraps.se/bilderglobalt/1px_transp.gif">
          <a:extLst>
            <a:ext uri="{FF2B5EF4-FFF2-40B4-BE49-F238E27FC236}">
              <a16:creationId xmlns:a16="http://schemas.microsoft.com/office/drawing/2014/main" id="{00000000-0008-0000-0E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143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59</xdr:row>
      <xdr:rowOff>0</xdr:rowOff>
    </xdr:from>
    <xdr:to>
      <xdr:col>9</xdr:col>
      <xdr:colOff>9525</xdr:colOff>
      <xdr:row>59</xdr:row>
      <xdr:rowOff>9525</xdr:rowOff>
    </xdr:to>
    <xdr:pic>
      <xdr:nvPicPr>
        <xdr:cNvPr id="11" name="Bildobjekt 10" descr="http://www.svenskraps.se/bilderglobalt/1px_transp.gif">
          <a:extLst>
            <a:ext uri="{FF2B5EF4-FFF2-40B4-BE49-F238E27FC236}">
              <a16:creationId xmlns:a16="http://schemas.microsoft.com/office/drawing/2014/main" id="{00000000-0008-0000-0E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3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59</xdr:row>
      <xdr:rowOff>0</xdr:rowOff>
    </xdr:from>
    <xdr:to>
      <xdr:col>10</xdr:col>
      <xdr:colOff>9525</xdr:colOff>
      <xdr:row>59</xdr:row>
      <xdr:rowOff>9525</xdr:rowOff>
    </xdr:to>
    <xdr:pic>
      <xdr:nvPicPr>
        <xdr:cNvPr id="12" name="Bildobjekt 11" descr="http://www.svenskraps.se/bilderglobalt/1px_transp.gif">
          <a:extLst>
            <a:ext uri="{FF2B5EF4-FFF2-40B4-BE49-F238E27FC236}">
              <a16:creationId xmlns:a16="http://schemas.microsoft.com/office/drawing/2014/main" id="{00000000-0008-0000-0E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333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60</xdr:row>
      <xdr:rowOff>0</xdr:rowOff>
    </xdr:from>
    <xdr:to>
      <xdr:col>9</xdr:col>
      <xdr:colOff>9525</xdr:colOff>
      <xdr:row>60</xdr:row>
      <xdr:rowOff>9525</xdr:rowOff>
    </xdr:to>
    <xdr:pic>
      <xdr:nvPicPr>
        <xdr:cNvPr id="13" name="Bildobjekt 12" descr="http://www.svenskraps.se/bilderglobalt/1px_transp.gif">
          <a:extLst>
            <a:ext uri="{FF2B5EF4-FFF2-40B4-BE49-F238E27FC236}">
              <a16:creationId xmlns:a16="http://schemas.microsoft.com/office/drawing/2014/main" id="{00000000-0008-0000-0E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60</xdr:row>
      <xdr:rowOff>0</xdr:rowOff>
    </xdr:from>
    <xdr:to>
      <xdr:col>10</xdr:col>
      <xdr:colOff>9525</xdr:colOff>
      <xdr:row>60</xdr:row>
      <xdr:rowOff>9525</xdr:rowOff>
    </xdr:to>
    <xdr:pic>
      <xdr:nvPicPr>
        <xdr:cNvPr id="14" name="Bildobjekt 13" descr="http://www.svenskraps.se/bilderglobalt/1px_transp.gif">
          <a:extLst>
            <a:ext uri="{FF2B5EF4-FFF2-40B4-BE49-F238E27FC236}">
              <a16:creationId xmlns:a16="http://schemas.microsoft.com/office/drawing/2014/main" id="{00000000-0008-0000-0E00-00000E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524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61</xdr:row>
      <xdr:rowOff>0</xdr:rowOff>
    </xdr:from>
    <xdr:to>
      <xdr:col>9</xdr:col>
      <xdr:colOff>9525</xdr:colOff>
      <xdr:row>61</xdr:row>
      <xdr:rowOff>9525</xdr:rowOff>
    </xdr:to>
    <xdr:pic>
      <xdr:nvPicPr>
        <xdr:cNvPr id="15" name="Bildobjekt 14" descr="http://www.svenskraps.se/bilderglobalt/1px_transp.gif">
          <a:extLst>
            <a:ext uri="{FF2B5EF4-FFF2-40B4-BE49-F238E27FC236}">
              <a16:creationId xmlns:a16="http://schemas.microsoft.com/office/drawing/2014/main" id="{00000000-0008-0000-0E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7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61</xdr:row>
      <xdr:rowOff>0</xdr:rowOff>
    </xdr:from>
    <xdr:to>
      <xdr:col>10</xdr:col>
      <xdr:colOff>9525</xdr:colOff>
      <xdr:row>61</xdr:row>
      <xdr:rowOff>9525</xdr:rowOff>
    </xdr:to>
    <xdr:pic>
      <xdr:nvPicPr>
        <xdr:cNvPr id="16" name="Bildobjekt 15" descr="http://www.svenskraps.se/bilderglobalt/1px_transp.gif">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714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62</xdr:row>
      <xdr:rowOff>0</xdr:rowOff>
    </xdr:from>
    <xdr:to>
      <xdr:col>9</xdr:col>
      <xdr:colOff>9525</xdr:colOff>
      <xdr:row>62</xdr:row>
      <xdr:rowOff>9525</xdr:rowOff>
    </xdr:to>
    <xdr:pic>
      <xdr:nvPicPr>
        <xdr:cNvPr id="17" name="Bildobjekt 16" descr="http://www.svenskraps.se/bilderglobalt/1px_transp.gif">
          <a:extLst>
            <a:ext uri="{FF2B5EF4-FFF2-40B4-BE49-F238E27FC236}">
              <a16:creationId xmlns:a16="http://schemas.microsoft.com/office/drawing/2014/main" id="{00000000-0008-0000-0E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9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62</xdr:row>
      <xdr:rowOff>0</xdr:rowOff>
    </xdr:from>
    <xdr:to>
      <xdr:col>10</xdr:col>
      <xdr:colOff>9525</xdr:colOff>
      <xdr:row>62</xdr:row>
      <xdr:rowOff>9525</xdr:rowOff>
    </xdr:to>
    <xdr:pic>
      <xdr:nvPicPr>
        <xdr:cNvPr id="18" name="Bildobjekt 17" descr="http://www.svenskraps.se/bilderglobalt/1px_transp.gif">
          <a:extLst>
            <a:ext uri="{FF2B5EF4-FFF2-40B4-BE49-F238E27FC236}">
              <a16:creationId xmlns:a16="http://schemas.microsoft.com/office/drawing/2014/main" id="{00000000-0008-0000-0E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1905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63</xdr:row>
      <xdr:rowOff>0</xdr:rowOff>
    </xdr:from>
    <xdr:to>
      <xdr:col>9</xdr:col>
      <xdr:colOff>9525</xdr:colOff>
      <xdr:row>63</xdr:row>
      <xdr:rowOff>9525</xdr:rowOff>
    </xdr:to>
    <xdr:pic>
      <xdr:nvPicPr>
        <xdr:cNvPr id="19" name="Bildobjekt 18" descr="http://www.svenskraps.se/bilderglobalt/1px_transp.gif">
          <a:extLst>
            <a:ext uri="{FF2B5EF4-FFF2-40B4-BE49-F238E27FC236}">
              <a16:creationId xmlns:a16="http://schemas.microsoft.com/office/drawing/2014/main" id="{00000000-0008-0000-0E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63</xdr:row>
      <xdr:rowOff>0</xdr:rowOff>
    </xdr:from>
    <xdr:to>
      <xdr:col>10</xdr:col>
      <xdr:colOff>9525</xdr:colOff>
      <xdr:row>63</xdr:row>
      <xdr:rowOff>9525</xdr:rowOff>
    </xdr:to>
    <xdr:pic>
      <xdr:nvPicPr>
        <xdr:cNvPr id="20" name="Bildobjekt 19" descr="http://www.svenskraps.se/bilderglobalt/1px_transp.gif">
          <a:extLst>
            <a:ext uri="{FF2B5EF4-FFF2-40B4-BE49-F238E27FC236}">
              <a16:creationId xmlns:a16="http://schemas.microsoft.com/office/drawing/2014/main" id="{00000000-0008-0000-0E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095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64</xdr:row>
      <xdr:rowOff>0</xdr:rowOff>
    </xdr:from>
    <xdr:to>
      <xdr:col>9</xdr:col>
      <xdr:colOff>9525</xdr:colOff>
      <xdr:row>64</xdr:row>
      <xdr:rowOff>9525</xdr:rowOff>
    </xdr:to>
    <xdr:pic>
      <xdr:nvPicPr>
        <xdr:cNvPr id="21" name="Bildobjekt 20" descr="http://www.svenskraps.se/bilderglobalt/1px_transp.gif">
          <a:extLst>
            <a:ext uri="{FF2B5EF4-FFF2-40B4-BE49-F238E27FC236}">
              <a16:creationId xmlns:a16="http://schemas.microsoft.com/office/drawing/2014/main" id="{00000000-0008-0000-0E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64</xdr:row>
      <xdr:rowOff>0</xdr:rowOff>
    </xdr:from>
    <xdr:to>
      <xdr:col>10</xdr:col>
      <xdr:colOff>9525</xdr:colOff>
      <xdr:row>64</xdr:row>
      <xdr:rowOff>9525</xdr:rowOff>
    </xdr:to>
    <xdr:pic>
      <xdr:nvPicPr>
        <xdr:cNvPr id="22" name="Bildobjekt 21" descr="http://www.svenskraps.se/bilderglobalt/1px_transp.gif">
          <a:extLst>
            <a:ext uri="{FF2B5EF4-FFF2-40B4-BE49-F238E27FC236}">
              <a16:creationId xmlns:a16="http://schemas.microsoft.com/office/drawing/2014/main" id="{00000000-0008-0000-0E00-00001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286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65</xdr:row>
      <xdr:rowOff>0</xdr:rowOff>
    </xdr:from>
    <xdr:to>
      <xdr:col>9</xdr:col>
      <xdr:colOff>9525</xdr:colOff>
      <xdr:row>65</xdr:row>
      <xdr:rowOff>9525</xdr:rowOff>
    </xdr:to>
    <xdr:pic>
      <xdr:nvPicPr>
        <xdr:cNvPr id="23" name="Bildobjekt 22" descr="http://www.svenskraps.se/bilderglobalt/1px_transp.gif">
          <a:extLst>
            <a:ext uri="{FF2B5EF4-FFF2-40B4-BE49-F238E27FC236}">
              <a16:creationId xmlns:a16="http://schemas.microsoft.com/office/drawing/2014/main" id="{00000000-0008-0000-0E00-00001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4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65</xdr:row>
      <xdr:rowOff>0</xdr:rowOff>
    </xdr:from>
    <xdr:to>
      <xdr:col>10</xdr:col>
      <xdr:colOff>9525</xdr:colOff>
      <xdr:row>65</xdr:row>
      <xdr:rowOff>9525</xdr:rowOff>
    </xdr:to>
    <xdr:pic>
      <xdr:nvPicPr>
        <xdr:cNvPr id="24" name="Bildobjekt 23" descr="http://www.svenskraps.se/bilderglobalt/1px_transp.gif">
          <a:extLst>
            <a:ext uri="{FF2B5EF4-FFF2-40B4-BE49-F238E27FC236}">
              <a16:creationId xmlns:a16="http://schemas.microsoft.com/office/drawing/2014/main" id="{00000000-0008-0000-0E00-00001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4765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0</xdr:colOff>
      <xdr:row>66</xdr:row>
      <xdr:rowOff>0</xdr:rowOff>
    </xdr:from>
    <xdr:to>
      <xdr:col>9</xdr:col>
      <xdr:colOff>9525</xdr:colOff>
      <xdr:row>66</xdr:row>
      <xdr:rowOff>9525</xdr:rowOff>
    </xdr:to>
    <xdr:pic>
      <xdr:nvPicPr>
        <xdr:cNvPr id="25" name="Bildobjekt 24" descr="http://www.svenskraps.se/bilderglobalt/1px_transp.gif">
          <a:extLst>
            <a:ext uri="{FF2B5EF4-FFF2-40B4-BE49-F238E27FC236}">
              <a16:creationId xmlns:a16="http://schemas.microsoft.com/office/drawing/2014/main" id="{00000000-0008-0000-0E00-00001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0</xdr:colOff>
      <xdr:row>66</xdr:row>
      <xdr:rowOff>0</xdr:rowOff>
    </xdr:from>
    <xdr:to>
      <xdr:col>10</xdr:col>
      <xdr:colOff>9525</xdr:colOff>
      <xdr:row>66</xdr:row>
      <xdr:rowOff>9525</xdr:rowOff>
    </xdr:to>
    <xdr:pic>
      <xdr:nvPicPr>
        <xdr:cNvPr id="26" name="Bildobjekt 25" descr="http://www.svenskraps.se/bilderglobalt/1px_transp.gif">
          <a:extLst>
            <a:ext uri="{FF2B5EF4-FFF2-40B4-BE49-F238E27FC236}">
              <a16:creationId xmlns:a16="http://schemas.microsoft.com/office/drawing/2014/main" id="{00000000-0008-0000-0E00-00001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3975" y="2667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653143</xdr:colOff>
      <xdr:row>69</xdr:row>
      <xdr:rowOff>176892</xdr:rowOff>
    </xdr:from>
    <xdr:to>
      <xdr:col>18</xdr:col>
      <xdr:colOff>721178</xdr:colOff>
      <xdr:row>128</xdr:row>
      <xdr:rowOff>152509</xdr:rowOff>
    </xdr:to>
    <xdr:pic>
      <xdr:nvPicPr>
        <xdr:cNvPr id="28" name="Bildobjekt 27">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srcRect l="32444" t="13573" r="34664" b="9632"/>
        <a:stretch/>
      </xdr:blipFill>
      <xdr:spPr>
        <a:xfrm>
          <a:off x="10082893" y="12423321"/>
          <a:ext cx="6613071" cy="965029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3</xdr:col>
      <xdr:colOff>443630</xdr:colOff>
      <xdr:row>1</xdr:row>
      <xdr:rowOff>221815</xdr:rowOff>
    </xdr:from>
    <xdr:ext cx="6095195" cy="311496"/>
    <xdr:sp macro="" textlink="">
      <xdr:nvSpPr>
        <xdr:cNvPr id="2" name="textruta 1">
          <a:extLst>
            <a:ext uri="{FF2B5EF4-FFF2-40B4-BE49-F238E27FC236}">
              <a16:creationId xmlns:a16="http://schemas.microsoft.com/office/drawing/2014/main" id="{00000000-0008-0000-0F00-000002000000}"/>
            </a:ext>
          </a:extLst>
        </xdr:cNvPr>
        <xdr:cNvSpPr txBox="1"/>
      </xdr:nvSpPr>
      <xdr:spPr>
        <a:xfrm>
          <a:off x="2570445" y="378390"/>
          <a:ext cx="6095195" cy="311496"/>
        </a:xfrm>
        <a:prstGeom prst="rect">
          <a:avLst/>
        </a:prstGeom>
        <a:solidFill>
          <a:srgbClr val="FFFF00"/>
        </a:solidFill>
        <a:ln w="2222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b="1"/>
            <a:t>Här kan du lägga in stallgödselslag du saknar samt justera</a:t>
          </a:r>
          <a:r>
            <a:rPr lang="sv-SE" sz="1400" b="1" baseline="0"/>
            <a:t>  N-, P- och K-effekten</a:t>
          </a:r>
          <a:endParaRPr lang="sv-SE" sz="1400" b="1"/>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48</xdr:col>
      <xdr:colOff>285750</xdr:colOff>
      <xdr:row>40</xdr:row>
      <xdr:rowOff>9525</xdr:rowOff>
    </xdr:from>
    <xdr:to>
      <xdr:col>48</xdr:col>
      <xdr:colOff>561975</xdr:colOff>
      <xdr:row>41</xdr:row>
      <xdr:rowOff>0</xdr:rowOff>
    </xdr:to>
    <xdr:sp macro="" textlink="">
      <xdr:nvSpPr>
        <xdr:cNvPr id="169274" name="Line 5">
          <a:extLst>
            <a:ext uri="{FF2B5EF4-FFF2-40B4-BE49-F238E27FC236}">
              <a16:creationId xmlns:a16="http://schemas.microsoft.com/office/drawing/2014/main" id="{00000000-0008-0000-1000-00003A950200}"/>
            </a:ext>
          </a:extLst>
        </xdr:cNvPr>
        <xdr:cNvSpPr>
          <a:spLocks noChangeShapeType="1"/>
        </xdr:cNvSpPr>
      </xdr:nvSpPr>
      <xdr:spPr bwMode="auto">
        <a:xfrm>
          <a:off x="349567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285750</xdr:colOff>
      <xdr:row>40</xdr:row>
      <xdr:rowOff>9525</xdr:rowOff>
    </xdr:from>
    <xdr:to>
      <xdr:col>43</xdr:col>
      <xdr:colOff>561975</xdr:colOff>
      <xdr:row>41</xdr:row>
      <xdr:rowOff>0</xdr:rowOff>
    </xdr:to>
    <xdr:sp macro="" textlink="">
      <xdr:nvSpPr>
        <xdr:cNvPr id="169275" name="Line 7">
          <a:extLst>
            <a:ext uri="{FF2B5EF4-FFF2-40B4-BE49-F238E27FC236}">
              <a16:creationId xmlns:a16="http://schemas.microsoft.com/office/drawing/2014/main" id="{00000000-0008-0000-1000-00003B950200}"/>
            </a:ext>
          </a:extLst>
        </xdr:cNvPr>
        <xdr:cNvSpPr>
          <a:spLocks noChangeShapeType="1"/>
        </xdr:cNvSpPr>
      </xdr:nvSpPr>
      <xdr:spPr bwMode="auto">
        <a:xfrm>
          <a:off x="321373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285750</xdr:colOff>
      <xdr:row>40</xdr:row>
      <xdr:rowOff>9525</xdr:rowOff>
    </xdr:from>
    <xdr:to>
      <xdr:col>38</xdr:col>
      <xdr:colOff>561975</xdr:colOff>
      <xdr:row>41</xdr:row>
      <xdr:rowOff>0</xdr:rowOff>
    </xdr:to>
    <xdr:sp macro="" textlink="">
      <xdr:nvSpPr>
        <xdr:cNvPr id="169276" name="Line 9">
          <a:extLst>
            <a:ext uri="{FF2B5EF4-FFF2-40B4-BE49-F238E27FC236}">
              <a16:creationId xmlns:a16="http://schemas.microsoft.com/office/drawing/2014/main" id="{00000000-0008-0000-1000-00003C950200}"/>
            </a:ext>
          </a:extLst>
        </xdr:cNvPr>
        <xdr:cNvSpPr>
          <a:spLocks noChangeShapeType="1"/>
        </xdr:cNvSpPr>
      </xdr:nvSpPr>
      <xdr:spPr bwMode="auto">
        <a:xfrm>
          <a:off x="294227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169277" name="Line 11">
          <a:extLst>
            <a:ext uri="{FF2B5EF4-FFF2-40B4-BE49-F238E27FC236}">
              <a16:creationId xmlns:a16="http://schemas.microsoft.com/office/drawing/2014/main" id="{00000000-0008-0000-1000-00003D950200}"/>
            </a:ext>
          </a:extLst>
        </xdr:cNvPr>
        <xdr:cNvSpPr>
          <a:spLocks noChangeShapeType="1"/>
        </xdr:cNvSpPr>
      </xdr:nvSpPr>
      <xdr:spPr bwMode="auto">
        <a:xfrm>
          <a:off x="26517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169278" name="Line 13">
          <a:extLst>
            <a:ext uri="{FF2B5EF4-FFF2-40B4-BE49-F238E27FC236}">
              <a16:creationId xmlns:a16="http://schemas.microsoft.com/office/drawing/2014/main" id="{00000000-0008-0000-1000-00003E950200}"/>
            </a:ext>
          </a:extLst>
        </xdr:cNvPr>
        <xdr:cNvSpPr>
          <a:spLocks noChangeShapeType="1"/>
        </xdr:cNvSpPr>
      </xdr:nvSpPr>
      <xdr:spPr bwMode="auto">
        <a:xfrm>
          <a:off x="236410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169279" name="Line 15">
          <a:extLst>
            <a:ext uri="{FF2B5EF4-FFF2-40B4-BE49-F238E27FC236}">
              <a16:creationId xmlns:a16="http://schemas.microsoft.com/office/drawing/2014/main" id="{00000000-0008-0000-1000-00003F950200}"/>
            </a:ext>
          </a:extLst>
        </xdr:cNvPr>
        <xdr:cNvSpPr>
          <a:spLocks noChangeShapeType="1"/>
        </xdr:cNvSpPr>
      </xdr:nvSpPr>
      <xdr:spPr bwMode="auto">
        <a:xfrm>
          <a:off x="20802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169280" name="Line 17">
          <a:extLst>
            <a:ext uri="{FF2B5EF4-FFF2-40B4-BE49-F238E27FC236}">
              <a16:creationId xmlns:a16="http://schemas.microsoft.com/office/drawing/2014/main" id="{00000000-0008-0000-1000-000040950200}"/>
            </a:ext>
          </a:extLst>
        </xdr:cNvPr>
        <xdr:cNvSpPr>
          <a:spLocks noChangeShapeType="1"/>
        </xdr:cNvSpPr>
      </xdr:nvSpPr>
      <xdr:spPr bwMode="auto">
        <a:xfrm>
          <a:off x="179451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169281" name="Line 19">
          <a:extLst>
            <a:ext uri="{FF2B5EF4-FFF2-40B4-BE49-F238E27FC236}">
              <a16:creationId xmlns:a16="http://schemas.microsoft.com/office/drawing/2014/main" id="{00000000-0008-0000-1000-000041950200}"/>
            </a:ext>
          </a:extLst>
        </xdr:cNvPr>
        <xdr:cNvSpPr>
          <a:spLocks noChangeShapeType="1"/>
        </xdr:cNvSpPr>
      </xdr:nvSpPr>
      <xdr:spPr bwMode="auto">
        <a:xfrm>
          <a:off x="150590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295275</xdr:colOff>
      <xdr:row>42</xdr:row>
      <xdr:rowOff>38100</xdr:rowOff>
    </xdr:from>
    <xdr:to>
      <xdr:col>9</xdr:col>
      <xdr:colOff>295275</xdr:colOff>
      <xdr:row>42</xdr:row>
      <xdr:rowOff>238125</xdr:rowOff>
    </xdr:to>
    <xdr:sp macro="" textlink="">
      <xdr:nvSpPr>
        <xdr:cNvPr id="169282" name="Line 22">
          <a:extLst>
            <a:ext uri="{FF2B5EF4-FFF2-40B4-BE49-F238E27FC236}">
              <a16:creationId xmlns:a16="http://schemas.microsoft.com/office/drawing/2014/main" id="{00000000-0008-0000-1000-000042950200}"/>
            </a:ext>
          </a:extLst>
        </xdr:cNvPr>
        <xdr:cNvSpPr>
          <a:spLocks noChangeShapeType="1"/>
        </xdr:cNvSpPr>
      </xdr:nvSpPr>
      <xdr:spPr bwMode="auto">
        <a:xfrm>
          <a:off x="12934950"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285750</xdr:colOff>
      <xdr:row>40</xdr:row>
      <xdr:rowOff>9525</xdr:rowOff>
    </xdr:from>
    <xdr:to>
      <xdr:col>8</xdr:col>
      <xdr:colOff>561975</xdr:colOff>
      <xdr:row>41</xdr:row>
      <xdr:rowOff>0</xdr:rowOff>
    </xdr:to>
    <xdr:sp macro="" textlink="">
      <xdr:nvSpPr>
        <xdr:cNvPr id="169283" name="Line 23">
          <a:extLst>
            <a:ext uri="{FF2B5EF4-FFF2-40B4-BE49-F238E27FC236}">
              <a16:creationId xmlns:a16="http://schemas.microsoft.com/office/drawing/2014/main" id="{00000000-0008-0000-1000-000043950200}"/>
            </a:ext>
          </a:extLst>
        </xdr:cNvPr>
        <xdr:cNvSpPr>
          <a:spLocks noChangeShapeType="1"/>
        </xdr:cNvSpPr>
      </xdr:nvSpPr>
      <xdr:spPr bwMode="auto">
        <a:xfrm>
          <a:off x="1214437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295275</xdr:colOff>
      <xdr:row>42</xdr:row>
      <xdr:rowOff>38100</xdr:rowOff>
    </xdr:from>
    <xdr:to>
      <xdr:col>14</xdr:col>
      <xdr:colOff>295275</xdr:colOff>
      <xdr:row>42</xdr:row>
      <xdr:rowOff>238125</xdr:rowOff>
    </xdr:to>
    <xdr:sp macro="" textlink="">
      <xdr:nvSpPr>
        <xdr:cNvPr id="169284" name="Line 25">
          <a:extLst>
            <a:ext uri="{FF2B5EF4-FFF2-40B4-BE49-F238E27FC236}">
              <a16:creationId xmlns:a16="http://schemas.microsoft.com/office/drawing/2014/main" id="{00000000-0008-0000-1000-000044950200}"/>
            </a:ext>
          </a:extLst>
        </xdr:cNvPr>
        <xdr:cNvSpPr>
          <a:spLocks noChangeShapeType="1"/>
        </xdr:cNvSpPr>
      </xdr:nvSpPr>
      <xdr:spPr bwMode="auto">
        <a:xfrm>
          <a:off x="158210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295275</xdr:colOff>
      <xdr:row>42</xdr:row>
      <xdr:rowOff>38100</xdr:rowOff>
    </xdr:from>
    <xdr:to>
      <xdr:col>19</xdr:col>
      <xdr:colOff>295275</xdr:colOff>
      <xdr:row>42</xdr:row>
      <xdr:rowOff>238125</xdr:rowOff>
    </xdr:to>
    <xdr:sp macro="" textlink="">
      <xdr:nvSpPr>
        <xdr:cNvPr id="169285" name="Line 26">
          <a:extLst>
            <a:ext uri="{FF2B5EF4-FFF2-40B4-BE49-F238E27FC236}">
              <a16:creationId xmlns:a16="http://schemas.microsoft.com/office/drawing/2014/main" id="{00000000-0008-0000-1000-000045950200}"/>
            </a:ext>
          </a:extLst>
        </xdr:cNvPr>
        <xdr:cNvSpPr>
          <a:spLocks noChangeShapeType="1"/>
        </xdr:cNvSpPr>
      </xdr:nvSpPr>
      <xdr:spPr bwMode="auto">
        <a:xfrm>
          <a:off x="186785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295275</xdr:colOff>
      <xdr:row>42</xdr:row>
      <xdr:rowOff>38100</xdr:rowOff>
    </xdr:from>
    <xdr:to>
      <xdr:col>24</xdr:col>
      <xdr:colOff>295275</xdr:colOff>
      <xdr:row>42</xdr:row>
      <xdr:rowOff>238125</xdr:rowOff>
    </xdr:to>
    <xdr:sp macro="" textlink="">
      <xdr:nvSpPr>
        <xdr:cNvPr id="169286" name="Line 27">
          <a:extLst>
            <a:ext uri="{FF2B5EF4-FFF2-40B4-BE49-F238E27FC236}">
              <a16:creationId xmlns:a16="http://schemas.microsoft.com/office/drawing/2014/main" id="{00000000-0008-0000-1000-000046950200}"/>
            </a:ext>
          </a:extLst>
        </xdr:cNvPr>
        <xdr:cNvSpPr>
          <a:spLocks noChangeShapeType="1"/>
        </xdr:cNvSpPr>
      </xdr:nvSpPr>
      <xdr:spPr bwMode="auto">
        <a:xfrm>
          <a:off x="215169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295275</xdr:colOff>
      <xdr:row>42</xdr:row>
      <xdr:rowOff>38100</xdr:rowOff>
    </xdr:from>
    <xdr:to>
      <xdr:col>29</xdr:col>
      <xdr:colOff>295275</xdr:colOff>
      <xdr:row>42</xdr:row>
      <xdr:rowOff>238125</xdr:rowOff>
    </xdr:to>
    <xdr:sp macro="" textlink="">
      <xdr:nvSpPr>
        <xdr:cNvPr id="169287" name="Line 28">
          <a:extLst>
            <a:ext uri="{FF2B5EF4-FFF2-40B4-BE49-F238E27FC236}">
              <a16:creationId xmlns:a16="http://schemas.microsoft.com/office/drawing/2014/main" id="{00000000-0008-0000-1000-000047950200}"/>
            </a:ext>
          </a:extLst>
        </xdr:cNvPr>
        <xdr:cNvSpPr>
          <a:spLocks noChangeShapeType="1"/>
        </xdr:cNvSpPr>
      </xdr:nvSpPr>
      <xdr:spPr bwMode="auto">
        <a:xfrm>
          <a:off x="243935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295275</xdr:colOff>
      <xdr:row>42</xdr:row>
      <xdr:rowOff>38100</xdr:rowOff>
    </xdr:from>
    <xdr:to>
      <xdr:col>34</xdr:col>
      <xdr:colOff>295275</xdr:colOff>
      <xdr:row>42</xdr:row>
      <xdr:rowOff>238125</xdr:rowOff>
    </xdr:to>
    <xdr:sp macro="" textlink="">
      <xdr:nvSpPr>
        <xdr:cNvPr id="169288" name="Line 29">
          <a:extLst>
            <a:ext uri="{FF2B5EF4-FFF2-40B4-BE49-F238E27FC236}">
              <a16:creationId xmlns:a16="http://schemas.microsoft.com/office/drawing/2014/main" id="{00000000-0008-0000-1000-000048950200}"/>
            </a:ext>
          </a:extLst>
        </xdr:cNvPr>
        <xdr:cNvSpPr>
          <a:spLocks noChangeShapeType="1"/>
        </xdr:cNvSpPr>
      </xdr:nvSpPr>
      <xdr:spPr bwMode="auto">
        <a:xfrm>
          <a:off x="2721292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39</xdr:col>
      <xdr:colOff>295275</xdr:colOff>
      <xdr:row>42</xdr:row>
      <xdr:rowOff>38100</xdr:rowOff>
    </xdr:from>
    <xdr:to>
      <xdr:col>39</xdr:col>
      <xdr:colOff>295275</xdr:colOff>
      <xdr:row>42</xdr:row>
      <xdr:rowOff>238125</xdr:rowOff>
    </xdr:to>
    <xdr:sp macro="" textlink="">
      <xdr:nvSpPr>
        <xdr:cNvPr id="169289" name="Line 30">
          <a:extLst>
            <a:ext uri="{FF2B5EF4-FFF2-40B4-BE49-F238E27FC236}">
              <a16:creationId xmlns:a16="http://schemas.microsoft.com/office/drawing/2014/main" id="{00000000-0008-0000-1000-000049950200}"/>
            </a:ext>
          </a:extLst>
        </xdr:cNvPr>
        <xdr:cNvSpPr>
          <a:spLocks noChangeShapeType="1"/>
        </xdr:cNvSpPr>
      </xdr:nvSpPr>
      <xdr:spPr bwMode="auto">
        <a:xfrm>
          <a:off x="300132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44</xdr:col>
      <xdr:colOff>295275</xdr:colOff>
      <xdr:row>42</xdr:row>
      <xdr:rowOff>38100</xdr:rowOff>
    </xdr:from>
    <xdr:to>
      <xdr:col>44</xdr:col>
      <xdr:colOff>295275</xdr:colOff>
      <xdr:row>42</xdr:row>
      <xdr:rowOff>238125</xdr:rowOff>
    </xdr:to>
    <xdr:sp macro="" textlink="">
      <xdr:nvSpPr>
        <xdr:cNvPr id="169290" name="Line 31">
          <a:extLst>
            <a:ext uri="{FF2B5EF4-FFF2-40B4-BE49-F238E27FC236}">
              <a16:creationId xmlns:a16="http://schemas.microsoft.com/office/drawing/2014/main" id="{00000000-0008-0000-1000-00004A950200}"/>
            </a:ext>
          </a:extLst>
        </xdr:cNvPr>
        <xdr:cNvSpPr>
          <a:spLocks noChangeShapeType="1"/>
        </xdr:cNvSpPr>
      </xdr:nvSpPr>
      <xdr:spPr bwMode="auto">
        <a:xfrm>
          <a:off x="328326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49</xdr:col>
      <xdr:colOff>295275</xdr:colOff>
      <xdr:row>42</xdr:row>
      <xdr:rowOff>38100</xdr:rowOff>
    </xdr:from>
    <xdr:to>
      <xdr:col>49</xdr:col>
      <xdr:colOff>295275</xdr:colOff>
      <xdr:row>42</xdr:row>
      <xdr:rowOff>238125</xdr:rowOff>
    </xdr:to>
    <xdr:sp macro="" textlink="">
      <xdr:nvSpPr>
        <xdr:cNvPr id="169291" name="Line 32">
          <a:extLst>
            <a:ext uri="{FF2B5EF4-FFF2-40B4-BE49-F238E27FC236}">
              <a16:creationId xmlns:a16="http://schemas.microsoft.com/office/drawing/2014/main" id="{00000000-0008-0000-1000-00004B950200}"/>
            </a:ext>
          </a:extLst>
        </xdr:cNvPr>
        <xdr:cNvSpPr>
          <a:spLocks noChangeShapeType="1"/>
        </xdr:cNvSpPr>
      </xdr:nvSpPr>
      <xdr:spPr bwMode="auto">
        <a:xfrm>
          <a:off x="35690175" y="111156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169292" name="Line 79">
          <a:extLst>
            <a:ext uri="{FF2B5EF4-FFF2-40B4-BE49-F238E27FC236}">
              <a16:creationId xmlns:a16="http://schemas.microsoft.com/office/drawing/2014/main" id="{00000000-0008-0000-1000-00004C950200}"/>
            </a:ext>
          </a:extLst>
        </xdr:cNvPr>
        <xdr:cNvSpPr>
          <a:spLocks noChangeShapeType="1"/>
        </xdr:cNvSpPr>
      </xdr:nvSpPr>
      <xdr:spPr bwMode="auto">
        <a:xfrm>
          <a:off x="150590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169293" name="Line 80">
          <a:extLst>
            <a:ext uri="{FF2B5EF4-FFF2-40B4-BE49-F238E27FC236}">
              <a16:creationId xmlns:a16="http://schemas.microsoft.com/office/drawing/2014/main" id="{00000000-0008-0000-1000-00004D950200}"/>
            </a:ext>
          </a:extLst>
        </xdr:cNvPr>
        <xdr:cNvSpPr>
          <a:spLocks noChangeShapeType="1"/>
        </xdr:cNvSpPr>
      </xdr:nvSpPr>
      <xdr:spPr bwMode="auto">
        <a:xfrm>
          <a:off x="179451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169294" name="Line 81">
          <a:extLst>
            <a:ext uri="{FF2B5EF4-FFF2-40B4-BE49-F238E27FC236}">
              <a16:creationId xmlns:a16="http://schemas.microsoft.com/office/drawing/2014/main" id="{00000000-0008-0000-1000-00004E950200}"/>
            </a:ext>
          </a:extLst>
        </xdr:cNvPr>
        <xdr:cNvSpPr>
          <a:spLocks noChangeShapeType="1"/>
        </xdr:cNvSpPr>
      </xdr:nvSpPr>
      <xdr:spPr bwMode="auto">
        <a:xfrm>
          <a:off x="20802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169295" name="Line 82">
          <a:extLst>
            <a:ext uri="{FF2B5EF4-FFF2-40B4-BE49-F238E27FC236}">
              <a16:creationId xmlns:a16="http://schemas.microsoft.com/office/drawing/2014/main" id="{00000000-0008-0000-1000-00004F950200}"/>
            </a:ext>
          </a:extLst>
        </xdr:cNvPr>
        <xdr:cNvSpPr>
          <a:spLocks noChangeShapeType="1"/>
        </xdr:cNvSpPr>
      </xdr:nvSpPr>
      <xdr:spPr bwMode="auto">
        <a:xfrm>
          <a:off x="236410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169296" name="Line 83">
          <a:extLst>
            <a:ext uri="{FF2B5EF4-FFF2-40B4-BE49-F238E27FC236}">
              <a16:creationId xmlns:a16="http://schemas.microsoft.com/office/drawing/2014/main" id="{00000000-0008-0000-1000-000050950200}"/>
            </a:ext>
          </a:extLst>
        </xdr:cNvPr>
        <xdr:cNvSpPr>
          <a:spLocks noChangeShapeType="1"/>
        </xdr:cNvSpPr>
      </xdr:nvSpPr>
      <xdr:spPr bwMode="auto">
        <a:xfrm>
          <a:off x="2651760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38</xdr:col>
      <xdr:colOff>285750</xdr:colOff>
      <xdr:row>40</xdr:row>
      <xdr:rowOff>9525</xdr:rowOff>
    </xdr:from>
    <xdr:to>
      <xdr:col>38</xdr:col>
      <xdr:colOff>561975</xdr:colOff>
      <xdr:row>41</xdr:row>
      <xdr:rowOff>0</xdr:rowOff>
    </xdr:to>
    <xdr:sp macro="" textlink="">
      <xdr:nvSpPr>
        <xdr:cNvPr id="169297" name="Line 84">
          <a:extLst>
            <a:ext uri="{FF2B5EF4-FFF2-40B4-BE49-F238E27FC236}">
              <a16:creationId xmlns:a16="http://schemas.microsoft.com/office/drawing/2014/main" id="{00000000-0008-0000-1000-000051950200}"/>
            </a:ext>
          </a:extLst>
        </xdr:cNvPr>
        <xdr:cNvSpPr>
          <a:spLocks noChangeShapeType="1"/>
        </xdr:cNvSpPr>
      </xdr:nvSpPr>
      <xdr:spPr bwMode="auto">
        <a:xfrm>
          <a:off x="29422725"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43</xdr:col>
      <xdr:colOff>285750</xdr:colOff>
      <xdr:row>40</xdr:row>
      <xdr:rowOff>9525</xdr:rowOff>
    </xdr:from>
    <xdr:to>
      <xdr:col>43</xdr:col>
      <xdr:colOff>561975</xdr:colOff>
      <xdr:row>41</xdr:row>
      <xdr:rowOff>0</xdr:rowOff>
    </xdr:to>
    <xdr:sp macro="" textlink="">
      <xdr:nvSpPr>
        <xdr:cNvPr id="169298" name="Line 85">
          <a:extLst>
            <a:ext uri="{FF2B5EF4-FFF2-40B4-BE49-F238E27FC236}">
              <a16:creationId xmlns:a16="http://schemas.microsoft.com/office/drawing/2014/main" id="{00000000-0008-0000-1000-000052950200}"/>
            </a:ext>
          </a:extLst>
        </xdr:cNvPr>
        <xdr:cNvSpPr>
          <a:spLocks noChangeShapeType="1"/>
        </xdr:cNvSpPr>
      </xdr:nvSpPr>
      <xdr:spPr bwMode="auto">
        <a:xfrm>
          <a:off x="321373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48</xdr:col>
      <xdr:colOff>285750</xdr:colOff>
      <xdr:row>40</xdr:row>
      <xdr:rowOff>9525</xdr:rowOff>
    </xdr:from>
    <xdr:to>
      <xdr:col>48</xdr:col>
      <xdr:colOff>561975</xdr:colOff>
      <xdr:row>41</xdr:row>
      <xdr:rowOff>0</xdr:rowOff>
    </xdr:to>
    <xdr:sp macro="" textlink="">
      <xdr:nvSpPr>
        <xdr:cNvPr id="169299" name="Line 86">
          <a:extLst>
            <a:ext uri="{FF2B5EF4-FFF2-40B4-BE49-F238E27FC236}">
              <a16:creationId xmlns:a16="http://schemas.microsoft.com/office/drawing/2014/main" id="{00000000-0008-0000-1000-000053950200}"/>
            </a:ext>
          </a:extLst>
        </xdr:cNvPr>
        <xdr:cNvSpPr>
          <a:spLocks noChangeShapeType="1"/>
        </xdr:cNvSpPr>
      </xdr:nvSpPr>
      <xdr:spPr bwMode="auto">
        <a:xfrm>
          <a:off x="34956750" y="106965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447675</xdr:colOff>
      <xdr:row>97</xdr:row>
      <xdr:rowOff>28575</xdr:rowOff>
    </xdr:from>
    <xdr:to>
      <xdr:col>14</xdr:col>
      <xdr:colOff>142875</xdr:colOff>
      <xdr:row>102</xdr:row>
      <xdr:rowOff>114298</xdr:rowOff>
    </xdr:to>
    <xdr:pic>
      <xdr:nvPicPr>
        <xdr:cNvPr id="169300" name="Bildobjekt 1">
          <a:extLst>
            <a:ext uri="{FF2B5EF4-FFF2-40B4-BE49-F238E27FC236}">
              <a16:creationId xmlns:a16="http://schemas.microsoft.com/office/drawing/2014/main" id="{00000000-0008-0000-1000-0000549502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19878675"/>
          <a:ext cx="2028825"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547573</xdr:colOff>
      <xdr:row>48</xdr:row>
      <xdr:rowOff>47625</xdr:rowOff>
    </xdr:from>
    <xdr:ext cx="7000990" cy="655949"/>
    <xdr:sp macro="" textlink="">
      <xdr:nvSpPr>
        <xdr:cNvPr id="2" name="textruta 1">
          <a:extLst>
            <a:ext uri="{FF2B5EF4-FFF2-40B4-BE49-F238E27FC236}">
              <a16:creationId xmlns:a16="http://schemas.microsoft.com/office/drawing/2014/main" id="{00000000-0008-0000-1000-000002000000}"/>
            </a:ext>
          </a:extLst>
        </xdr:cNvPr>
        <xdr:cNvSpPr txBox="1"/>
      </xdr:nvSpPr>
      <xdr:spPr>
        <a:xfrm>
          <a:off x="857136" y="523875"/>
          <a:ext cx="7000990" cy="655949"/>
        </a:xfrm>
        <a:prstGeom prst="rect">
          <a:avLst/>
        </a:prstGeom>
        <a:solidFill>
          <a:srgbClr val="FFFF00"/>
        </a:solidFill>
        <a:ln w="285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Uppdaterat</a:t>
          </a:r>
          <a:r>
            <a:rPr lang="sv-SE" sz="1200" b="1" baseline="0"/>
            <a:t> 2021 </a:t>
          </a:r>
        </a:p>
        <a:p>
          <a:r>
            <a:rPr lang="sv-SE" sz="1200" b="1" baseline="0"/>
            <a:t>Spannmålspriser och växtnäring enl Rekommendationer för gödsling och kalkning  från Jordbruksverket</a:t>
          </a:r>
        </a:p>
        <a:p>
          <a:r>
            <a:rPr lang="sv-SE" sz="1200" b="1" baseline="0"/>
            <a:t>Övriga kostnader enl TB från Agriwise (mer info på www.agriwise.se)</a:t>
          </a:r>
          <a:endParaRPr lang="sv-SE" sz="1200" b="1"/>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33</xdr:col>
      <xdr:colOff>285750</xdr:colOff>
      <xdr:row>40</xdr:row>
      <xdr:rowOff>9525</xdr:rowOff>
    </xdr:from>
    <xdr:to>
      <xdr:col>33</xdr:col>
      <xdr:colOff>561975</xdr:colOff>
      <xdr:row>41</xdr:row>
      <xdr:rowOff>0</xdr:rowOff>
    </xdr:to>
    <xdr:sp macro="" textlink="">
      <xdr:nvSpPr>
        <xdr:cNvPr id="5" name="Line 11">
          <a:extLst>
            <a:ext uri="{FF2B5EF4-FFF2-40B4-BE49-F238E27FC236}">
              <a16:creationId xmlns:a16="http://schemas.microsoft.com/office/drawing/2014/main" id="{00000000-0008-0000-1100-000005000000}"/>
            </a:ext>
          </a:extLst>
        </xdr:cNvPr>
        <xdr:cNvSpPr>
          <a:spLocks noChangeShapeType="1"/>
        </xdr:cNvSpPr>
      </xdr:nvSpPr>
      <xdr:spPr bwMode="auto">
        <a:xfrm>
          <a:off x="26517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6" name="Line 13">
          <a:extLst>
            <a:ext uri="{FF2B5EF4-FFF2-40B4-BE49-F238E27FC236}">
              <a16:creationId xmlns:a16="http://schemas.microsoft.com/office/drawing/2014/main" id="{00000000-0008-0000-1100-000006000000}"/>
            </a:ext>
          </a:extLst>
        </xdr:cNvPr>
        <xdr:cNvSpPr>
          <a:spLocks noChangeShapeType="1"/>
        </xdr:cNvSpPr>
      </xdr:nvSpPr>
      <xdr:spPr bwMode="auto">
        <a:xfrm>
          <a:off x="2364105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7" name="Line 15">
          <a:extLst>
            <a:ext uri="{FF2B5EF4-FFF2-40B4-BE49-F238E27FC236}">
              <a16:creationId xmlns:a16="http://schemas.microsoft.com/office/drawing/2014/main" id="{00000000-0008-0000-1100-000007000000}"/>
            </a:ext>
          </a:extLst>
        </xdr:cNvPr>
        <xdr:cNvSpPr>
          <a:spLocks noChangeShapeType="1"/>
        </xdr:cNvSpPr>
      </xdr:nvSpPr>
      <xdr:spPr bwMode="auto">
        <a:xfrm>
          <a:off x="20802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8" name="Line 17">
          <a:extLst>
            <a:ext uri="{FF2B5EF4-FFF2-40B4-BE49-F238E27FC236}">
              <a16:creationId xmlns:a16="http://schemas.microsoft.com/office/drawing/2014/main" id="{00000000-0008-0000-1100-000008000000}"/>
            </a:ext>
          </a:extLst>
        </xdr:cNvPr>
        <xdr:cNvSpPr>
          <a:spLocks noChangeShapeType="1"/>
        </xdr:cNvSpPr>
      </xdr:nvSpPr>
      <xdr:spPr bwMode="auto">
        <a:xfrm>
          <a:off x="179451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9" name="Line 19">
          <a:extLst>
            <a:ext uri="{FF2B5EF4-FFF2-40B4-BE49-F238E27FC236}">
              <a16:creationId xmlns:a16="http://schemas.microsoft.com/office/drawing/2014/main" id="{00000000-0008-0000-1100-000009000000}"/>
            </a:ext>
          </a:extLst>
        </xdr:cNvPr>
        <xdr:cNvSpPr>
          <a:spLocks noChangeShapeType="1"/>
        </xdr:cNvSpPr>
      </xdr:nvSpPr>
      <xdr:spPr bwMode="auto">
        <a:xfrm>
          <a:off x="1505902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295275</xdr:colOff>
      <xdr:row>42</xdr:row>
      <xdr:rowOff>38100</xdr:rowOff>
    </xdr:from>
    <xdr:to>
      <xdr:col>9</xdr:col>
      <xdr:colOff>295275</xdr:colOff>
      <xdr:row>42</xdr:row>
      <xdr:rowOff>238125</xdr:rowOff>
    </xdr:to>
    <xdr:sp macro="" textlink="">
      <xdr:nvSpPr>
        <xdr:cNvPr id="10" name="Line 22">
          <a:extLst>
            <a:ext uri="{FF2B5EF4-FFF2-40B4-BE49-F238E27FC236}">
              <a16:creationId xmlns:a16="http://schemas.microsoft.com/office/drawing/2014/main" id="{00000000-0008-0000-1100-00000A000000}"/>
            </a:ext>
          </a:extLst>
        </xdr:cNvPr>
        <xdr:cNvSpPr>
          <a:spLocks noChangeShapeType="1"/>
        </xdr:cNvSpPr>
      </xdr:nvSpPr>
      <xdr:spPr bwMode="auto">
        <a:xfrm>
          <a:off x="12934950"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8</xdr:col>
      <xdr:colOff>285750</xdr:colOff>
      <xdr:row>40</xdr:row>
      <xdr:rowOff>9525</xdr:rowOff>
    </xdr:from>
    <xdr:to>
      <xdr:col>8</xdr:col>
      <xdr:colOff>561975</xdr:colOff>
      <xdr:row>41</xdr:row>
      <xdr:rowOff>0</xdr:rowOff>
    </xdr:to>
    <xdr:sp macro="" textlink="">
      <xdr:nvSpPr>
        <xdr:cNvPr id="11" name="Line 23">
          <a:extLst>
            <a:ext uri="{FF2B5EF4-FFF2-40B4-BE49-F238E27FC236}">
              <a16:creationId xmlns:a16="http://schemas.microsoft.com/office/drawing/2014/main" id="{00000000-0008-0000-1100-00000B000000}"/>
            </a:ext>
          </a:extLst>
        </xdr:cNvPr>
        <xdr:cNvSpPr>
          <a:spLocks noChangeShapeType="1"/>
        </xdr:cNvSpPr>
      </xdr:nvSpPr>
      <xdr:spPr bwMode="auto">
        <a:xfrm>
          <a:off x="1214437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14</xdr:col>
      <xdr:colOff>295275</xdr:colOff>
      <xdr:row>42</xdr:row>
      <xdr:rowOff>38100</xdr:rowOff>
    </xdr:from>
    <xdr:to>
      <xdr:col>14</xdr:col>
      <xdr:colOff>295275</xdr:colOff>
      <xdr:row>42</xdr:row>
      <xdr:rowOff>238125</xdr:rowOff>
    </xdr:to>
    <xdr:sp macro="" textlink="">
      <xdr:nvSpPr>
        <xdr:cNvPr id="12" name="Line 25">
          <a:extLst>
            <a:ext uri="{FF2B5EF4-FFF2-40B4-BE49-F238E27FC236}">
              <a16:creationId xmlns:a16="http://schemas.microsoft.com/office/drawing/2014/main" id="{00000000-0008-0000-1100-00000C000000}"/>
            </a:ext>
          </a:extLst>
        </xdr:cNvPr>
        <xdr:cNvSpPr>
          <a:spLocks noChangeShapeType="1"/>
        </xdr:cNvSpPr>
      </xdr:nvSpPr>
      <xdr:spPr bwMode="auto">
        <a:xfrm>
          <a:off x="158210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19</xdr:col>
      <xdr:colOff>295275</xdr:colOff>
      <xdr:row>42</xdr:row>
      <xdr:rowOff>38100</xdr:rowOff>
    </xdr:from>
    <xdr:to>
      <xdr:col>19</xdr:col>
      <xdr:colOff>295275</xdr:colOff>
      <xdr:row>42</xdr:row>
      <xdr:rowOff>238125</xdr:rowOff>
    </xdr:to>
    <xdr:sp macro="" textlink="">
      <xdr:nvSpPr>
        <xdr:cNvPr id="13" name="Line 26">
          <a:extLst>
            <a:ext uri="{FF2B5EF4-FFF2-40B4-BE49-F238E27FC236}">
              <a16:creationId xmlns:a16="http://schemas.microsoft.com/office/drawing/2014/main" id="{00000000-0008-0000-1100-00000D000000}"/>
            </a:ext>
          </a:extLst>
        </xdr:cNvPr>
        <xdr:cNvSpPr>
          <a:spLocks noChangeShapeType="1"/>
        </xdr:cNvSpPr>
      </xdr:nvSpPr>
      <xdr:spPr bwMode="auto">
        <a:xfrm>
          <a:off x="186785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24</xdr:col>
      <xdr:colOff>295275</xdr:colOff>
      <xdr:row>42</xdr:row>
      <xdr:rowOff>38100</xdr:rowOff>
    </xdr:from>
    <xdr:to>
      <xdr:col>24</xdr:col>
      <xdr:colOff>295275</xdr:colOff>
      <xdr:row>42</xdr:row>
      <xdr:rowOff>238125</xdr:rowOff>
    </xdr:to>
    <xdr:sp macro="" textlink="">
      <xdr:nvSpPr>
        <xdr:cNvPr id="14" name="Line 27">
          <a:extLst>
            <a:ext uri="{FF2B5EF4-FFF2-40B4-BE49-F238E27FC236}">
              <a16:creationId xmlns:a16="http://schemas.microsoft.com/office/drawing/2014/main" id="{00000000-0008-0000-1100-00000E000000}"/>
            </a:ext>
          </a:extLst>
        </xdr:cNvPr>
        <xdr:cNvSpPr>
          <a:spLocks noChangeShapeType="1"/>
        </xdr:cNvSpPr>
      </xdr:nvSpPr>
      <xdr:spPr bwMode="auto">
        <a:xfrm>
          <a:off x="2151697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29</xdr:col>
      <xdr:colOff>295275</xdr:colOff>
      <xdr:row>42</xdr:row>
      <xdr:rowOff>38100</xdr:rowOff>
    </xdr:from>
    <xdr:to>
      <xdr:col>29</xdr:col>
      <xdr:colOff>295275</xdr:colOff>
      <xdr:row>42</xdr:row>
      <xdr:rowOff>238125</xdr:rowOff>
    </xdr:to>
    <xdr:sp macro="" textlink="">
      <xdr:nvSpPr>
        <xdr:cNvPr id="15" name="Line 28">
          <a:extLst>
            <a:ext uri="{FF2B5EF4-FFF2-40B4-BE49-F238E27FC236}">
              <a16:creationId xmlns:a16="http://schemas.microsoft.com/office/drawing/2014/main" id="{00000000-0008-0000-1100-00000F000000}"/>
            </a:ext>
          </a:extLst>
        </xdr:cNvPr>
        <xdr:cNvSpPr>
          <a:spLocks noChangeShapeType="1"/>
        </xdr:cNvSpPr>
      </xdr:nvSpPr>
      <xdr:spPr bwMode="auto">
        <a:xfrm>
          <a:off x="243935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34</xdr:col>
      <xdr:colOff>295275</xdr:colOff>
      <xdr:row>42</xdr:row>
      <xdr:rowOff>38100</xdr:rowOff>
    </xdr:from>
    <xdr:to>
      <xdr:col>34</xdr:col>
      <xdr:colOff>295275</xdr:colOff>
      <xdr:row>42</xdr:row>
      <xdr:rowOff>238125</xdr:rowOff>
    </xdr:to>
    <xdr:sp macro="" textlink="">
      <xdr:nvSpPr>
        <xdr:cNvPr id="16" name="Line 29">
          <a:extLst>
            <a:ext uri="{FF2B5EF4-FFF2-40B4-BE49-F238E27FC236}">
              <a16:creationId xmlns:a16="http://schemas.microsoft.com/office/drawing/2014/main" id="{00000000-0008-0000-1100-000010000000}"/>
            </a:ext>
          </a:extLst>
        </xdr:cNvPr>
        <xdr:cNvSpPr>
          <a:spLocks noChangeShapeType="1"/>
        </xdr:cNvSpPr>
      </xdr:nvSpPr>
      <xdr:spPr bwMode="auto">
        <a:xfrm>
          <a:off x="27212925" y="10620375"/>
          <a:ext cx="0" cy="2000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285750</xdr:colOff>
      <xdr:row>40</xdr:row>
      <xdr:rowOff>9525</xdr:rowOff>
    </xdr:from>
    <xdr:to>
      <xdr:col>13</xdr:col>
      <xdr:colOff>561975</xdr:colOff>
      <xdr:row>41</xdr:row>
      <xdr:rowOff>0</xdr:rowOff>
    </xdr:to>
    <xdr:sp macro="" textlink="">
      <xdr:nvSpPr>
        <xdr:cNvPr id="20" name="Line 79">
          <a:extLst>
            <a:ext uri="{FF2B5EF4-FFF2-40B4-BE49-F238E27FC236}">
              <a16:creationId xmlns:a16="http://schemas.microsoft.com/office/drawing/2014/main" id="{00000000-0008-0000-1100-000014000000}"/>
            </a:ext>
          </a:extLst>
        </xdr:cNvPr>
        <xdr:cNvSpPr>
          <a:spLocks noChangeShapeType="1"/>
        </xdr:cNvSpPr>
      </xdr:nvSpPr>
      <xdr:spPr bwMode="auto">
        <a:xfrm>
          <a:off x="15059025"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18</xdr:col>
      <xdr:colOff>285750</xdr:colOff>
      <xdr:row>40</xdr:row>
      <xdr:rowOff>9525</xdr:rowOff>
    </xdr:from>
    <xdr:to>
      <xdr:col>18</xdr:col>
      <xdr:colOff>561975</xdr:colOff>
      <xdr:row>41</xdr:row>
      <xdr:rowOff>0</xdr:rowOff>
    </xdr:to>
    <xdr:sp macro="" textlink="">
      <xdr:nvSpPr>
        <xdr:cNvPr id="21" name="Line 80">
          <a:extLst>
            <a:ext uri="{FF2B5EF4-FFF2-40B4-BE49-F238E27FC236}">
              <a16:creationId xmlns:a16="http://schemas.microsoft.com/office/drawing/2014/main" id="{00000000-0008-0000-1100-000015000000}"/>
            </a:ext>
          </a:extLst>
        </xdr:cNvPr>
        <xdr:cNvSpPr>
          <a:spLocks noChangeShapeType="1"/>
        </xdr:cNvSpPr>
      </xdr:nvSpPr>
      <xdr:spPr bwMode="auto">
        <a:xfrm>
          <a:off x="179451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23</xdr:col>
      <xdr:colOff>285750</xdr:colOff>
      <xdr:row>40</xdr:row>
      <xdr:rowOff>9525</xdr:rowOff>
    </xdr:from>
    <xdr:to>
      <xdr:col>23</xdr:col>
      <xdr:colOff>561975</xdr:colOff>
      <xdr:row>41</xdr:row>
      <xdr:rowOff>0</xdr:rowOff>
    </xdr:to>
    <xdr:sp macro="" textlink="">
      <xdr:nvSpPr>
        <xdr:cNvPr id="22" name="Line 81">
          <a:extLst>
            <a:ext uri="{FF2B5EF4-FFF2-40B4-BE49-F238E27FC236}">
              <a16:creationId xmlns:a16="http://schemas.microsoft.com/office/drawing/2014/main" id="{00000000-0008-0000-1100-000016000000}"/>
            </a:ext>
          </a:extLst>
        </xdr:cNvPr>
        <xdr:cNvSpPr>
          <a:spLocks noChangeShapeType="1"/>
        </xdr:cNvSpPr>
      </xdr:nvSpPr>
      <xdr:spPr bwMode="auto">
        <a:xfrm>
          <a:off x="20802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28</xdr:col>
      <xdr:colOff>285750</xdr:colOff>
      <xdr:row>40</xdr:row>
      <xdr:rowOff>9525</xdr:rowOff>
    </xdr:from>
    <xdr:to>
      <xdr:col>28</xdr:col>
      <xdr:colOff>561975</xdr:colOff>
      <xdr:row>41</xdr:row>
      <xdr:rowOff>0</xdr:rowOff>
    </xdr:to>
    <xdr:sp macro="" textlink="">
      <xdr:nvSpPr>
        <xdr:cNvPr id="23" name="Line 82">
          <a:extLst>
            <a:ext uri="{FF2B5EF4-FFF2-40B4-BE49-F238E27FC236}">
              <a16:creationId xmlns:a16="http://schemas.microsoft.com/office/drawing/2014/main" id="{00000000-0008-0000-1100-000017000000}"/>
            </a:ext>
          </a:extLst>
        </xdr:cNvPr>
        <xdr:cNvSpPr>
          <a:spLocks noChangeShapeType="1"/>
        </xdr:cNvSpPr>
      </xdr:nvSpPr>
      <xdr:spPr bwMode="auto">
        <a:xfrm>
          <a:off x="2364105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33</xdr:col>
      <xdr:colOff>285750</xdr:colOff>
      <xdr:row>40</xdr:row>
      <xdr:rowOff>9525</xdr:rowOff>
    </xdr:from>
    <xdr:to>
      <xdr:col>33</xdr:col>
      <xdr:colOff>561975</xdr:colOff>
      <xdr:row>41</xdr:row>
      <xdr:rowOff>0</xdr:rowOff>
    </xdr:to>
    <xdr:sp macro="" textlink="">
      <xdr:nvSpPr>
        <xdr:cNvPr id="24" name="Line 83">
          <a:extLst>
            <a:ext uri="{FF2B5EF4-FFF2-40B4-BE49-F238E27FC236}">
              <a16:creationId xmlns:a16="http://schemas.microsoft.com/office/drawing/2014/main" id="{00000000-0008-0000-1100-000018000000}"/>
            </a:ext>
          </a:extLst>
        </xdr:cNvPr>
        <xdr:cNvSpPr>
          <a:spLocks noChangeShapeType="1"/>
        </xdr:cNvSpPr>
      </xdr:nvSpPr>
      <xdr:spPr bwMode="auto">
        <a:xfrm>
          <a:off x="26517600" y="10201275"/>
          <a:ext cx="276225" cy="161925"/>
        </a:xfrm>
        <a:prstGeom prst="line">
          <a:avLst/>
        </a:prstGeom>
        <a:noFill/>
        <a:ln w="12700">
          <a:solidFill>
            <a:srgbClr xmlns:mc="http://schemas.openxmlformats.org/markup-compatibility/2006" xmlns:a14="http://schemas.microsoft.com/office/drawing/2010/main" val="FF0000" mc:Ignorable="a14" a14:legacySpreadsheetColorIndex="1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editAs="oneCell">
    <xdr:from>
      <xdr:col>10</xdr:col>
      <xdr:colOff>447675</xdr:colOff>
      <xdr:row>101</xdr:row>
      <xdr:rowOff>28575</xdr:rowOff>
    </xdr:from>
    <xdr:to>
      <xdr:col>14</xdr:col>
      <xdr:colOff>304802</xdr:colOff>
      <xdr:row>106</xdr:row>
      <xdr:rowOff>142874</xdr:rowOff>
    </xdr:to>
    <xdr:pic>
      <xdr:nvPicPr>
        <xdr:cNvPr id="28" name="Bildobjekt 1">
          <a:extLst>
            <a:ext uri="{FF2B5EF4-FFF2-40B4-BE49-F238E27FC236}">
              <a16:creationId xmlns:a16="http://schemas.microsoft.com/office/drawing/2014/main" id="{00000000-0008-0000-1100-00001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668375" y="16821150"/>
          <a:ext cx="2162177"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530679</xdr:colOff>
      <xdr:row>52</xdr:row>
      <xdr:rowOff>68036</xdr:rowOff>
    </xdr:from>
    <xdr:ext cx="7000990" cy="655949"/>
    <xdr:sp macro="" textlink="">
      <xdr:nvSpPr>
        <xdr:cNvPr id="26" name="textruta 25">
          <a:extLst>
            <a:ext uri="{FF2B5EF4-FFF2-40B4-BE49-F238E27FC236}">
              <a16:creationId xmlns:a16="http://schemas.microsoft.com/office/drawing/2014/main" id="{00000000-0008-0000-1000-000002000000}"/>
            </a:ext>
          </a:extLst>
        </xdr:cNvPr>
        <xdr:cNvSpPr txBox="1"/>
      </xdr:nvSpPr>
      <xdr:spPr>
        <a:xfrm>
          <a:off x="830036" y="557893"/>
          <a:ext cx="7000990" cy="655949"/>
        </a:xfrm>
        <a:prstGeom prst="rect">
          <a:avLst/>
        </a:prstGeom>
        <a:solidFill>
          <a:srgbClr val="FFFF00"/>
        </a:solidFill>
        <a:ln w="285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Uppdaterat</a:t>
          </a:r>
          <a:r>
            <a:rPr lang="sv-SE" sz="1200" b="1" baseline="0"/>
            <a:t> 2021 </a:t>
          </a:r>
        </a:p>
        <a:p>
          <a:r>
            <a:rPr lang="sv-SE" sz="1200" b="1" baseline="0"/>
            <a:t>Spannmålspriser och växtnäring enl Rekommendationer för gödsling och kalkning  från Jordbruksverket</a:t>
          </a:r>
        </a:p>
        <a:p>
          <a:r>
            <a:rPr lang="sv-SE" sz="1200" b="1" baseline="0"/>
            <a:t>Övriga kostnader enl TB från Agriwise (mer info på www.agriwise.se)</a:t>
          </a:r>
          <a:endParaRPr lang="sv-SE" sz="1200" b="1"/>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2</xdr:col>
      <xdr:colOff>9525</xdr:colOff>
      <xdr:row>2</xdr:row>
      <xdr:rowOff>142875</xdr:rowOff>
    </xdr:from>
    <xdr:ext cx="7000990" cy="655949"/>
    <xdr:sp macro="" textlink="">
      <xdr:nvSpPr>
        <xdr:cNvPr id="3" name="textruta 2">
          <a:extLst>
            <a:ext uri="{FF2B5EF4-FFF2-40B4-BE49-F238E27FC236}">
              <a16:creationId xmlns:a16="http://schemas.microsoft.com/office/drawing/2014/main" id="{00000000-0008-0000-1000-000002000000}"/>
            </a:ext>
          </a:extLst>
        </xdr:cNvPr>
        <xdr:cNvSpPr txBox="1"/>
      </xdr:nvSpPr>
      <xdr:spPr>
        <a:xfrm>
          <a:off x="1323975" y="628650"/>
          <a:ext cx="7000990" cy="655949"/>
        </a:xfrm>
        <a:prstGeom prst="rect">
          <a:avLst/>
        </a:prstGeom>
        <a:solidFill>
          <a:srgbClr val="FFFF00"/>
        </a:solidFill>
        <a:ln w="28575">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200" b="1"/>
            <a:t>Uppdaterat</a:t>
          </a:r>
          <a:r>
            <a:rPr lang="sv-SE" sz="1200" b="1" baseline="0"/>
            <a:t> 2021 </a:t>
          </a:r>
        </a:p>
        <a:p>
          <a:r>
            <a:rPr lang="sv-SE" sz="1200" b="1" baseline="0"/>
            <a:t>Spannmålspriser och växtnäring enl Rekommendationer för gödsling och kalkning  från Jordbruksverket</a:t>
          </a:r>
        </a:p>
        <a:p>
          <a:r>
            <a:rPr lang="sv-SE" sz="1200" b="1" baseline="0"/>
            <a:t>Övriga kostnader enl TB från Agriwise (mer info på www.agriwise.se)</a:t>
          </a:r>
          <a:endParaRPr lang="sv-SE" sz="1200" b="1"/>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0</xdr:col>
      <xdr:colOff>273844</xdr:colOff>
      <xdr:row>93</xdr:row>
      <xdr:rowOff>47624</xdr:rowOff>
    </xdr:from>
    <xdr:ext cx="3095625" cy="530658"/>
    <xdr:sp macro="" textlink="">
      <xdr:nvSpPr>
        <xdr:cNvPr id="2" name="textruta 1">
          <a:extLst>
            <a:ext uri="{FF2B5EF4-FFF2-40B4-BE49-F238E27FC236}">
              <a16:creationId xmlns:a16="http://schemas.microsoft.com/office/drawing/2014/main" id="{00000000-0008-0000-1200-000002000000}"/>
            </a:ext>
          </a:extLst>
        </xdr:cNvPr>
        <xdr:cNvSpPr txBox="1"/>
      </xdr:nvSpPr>
      <xdr:spPr>
        <a:xfrm>
          <a:off x="273844" y="678655"/>
          <a:ext cx="3095625" cy="530658"/>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b="1"/>
            <a:t>Om du lagt in nya grpdor behöver du också komplettera här i de blå rutorna</a:t>
          </a:r>
        </a:p>
      </xdr:txBody>
    </xdr:sp>
    <xdr:clientData/>
  </xdr:oneCellAnchor>
  <xdr:twoCellAnchor>
    <xdr:from>
      <xdr:col>12</xdr:col>
      <xdr:colOff>71437</xdr:colOff>
      <xdr:row>90</xdr:row>
      <xdr:rowOff>83344</xdr:rowOff>
    </xdr:from>
    <xdr:to>
      <xdr:col>24</xdr:col>
      <xdr:colOff>631031</xdr:colOff>
      <xdr:row>97</xdr:row>
      <xdr:rowOff>202405</xdr:rowOff>
    </xdr:to>
    <xdr:sp macro="" textlink="">
      <xdr:nvSpPr>
        <xdr:cNvPr id="3" name="textruta 2"/>
        <xdr:cNvSpPr txBox="1"/>
      </xdr:nvSpPr>
      <xdr:spPr>
        <a:xfrm>
          <a:off x="11013281" y="83344"/>
          <a:ext cx="8012906" cy="1452561"/>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PK-gvorna är hämtade från Rekommendationer</a:t>
          </a:r>
          <a:r>
            <a:rPr lang="sv-SE" sz="1100" baseline="0"/>
            <a:t> för gödlsing och kalkning 2021. </a:t>
          </a:r>
        </a:p>
        <a:p>
          <a:r>
            <a:rPr lang="sv-SE" sz="1100" b="1" baseline="0"/>
            <a:t>Fosfor</a:t>
          </a:r>
        </a:p>
        <a:p>
          <a:r>
            <a:rPr lang="sv-SE" sz="1100" baseline="0"/>
            <a:t>Eftersom den rekommenderade fosforgivan till potatis beräknas räcka även till återkommande gröda är den här för enkelhetens skull neddragen med använd giva till vårsäd.  </a:t>
          </a:r>
        </a:p>
        <a:p>
          <a:r>
            <a:rPr lang="sv-SE" sz="1100" b="1" baseline="0"/>
            <a:t>Kalium</a:t>
          </a:r>
        </a:p>
        <a:p>
          <a:r>
            <a:rPr lang="sv-SE" sz="1100" baseline="0"/>
            <a:t>All stråsad utgår från 5 ton per ha medan fosforgivan utgår från 7 ton!</a:t>
          </a:r>
        </a:p>
      </xdr:txBody>
    </xdr:sp>
    <xdr:clientData/>
  </xdr:twoCellAnchor>
  <xdr:twoCellAnchor>
    <xdr:from>
      <xdr:col>0</xdr:col>
      <xdr:colOff>11906</xdr:colOff>
      <xdr:row>31</xdr:row>
      <xdr:rowOff>59529</xdr:rowOff>
    </xdr:from>
    <xdr:to>
      <xdr:col>15</xdr:col>
      <xdr:colOff>83344</xdr:colOff>
      <xdr:row>37</xdr:row>
      <xdr:rowOff>0</xdr:rowOff>
    </xdr:to>
    <xdr:sp macro="" textlink="">
      <xdr:nvSpPr>
        <xdr:cNvPr id="4" name="textruta 3"/>
        <xdr:cNvSpPr txBox="1"/>
      </xdr:nvSpPr>
      <xdr:spPr>
        <a:xfrm>
          <a:off x="11906" y="5893592"/>
          <a:ext cx="10644188" cy="1023939"/>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a:t>Kvävegödsling till höstoljeväxter är förutom skördenivå beroende av kväveupptaget under hösten och markens mineraliseringsförmåga. I odlingsperspektiv gör vi</a:t>
          </a:r>
          <a:r>
            <a:rPr lang="sv-SE" sz="1200" baseline="0"/>
            <a:t> för enkelhetens skull vissa  antagande som får styra den kvävegiva vi använder i kalkylerna.</a:t>
          </a:r>
        </a:p>
        <a:p>
          <a:r>
            <a:rPr lang="sv-SE" sz="1200" baseline="0"/>
            <a:t>* Höstgödsling med 60 kg N</a:t>
          </a:r>
        </a:p>
        <a:p>
          <a:r>
            <a:rPr lang="sv-SE" sz="1200" baseline="0"/>
            <a:t>* Odlingsperspektiv är avsedd för att användas på växtodlingsgårdar med normalt måttliga mullhalter(&lt; 3% mull). Vi räknar därför med låg mineralisering.</a:t>
          </a:r>
        </a:p>
        <a:p>
          <a:r>
            <a:rPr lang="sv-SE" sz="1200" baseline="0"/>
            <a:t>* Vi antar ett höstupptag på 60 kg N</a:t>
          </a:r>
          <a:endParaRPr lang="sv-SE" sz="1200"/>
        </a:p>
      </xdr:txBody>
    </xdr:sp>
    <xdr:clientData/>
  </xdr:twoCellAnchor>
  <xdr:twoCellAnchor>
    <xdr:from>
      <xdr:col>10</xdr:col>
      <xdr:colOff>309563</xdr:colOff>
      <xdr:row>65</xdr:row>
      <xdr:rowOff>23814</xdr:rowOff>
    </xdr:from>
    <xdr:to>
      <xdr:col>27</xdr:col>
      <xdr:colOff>392907</xdr:colOff>
      <xdr:row>70</xdr:row>
      <xdr:rowOff>1</xdr:rowOff>
    </xdr:to>
    <xdr:sp macro="" textlink="">
      <xdr:nvSpPr>
        <xdr:cNvPr id="5" name="textruta 4"/>
        <xdr:cNvSpPr txBox="1"/>
      </xdr:nvSpPr>
      <xdr:spPr>
        <a:xfrm>
          <a:off x="7846219" y="13382627"/>
          <a:ext cx="10644188" cy="89296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a:t>Kvävegödsling till</a:t>
          </a:r>
          <a:r>
            <a:rPr lang="sv-SE" sz="1200" baseline="0"/>
            <a:t> vall</a:t>
          </a:r>
          <a:r>
            <a:rPr lang="sv-SE" sz="1200"/>
            <a:t> är förutom skördenivå beroende av skördesystem och klöverhalt. I odlingsperspektiv gör vi</a:t>
          </a:r>
          <a:r>
            <a:rPr lang="sv-SE" sz="1200" baseline="0"/>
            <a:t> för enkelhetens skull vissa  antagande som får styra den kvävegiva vi använder i kalkylerna.</a:t>
          </a:r>
        </a:p>
        <a:p>
          <a:r>
            <a:rPr lang="sv-SE" sz="1200" baseline="0"/>
            <a:t>* 3-skördesystem</a:t>
          </a:r>
        </a:p>
        <a:p>
          <a:r>
            <a:rPr lang="sv-SE" sz="1200" baseline="0"/>
            <a:t>* Blandvall med 10 % klöver</a:t>
          </a:r>
        </a:p>
      </xdr:txBody>
    </xdr:sp>
    <xdr:clientData/>
  </xdr:twoCellAnchor>
  <xdr:twoCellAnchor>
    <xdr:from>
      <xdr:col>9</xdr:col>
      <xdr:colOff>285748</xdr:colOff>
      <xdr:row>51</xdr:row>
      <xdr:rowOff>130969</xdr:rowOff>
    </xdr:from>
    <xdr:to>
      <xdr:col>19</xdr:col>
      <xdr:colOff>238124</xdr:colOff>
      <xdr:row>54</xdr:row>
      <xdr:rowOff>59531</xdr:rowOff>
    </xdr:to>
    <xdr:sp macro="" textlink="">
      <xdr:nvSpPr>
        <xdr:cNvPr id="6" name="textruta 5"/>
        <xdr:cNvSpPr txBox="1"/>
      </xdr:nvSpPr>
      <xdr:spPr>
        <a:xfrm>
          <a:off x="7215186" y="9751219"/>
          <a:ext cx="6119813" cy="50006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Som</a:t>
          </a:r>
          <a:r>
            <a:rPr lang="sv-SE" sz="1100" baseline="0"/>
            <a:t> för alla andra grödaor är det stor variation beroende på sorten. Här generalliserar vi till sorter med måttligt  kvävebehov tex King Edward, Asterix och Melody</a:t>
          </a:r>
          <a:endParaRPr lang="sv-SE" sz="1100"/>
        </a:p>
      </xdr:txBody>
    </xdr:sp>
    <xdr:clientData/>
  </xdr:twoCellAnchor>
  <xdr:twoCellAnchor>
    <xdr:from>
      <xdr:col>2</xdr:col>
      <xdr:colOff>190500</xdr:colOff>
      <xdr:row>55</xdr:row>
      <xdr:rowOff>154781</xdr:rowOff>
    </xdr:from>
    <xdr:to>
      <xdr:col>11</xdr:col>
      <xdr:colOff>583407</xdr:colOff>
      <xdr:row>59</xdr:row>
      <xdr:rowOff>71437</xdr:rowOff>
    </xdr:to>
    <xdr:sp macro="" textlink="">
      <xdr:nvSpPr>
        <xdr:cNvPr id="7" name="textruta 6"/>
        <xdr:cNvSpPr txBox="1"/>
      </xdr:nvSpPr>
      <xdr:spPr>
        <a:xfrm>
          <a:off x="2607469" y="10525125"/>
          <a:ext cx="6119813" cy="642937"/>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t>Optimal giva till sockerbetor bestäms utifrån tidigare erfarenhet för fältet och gården. Generellt ligger givan vid bresdsådd på 100-120 kg N och vid radmyllning 80-90 kg N. I Odlingsperspektiv utgår vi från radmyllning</a:t>
          </a:r>
        </a:p>
      </xdr:txBody>
    </xdr:sp>
    <xdr:clientData/>
  </xdr:twoCellAnchor>
  <xdr:twoCellAnchor>
    <xdr:from>
      <xdr:col>10</xdr:col>
      <xdr:colOff>333375</xdr:colOff>
      <xdr:row>73</xdr:row>
      <xdr:rowOff>154781</xdr:rowOff>
    </xdr:from>
    <xdr:to>
      <xdr:col>27</xdr:col>
      <xdr:colOff>416719</xdr:colOff>
      <xdr:row>78</xdr:row>
      <xdr:rowOff>119061</xdr:rowOff>
    </xdr:to>
    <xdr:sp macro="" textlink="">
      <xdr:nvSpPr>
        <xdr:cNvPr id="8" name="textruta 7"/>
        <xdr:cNvSpPr txBox="1"/>
      </xdr:nvSpPr>
      <xdr:spPr>
        <a:xfrm>
          <a:off x="7870031" y="14025562"/>
          <a:ext cx="10644188" cy="892968"/>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200">
              <a:solidFill>
                <a:sysClr val="windowText" lastClr="000000"/>
              </a:solidFill>
            </a:rPr>
            <a:t>Kvävegödsling till</a:t>
          </a:r>
          <a:r>
            <a:rPr lang="sv-SE" sz="1200" baseline="0">
              <a:solidFill>
                <a:sysClr val="windowText" lastClr="000000"/>
              </a:solidFill>
            </a:rPr>
            <a:t> helsädesensilage</a:t>
          </a:r>
          <a:r>
            <a:rPr lang="sv-SE" sz="1200">
              <a:solidFill>
                <a:sysClr val="windowText" lastClr="000000"/>
              </a:solidFill>
            </a:rPr>
            <a:t> är förutom skördenivå beroende av skördesystem och andel</a:t>
          </a:r>
          <a:r>
            <a:rPr lang="sv-SE" sz="1200" baseline="0">
              <a:solidFill>
                <a:sysClr val="windowText" lastClr="000000"/>
              </a:solidFill>
            </a:rPr>
            <a:t> baljväxter</a:t>
          </a:r>
          <a:r>
            <a:rPr lang="sv-SE" sz="1200">
              <a:solidFill>
                <a:sysClr val="windowText" lastClr="000000"/>
              </a:solidFill>
            </a:rPr>
            <a:t>. I odlingsperspektiv gör vi</a:t>
          </a:r>
          <a:r>
            <a:rPr lang="sv-SE" sz="1200" baseline="0">
              <a:solidFill>
                <a:sysClr val="windowText" lastClr="000000"/>
              </a:solidFill>
            </a:rPr>
            <a:t> för enkelhetens skull vissa  antagande som får styra den kvävegiva vi använder i kalkylerna.</a:t>
          </a:r>
        </a:p>
        <a:p>
          <a:r>
            <a:rPr lang="sv-SE" sz="1200" baseline="0">
              <a:solidFill>
                <a:sysClr val="windowText" lastClr="000000"/>
              </a:solidFill>
            </a:rPr>
            <a:t>* 50 % havre och 50 % ärter</a:t>
          </a:r>
        </a:p>
        <a:p>
          <a:r>
            <a:rPr lang="sv-SE" sz="1200" baseline="0">
              <a:solidFill>
                <a:sysClr val="windowText" lastClr="000000"/>
              </a:solidFill>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28576</xdr:colOff>
      <xdr:row>0</xdr:row>
      <xdr:rowOff>38101</xdr:rowOff>
    </xdr:from>
    <xdr:to>
      <xdr:col>13</xdr:col>
      <xdr:colOff>31750</xdr:colOff>
      <xdr:row>14</xdr:row>
      <xdr:rowOff>74083</xdr:rowOff>
    </xdr:to>
    <xdr:sp macro="" textlink="">
      <xdr:nvSpPr>
        <xdr:cNvPr id="2" name="textruta 1">
          <a:extLst>
            <a:ext uri="{FF2B5EF4-FFF2-40B4-BE49-F238E27FC236}">
              <a16:creationId xmlns:a16="http://schemas.microsoft.com/office/drawing/2014/main" id="{00000000-0008-0000-0100-000002000000}"/>
            </a:ext>
          </a:extLst>
        </xdr:cNvPr>
        <xdr:cNvSpPr txBox="1"/>
      </xdr:nvSpPr>
      <xdr:spPr>
        <a:xfrm>
          <a:off x="3700993" y="38101"/>
          <a:ext cx="3686174" cy="2829982"/>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a:solidFill>
                <a:schemeClr val="dk1"/>
              </a:solidFill>
              <a:effectLst/>
              <a:latin typeface="+mn-lt"/>
              <a:ea typeface="+mn-ea"/>
              <a:cs typeface="+mn-cs"/>
            </a:rPr>
            <a:t>Odlingsperspektiv är</a:t>
          </a:r>
          <a:r>
            <a:rPr lang="sv-SE" sz="1100" baseline="0">
              <a:solidFill>
                <a:schemeClr val="dk1"/>
              </a:solidFill>
              <a:effectLst/>
              <a:latin typeface="+mn-lt"/>
              <a:ea typeface="+mn-ea"/>
              <a:cs typeface="+mn-cs"/>
            </a:rPr>
            <a:t> i grunden framtaget</a:t>
          </a:r>
          <a:r>
            <a:rPr lang="sv-SE" sz="1100">
              <a:solidFill>
                <a:schemeClr val="dk1"/>
              </a:solidFill>
              <a:effectLst/>
              <a:latin typeface="+mn-lt"/>
              <a:ea typeface="+mn-ea"/>
              <a:cs typeface="+mn-cs"/>
            </a:rPr>
            <a:t> av Göte Bertilsson, Greengard (www.greengard.se). Version</a:t>
          </a:r>
          <a:r>
            <a:rPr lang="sv-SE" sz="1100" baseline="0">
              <a:solidFill>
                <a:schemeClr val="dk1"/>
              </a:solidFill>
              <a:effectLst/>
              <a:latin typeface="+mn-lt"/>
              <a:ea typeface="+mn-ea"/>
              <a:cs typeface="+mn-cs"/>
            </a:rPr>
            <a:t> 3.0 </a:t>
          </a:r>
          <a:r>
            <a:rPr lang="sv-SE" sz="1100"/>
            <a:t>innehåller</a:t>
          </a:r>
          <a:r>
            <a:rPr lang="sv-SE" sz="1100" baseline="0"/>
            <a:t> ett nytt tekniskt utförande av mullberäkningen.</a:t>
          </a:r>
        </a:p>
        <a:p>
          <a:r>
            <a:rPr lang="sv-SE" sz="1100" baseline="0"/>
            <a:t> </a:t>
          </a:r>
          <a:endParaRPr lang="sv-SE" sz="1100"/>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 Mullberäkningen bygger i grunden på ICBM (se flik ICBM). Anpassning av nedbrytningsprocessen har dock skett till ett antal långliggande försök i främst södra Sverige.</a:t>
          </a:r>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*Programmet är inte anpassat för långvariga vallar. Tillämpa helst inte mer än 2-årsvallar</a:t>
          </a:r>
          <a:endParaRPr lang="sv-SE">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sv-SE" sz="1100">
              <a:solidFill>
                <a:schemeClr val="dk1"/>
              </a:solidFill>
              <a:effectLst/>
              <a:latin typeface="+mn-lt"/>
              <a:ea typeface="+mn-ea"/>
              <a:cs typeface="+mn-cs"/>
            </a:rPr>
            <a:t>* Många beräkningar är automatiserade utifrån de data</a:t>
          </a:r>
          <a:r>
            <a:rPr lang="sv-SE" sz="1100" baseline="0">
              <a:solidFill>
                <a:schemeClr val="dk1"/>
              </a:solidFill>
              <a:effectLst/>
              <a:latin typeface="+mn-lt"/>
              <a:ea typeface="+mn-ea"/>
              <a:cs typeface="+mn-cs"/>
            </a:rPr>
            <a:t> som matas in främst under Huvudinmatning, Kostnader och Miljösammanfattning.</a:t>
          </a:r>
        </a:p>
        <a:p>
          <a:pPr marL="0" marR="0" lvl="0" indent="0" defTabSz="914400" eaLnBrk="1" fontAlgn="auto" latinLnBrk="0" hangingPunct="1">
            <a:lnSpc>
              <a:spcPct val="100000"/>
            </a:lnSpc>
            <a:spcBef>
              <a:spcPts val="0"/>
            </a:spcBef>
            <a:spcAft>
              <a:spcPts val="0"/>
            </a:spcAft>
            <a:buClrTx/>
            <a:buSzTx/>
            <a:buFontTx/>
            <a:buNone/>
            <a:tabLst/>
            <a:defRPr/>
          </a:pPr>
          <a:r>
            <a:rPr lang="sv-SE" sz="1100"/>
            <a:t>* </a:t>
          </a:r>
          <a:r>
            <a:rPr lang="sv-SE" sz="1100" baseline="0">
              <a:solidFill>
                <a:schemeClr val="dk1"/>
              </a:solidFill>
              <a:effectLst/>
              <a:latin typeface="+mn-lt"/>
              <a:ea typeface="+mn-ea"/>
              <a:cs typeface="+mn-cs"/>
            </a:rPr>
            <a:t>Resultatet när det gäller ekonomi, utlakning och klimateffekter redovisas direkt i fliken Huvudinmatning.</a:t>
          </a:r>
        </a:p>
        <a:p>
          <a:pPr marL="0" marR="0" lvl="0" indent="0" defTabSz="914400" eaLnBrk="1" fontAlgn="auto" latinLnBrk="0" hangingPunct="1">
            <a:lnSpc>
              <a:spcPct val="100000"/>
            </a:lnSpc>
            <a:spcBef>
              <a:spcPts val="0"/>
            </a:spcBef>
            <a:spcAft>
              <a:spcPts val="0"/>
            </a:spcAft>
            <a:buClrTx/>
            <a:buSzTx/>
            <a:buFontTx/>
            <a:buNone/>
            <a:tabLst/>
            <a:defRPr/>
          </a:pPr>
          <a:r>
            <a:rPr lang="sv-SE" sz="1100" baseline="0">
              <a:solidFill>
                <a:schemeClr val="dk1"/>
              </a:solidFill>
              <a:effectLst/>
              <a:latin typeface="+mn-lt"/>
              <a:ea typeface="+mn-ea"/>
              <a:cs typeface="+mn-cs"/>
            </a:rPr>
            <a:t>* Datakällor framgår i allt väsentligt under respektive flik t.e.x Rekommendationer för gödsling och kalkning samt Agriwise. </a:t>
          </a:r>
          <a:endParaRPr lang="sv-SE">
            <a:effectLst/>
          </a:endParaRPr>
        </a:p>
        <a:p>
          <a:endParaRPr lang="sv-SE" sz="1100" baseline="0"/>
        </a:p>
      </xdr:txBody>
    </xdr:sp>
    <xdr:clientData/>
  </xdr:twoCellAnchor>
  <xdr:twoCellAnchor>
    <xdr:from>
      <xdr:col>13</xdr:col>
      <xdr:colOff>76199</xdr:colOff>
      <xdr:row>0</xdr:row>
      <xdr:rowOff>42951</xdr:rowOff>
    </xdr:from>
    <xdr:to>
      <xdr:col>17</xdr:col>
      <xdr:colOff>809625</xdr:colOff>
      <xdr:row>14</xdr:row>
      <xdr:rowOff>84666</xdr:rowOff>
    </xdr:to>
    <xdr:sp macro="" textlink="">
      <xdr:nvSpPr>
        <xdr:cNvPr id="5" name="textruta 4">
          <a:extLst>
            <a:ext uri="{FF2B5EF4-FFF2-40B4-BE49-F238E27FC236}">
              <a16:creationId xmlns:a16="http://schemas.microsoft.com/office/drawing/2014/main" id="{00000000-0008-0000-0100-000005000000}"/>
            </a:ext>
          </a:extLst>
        </xdr:cNvPr>
        <xdr:cNvSpPr txBox="1"/>
      </xdr:nvSpPr>
      <xdr:spPr>
        <a:xfrm>
          <a:off x="7431616" y="42951"/>
          <a:ext cx="3188759" cy="2835715"/>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t>Börja så här: </a:t>
          </a:r>
        </a:p>
        <a:p>
          <a:endParaRPr lang="sv-SE" sz="1100" baseline="0"/>
        </a:p>
        <a:p>
          <a:r>
            <a:rPr lang="sv-SE" sz="1100" b="1" baseline="0"/>
            <a:t>* FYLL I IDENTIFIKATION, JORDART, MULLHALT OCH PK-STATUS I DENNA FLIK</a:t>
          </a:r>
        </a:p>
        <a:p>
          <a:r>
            <a:rPr lang="sv-SE" sz="1100" b="1" baseline="0"/>
            <a:t>* VID BEHOV KAN DU JUSTERA EFTER LANBRUKARENS DATA OCH FÖRUTSÄTTNINGAR I DE BLÅ FLIKARNA  (Gröddata, Stallgödseldata, Underlag Spannmål, Underlag Oljeväxter, trindsäd) </a:t>
          </a:r>
          <a:r>
            <a:rPr lang="sv-SE" sz="1100" b="1" baseline="0">
              <a:solidFill>
                <a:schemeClr val="dk1"/>
              </a:solidFill>
              <a:effectLst/>
              <a:latin typeface="+mn-lt"/>
              <a:ea typeface="+mn-ea"/>
              <a:cs typeface="+mn-cs"/>
            </a:rPr>
            <a:t>SAMT I MULL_ICBM.</a:t>
          </a:r>
        </a:p>
        <a:p>
          <a:r>
            <a:rPr lang="sv-SE" sz="1100" b="1" baseline="0"/>
            <a:t>* ARBETET GÖRS SEDAN FRÄMST I DE GRÖNA FLIKARNA! </a:t>
          </a:r>
        </a:p>
        <a:p>
          <a:r>
            <a:rPr lang="sv-SE" sz="1100" b="1" baseline="0"/>
            <a:t>* FÖRE UTSKRIFT AV RAPPORTEN (FLIK RAPPORT) SKRIVER DU IN DE VIKTIGASTE FÖRÄNDRINGARNA HÄR NEDAN (BESKRIVNING).</a:t>
          </a:r>
        </a:p>
        <a:p>
          <a:endParaRPr lang="sv-SE" sz="600" b="1" baseline="0"/>
        </a:p>
        <a:p>
          <a:r>
            <a:rPr lang="sv-SE" sz="1100" b="1" baseline="0"/>
            <a:t>Utförlig beskrivning i fliken Manual länst till vänster</a:t>
          </a:r>
          <a:endParaRPr lang="sv-SE" sz="1100" b="1"/>
        </a:p>
      </xdr:txBody>
    </xdr:sp>
    <xdr:clientData/>
  </xdr:twoCellAnchor>
  <xdr:twoCellAnchor>
    <xdr:from>
      <xdr:col>0</xdr:col>
      <xdr:colOff>17991</xdr:colOff>
      <xdr:row>2</xdr:row>
      <xdr:rowOff>26462</xdr:rowOff>
    </xdr:from>
    <xdr:to>
      <xdr:col>6</xdr:col>
      <xdr:colOff>46567</xdr:colOff>
      <xdr:row>12</xdr:row>
      <xdr:rowOff>148166</xdr:rowOff>
    </xdr:to>
    <xdr:sp macro="" textlink="">
      <xdr:nvSpPr>
        <xdr:cNvPr id="4" name="textruta 3">
          <a:extLst>
            <a:ext uri="{FF2B5EF4-FFF2-40B4-BE49-F238E27FC236}">
              <a16:creationId xmlns:a16="http://schemas.microsoft.com/office/drawing/2014/main" id="{00000000-0008-0000-0100-000004000000}"/>
            </a:ext>
          </a:extLst>
        </xdr:cNvPr>
        <xdr:cNvSpPr txBox="1"/>
      </xdr:nvSpPr>
      <xdr:spPr>
        <a:xfrm>
          <a:off x="17991" y="481545"/>
          <a:ext cx="3457576" cy="2069038"/>
        </a:xfrm>
        <a:prstGeom prst="rect">
          <a:avLst/>
        </a:prstGeom>
        <a:solidFill>
          <a:sysClr val="window" lastClr="FFFFFF"/>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baseline="0"/>
            <a:t>I detta kalkylprogram kan du simulera hur mullhalten sannolikt förändras på mineraljordar beroende av grödval och varierande tillförsel av organiskt material. </a:t>
          </a:r>
        </a:p>
        <a:p>
          <a:endParaRPr lang="sv-SE" sz="300" b="1" baseline="0"/>
        </a:p>
        <a:p>
          <a:r>
            <a:rPr lang="sv-SE" sz="1100" b="1" baseline="0"/>
            <a:t>Programmet är främst utvecklat för konventionella </a:t>
          </a:r>
          <a:r>
            <a:rPr lang="sv-SE" sz="1100" b="1" baseline="0">
              <a:solidFill>
                <a:schemeClr val="dk1"/>
              </a:solidFill>
              <a:effectLst/>
              <a:latin typeface="+mn-lt"/>
              <a:ea typeface="+mn-ea"/>
              <a:cs typeface="+mn-cs"/>
            </a:rPr>
            <a:t>växtodlingsgårdar med låga till måttliga mullhalter</a:t>
          </a:r>
          <a:r>
            <a:rPr lang="sv-SE" sz="1100" b="1" baseline="0"/>
            <a:t> (</a:t>
          </a:r>
          <a:r>
            <a:rPr lang="sv-SE" sz="1100" b="1" baseline="0">
              <a:solidFill>
                <a:schemeClr val="dk1"/>
              </a:solidFill>
              <a:effectLst/>
              <a:latin typeface="+mn-lt"/>
              <a:ea typeface="+mn-ea"/>
              <a:cs typeface="+mn-cs"/>
            </a:rPr>
            <a:t>mindre än 2 % kol eller 3,4 % mull). Ej anpassat för gårdar med mycket vall. Ekonomiskt ej anpassat för ekologiska gårdar. Ger</a:t>
          </a:r>
          <a:r>
            <a:rPr lang="sv-SE" sz="1100" b="1" baseline="0"/>
            <a:t> en indikation på hur kväveutlakning och växthusgasutsläpp påverkas.</a:t>
          </a:r>
        </a:p>
        <a:p>
          <a:endParaRPr lang="sv-SE" sz="300" b="1" baseline="0"/>
        </a:p>
        <a:p>
          <a:r>
            <a:rPr lang="sv-SE" sz="1100" b="1" baseline="0"/>
            <a:t>Jämför två alternativ mot varandra, Basläge och Nytt läge. Beräkning av absoluta värden kan leda fel!</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xdr:col>
      <xdr:colOff>1905</xdr:colOff>
      <xdr:row>49</xdr:row>
      <xdr:rowOff>112395</xdr:rowOff>
    </xdr:from>
    <xdr:to>
      <xdr:col>34</xdr:col>
      <xdr:colOff>123827</xdr:colOff>
      <xdr:row>65</xdr:row>
      <xdr:rowOff>104782</xdr:rowOff>
    </xdr:to>
    <xdr:sp macro="" textlink="">
      <xdr:nvSpPr>
        <xdr:cNvPr id="2" name="Text Box 160">
          <a:extLst>
            <a:ext uri="{FF2B5EF4-FFF2-40B4-BE49-F238E27FC236}">
              <a16:creationId xmlns:a16="http://schemas.microsoft.com/office/drawing/2014/main" id="{00000000-0008-0000-1300-000002000000}"/>
            </a:ext>
          </a:extLst>
        </xdr:cNvPr>
        <xdr:cNvSpPr txBox="1">
          <a:spLocks noChangeArrowheads="1"/>
        </xdr:cNvSpPr>
      </xdr:nvSpPr>
      <xdr:spPr bwMode="auto">
        <a:xfrm>
          <a:off x="249555" y="7980045"/>
          <a:ext cx="10466072" cy="2583187"/>
        </a:xfrm>
        <a:prstGeom prst="rect">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sv-SE" sz="1200" b="0" i="0" u="none" strike="noStrike" baseline="0">
              <a:solidFill>
                <a:srgbClr val="000000"/>
              </a:solidFill>
              <a:latin typeface="Arial"/>
              <a:cs typeface="Arial"/>
            </a:rPr>
            <a:t>Markens grundläggande bördighet och skördepotential påverkar tillsammans med vilken kvalité som eftersträvas vilken N-giva som är optimal. Markens förmåga att leverera kväve beror på fältets historia i form av förfrukt och stallgödseltillförsel, men de viktigaste faktorerna som bestämmer skördenivån handlar om grundförutsättningarna jordart, markens struktur och geografiskt läge. Till detta kommer naturligtvis den osäkerhet som olika årsmåner skapar. Egentligen är det först i efterhand man vet hur gödslingen borde ha genomförts, men det går alltid att utifrån förvänatade priser bilda sig en uppfattning om hur gödslingen ska genomföras under ett normalår.</a:t>
          </a:r>
        </a:p>
        <a:p>
          <a:pPr algn="l" rtl="0">
            <a:defRPr sz="1000"/>
          </a:pPr>
          <a:endParaRPr lang="sv-SE" sz="1200" b="0" i="0" u="none" strike="noStrike" baseline="0">
            <a:solidFill>
              <a:srgbClr val="000000"/>
            </a:solidFill>
            <a:latin typeface="Arial"/>
            <a:cs typeface="Arial"/>
          </a:endParaRPr>
        </a:p>
        <a:p>
          <a:pPr algn="l" rtl="0">
            <a:defRPr sz="1000"/>
          </a:pPr>
          <a:r>
            <a:rPr lang="sv-SE" sz="1200" b="0" i="0" u="none" strike="noStrike" baseline="0">
              <a:solidFill>
                <a:srgbClr val="000000"/>
              </a:solidFill>
              <a:latin typeface="Arial"/>
              <a:cs typeface="Arial"/>
            </a:rPr>
            <a:t>Det finns några speciellt känsliga faktorer att se upp med när kalkylen används.</a:t>
          </a:r>
        </a:p>
        <a:p>
          <a:pPr algn="l" rtl="0">
            <a:defRPr sz="1000"/>
          </a:pPr>
          <a:r>
            <a:rPr lang="sv-SE" sz="1200" b="0" i="0" u="none" strike="noStrike" baseline="0">
              <a:solidFill>
                <a:srgbClr val="000000"/>
              </a:solidFill>
              <a:latin typeface="Arial"/>
              <a:cs typeface="Arial"/>
            </a:rPr>
            <a:t>Brödvete behöver en viss kvävegiva för att ge tillräckligt hög proteinhalt. Vid ökande kvävepriser eller sjunkande produktpriser ger kalkylen naturligtvis allt lägre kvävegiva med risk för att proteinhalten blir för låg och brödvete riskerar bli fodervete. Kalkylen anger inte automatiskt var denna gräns ligger. Här gäller det att vara observant och bestämma sig för om det är intressant att satsa på brödvete eller fodervete. En liknande problematik finns för vallen där alltför låg kvävegiva äventyrar kvaliteten i vallen, speciellt i rena gräsvallar.</a:t>
          </a:r>
        </a:p>
        <a:p>
          <a:pPr algn="l" rtl="0">
            <a:defRPr sz="1000"/>
          </a:pPr>
          <a:r>
            <a:rPr lang="sv-SE" sz="1200" b="0" i="0" u="none" strike="noStrike" baseline="0">
              <a:solidFill>
                <a:srgbClr val="000000"/>
              </a:solidFill>
              <a:latin typeface="Arial"/>
              <a:cs typeface="Arial"/>
            </a:rPr>
            <a:t>Vid sjunkamde priser på kväve eller ökande produktpriser ökar den optimala givan men det finns då risk att vi närmar oss liggsädesgränsen. I kalkylen finns därför inlagt en spärr mot alltför höga givor just av detta skäl.</a:t>
          </a:r>
        </a:p>
        <a:p>
          <a:pPr algn="l" rtl="0">
            <a:defRPr sz="1000"/>
          </a:pPr>
          <a:endParaRPr lang="sv-SE" sz="1200" b="0" i="0" u="none" strike="noStrike" baseline="0">
            <a:solidFill>
              <a:srgbClr val="000000"/>
            </a:solidFill>
            <a:latin typeface="Arial"/>
            <a:cs typeface="Arial"/>
          </a:endParaRPr>
        </a:p>
        <a:p>
          <a:pPr algn="l" rtl="0">
            <a:defRPr sz="1000"/>
          </a:pPr>
          <a:endParaRPr lang="sv-SE" sz="1200" b="0" i="0" u="none" strike="noStrike" baseline="0">
            <a:solidFill>
              <a:srgbClr val="000000"/>
            </a:solidFill>
            <a:latin typeface="Arial"/>
            <a:cs typeface="Arial"/>
          </a:endParaRPr>
        </a:p>
      </xdr:txBody>
    </xdr:sp>
    <xdr:clientData/>
  </xdr:twoCellAnchor>
  <xdr:twoCellAnchor editAs="oneCell">
    <xdr:from>
      <xdr:col>35</xdr:col>
      <xdr:colOff>104775</xdr:colOff>
      <xdr:row>21</xdr:row>
      <xdr:rowOff>0</xdr:rowOff>
    </xdr:from>
    <xdr:to>
      <xdr:col>37</xdr:col>
      <xdr:colOff>426717</xdr:colOff>
      <xdr:row>36</xdr:row>
      <xdr:rowOff>66675</xdr:rowOff>
    </xdr:to>
    <xdr:sp macro="" textlink="">
      <xdr:nvSpPr>
        <xdr:cNvPr id="3" name="Text Box 161">
          <a:extLst>
            <a:ext uri="{FF2B5EF4-FFF2-40B4-BE49-F238E27FC236}">
              <a16:creationId xmlns:a16="http://schemas.microsoft.com/office/drawing/2014/main" id="{00000000-0008-0000-1300-000003000000}"/>
            </a:ext>
          </a:extLst>
        </xdr:cNvPr>
        <xdr:cNvSpPr txBox="1">
          <a:spLocks noChangeArrowheads="1"/>
        </xdr:cNvSpPr>
      </xdr:nvSpPr>
      <xdr:spPr bwMode="auto">
        <a:xfrm>
          <a:off x="10839450" y="4010025"/>
          <a:ext cx="1379217" cy="2124075"/>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lnSpc>
              <a:spcPts val="1100"/>
            </a:lnSpc>
            <a:defRPr sz="1000"/>
          </a:pPr>
          <a:r>
            <a:rPr lang="sv-SE" sz="1000" b="1" i="0" u="none" strike="noStrike" baseline="0">
              <a:solidFill>
                <a:srgbClr val="FF0000"/>
              </a:solidFill>
              <a:latin typeface="Arial"/>
              <a:cs typeface="Arial"/>
            </a:rPr>
            <a:t>VARNING!</a:t>
          </a:r>
          <a:endParaRPr lang="sv-SE" sz="1000" b="0" i="0" u="none" strike="noStrike" baseline="0">
            <a:solidFill>
              <a:srgbClr val="FF0000"/>
            </a:solidFill>
            <a:latin typeface="Arial"/>
            <a:cs typeface="Arial"/>
          </a:endParaRPr>
        </a:p>
        <a:p>
          <a:pPr algn="l" rtl="0">
            <a:lnSpc>
              <a:spcPts val="1100"/>
            </a:lnSpc>
            <a:defRPr sz="1000"/>
          </a:pPr>
          <a:r>
            <a:rPr lang="sv-SE" sz="1000" b="0" i="0" u="none" strike="noStrike" baseline="0">
              <a:solidFill>
                <a:srgbClr val="FF0000"/>
              </a:solidFill>
              <a:latin typeface="Arial"/>
              <a:cs typeface="Arial"/>
            </a:rPr>
            <a:t>Vid höga kvävepriser och eller låga produktpriser är det stor risk att den föreslagna kvävegivan inte ger tillräckligt hög proteinhalt i brödvete eller vallen. Det finns ingen automatisk spärr när denna risk uppkommer</a:t>
          </a:r>
        </a:p>
      </xdr:txBody>
    </xdr:sp>
    <xdr:clientData/>
  </xdr:twoCellAnchor>
  <xdr:twoCellAnchor>
    <xdr:from>
      <xdr:col>2</xdr:col>
      <xdr:colOff>30480</xdr:colOff>
      <xdr:row>0</xdr:row>
      <xdr:rowOff>76200</xdr:rowOff>
    </xdr:from>
    <xdr:to>
      <xdr:col>3</xdr:col>
      <xdr:colOff>7620</xdr:colOff>
      <xdr:row>3</xdr:row>
      <xdr:rowOff>83820</xdr:rowOff>
    </xdr:to>
    <xdr:pic>
      <xdr:nvPicPr>
        <xdr:cNvPr id="4" name="Picture 339" descr="sjv_farg_rgb_300dpi_3 cm bred">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2905" y="76200"/>
          <a:ext cx="1301115" cy="11029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27</xdr:col>
      <xdr:colOff>205740</xdr:colOff>
      <xdr:row>0</xdr:row>
      <xdr:rowOff>38100</xdr:rowOff>
    </xdr:from>
    <xdr:to>
      <xdr:col>33</xdr:col>
      <xdr:colOff>868680</xdr:colOff>
      <xdr:row>3</xdr:row>
      <xdr:rowOff>83820</xdr:rowOff>
    </xdr:to>
    <xdr:pic>
      <xdr:nvPicPr>
        <xdr:cNvPr id="5" name="Picture 340" descr="Greppa_N%C3%A4ringen_logotyp_RGB">
          <a:extLst>
            <a:ext uri="{FF2B5EF4-FFF2-40B4-BE49-F238E27FC236}">
              <a16:creationId xmlns:a16="http://schemas.microsoft.com/office/drawing/2014/main" id="{00000000-0008-0000-13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73415" y="38100"/>
          <a:ext cx="2186940" cy="1141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21</xdr:col>
      <xdr:colOff>114300</xdr:colOff>
      <xdr:row>18</xdr:row>
      <xdr:rowOff>9525</xdr:rowOff>
    </xdr:from>
    <xdr:to>
      <xdr:col>23</xdr:col>
      <xdr:colOff>295275</xdr:colOff>
      <xdr:row>20</xdr:row>
      <xdr:rowOff>152400</xdr:rowOff>
    </xdr:to>
    <xdr:sp macro="" textlink="" fLocksText="0">
      <xdr:nvSpPr>
        <xdr:cNvPr id="2" name="Text 32">
          <a:extLst>
            <a:ext uri="{FF2B5EF4-FFF2-40B4-BE49-F238E27FC236}">
              <a16:creationId xmlns:a16="http://schemas.microsoft.com/office/drawing/2014/main" id="{00000000-0008-0000-1500-000002000000}"/>
            </a:ext>
          </a:extLst>
        </xdr:cNvPr>
        <xdr:cNvSpPr txBox="1">
          <a:spLocks noChangeArrowheads="1"/>
        </xdr:cNvSpPr>
      </xdr:nvSpPr>
      <xdr:spPr bwMode="auto">
        <a:xfrm>
          <a:off x="16316325" y="3429000"/>
          <a:ext cx="2895600" cy="5238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0160" tIns="20160" rIns="20160" bIns="20160" anchor="t"/>
        <a:lstStyle/>
        <a:p>
          <a:pPr algn="l" rtl="0">
            <a:lnSpc>
              <a:spcPts val="1000"/>
            </a:lnSpc>
            <a:defRPr sz="1000"/>
          </a:pPr>
          <a:r>
            <a:rPr lang="sv-SE" sz="1000" b="1" i="0" u="none" strike="noStrike" baseline="0">
              <a:solidFill>
                <a:srgbClr val="000000"/>
              </a:solidFill>
              <a:latin typeface="Arial"/>
              <a:cs typeface="Arial"/>
            </a:rPr>
            <a:t>Specialanvisning för gröngödsling etc:</a:t>
          </a:r>
        </a:p>
        <a:p>
          <a:pPr algn="l" rtl="0">
            <a:lnSpc>
              <a:spcPts val="900"/>
            </a:lnSpc>
            <a:defRPr sz="1000"/>
          </a:pPr>
          <a:r>
            <a:rPr lang="sv-SE" sz="1000" b="0" i="0" u="none" strike="noStrike" baseline="0">
              <a:solidFill>
                <a:srgbClr val="000000"/>
              </a:solidFill>
              <a:latin typeface="Arial"/>
              <a:cs typeface="Arial"/>
            </a:rPr>
            <a:t>Skörden ska inte in i ts-summeringen i kol H </a:t>
          </a:r>
        </a:p>
        <a:p>
          <a:pPr algn="l" rtl="0">
            <a:lnSpc>
              <a:spcPts val="1000"/>
            </a:lnSpc>
            <a:defRPr sz="1000"/>
          </a:pPr>
          <a:r>
            <a:rPr lang="sv-SE" sz="1000" b="0" i="0" u="none" strike="noStrike" baseline="0">
              <a:solidFill>
                <a:srgbClr val="000000"/>
              </a:solidFill>
              <a:latin typeface="Arial"/>
              <a:cs typeface="Arial"/>
            </a:rPr>
            <a:t>men den behövs för att räkna N i kolumn J.</a:t>
          </a:r>
        </a:p>
        <a:p>
          <a:pPr algn="l" rtl="0">
            <a:lnSpc>
              <a:spcPts val="900"/>
            </a:lnSpc>
            <a:defRPr sz="1000"/>
          </a:pPr>
          <a:r>
            <a:rPr lang="sv-SE" sz="1000" b="0" i="0" u="none" strike="noStrike" baseline="0">
              <a:solidFill>
                <a:srgbClr val="000000"/>
              </a:solidFill>
              <a:latin typeface="Arial"/>
              <a:cs typeface="Arial"/>
            </a:rPr>
            <a:t>Använd nedanstående rutor för en förkalkyl:</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28</xdr:col>
      <xdr:colOff>22110</xdr:colOff>
      <xdr:row>10</xdr:row>
      <xdr:rowOff>36739</xdr:rowOff>
    </xdr:from>
    <xdr:to>
      <xdr:col>37</xdr:col>
      <xdr:colOff>593609</xdr:colOff>
      <xdr:row>37</xdr:row>
      <xdr:rowOff>13607</xdr:rowOff>
    </xdr:to>
    <xdr:graphicFrame macro="">
      <xdr:nvGraphicFramePr>
        <xdr:cNvPr id="6422" name="Diagram 22">
          <a:extLst>
            <a:ext uri="{FF2B5EF4-FFF2-40B4-BE49-F238E27FC236}">
              <a16:creationId xmlns:a16="http://schemas.microsoft.com/office/drawing/2014/main" id="{00000000-0008-0000-1800-00001619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27214</xdr:colOff>
      <xdr:row>1</xdr:row>
      <xdr:rowOff>8163</xdr:rowOff>
    </xdr:from>
    <xdr:to>
      <xdr:col>23</xdr:col>
      <xdr:colOff>845344</xdr:colOff>
      <xdr:row>8</xdr:row>
      <xdr:rowOff>11906</xdr:rowOff>
    </xdr:to>
    <xdr:sp macro="" textlink="">
      <xdr:nvSpPr>
        <xdr:cNvPr id="6174" name="Text Box 30">
          <a:extLst>
            <a:ext uri="{FF2B5EF4-FFF2-40B4-BE49-F238E27FC236}">
              <a16:creationId xmlns:a16="http://schemas.microsoft.com/office/drawing/2014/main" id="{00000000-0008-0000-1800-00001E180000}"/>
            </a:ext>
          </a:extLst>
        </xdr:cNvPr>
        <xdr:cNvSpPr txBox="1">
          <a:spLocks noChangeArrowheads="1"/>
        </xdr:cNvSpPr>
      </xdr:nvSpPr>
      <xdr:spPr bwMode="auto">
        <a:xfrm>
          <a:off x="3991995" y="436788"/>
          <a:ext cx="7866630" cy="1658712"/>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36576" tIns="27432" rIns="0" bIns="0" anchor="t" upright="1"/>
        <a:lstStyle/>
        <a:p>
          <a:pPr algn="l" rtl="0">
            <a:defRPr sz="1000"/>
          </a:pPr>
          <a:r>
            <a:rPr lang="sv-SE" sz="1200" b="1" i="0" u="none" strike="noStrike" baseline="0">
              <a:solidFill>
                <a:srgbClr val="000000"/>
              </a:solidFill>
              <a:latin typeface="Arial"/>
              <a:cs typeface="Arial"/>
            </a:rPr>
            <a:t>Beräkningen sker automatiskt pga tidigare inmatade uppgifter </a:t>
          </a:r>
        </a:p>
        <a:p>
          <a:pPr algn="l" rtl="0">
            <a:defRPr sz="1000"/>
          </a:pPr>
          <a:r>
            <a:rPr lang="sv-SE" sz="1200" b="1" i="0" u="none" strike="noStrike" baseline="0">
              <a:solidFill>
                <a:srgbClr val="000000"/>
              </a:solidFill>
              <a:latin typeface="Arial"/>
              <a:cs typeface="Arial"/>
            </a:rPr>
            <a:t>Vissa uppgifter behöver bedömmas och vid behov ändras utifrån lantbrukarens förutsättningar</a:t>
          </a:r>
          <a:br>
            <a:rPr lang="sv-SE" sz="1200" b="1" i="0" u="none" strike="noStrike" baseline="0">
              <a:solidFill>
                <a:srgbClr val="000000"/>
              </a:solidFill>
              <a:latin typeface="Arial"/>
              <a:cs typeface="Arial"/>
            </a:rPr>
          </a:br>
          <a:endParaRPr lang="sv-SE" sz="1200" b="1" i="0" u="none" strike="noStrike" baseline="0">
            <a:solidFill>
              <a:srgbClr val="000000"/>
            </a:solidFill>
            <a:latin typeface="Arial"/>
            <a:cs typeface="Arial"/>
          </a:endParaRPr>
        </a:p>
        <a:p>
          <a:pPr algn="l" rtl="0">
            <a:defRPr sz="1000"/>
          </a:pPr>
          <a:r>
            <a:rPr lang="sv-SE" sz="1200" b="1" i="0" u="none" strike="noStrike" baseline="0">
              <a:solidFill>
                <a:srgbClr val="000000"/>
              </a:solidFill>
              <a:latin typeface="Arial"/>
              <a:cs typeface="Arial"/>
            </a:rPr>
            <a:t>1. Ändra bedömd kolhalt i marken samt mineraliseringsprocent till vänster (se rosa rutorna för ledning)</a:t>
          </a:r>
        </a:p>
        <a:p>
          <a:pPr algn="l" rtl="0">
            <a:defRPr sz="1000"/>
          </a:pPr>
          <a:r>
            <a:rPr lang="sv-SE" sz="1200" b="1" i="0" u="none" strike="noStrike" baseline="0">
              <a:solidFill>
                <a:srgbClr val="000000"/>
              </a:solidFill>
              <a:latin typeface="Arial"/>
              <a:cs typeface="Arial"/>
            </a:rPr>
            <a:t>2. Ändra vid behov  antal månader markvila i rutan till höger (se kommentar i ruta mån för ledning)</a:t>
          </a:r>
        </a:p>
        <a:p>
          <a:pPr algn="l" rtl="0">
            <a:defRPr sz="1000"/>
          </a:pPr>
          <a:r>
            <a:rPr lang="sv-SE" sz="1200" b="1" i="0" u="none" strike="noStrike" baseline="0">
              <a:solidFill>
                <a:srgbClr val="000000"/>
              </a:solidFill>
              <a:latin typeface="Arial"/>
              <a:cs typeface="Arial"/>
            </a:rPr>
            <a:t>3. Justera vid behov faktor för beräkning av mängd organiskt material i tabell  "Mängd skörderester" långt ner på sidan. Finns ledning i den gula rutan vid sidan om.</a:t>
          </a:r>
        </a:p>
        <a:p>
          <a:pPr algn="l" rtl="0">
            <a:defRPr sz="1000"/>
          </a:pPr>
          <a:r>
            <a:rPr lang="sv-SE" sz="1200" b="1" i="0" u="none" strike="noStrike" baseline="0">
              <a:solidFill>
                <a:srgbClr val="000000"/>
              </a:solidFill>
              <a:latin typeface="Arial"/>
              <a:cs typeface="Arial"/>
            </a:rPr>
            <a:t>Fyll endast i ljusblå rutor!          </a:t>
          </a:r>
        </a:p>
        <a:p>
          <a:pPr algn="l" rtl="0">
            <a:defRPr sz="1000"/>
          </a:pPr>
          <a:r>
            <a:rPr lang="sv-SE" sz="1200" b="1" i="0" u="none" strike="noStrike" baseline="0">
              <a:solidFill>
                <a:srgbClr val="000000"/>
              </a:solidFill>
              <a:latin typeface="Arial"/>
              <a:cs typeface="Arial"/>
            </a:rPr>
            <a:t>                                                       SE ÖVERGRIPANDE INFO UNDER FLIK "Data skörd-mull" och " MullInfo"!</a:t>
          </a:r>
          <a:endParaRPr lang="sv-SE"/>
        </a:p>
      </xdr:txBody>
    </xdr:sp>
    <xdr:clientData/>
  </xdr:twoCellAnchor>
  <xdr:twoCellAnchor>
    <xdr:from>
      <xdr:col>7</xdr:col>
      <xdr:colOff>31749</xdr:colOff>
      <xdr:row>7</xdr:row>
      <xdr:rowOff>21164</xdr:rowOff>
    </xdr:from>
    <xdr:to>
      <xdr:col>9</xdr:col>
      <xdr:colOff>10583</xdr:colOff>
      <xdr:row>9</xdr:row>
      <xdr:rowOff>148165</xdr:rowOff>
    </xdr:to>
    <xdr:sp macro="" textlink="">
      <xdr:nvSpPr>
        <xdr:cNvPr id="6425" name="Line 36">
          <a:extLst>
            <a:ext uri="{FF2B5EF4-FFF2-40B4-BE49-F238E27FC236}">
              <a16:creationId xmlns:a16="http://schemas.microsoft.com/office/drawing/2014/main" id="{00000000-0008-0000-1800-000019190000}"/>
            </a:ext>
          </a:extLst>
        </xdr:cNvPr>
        <xdr:cNvSpPr>
          <a:spLocks noChangeShapeType="1"/>
        </xdr:cNvSpPr>
      </xdr:nvSpPr>
      <xdr:spPr bwMode="auto">
        <a:xfrm flipH="1" flipV="1">
          <a:off x="3619499" y="1904997"/>
          <a:ext cx="1481667" cy="486835"/>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560916</xdr:colOff>
      <xdr:row>7</xdr:row>
      <xdr:rowOff>42334</xdr:rowOff>
    </xdr:from>
    <xdr:to>
      <xdr:col>6</xdr:col>
      <xdr:colOff>19049</xdr:colOff>
      <xdr:row>10</xdr:row>
      <xdr:rowOff>9525</xdr:rowOff>
    </xdr:to>
    <xdr:sp macro="" textlink="">
      <xdr:nvSpPr>
        <xdr:cNvPr id="6426" name="Line 37">
          <a:extLst>
            <a:ext uri="{FF2B5EF4-FFF2-40B4-BE49-F238E27FC236}">
              <a16:creationId xmlns:a16="http://schemas.microsoft.com/office/drawing/2014/main" id="{00000000-0008-0000-1800-00001A190000}"/>
            </a:ext>
          </a:extLst>
        </xdr:cNvPr>
        <xdr:cNvSpPr>
          <a:spLocks noChangeShapeType="1"/>
        </xdr:cNvSpPr>
      </xdr:nvSpPr>
      <xdr:spPr bwMode="auto">
        <a:xfrm flipH="1" flipV="1">
          <a:off x="1968499" y="1926167"/>
          <a:ext cx="950383" cy="528108"/>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18</xdr:col>
      <xdr:colOff>41675</xdr:colOff>
      <xdr:row>60</xdr:row>
      <xdr:rowOff>781</xdr:rowOff>
    </xdr:from>
    <xdr:ext cx="4416402" cy="1125693"/>
    <xdr:sp macro="" textlink="">
      <xdr:nvSpPr>
        <xdr:cNvPr id="2" name="textruta 1">
          <a:extLst>
            <a:ext uri="{FF2B5EF4-FFF2-40B4-BE49-F238E27FC236}">
              <a16:creationId xmlns:a16="http://schemas.microsoft.com/office/drawing/2014/main" id="{00000000-0008-0000-1800-000002000000}"/>
            </a:ext>
          </a:extLst>
        </xdr:cNvPr>
        <xdr:cNvSpPr txBox="1"/>
      </xdr:nvSpPr>
      <xdr:spPr>
        <a:xfrm>
          <a:off x="9689139" y="10614352"/>
          <a:ext cx="4416402" cy="1125693"/>
        </a:xfrm>
        <a:prstGeom prst="rect">
          <a:avLst/>
        </a:prstGeom>
        <a:solidFill>
          <a:schemeClr val="accent6"/>
        </a:solid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b="1"/>
            <a:t>En jämförelse</a:t>
          </a:r>
        </a:p>
        <a:p>
          <a:endParaRPr lang="sv-SE" sz="1100"/>
        </a:p>
        <a:p>
          <a:r>
            <a:rPr lang="sv-SE" sz="1100"/>
            <a:t>3,5 ton halm (efter 7 ton spannmålsskörd)  ger ungefär samma effekt som</a:t>
          </a:r>
        </a:p>
        <a:p>
          <a:pPr marL="0" marR="0" indent="0" defTabSz="914400" eaLnBrk="1" fontAlgn="auto" latinLnBrk="0" hangingPunct="1">
            <a:lnSpc>
              <a:spcPct val="100000"/>
            </a:lnSpc>
            <a:spcBef>
              <a:spcPts val="0"/>
            </a:spcBef>
            <a:spcAft>
              <a:spcPts val="0"/>
            </a:spcAft>
            <a:buClrTx/>
            <a:buSzTx/>
            <a:buFontTx/>
            <a:buNone/>
            <a:tabLst/>
            <a:defRPr/>
          </a:pPr>
          <a:r>
            <a:rPr lang="sv-SE" sz="1100"/>
            <a:t>- </a:t>
          </a:r>
          <a:r>
            <a:rPr lang="sv-SE" sz="1100" baseline="0">
              <a:solidFill>
                <a:schemeClr val="tx1"/>
              </a:solidFill>
              <a:effectLst/>
              <a:latin typeface="+mn-lt"/>
              <a:ea typeface="+mn-ea"/>
              <a:cs typeface="+mn-cs"/>
            </a:rPr>
            <a:t>Låta marken vila 3 mån (bearbetning i nov  istället för efter skörd i aug)</a:t>
          </a:r>
          <a:endParaRPr lang="sv-SE">
            <a:effectLst/>
          </a:endParaRPr>
        </a:p>
        <a:p>
          <a:r>
            <a:rPr lang="sv-SE" sz="1100"/>
            <a:t>-</a:t>
          </a:r>
          <a:r>
            <a:rPr lang="sv-SE" sz="1100" baseline="0"/>
            <a:t> </a:t>
          </a:r>
          <a:r>
            <a:rPr lang="sv-SE" sz="1100"/>
            <a:t>fånggröda  (1000 kg ts/ha) inkl 2 mån vila</a:t>
          </a:r>
          <a:endParaRPr lang="sv-SE" sz="1100" baseline="0"/>
        </a:p>
        <a:p>
          <a:r>
            <a:rPr lang="sv-SE" sz="1100" baseline="0"/>
            <a:t>- 20 ton fastgödsel (13 % ts)</a:t>
          </a:r>
          <a:endParaRPr lang="sv-SE" sz="1100"/>
        </a:p>
      </xdr:txBody>
    </xdr:sp>
    <xdr:clientData/>
  </xdr:oneCellAnchor>
  <xdr:twoCellAnchor>
    <xdr:from>
      <xdr:col>28</xdr:col>
      <xdr:colOff>29936</xdr:colOff>
      <xdr:row>40</xdr:row>
      <xdr:rowOff>69395</xdr:rowOff>
    </xdr:from>
    <xdr:to>
      <xdr:col>37</xdr:col>
      <xdr:colOff>528411</xdr:colOff>
      <xdr:row>65</xdr:row>
      <xdr:rowOff>38099</xdr:rowOff>
    </xdr:to>
    <xdr:graphicFrame macro="">
      <xdr:nvGraphicFramePr>
        <xdr:cNvPr id="4" name="Diagram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623544</xdr:colOff>
      <xdr:row>68</xdr:row>
      <xdr:rowOff>12286</xdr:rowOff>
    </xdr:from>
    <xdr:to>
      <xdr:col>21</xdr:col>
      <xdr:colOff>89959</xdr:colOff>
      <xdr:row>83</xdr:row>
      <xdr:rowOff>84669</xdr:rowOff>
    </xdr:to>
    <xdr:sp macro="" textlink="">
      <xdr:nvSpPr>
        <xdr:cNvPr id="3" name="textruta 2">
          <a:extLst>
            <a:ext uri="{FF2B5EF4-FFF2-40B4-BE49-F238E27FC236}">
              <a16:creationId xmlns:a16="http://schemas.microsoft.com/office/drawing/2014/main" id="{00000000-0008-0000-1800-000003000000}"/>
            </a:ext>
          </a:extLst>
        </xdr:cNvPr>
        <xdr:cNvSpPr txBox="1"/>
      </xdr:nvSpPr>
      <xdr:spPr>
        <a:xfrm>
          <a:off x="8116544" y="12881619"/>
          <a:ext cx="3572748" cy="2485383"/>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100" b="1"/>
            <a:t>Org material inkl rötter mm:</a:t>
          </a:r>
        </a:p>
        <a:p>
          <a:r>
            <a:rPr lang="sv-SE" sz="1100" b="1"/>
            <a:t>Spannmål: 1,5 ggr skörden varav lös halm = hälften av kärnskörd.</a:t>
          </a:r>
        </a:p>
        <a:p>
          <a:r>
            <a:rPr lang="sv-SE" sz="1100" b="1"/>
            <a:t>Oljev.: 3 ggr skörd</a:t>
          </a:r>
        </a:p>
        <a:p>
          <a:r>
            <a:rPr lang="sv-SE" sz="1100" b="1"/>
            <a:t>Baljväxter: 2 ggr skörd</a:t>
          </a:r>
        </a:p>
        <a:p>
          <a:r>
            <a:rPr lang="sv-SE" sz="1100" b="1"/>
            <a:t>Vall: rötter o rester</a:t>
          </a:r>
          <a:r>
            <a:rPr lang="sv-SE" sz="1100" b="1" baseline="0"/>
            <a:t> </a:t>
          </a:r>
          <a:r>
            <a:rPr lang="sv-SE" sz="1100" b="1"/>
            <a:t>6000 oavsett skördenivå. Lägg till extra nedplöjd gröda el återväxt.</a:t>
          </a:r>
        </a:p>
        <a:p>
          <a:r>
            <a:rPr lang="sv-SE" sz="1100" b="1"/>
            <a:t>Betor: 0,1 ggr</a:t>
          </a:r>
          <a:r>
            <a:rPr lang="sv-SE" sz="1100" b="1" baseline="0"/>
            <a:t> </a:t>
          </a:r>
          <a:r>
            <a:rPr lang="sv-SE" sz="1100" b="1"/>
            <a:t>rotskörd</a:t>
          </a:r>
          <a:r>
            <a:rPr lang="sv-SE" sz="1100" b="1" baseline="0"/>
            <a:t> </a:t>
          </a:r>
          <a:r>
            <a:rPr lang="sv-SE" sz="1100" b="1"/>
            <a:t>varav hälften är blast</a:t>
          </a:r>
        </a:p>
        <a:p>
          <a:r>
            <a:rPr lang="sv-SE" sz="1100" b="1"/>
            <a:t>Potatis: 0,05 ggr rotskörd</a:t>
          </a:r>
        </a:p>
        <a:p>
          <a:r>
            <a:rPr lang="sv-SE" sz="1100" b="1"/>
            <a:t>Vallfrö: rötter o stubb= 6 ton. Lägg till halm</a:t>
          </a:r>
        </a:p>
        <a:p>
          <a:r>
            <a:rPr lang="sv-SE" sz="1100" b="1"/>
            <a:t>Silomajs: fast siffra 4000</a:t>
          </a:r>
        </a:p>
        <a:p>
          <a:r>
            <a:rPr lang="sv-SE" sz="1100" b="1"/>
            <a:t>Kornmajs: 1,5 ggr skörd</a:t>
          </a:r>
        </a:p>
        <a:p>
          <a:r>
            <a:rPr lang="sv-SE" sz="1100" b="1"/>
            <a:t>Övrigt: bedöm enl ovan</a:t>
          </a:r>
        </a:p>
      </xdr:txBody>
    </xdr:sp>
    <xdr:clientData/>
  </xdr:twoCellAnchor>
  <xdr:oneCellAnchor>
    <xdr:from>
      <xdr:col>5</xdr:col>
      <xdr:colOff>333376</xdr:colOff>
      <xdr:row>11</xdr:row>
      <xdr:rowOff>190500</xdr:rowOff>
    </xdr:from>
    <xdr:ext cx="329064" cy="264560"/>
    <xdr:sp macro="" textlink="">
      <xdr:nvSpPr>
        <xdr:cNvPr id="5" name="textruta 4">
          <a:extLst>
            <a:ext uri="{FF2B5EF4-FFF2-40B4-BE49-F238E27FC236}">
              <a16:creationId xmlns:a16="http://schemas.microsoft.com/office/drawing/2014/main" id="{00000000-0008-0000-1800-000005000000}"/>
            </a:ext>
          </a:extLst>
        </xdr:cNvPr>
        <xdr:cNvSpPr txBox="1"/>
      </xdr:nvSpPr>
      <xdr:spPr>
        <a:xfrm>
          <a:off x="2440782" y="2809875"/>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oneCellAnchor>
    <xdr:from>
      <xdr:col>5</xdr:col>
      <xdr:colOff>330995</xdr:colOff>
      <xdr:row>12</xdr:row>
      <xdr:rowOff>176213</xdr:rowOff>
    </xdr:from>
    <xdr:ext cx="329064" cy="264560"/>
    <xdr:sp macro="" textlink="">
      <xdr:nvSpPr>
        <xdr:cNvPr id="10" name="textruta 9">
          <a:extLst>
            <a:ext uri="{FF2B5EF4-FFF2-40B4-BE49-F238E27FC236}">
              <a16:creationId xmlns:a16="http://schemas.microsoft.com/office/drawing/2014/main" id="{00000000-0008-0000-1800-00000A000000}"/>
            </a:ext>
          </a:extLst>
        </xdr:cNvPr>
        <xdr:cNvSpPr txBox="1"/>
      </xdr:nvSpPr>
      <xdr:spPr>
        <a:xfrm>
          <a:off x="2438401" y="2997994"/>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oneCellAnchor>
    <xdr:from>
      <xdr:col>5</xdr:col>
      <xdr:colOff>328614</xdr:colOff>
      <xdr:row>13</xdr:row>
      <xdr:rowOff>185737</xdr:rowOff>
    </xdr:from>
    <xdr:ext cx="329064" cy="264560"/>
    <xdr:sp macro="" textlink="">
      <xdr:nvSpPr>
        <xdr:cNvPr id="11" name="textruta 10">
          <a:extLst>
            <a:ext uri="{FF2B5EF4-FFF2-40B4-BE49-F238E27FC236}">
              <a16:creationId xmlns:a16="http://schemas.microsoft.com/office/drawing/2014/main" id="{00000000-0008-0000-1800-00000B000000}"/>
            </a:ext>
          </a:extLst>
        </xdr:cNvPr>
        <xdr:cNvSpPr txBox="1"/>
      </xdr:nvSpPr>
      <xdr:spPr>
        <a:xfrm>
          <a:off x="2436020" y="3209925"/>
          <a:ext cx="329064"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100"/>
            <a:t>till</a:t>
          </a:r>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15</xdr:col>
      <xdr:colOff>38100</xdr:colOff>
      <xdr:row>24</xdr:row>
      <xdr:rowOff>160020</xdr:rowOff>
    </xdr:from>
    <xdr:ext cx="1498680" cy="1443985"/>
    <xdr:sp macro="" textlink="">
      <xdr:nvSpPr>
        <xdr:cNvPr id="2" name="Text Box 1">
          <a:extLst>
            <a:ext uri="{FF2B5EF4-FFF2-40B4-BE49-F238E27FC236}">
              <a16:creationId xmlns:a16="http://schemas.microsoft.com/office/drawing/2014/main" id="{00000000-0008-0000-1E00-000002000000}"/>
            </a:ext>
          </a:extLst>
        </xdr:cNvPr>
        <xdr:cNvSpPr txBox="1">
          <a:spLocks noChangeArrowheads="1"/>
        </xdr:cNvSpPr>
      </xdr:nvSpPr>
      <xdr:spPr bwMode="auto">
        <a:xfrm>
          <a:off x="11753850" y="4693920"/>
          <a:ext cx="1498680" cy="1443985"/>
        </a:xfrm>
        <a:prstGeom prst="rect">
          <a:avLst/>
        </a:prstGeom>
        <a:solidFill>
          <a:srgbClr xmlns:mc="http://schemas.openxmlformats.org/markup-compatibility/2006" xmlns:a14="http://schemas.microsoft.com/office/drawing/2010/main" val="FFFF99" mc:Ignorable="a14" a14:legacySpreadsheetColorIndex="43"/>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wrap="none" lIns="27432" tIns="27432" rIns="0" bIns="0" anchor="t" upright="1">
          <a:spAutoFit/>
        </a:bodyPr>
        <a:lstStyle/>
        <a:p>
          <a:pPr algn="l" rtl="0">
            <a:defRPr sz="1000"/>
          </a:pPr>
          <a:r>
            <a:rPr lang="sv-SE" sz="1200" b="1" i="0" u="none" strike="noStrike" baseline="0">
              <a:solidFill>
                <a:srgbClr val="000000"/>
              </a:solidFill>
              <a:latin typeface="Arial"/>
              <a:cs typeface="Arial"/>
            </a:rPr>
            <a:t>Regleras från </a:t>
          </a:r>
        </a:p>
        <a:p>
          <a:pPr algn="l" rtl="0">
            <a:defRPr sz="1000"/>
          </a:pPr>
          <a:r>
            <a:rPr lang="sv-SE" sz="1200" b="1" i="0" u="none" strike="noStrike" baseline="0">
              <a:solidFill>
                <a:srgbClr val="000000"/>
              </a:solidFill>
              <a:latin typeface="Arial"/>
              <a:cs typeface="Arial"/>
            </a:rPr>
            <a:t>Giva_S eftersom</a:t>
          </a:r>
        </a:p>
        <a:p>
          <a:pPr algn="l" rtl="0">
            <a:defRPr sz="1000"/>
          </a:pPr>
          <a:r>
            <a:rPr lang="sv-SE" sz="1200" b="1" i="0" u="none" strike="noStrike" baseline="0">
              <a:solidFill>
                <a:srgbClr val="000000"/>
              </a:solidFill>
              <a:latin typeface="Arial"/>
              <a:cs typeface="Arial"/>
            </a:rPr>
            <a:t>det inte är skillnad</a:t>
          </a:r>
        </a:p>
        <a:p>
          <a:pPr algn="l" rtl="0">
            <a:defRPr sz="1000"/>
          </a:pPr>
          <a:r>
            <a:rPr lang="sv-SE" sz="1200" b="1" i="0" u="none" strike="noStrike" baseline="0">
              <a:solidFill>
                <a:srgbClr val="000000"/>
              </a:solidFill>
              <a:latin typeface="Arial"/>
              <a:cs typeface="Arial"/>
            </a:rPr>
            <a:t>i rekommendationer</a:t>
          </a:r>
        </a:p>
        <a:p>
          <a:pPr algn="l" rtl="0">
            <a:defRPr sz="1000"/>
          </a:pPr>
          <a:r>
            <a:rPr lang="sv-SE" sz="1200" b="1" i="0" u="none" strike="noStrike" baseline="0">
              <a:solidFill>
                <a:srgbClr val="000000"/>
              </a:solidFill>
              <a:latin typeface="Arial"/>
              <a:cs typeface="Arial"/>
            </a:rPr>
            <a:t>mellan regioner för</a:t>
          </a:r>
        </a:p>
        <a:p>
          <a:pPr algn="l" rtl="0">
            <a:defRPr sz="1000"/>
          </a:pPr>
          <a:r>
            <a:rPr lang="sv-SE" sz="1200" b="1" i="0" u="none" strike="noStrike" baseline="0">
              <a:solidFill>
                <a:srgbClr val="000000"/>
              </a:solidFill>
              <a:latin typeface="Arial"/>
              <a:cs typeface="Arial"/>
            </a:rPr>
            <a:t>oljeväxter och</a:t>
          </a:r>
        </a:p>
        <a:p>
          <a:pPr algn="l" rtl="0">
            <a:defRPr sz="1000"/>
          </a:pPr>
          <a:r>
            <a:rPr lang="sv-SE" sz="1200" b="1" i="0" u="none" strike="noStrike" baseline="0">
              <a:solidFill>
                <a:srgbClr val="000000"/>
              </a:solidFill>
              <a:latin typeface="Arial"/>
              <a:cs typeface="Arial"/>
            </a:rPr>
            <a:t>vall</a:t>
          </a:r>
        </a:p>
        <a:p>
          <a:pPr algn="l" rtl="0">
            <a:defRPr sz="1000"/>
          </a:pPr>
          <a:endParaRPr lang="sv-SE" sz="1200" b="1" i="0" u="none" strike="noStrike" baseline="0">
            <a:solidFill>
              <a:srgbClr val="000000"/>
            </a:solidFill>
            <a:latin typeface="Arial"/>
            <a:cs typeface="Arial"/>
          </a:endParaRP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4</xdr:col>
      <xdr:colOff>350520</xdr:colOff>
      <xdr:row>0</xdr:row>
      <xdr:rowOff>99060</xdr:rowOff>
    </xdr:from>
    <xdr:to>
      <xdr:col>16</xdr:col>
      <xdr:colOff>335280</xdr:colOff>
      <xdr:row>18</xdr:row>
      <xdr:rowOff>106680</xdr:rowOff>
    </xdr:to>
    <xdr:graphicFrame macro="">
      <xdr:nvGraphicFramePr>
        <xdr:cNvPr id="2" name="Diagram 2">
          <a:extLst>
            <a:ext uri="{FF2B5EF4-FFF2-40B4-BE49-F238E27FC236}">
              <a16:creationId xmlns:a16="http://schemas.microsoft.com/office/drawing/2014/main" id="{00000000-0008-0000-2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365760</xdr:colOff>
      <xdr:row>19</xdr:row>
      <xdr:rowOff>106680</xdr:rowOff>
    </xdr:from>
    <xdr:to>
      <xdr:col>16</xdr:col>
      <xdr:colOff>312420</xdr:colOff>
      <xdr:row>41</xdr:row>
      <xdr:rowOff>22860</xdr:rowOff>
    </xdr:to>
    <xdr:graphicFrame macro="">
      <xdr:nvGraphicFramePr>
        <xdr:cNvPr id="3" name="Diagram 3">
          <a:extLst>
            <a:ext uri="{FF2B5EF4-FFF2-40B4-BE49-F238E27FC236}">
              <a16:creationId xmlns:a16="http://schemas.microsoft.com/office/drawing/2014/main" id="{00000000-0008-0000-2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17</xdr:col>
      <xdr:colOff>160702</xdr:colOff>
      <xdr:row>1</xdr:row>
      <xdr:rowOff>81492</xdr:rowOff>
    </xdr:from>
    <xdr:to>
      <xdr:col>19</xdr:col>
      <xdr:colOff>682832</xdr:colOff>
      <xdr:row>6</xdr:row>
      <xdr:rowOff>76200</xdr:rowOff>
    </xdr:to>
    <xdr:sp macro="" textlink="">
      <xdr:nvSpPr>
        <xdr:cNvPr id="2060" name="Text Box 12">
          <a:extLst>
            <a:ext uri="{FF2B5EF4-FFF2-40B4-BE49-F238E27FC236}">
              <a16:creationId xmlns:a16="http://schemas.microsoft.com/office/drawing/2014/main" id="{00000000-0008-0000-0200-00000C080000}"/>
            </a:ext>
          </a:extLst>
        </xdr:cNvPr>
        <xdr:cNvSpPr txBox="1">
          <a:spLocks noChangeArrowheads="1"/>
        </xdr:cNvSpPr>
      </xdr:nvSpPr>
      <xdr:spPr bwMode="auto">
        <a:xfrm>
          <a:off x="10885852" y="281517"/>
          <a:ext cx="1988980" cy="1080558"/>
        </a:xfrm>
        <a:prstGeom prst="rect">
          <a:avLst/>
        </a:prstGeom>
        <a:solidFill>
          <a:srgbClr xmlns:mc="http://schemas.openxmlformats.org/markup-compatibility/2006" xmlns:a14="http://schemas.microsoft.com/office/drawing/2010/main" val="FFFF00" mc:Ignorable="a14" a14:legacySpreadsheetColorIndex="13"/>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sv-SE" sz="1000" b="1" i="0" u="none" strike="noStrike" baseline="0">
              <a:solidFill>
                <a:srgbClr val="000000"/>
              </a:solidFill>
              <a:latin typeface="Arial"/>
              <a:cs typeface="Arial"/>
            </a:rPr>
            <a:t>Skördeökning för 0,1 % högre kolhalt</a:t>
          </a:r>
        </a:p>
        <a:p>
          <a:pPr algn="l" rtl="0">
            <a:defRPr sz="1000"/>
          </a:pPr>
          <a:r>
            <a:rPr lang="sv-SE" sz="1000" b="0" i="0" u="none" strike="noStrike" baseline="0">
              <a:solidFill>
                <a:srgbClr val="000000"/>
              </a:solidFill>
              <a:latin typeface="Arial"/>
              <a:cs typeface="Arial"/>
            </a:rPr>
            <a:t>Om C-halt i Mullberäkning &gt; 2 % (&gt;3,4 % mull) ska här stå 0, annars en siffra mellan 3 och 9. Förslag: börja med  5.  Se fliken Data skörd-mull.</a:t>
          </a:r>
          <a:endParaRPr lang="sv-SE"/>
        </a:p>
      </xdr:txBody>
    </xdr:sp>
    <xdr:clientData/>
  </xdr:twoCellAnchor>
  <xdr:twoCellAnchor>
    <xdr:from>
      <xdr:col>18</xdr:col>
      <xdr:colOff>363560</xdr:colOff>
      <xdr:row>6</xdr:row>
      <xdr:rowOff>80494</xdr:rowOff>
    </xdr:from>
    <xdr:to>
      <xdr:col>18</xdr:col>
      <xdr:colOff>363560</xdr:colOff>
      <xdr:row>7</xdr:row>
      <xdr:rowOff>1</xdr:rowOff>
    </xdr:to>
    <xdr:sp macro="" textlink="">
      <xdr:nvSpPr>
        <xdr:cNvPr id="2159" name="Line 13">
          <a:extLst>
            <a:ext uri="{FF2B5EF4-FFF2-40B4-BE49-F238E27FC236}">
              <a16:creationId xmlns:a16="http://schemas.microsoft.com/office/drawing/2014/main" id="{00000000-0008-0000-0200-00006F080000}"/>
            </a:ext>
          </a:extLst>
        </xdr:cNvPr>
        <xdr:cNvSpPr>
          <a:spLocks noChangeShapeType="1"/>
        </xdr:cNvSpPr>
      </xdr:nvSpPr>
      <xdr:spPr bwMode="auto">
        <a:xfrm>
          <a:off x="11784901" y="1370699"/>
          <a:ext cx="0" cy="144643"/>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7</xdr:col>
          <xdr:colOff>123825</xdr:colOff>
          <xdr:row>12</xdr:row>
          <xdr:rowOff>152400</xdr:rowOff>
        </xdr:from>
        <xdr:to>
          <xdr:col>7</xdr:col>
          <xdr:colOff>314325</xdr:colOff>
          <xdr:row>14</xdr:row>
          <xdr:rowOff>28575</xdr:rowOff>
        </xdr:to>
        <xdr:sp macro="" textlink="">
          <xdr:nvSpPr>
            <xdr:cNvPr id="2070" name="Check Box 22" hidden="1">
              <a:extLst>
                <a:ext uri="{63B3BB69-23CF-44E3-9099-C40C66FF867C}">
                  <a14:compatExt spid="_x0000_s2070"/>
                </a:ext>
                <a:ext uri="{FF2B5EF4-FFF2-40B4-BE49-F238E27FC236}">
                  <a16:creationId xmlns:a16="http://schemas.microsoft.com/office/drawing/2014/main" id="{00000000-0008-0000-0200-00001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13</xdr:row>
          <xdr:rowOff>133350</xdr:rowOff>
        </xdr:from>
        <xdr:to>
          <xdr:col>7</xdr:col>
          <xdr:colOff>314325</xdr:colOff>
          <xdr:row>15</xdr:row>
          <xdr:rowOff>0</xdr:rowOff>
        </xdr:to>
        <xdr:sp macro="" textlink="">
          <xdr:nvSpPr>
            <xdr:cNvPr id="2071" name="Check Box 23" hidden="1">
              <a:extLst>
                <a:ext uri="{63B3BB69-23CF-44E3-9099-C40C66FF867C}">
                  <a14:compatExt spid="_x0000_s2071"/>
                </a:ext>
                <a:ext uri="{FF2B5EF4-FFF2-40B4-BE49-F238E27FC236}">
                  <a16:creationId xmlns:a16="http://schemas.microsoft.com/office/drawing/2014/main" id="{00000000-0008-0000-0200-00001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16</xdr:row>
          <xdr:rowOff>161925</xdr:rowOff>
        </xdr:from>
        <xdr:to>
          <xdr:col>7</xdr:col>
          <xdr:colOff>314325</xdr:colOff>
          <xdr:row>18</xdr:row>
          <xdr:rowOff>38100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17</xdr:row>
          <xdr:rowOff>161925</xdr:rowOff>
        </xdr:from>
        <xdr:to>
          <xdr:col>7</xdr:col>
          <xdr:colOff>314325</xdr:colOff>
          <xdr:row>19</xdr:row>
          <xdr:rowOff>38100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18</xdr:row>
          <xdr:rowOff>161925</xdr:rowOff>
        </xdr:from>
        <xdr:to>
          <xdr:col>7</xdr:col>
          <xdr:colOff>314325</xdr:colOff>
          <xdr:row>20</xdr:row>
          <xdr:rowOff>38100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19</xdr:row>
          <xdr:rowOff>171450</xdr:rowOff>
        </xdr:from>
        <xdr:to>
          <xdr:col>7</xdr:col>
          <xdr:colOff>314325</xdr:colOff>
          <xdr:row>21</xdr:row>
          <xdr:rowOff>38100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20</xdr:row>
          <xdr:rowOff>171450</xdr:rowOff>
        </xdr:from>
        <xdr:to>
          <xdr:col>7</xdr:col>
          <xdr:colOff>314325</xdr:colOff>
          <xdr:row>22</xdr:row>
          <xdr:rowOff>38100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21</xdr:row>
          <xdr:rowOff>161925</xdr:rowOff>
        </xdr:from>
        <xdr:to>
          <xdr:col>7</xdr:col>
          <xdr:colOff>314325</xdr:colOff>
          <xdr:row>23</xdr:row>
          <xdr:rowOff>38100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31</xdr:row>
          <xdr:rowOff>152400</xdr:rowOff>
        </xdr:from>
        <xdr:to>
          <xdr:col>12</xdr:col>
          <xdr:colOff>314325</xdr:colOff>
          <xdr:row>33</xdr:row>
          <xdr:rowOff>38100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twoCellAnchor>
    <xdr:from>
      <xdr:col>17</xdr:col>
      <xdr:colOff>110557</xdr:colOff>
      <xdr:row>8</xdr:row>
      <xdr:rowOff>40822</xdr:rowOff>
    </xdr:from>
    <xdr:to>
      <xdr:col>23</xdr:col>
      <xdr:colOff>350383</xdr:colOff>
      <xdr:row>24</xdr:row>
      <xdr:rowOff>169</xdr:rowOff>
    </xdr:to>
    <xdr:graphicFrame macro="">
      <xdr:nvGraphicFramePr>
        <xdr:cNvPr id="4" name="Diagram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7</xdr:col>
          <xdr:colOff>123825</xdr:colOff>
          <xdr:row>14</xdr:row>
          <xdr:rowOff>161925</xdr:rowOff>
        </xdr:from>
        <xdr:to>
          <xdr:col>7</xdr:col>
          <xdr:colOff>314325</xdr:colOff>
          <xdr:row>16</xdr:row>
          <xdr:rowOff>28575</xdr:rowOff>
        </xdr:to>
        <xdr:sp macro="" textlink="">
          <xdr:nvSpPr>
            <xdr:cNvPr id="2171" name="Check Box 123" hidden="1">
              <a:extLst>
                <a:ext uri="{63B3BB69-23CF-44E3-9099-C40C66FF867C}">
                  <a14:compatExt spid="_x0000_s2171"/>
                </a:ext>
                <a:ext uri="{FF2B5EF4-FFF2-40B4-BE49-F238E27FC236}">
                  <a16:creationId xmlns:a16="http://schemas.microsoft.com/office/drawing/2014/main" id="{00000000-0008-0000-0200-00007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123825</xdr:colOff>
          <xdr:row>15</xdr:row>
          <xdr:rowOff>152400</xdr:rowOff>
        </xdr:from>
        <xdr:to>
          <xdr:col>7</xdr:col>
          <xdr:colOff>314325</xdr:colOff>
          <xdr:row>17</xdr:row>
          <xdr:rowOff>28575</xdr:rowOff>
        </xdr:to>
        <xdr:sp macro="" textlink="">
          <xdr:nvSpPr>
            <xdr:cNvPr id="2172" name="Check Box 124" hidden="1">
              <a:extLst>
                <a:ext uri="{63B3BB69-23CF-44E3-9099-C40C66FF867C}">
                  <a14:compatExt spid="_x0000_s2172"/>
                </a:ext>
                <a:ext uri="{FF2B5EF4-FFF2-40B4-BE49-F238E27FC236}">
                  <a16:creationId xmlns:a16="http://schemas.microsoft.com/office/drawing/2014/main" id="{00000000-0008-0000-0200-00007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32</xdr:row>
          <xdr:rowOff>142875</xdr:rowOff>
        </xdr:from>
        <xdr:to>
          <xdr:col>12</xdr:col>
          <xdr:colOff>314325</xdr:colOff>
          <xdr:row>34</xdr:row>
          <xdr:rowOff>28575</xdr:rowOff>
        </xdr:to>
        <xdr:sp macro="" textlink="">
          <xdr:nvSpPr>
            <xdr:cNvPr id="2173" name="Check Box 125" hidden="1">
              <a:extLst>
                <a:ext uri="{63B3BB69-23CF-44E3-9099-C40C66FF867C}">
                  <a14:compatExt spid="_x0000_s2173"/>
                </a:ext>
                <a:ext uri="{FF2B5EF4-FFF2-40B4-BE49-F238E27FC236}">
                  <a16:creationId xmlns:a16="http://schemas.microsoft.com/office/drawing/2014/main" id="{00000000-0008-0000-0200-00007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33</xdr:row>
          <xdr:rowOff>152400</xdr:rowOff>
        </xdr:from>
        <xdr:to>
          <xdr:col>12</xdr:col>
          <xdr:colOff>314325</xdr:colOff>
          <xdr:row>35</xdr:row>
          <xdr:rowOff>0</xdr:rowOff>
        </xdr:to>
        <xdr:sp macro="" textlink="">
          <xdr:nvSpPr>
            <xdr:cNvPr id="2174" name="Check Box 126" hidden="1">
              <a:extLst>
                <a:ext uri="{63B3BB69-23CF-44E3-9099-C40C66FF867C}">
                  <a14:compatExt spid="_x0000_s2174"/>
                </a:ext>
                <a:ext uri="{FF2B5EF4-FFF2-40B4-BE49-F238E27FC236}">
                  <a16:creationId xmlns:a16="http://schemas.microsoft.com/office/drawing/2014/main" id="{00000000-0008-0000-0200-00007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34</xdr:row>
          <xdr:rowOff>142875</xdr:rowOff>
        </xdr:from>
        <xdr:to>
          <xdr:col>12</xdr:col>
          <xdr:colOff>314325</xdr:colOff>
          <xdr:row>36</xdr:row>
          <xdr:rowOff>0</xdr:rowOff>
        </xdr:to>
        <xdr:sp macro="" textlink="">
          <xdr:nvSpPr>
            <xdr:cNvPr id="2175" name="Check Box 127" hidden="1">
              <a:extLst>
                <a:ext uri="{63B3BB69-23CF-44E3-9099-C40C66FF867C}">
                  <a14:compatExt spid="_x0000_s2175"/>
                </a:ext>
                <a:ext uri="{FF2B5EF4-FFF2-40B4-BE49-F238E27FC236}">
                  <a16:creationId xmlns:a16="http://schemas.microsoft.com/office/drawing/2014/main" id="{00000000-0008-0000-0200-00007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35</xdr:row>
          <xdr:rowOff>142875</xdr:rowOff>
        </xdr:from>
        <xdr:to>
          <xdr:col>12</xdr:col>
          <xdr:colOff>314325</xdr:colOff>
          <xdr:row>37</xdr:row>
          <xdr:rowOff>0</xdr:rowOff>
        </xdr:to>
        <xdr:sp macro="" textlink="">
          <xdr:nvSpPr>
            <xdr:cNvPr id="2176" name="Check Box 128" hidden="1">
              <a:extLst>
                <a:ext uri="{63B3BB69-23CF-44E3-9099-C40C66FF867C}">
                  <a14:compatExt spid="_x0000_s2176"/>
                </a:ext>
                <a:ext uri="{FF2B5EF4-FFF2-40B4-BE49-F238E27FC236}">
                  <a16:creationId xmlns:a16="http://schemas.microsoft.com/office/drawing/2014/main" id="{00000000-0008-0000-0200-00008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36</xdr:row>
          <xdr:rowOff>142875</xdr:rowOff>
        </xdr:from>
        <xdr:to>
          <xdr:col>12</xdr:col>
          <xdr:colOff>314325</xdr:colOff>
          <xdr:row>38</xdr:row>
          <xdr:rowOff>0</xdr:rowOff>
        </xdr:to>
        <xdr:sp macro="" textlink="">
          <xdr:nvSpPr>
            <xdr:cNvPr id="2177" name="Check Box 129" hidden="1">
              <a:extLst>
                <a:ext uri="{63B3BB69-23CF-44E3-9099-C40C66FF867C}">
                  <a14:compatExt spid="_x0000_s2177"/>
                </a:ext>
                <a:ext uri="{FF2B5EF4-FFF2-40B4-BE49-F238E27FC236}">
                  <a16:creationId xmlns:a16="http://schemas.microsoft.com/office/drawing/2014/main" id="{00000000-0008-0000-0200-00008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37</xdr:row>
          <xdr:rowOff>133350</xdr:rowOff>
        </xdr:from>
        <xdr:to>
          <xdr:col>12</xdr:col>
          <xdr:colOff>314325</xdr:colOff>
          <xdr:row>38</xdr:row>
          <xdr:rowOff>180975</xdr:rowOff>
        </xdr:to>
        <xdr:sp macro="" textlink="">
          <xdr:nvSpPr>
            <xdr:cNvPr id="2178" name="Check Box 130" hidden="1">
              <a:extLst>
                <a:ext uri="{63B3BB69-23CF-44E3-9099-C40C66FF867C}">
                  <a14:compatExt spid="_x0000_s2178"/>
                </a:ext>
                <a:ext uri="{FF2B5EF4-FFF2-40B4-BE49-F238E27FC236}">
                  <a16:creationId xmlns:a16="http://schemas.microsoft.com/office/drawing/2014/main" id="{00000000-0008-0000-0200-00008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38</xdr:row>
          <xdr:rowOff>142875</xdr:rowOff>
        </xdr:from>
        <xdr:to>
          <xdr:col>12</xdr:col>
          <xdr:colOff>314325</xdr:colOff>
          <xdr:row>40</xdr:row>
          <xdr:rowOff>0</xdr:rowOff>
        </xdr:to>
        <xdr:sp macro="" textlink="">
          <xdr:nvSpPr>
            <xdr:cNvPr id="2179" name="Check Box 131" hidden="1">
              <a:extLst>
                <a:ext uri="{63B3BB69-23CF-44E3-9099-C40C66FF867C}">
                  <a14:compatExt spid="_x0000_s2179"/>
                </a:ext>
                <a:ext uri="{FF2B5EF4-FFF2-40B4-BE49-F238E27FC236}">
                  <a16:creationId xmlns:a16="http://schemas.microsoft.com/office/drawing/2014/main" id="{00000000-0008-0000-0200-00008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39</xdr:row>
          <xdr:rowOff>142875</xdr:rowOff>
        </xdr:from>
        <xdr:to>
          <xdr:col>12</xdr:col>
          <xdr:colOff>314325</xdr:colOff>
          <xdr:row>41</xdr:row>
          <xdr:rowOff>0</xdr:rowOff>
        </xdr:to>
        <xdr:sp macro="" textlink="">
          <xdr:nvSpPr>
            <xdr:cNvPr id="2180" name="Check Box 132" hidden="1">
              <a:extLst>
                <a:ext uri="{63B3BB69-23CF-44E3-9099-C40C66FF867C}">
                  <a14:compatExt spid="_x0000_s2180"/>
                </a:ext>
                <a:ext uri="{FF2B5EF4-FFF2-40B4-BE49-F238E27FC236}">
                  <a16:creationId xmlns:a16="http://schemas.microsoft.com/office/drawing/2014/main" id="{00000000-0008-0000-0200-00008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12</xdr:col>
          <xdr:colOff>123825</xdr:colOff>
          <xdr:row>40</xdr:row>
          <xdr:rowOff>152400</xdr:rowOff>
        </xdr:from>
        <xdr:to>
          <xdr:col>12</xdr:col>
          <xdr:colOff>314325</xdr:colOff>
          <xdr:row>42</xdr:row>
          <xdr:rowOff>0</xdr:rowOff>
        </xdr:to>
        <xdr:sp macro="" textlink="">
          <xdr:nvSpPr>
            <xdr:cNvPr id="2181" name="Check Box 133" hidden="1">
              <a:extLst>
                <a:ext uri="{63B3BB69-23CF-44E3-9099-C40C66FF867C}">
                  <a14:compatExt spid="_x0000_s2181"/>
                </a:ext>
                <a:ext uri="{FF2B5EF4-FFF2-40B4-BE49-F238E27FC236}">
                  <a16:creationId xmlns:a16="http://schemas.microsoft.com/office/drawing/2014/main" id="{00000000-0008-0000-0200-00008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xdr:oneCellAnchor>
    <xdr:from>
      <xdr:col>14</xdr:col>
      <xdr:colOff>246302</xdr:colOff>
      <xdr:row>1</xdr:row>
      <xdr:rowOff>69280</xdr:rowOff>
    </xdr:from>
    <xdr:ext cx="1028295" cy="280205"/>
    <xdr:sp macro="" textlink="">
      <xdr:nvSpPr>
        <xdr:cNvPr id="2" name="textruta 1">
          <a:extLst>
            <a:ext uri="{FF2B5EF4-FFF2-40B4-BE49-F238E27FC236}">
              <a16:creationId xmlns:a16="http://schemas.microsoft.com/office/drawing/2014/main" id="{00000000-0008-0000-0200-000002000000}"/>
            </a:ext>
          </a:extLst>
        </xdr:cNvPr>
        <xdr:cNvSpPr txBox="1"/>
      </xdr:nvSpPr>
      <xdr:spPr>
        <a:xfrm>
          <a:off x="8723552" y="294416"/>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twoCellAnchor>
    <xdr:from>
      <xdr:col>19</xdr:col>
      <xdr:colOff>200025</xdr:colOff>
      <xdr:row>7</xdr:row>
      <xdr:rowOff>104775</xdr:rowOff>
    </xdr:from>
    <xdr:to>
      <xdr:col>19</xdr:col>
      <xdr:colOff>762000</xdr:colOff>
      <xdr:row>7</xdr:row>
      <xdr:rowOff>104775</xdr:rowOff>
    </xdr:to>
    <xdr:cxnSp macro="">
      <xdr:nvCxnSpPr>
        <xdr:cNvPr id="5" name="Rak pil 4">
          <a:extLst>
            <a:ext uri="{FF2B5EF4-FFF2-40B4-BE49-F238E27FC236}">
              <a16:creationId xmlns:a16="http://schemas.microsoft.com/office/drawing/2014/main" id="{00000000-0008-0000-0200-000005000000}"/>
            </a:ext>
          </a:extLst>
        </xdr:cNvPr>
        <xdr:cNvCxnSpPr/>
      </xdr:nvCxnSpPr>
      <xdr:spPr bwMode="auto">
        <a:xfrm flipH="1">
          <a:off x="12392025" y="1619250"/>
          <a:ext cx="561975" cy="0"/>
        </a:xfrm>
        <a:prstGeom prst="straightConnector1">
          <a:avLst/>
        </a:prstGeom>
        <a:solidFill>
          <a:srgbClr xmlns:mc="http://schemas.openxmlformats.org/markup-compatibility/2006" xmlns:a14="http://schemas.microsoft.com/office/drawing/2010/main" val="FFFFFF" mc:Ignorable="a14" a14:legacySpreadsheetColorIndex="9"/>
        </a:solidFill>
        <a:ln w="28575" cap="flat" cmpd="sng" algn="ctr">
          <a:solidFill>
            <a:srgbClr val="FF0000"/>
          </a:solidFill>
          <a:prstDash val="solid"/>
          <a:round/>
          <a:headEnd type="none" w="med" len="med"/>
          <a:tailEnd type="arrow"/>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cxnSp>
    <xdr:clientData/>
  </xdr:twoCellAnchor>
  <mc:AlternateContent xmlns:mc="http://schemas.openxmlformats.org/markup-compatibility/2006">
    <mc:Choice xmlns:a14="http://schemas.microsoft.com/office/drawing/2010/main" Requires="a14">
      <xdr:twoCellAnchor editAs="oneCell">
        <xdr:from>
          <xdr:col>10</xdr:col>
          <xdr:colOff>123825</xdr:colOff>
          <xdr:row>12</xdr:row>
          <xdr:rowOff>161925</xdr:rowOff>
        </xdr:from>
        <xdr:to>
          <xdr:col>10</xdr:col>
          <xdr:colOff>314325</xdr:colOff>
          <xdr:row>14</xdr:row>
          <xdr:rowOff>38100</xdr:rowOff>
        </xdr:to>
        <xdr:sp macro="" textlink="">
          <xdr:nvSpPr>
            <xdr:cNvPr id="2224" name="Check Box 33" hidden="1">
              <a:extLst>
                <a:ext uri="{63B3BB69-23CF-44E3-9099-C40C66FF867C}">
                  <a14:compatExt spid="_x0000_s2224"/>
                </a:ext>
                <a:ext uri="{FF2B5EF4-FFF2-40B4-BE49-F238E27FC236}">
                  <a16:creationId xmlns:a16="http://schemas.microsoft.com/office/drawing/2014/main" id="{00000000-0008-0000-0200-0000B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6" name="Check Box 33" hidden="1">
              <a:extLst>
                <a:ext uri="{63B3BB69-23CF-44E3-9099-C40C66FF867C}">
                  <a14:compatExt spid="_x0000_s2226"/>
                </a:ext>
                <a:ext uri="{FF2B5EF4-FFF2-40B4-BE49-F238E27FC236}">
                  <a16:creationId xmlns:a16="http://schemas.microsoft.com/office/drawing/2014/main" id="{00000000-0008-0000-0200-0000B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7" name="Check Box 33" hidden="1">
              <a:extLst>
                <a:ext uri="{63B3BB69-23CF-44E3-9099-C40C66FF867C}">
                  <a14:compatExt spid="_x0000_s2227"/>
                </a:ext>
                <a:ext uri="{FF2B5EF4-FFF2-40B4-BE49-F238E27FC236}">
                  <a16:creationId xmlns:a16="http://schemas.microsoft.com/office/drawing/2014/main" id="{00000000-0008-0000-0200-0000B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28" name="Check Box 33" hidden="1">
              <a:extLst>
                <a:ext uri="{63B3BB69-23CF-44E3-9099-C40C66FF867C}">
                  <a14:compatExt spid="_x0000_s2228"/>
                </a:ext>
                <a:ext uri="{FF2B5EF4-FFF2-40B4-BE49-F238E27FC236}">
                  <a16:creationId xmlns:a16="http://schemas.microsoft.com/office/drawing/2014/main" id="{00000000-0008-0000-0200-0000B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29" name="Check Box 33" hidden="1">
              <a:extLst>
                <a:ext uri="{63B3BB69-23CF-44E3-9099-C40C66FF867C}">
                  <a14:compatExt spid="_x0000_s2229"/>
                </a:ext>
                <a:ext uri="{FF2B5EF4-FFF2-40B4-BE49-F238E27FC236}">
                  <a16:creationId xmlns:a16="http://schemas.microsoft.com/office/drawing/2014/main" id="{00000000-0008-0000-0200-0000B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0" name="Check Box 33" hidden="1">
              <a:extLst>
                <a:ext uri="{63B3BB69-23CF-44E3-9099-C40C66FF867C}">
                  <a14:compatExt spid="_x0000_s2230"/>
                </a:ext>
                <a:ext uri="{FF2B5EF4-FFF2-40B4-BE49-F238E27FC236}">
                  <a16:creationId xmlns:a16="http://schemas.microsoft.com/office/drawing/2014/main" id="{00000000-0008-0000-0200-0000B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1" name="Check Box 33" hidden="1">
              <a:extLst>
                <a:ext uri="{63B3BB69-23CF-44E3-9099-C40C66FF867C}">
                  <a14:compatExt spid="_x0000_s2231"/>
                </a:ext>
                <a:ext uri="{FF2B5EF4-FFF2-40B4-BE49-F238E27FC236}">
                  <a16:creationId xmlns:a16="http://schemas.microsoft.com/office/drawing/2014/main" id="{00000000-0008-0000-0200-0000B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32" name="Check Box 33" hidden="1">
              <a:extLst>
                <a:ext uri="{63B3BB69-23CF-44E3-9099-C40C66FF867C}">
                  <a14:compatExt spid="_x0000_s2232"/>
                </a:ext>
                <a:ext uri="{FF2B5EF4-FFF2-40B4-BE49-F238E27FC236}">
                  <a16:creationId xmlns:a16="http://schemas.microsoft.com/office/drawing/2014/main" id="{00000000-0008-0000-0200-0000B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3" name="Check Box 33" hidden="1">
              <a:extLst>
                <a:ext uri="{63B3BB69-23CF-44E3-9099-C40C66FF867C}">
                  <a14:compatExt spid="_x0000_s2233"/>
                </a:ext>
                <a:ext uri="{FF2B5EF4-FFF2-40B4-BE49-F238E27FC236}">
                  <a16:creationId xmlns:a16="http://schemas.microsoft.com/office/drawing/2014/main" id="{00000000-0008-0000-0200-0000B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4" name="Check Box 33" hidden="1">
              <a:extLst>
                <a:ext uri="{63B3BB69-23CF-44E3-9099-C40C66FF867C}">
                  <a14:compatExt spid="_x0000_s2234"/>
                </a:ext>
                <a:ext uri="{FF2B5EF4-FFF2-40B4-BE49-F238E27FC236}">
                  <a16:creationId xmlns:a16="http://schemas.microsoft.com/office/drawing/2014/main" id="{00000000-0008-0000-0200-0000B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161925</xdr:rowOff>
        </xdr:from>
        <xdr:to>
          <xdr:col>10</xdr:col>
          <xdr:colOff>314325</xdr:colOff>
          <xdr:row>18</xdr:row>
          <xdr:rowOff>38100</xdr:rowOff>
        </xdr:to>
        <xdr:sp macro="" textlink="">
          <xdr:nvSpPr>
            <xdr:cNvPr id="2235" name="Check Box 33" hidden="1">
              <a:extLst>
                <a:ext uri="{63B3BB69-23CF-44E3-9099-C40C66FF867C}">
                  <a14:compatExt spid="_x0000_s2235"/>
                </a:ext>
                <a:ext uri="{FF2B5EF4-FFF2-40B4-BE49-F238E27FC236}">
                  <a16:creationId xmlns:a16="http://schemas.microsoft.com/office/drawing/2014/main" id="{00000000-0008-0000-0200-0000B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13</xdr:row>
          <xdr:rowOff>161925</xdr:rowOff>
        </xdr:from>
        <xdr:to>
          <xdr:col>10</xdr:col>
          <xdr:colOff>314325</xdr:colOff>
          <xdr:row>15</xdr:row>
          <xdr:rowOff>28575</xdr:rowOff>
        </xdr:to>
        <xdr:sp macro="" textlink="">
          <xdr:nvSpPr>
            <xdr:cNvPr id="2236" name="Check Box 33" hidden="1">
              <a:extLst>
                <a:ext uri="{63B3BB69-23CF-44E3-9099-C40C66FF867C}">
                  <a14:compatExt spid="_x0000_s2236"/>
                </a:ext>
                <a:ext uri="{FF2B5EF4-FFF2-40B4-BE49-F238E27FC236}">
                  <a16:creationId xmlns:a16="http://schemas.microsoft.com/office/drawing/2014/main" id="{00000000-0008-0000-0200-0000B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14</xdr:row>
          <xdr:rowOff>161925</xdr:rowOff>
        </xdr:from>
        <xdr:to>
          <xdr:col>10</xdr:col>
          <xdr:colOff>314325</xdr:colOff>
          <xdr:row>16</xdr:row>
          <xdr:rowOff>28575</xdr:rowOff>
        </xdr:to>
        <xdr:sp macro="" textlink="">
          <xdr:nvSpPr>
            <xdr:cNvPr id="2237" name="Check Box 33" hidden="1">
              <a:extLst>
                <a:ext uri="{63B3BB69-23CF-44E3-9099-C40C66FF867C}">
                  <a14:compatExt spid="_x0000_s2237"/>
                </a:ext>
                <a:ext uri="{FF2B5EF4-FFF2-40B4-BE49-F238E27FC236}">
                  <a16:creationId xmlns:a16="http://schemas.microsoft.com/office/drawing/2014/main" id="{00000000-0008-0000-0200-0000B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15</xdr:row>
          <xdr:rowOff>161925</xdr:rowOff>
        </xdr:from>
        <xdr:to>
          <xdr:col>10</xdr:col>
          <xdr:colOff>314325</xdr:colOff>
          <xdr:row>17</xdr:row>
          <xdr:rowOff>38100</xdr:rowOff>
        </xdr:to>
        <xdr:sp macro="" textlink="">
          <xdr:nvSpPr>
            <xdr:cNvPr id="2238" name="Check Box 33" hidden="1">
              <a:extLst>
                <a:ext uri="{63B3BB69-23CF-44E3-9099-C40C66FF867C}">
                  <a14:compatExt spid="_x0000_s2238"/>
                </a:ext>
                <a:ext uri="{FF2B5EF4-FFF2-40B4-BE49-F238E27FC236}">
                  <a16:creationId xmlns:a16="http://schemas.microsoft.com/office/drawing/2014/main" id="{00000000-0008-0000-0200-0000B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16</xdr:row>
          <xdr:rowOff>161925</xdr:rowOff>
        </xdr:from>
        <xdr:to>
          <xdr:col>10</xdr:col>
          <xdr:colOff>314325</xdr:colOff>
          <xdr:row>18</xdr:row>
          <xdr:rowOff>38100</xdr:rowOff>
        </xdr:to>
        <xdr:sp macro="" textlink="">
          <xdr:nvSpPr>
            <xdr:cNvPr id="2239" name="Check Box 33" hidden="1">
              <a:extLst>
                <a:ext uri="{63B3BB69-23CF-44E3-9099-C40C66FF867C}">
                  <a14:compatExt spid="_x0000_s2239"/>
                </a:ext>
                <a:ext uri="{FF2B5EF4-FFF2-40B4-BE49-F238E27FC236}">
                  <a16:creationId xmlns:a16="http://schemas.microsoft.com/office/drawing/2014/main" id="{00000000-0008-0000-0200-0000B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17</xdr:row>
          <xdr:rowOff>161925</xdr:rowOff>
        </xdr:from>
        <xdr:to>
          <xdr:col>10</xdr:col>
          <xdr:colOff>314325</xdr:colOff>
          <xdr:row>19</xdr:row>
          <xdr:rowOff>38100</xdr:rowOff>
        </xdr:to>
        <xdr:sp macro="" textlink="">
          <xdr:nvSpPr>
            <xdr:cNvPr id="2240" name="Check Box 33" hidden="1">
              <a:extLst>
                <a:ext uri="{63B3BB69-23CF-44E3-9099-C40C66FF867C}">
                  <a14:compatExt spid="_x0000_s2240"/>
                </a:ext>
                <a:ext uri="{FF2B5EF4-FFF2-40B4-BE49-F238E27FC236}">
                  <a16:creationId xmlns:a16="http://schemas.microsoft.com/office/drawing/2014/main" id="{00000000-0008-0000-0200-0000C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1" name="Check Box 33" hidden="1">
              <a:extLst>
                <a:ext uri="{63B3BB69-23CF-44E3-9099-C40C66FF867C}">
                  <a14:compatExt spid="_x0000_s2241"/>
                </a:ext>
                <a:ext uri="{FF2B5EF4-FFF2-40B4-BE49-F238E27FC236}">
                  <a16:creationId xmlns:a16="http://schemas.microsoft.com/office/drawing/2014/main" id="{00000000-0008-0000-0200-0000C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2" name="Check Box 33" hidden="1">
              <a:extLst>
                <a:ext uri="{63B3BB69-23CF-44E3-9099-C40C66FF867C}">
                  <a14:compatExt spid="_x0000_s2242"/>
                </a:ext>
                <a:ext uri="{FF2B5EF4-FFF2-40B4-BE49-F238E27FC236}">
                  <a16:creationId xmlns:a16="http://schemas.microsoft.com/office/drawing/2014/main" id="{00000000-0008-0000-0200-0000C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3" name="Check Box 33" hidden="1">
              <a:extLst>
                <a:ext uri="{63B3BB69-23CF-44E3-9099-C40C66FF867C}">
                  <a14:compatExt spid="_x0000_s2243"/>
                </a:ext>
                <a:ext uri="{FF2B5EF4-FFF2-40B4-BE49-F238E27FC236}">
                  <a16:creationId xmlns:a16="http://schemas.microsoft.com/office/drawing/2014/main" id="{00000000-0008-0000-0200-0000C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4" name="Check Box 33" hidden="1">
              <a:extLst>
                <a:ext uri="{63B3BB69-23CF-44E3-9099-C40C66FF867C}">
                  <a14:compatExt spid="_x0000_s2244"/>
                </a:ext>
                <a:ext uri="{FF2B5EF4-FFF2-40B4-BE49-F238E27FC236}">
                  <a16:creationId xmlns:a16="http://schemas.microsoft.com/office/drawing/2014/main" id="{00000000-0008-0000-0200-0000C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5" name="Check Box 33" hidden="1">
              <a:extLst>
                <a:ext uri="{63B3BB69-23CF-44E3-9099-C40C66FF867C}">
                  <a14:compatExt spid="_x0000_s2245"/>
                </a:ext>
                <a:ext uri="{FF2B5EF4-FFF2-40B4-BE49-F238E27FC236}">
                  <a16:creationId xmlns:a16="http://schemas.microsoft.com/office/drawing/2014/main" id="{00000000-0008-0000-0200-0000C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161925</xdr:rowOff>
        </xdr:from>
        <xdr:to>
          <xdr:col>10</xdr:col>
          <xdr:colOff>314325</xdr:colOff>
          <xdr:row>22</xdr:row>
          <xdr:rowOff>38100</xdr:rowOff>
        </xdr:to>
        <xdr:sp macro="" textlink="">
          <xdr:nvSpPr>
            <xdr:cNvPr id="2246" name="Check Box 33" hidden="1">
              <a:extLst>
                <a:ext uri="{63B3BB69-23CF-44E3-9099-C40C66FF867C}">
                  <a14:compatExt spid="_x0000_s2246"/>
                </a:ext>
                <a:ext uri="{FF2B5EF4-FFF2-40B4-BE49-F238E27FC236}">
                  <a16:creationId xmlns:a16="http://schemas.microsoft.com/office/drawing/2014/main" id="{00000000-0008-0000-0200-0000C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18</xdr:row>
          <xdr:rowOff>161925</xdr:rowOff>
        </xdr:from>
        <xdr:to>
          <xdr:col>10</xdr:col>
          <xdr:colOff>314325</xdr:colOff>
          <xdr:row>20</xdr:row>
          <xdr:rowOff>38100</xdr:rowOff>
        </xdr:to>
        <xdr:sp macro="" textlink="">
          <xdr:nvSpPr>
            <xdr:cNvPr id="2247" name="Check Box 33" hidden="1">
              <a:extLst>
                <a:ext uri="{63B3BB69-23CF-44E3-9099-C40C66FF867C}">
                  <a14:compatExt spid="_x0000_s2247"/>
                </a:ext>
                <a:ext uri="{FF2B5EF4-FFF2-40B4-BE49-F238E27FC236}">
                  <a16:creationId xmlns:a16="http://schemas.microsoft.com/office/drawing/2014/main" id="{00000000-0008-0000-0200-0000C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19</xdr:row>
          <xdr:rowOff>161925</xdr:rowOff>
        </xdr:from>
        <xdr:to>
          <xdr:col>10</xdr:col>
          <xdr:colOff>314325</xdr:colOff>
          <xdr:row>21</xdr:row>
          <xdr:rowOff>38100</xdr:rowOff>
        </xdr:to>
        <xdr:sp macro="" textlink="">
          <xdr:nvSpPr>
            <xdr:cNvPr id="2248" name="Check Box 33" hidden="1">
              <a:extLst>
                <a:ext uri="{63B3BB69-23CF-44E3-9099-C40C66FF867C}">
                  <a14:compatExt spid="_x0000_s2248"/>
                </a:ext>
                <a:ext uri="{FF2B5EF4-FFF2-40B4-BE49-F238E27FC236}">
                  <a16:creationId xmlns:a16="http://schemas.microsoft.com/office/drawing/2014/main" id="{00000000-0008-0000-0200-0000C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20</xdr:row>
          <xdr:rowOff>161925</xdr:rowOff>
        </xdr:from>
        <xdr:to>
          <xdr:col>10</xdr:col>
          <xdr:colOff>314325</xdr:colOff>
          <xdr:row>22</xdr:row>
          <xdr:rowOff>38100</xdr:rowOff>
        </xdr:to>
        <xdr:sp macro="" textlink="">
          <xdr:nvSpPr>
            <xdr:cNvPr id="2249" name="Check Box 33" hidden="1">
              <a:extLst>
                <a:ext uri="{63B3BB69-23CF-44E3-9099-C40C66FF867C}">
                  <a14:compatExt spid="_x0000_s2249"/>
                </a:ext>
                <a:ext uri="{FF2B5EF4-FFF2-40B4-BE49-F238E27FC236}">
                  <a16:creationId xmlns:a16="http://schemas.microsoft.com/office/drawing/2014/main" id="{00000000-0008-0000-0200-0000C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21</xdr:row>
          <xdr:rowOff>161925</xdr:rowOff>
        </xdr:from>
        <xdr:to>
          <xdr:col>10</xdr:col>
          <xdr:colOff>314325</xdr:colOff>
          <xdr:row>23</xdr:row>
          <xdr:rowOff>38100</xdr:rowOff>
        </xdr:to>
        <xdr:sp macro="" textlink="">
          <xdr:nvSpPr>
            <xdr:cNvPr id="2250" name="Check Box 33" hidden="1">
              <a:extLst>
                <a:ext uri="{63B3BB69-23CF-44E3-9099-C40C66FF867C}">
                  <a14:compatExt spid="_x0000_s2250"/>
                </a:ext>
                <a:ext uri="{FF2B5EF4-FFF2-40B4-BE49-F238E27FC236}">
                  <a16:creationId xmlns:a16="http://schemas.microsoft.com/office/drawing/2014/main" id="{00000000-0008-0000-0200-0000C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1" name="Check Box 203" hidden="1">
              <a:extLst>
                <a:ext uri="{63B3BB69-23CF-44E3-9099-C40C66FF867C}">
                  <a14:compatExt spid="_x0000_s2251"/>
                </a:ext>
                <a:ext uri="{FF2B5EF4-FFF2-40B4-BE49-F238E27FC236}">
                  <a16:creationId xmlns:a16="http://schemas.microsoft.com/office/drawing/2014/main" id="{00000000-0008-0000-0200-0000C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2" name="Check Box 204" hidden="1">
              <a:extLst>
                <a:ext uri="{63B3BB69-23CF-44E3-9099-C40C66FF867C}">
                  <a14:compatExt spid="_x0000_s2252"/>
                </a:ext>
                <a:ext uri="{FF2B5EF4-FFF2-40B4-BE49-F238E27FC236}">
                  <a16:creationId xmlns:a16="http://schemas.microsoft.com/office/drawing/2014/main" id="{00000000-0008-0000-0200-0000C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3" name="Check Box 205" hidden="1">
              <a:extLst>
                <a:ext uri="{63B3BB69-23CF-44E3-9099-C40C66FF867C}">
                  <a14:compatExt spid="_x0000_s2253"/>
                </a:ext>
                <a:ext uri="{FF2B5EF4-FFF2-40B4-BE49-F238E27FC236}">
                  <a16:creationId xmlns:a16="http://schemas.microsoft.com/office/drawing/2014/main" id="{00000000-0008-0000-0200-0000C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4" name="Check Box 206" hidden="1">
              <a:extLst>
                <a:ext uri="{63B3BB69-23CF-44E3-9099-C40C66FF867C}">
                  <a14:compatExt spid="_x0000_s2254"/>
                </a:ext>
                <a:ext uri="{FF2B5EF4-FFF2-40B4-BE49-F238E27FC236}">
                  <a16:creationId xmlns:a16="http://schemas.microsoft.com/office/drawing/2014/main" id="{00000000-0008-0000-0200-0000C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5" name="Check Box 207" hidden="1">
              <a:extLst>
                <a:ext uri="{63B3BB69-23CF-44E3-9099-C40C66FF867C}">
                  <a14:compatExt spid="_x0000_s2255"/>
                </a:ext>
                <a:ext uri="{FF2B5EF4-FFF2-40B4-BE49-F238E27FC236}">
                  <a16:creationId xmlns:a16="http://schemas.microsoft.com/office/drawing/2014/main" id="{00000000-0008-0000-0200-0000C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56" name="Check Box 208" hidden="1">
              <a:extLst>
                <a:ext uri="{63B3BB69-23CF-44E3-9099-C40C66FF867C}">
                  <a14:compatExt spid="_x0000_s2256"/>
                </a:ext>
                <a:ext uri="{FF2B5EF4-FFF2-40B4-BE49-F238E27FC236}">
                  <a16:creationId xmlns:a16="http://schemas.microsoft.com/office/drawing/2014/main" id="{00000000-0008-0000-0200-0000D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57" name="Check Box 209" hidden="1">
              <a:extLst>
                <a:ext uri="{63B3BB69-23CF-44E3-9099-C40C66FF867C}">
                  <a14:compatExt spid="_x0000_s2257"/>
                </a:ext>
                <a:ext uri="{FF2B5EF4-FFF2-40B4-BE49-F238E27FC236}">
                  <a16:creationId xmlns:a16="http://schemas.microsoft.com/office/drawing/2014/main" id="{00000000-0008-0000-0200-0000D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58" name="Check Box 210" hidden="1">
              <a:extLst>
                <a:ext uri="{63B3BB69-23CF-44E3-9099-C40C66FF867C}">
                  <a14:compatExt spid="_x0000_s2258"/>
                </a:ext>
                <a:ext uri="{FF2B5EF4-FFF2-40B4-BE49-F238E27FC236}">
                  <a16:creationId xmlns:a16="http://schemas.microsoft.com/office/drawing/2014/main" id="{00000000-0008-0000-0200-0000D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59" name="Check Box 211" hidden="1">
              <a:extLst>
                <a:ext uri="{63B3BB69-23CF-44E3-9099-C40C66FF867C}">
                  <a14:compatExt spid="_x0000_s2259"/>
                </a:ext>
                <a:ext uri="{FF2B5EF4-FFF2-40B4-BE49-F238E27FC236}">
                  <a16:creationId xmlns:a16="http://schemas.microsoft.com/office/drawing/2014/main" id="{00000000-0008-0000-0200-0000D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0" name="Check Box 212" hidden="1">
              <a:extLst>
                <a:ext uri="{63B3BB69-23CF-44E3-9099-C40C66FF867C}">
                  <a14:compatExt spid="_x0000_s2260"/>
                </a:ext>
                <a:ext uri="{FF2B5EF4-FFF2-40B4-BE49-F238E27FC236}">
                  <a16:creationId xmlns:a16="http://schemas.microsoft.com/office/drawing/2014/main" id="{00000000-0008-0000-0200-0000D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61" name="Check Box 213" hidden="1">
              <a:extLst>
                <a:ext uri="{63B3BB69-23CF-44E3-9099-C40C66FF867C}">
                  <a14:compatExt spid="_x0000_s2261"/>
                </a:ext>
                <a:ext uri="{FF2B5EF4-FFF2-40B4-BE49-F238E27FC236}">
                  <a16:creationId xmlns:a16="http://schemas.microsoft.com/office/drawing/2014/main" id="{00000000-0008-0000-0200-0000D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62" name="Check Box 214" hidden="1">
              <a:extLst>
                <a:ext uri="{63B3BB69-23CF-44E3-9099-C40C66FF867C}">
                  <a14:compatExt spid="_x0000_s2262"/>
                </a:ext>
                <a:ext uri="{FF2B5EF4-FFF2-40B4-BE49-F238E27FC236}">
                  <a16:creationId xmlns:a16="http://schemas.microsoft.com/office/drawing/2014/main" id="{00000000-0008-0000-0200-0000D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63" name="Check Box 215" hidden="1">
              <a:extLst>
                <a:ext uri="{63B3BB69-23CF-44E3-9099-C40C66FF867C}">
                  <a14:compatExt spid="_x0000_s2263"/>
                </a:ext>
                <a:ext uri="{FF2B5EF4-FFF2-40B4-BE49-F238E27FC236}">
                  <a16:creationId xmlns:a16="http://schemas.microsoft.com/office/drawing/2014/main" id="{00000000-0008-0000-0200-0000D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4" name="Check Box 216" hidden="1">
              <a:extLst>
                <a:ext uri="{63B3BB69-23CF-44E3-9099-C40C66FF867C}">
                  <a14:compatExt spid="_x0000_s2264"/>
                </a:ext>
                <a:ext uri="{FF2B5EF4-FFF2-40B4-BE49-F238E27FC236}">
                  <a16:creationId xmlns:a16="http://schemas.microsoft.com/office/drawing/2014/main" id="{00000000-0008-0000-0200-0000D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65" name="Check Box 217" hidden="1">
              <a:extLst>
                <a:ext uri="{63B3BB69-23CF-44E3-9099-C40C66FF867C}">
                  <a14:compatExt spid="_x0000_s2265"/>
                </a:ext>
                <a:ext uri="{FF2B5EF4-FFF2-40B4-BE49-F238E27FC236}">
                  <a16:creationId xmlns:a16="http://schemas.microsoft.com/office/drawing/2014/main" id="{00000000-0008-0000-0200-0000D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66" name="Check Box 218" hidden="1">
              <a:extLst>
                <a:ext uri="{63B3BB69-23CF-44E3-9099-C40C66FF867C}">
                  <a14:compatExt spid="_x0000_s2266"/>
                </a:ext>
                <a:ext uri="{FF2B5EF4-FFF2-40B4-BE49-F238E27FC236}">
                  <a16:creationId xmlns:a16="http://schemas.microsoft.com/office/drawing/2014/main" id="{00000000-0008-0000-0200-0000D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67" name="Check Box 219" hidden="1">
              <a:extLst>
                <a:ext uri="{63B3BB69-23CF-44E3-9099-C40C66FF867C}">
                  <a14:compatExt spid="_x0000_s2267"/>
                </a:ext>
                <a:ext uri="{FF2B5EF4-FFF2-40B4-BE49-F238E27FC236}">
                  <a16:creationId xmlns:a16="http://schemas.microsoft.com/office/drawing/2014/main" id="{00000000-0008-0000-0200-0000D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68" name="Check Box 220" hidden="1">
              <a:extLst>
                <a:ext uri="{63B3BB69-23CF-44E3-9099-C40C66FF867C}">
                  <a14:compatExt spid="_x0000_s2268"/>
                </a:ext>
                <a:ext uri="{FF2B5EF4-FFF2-40B4-BE49-F238E27FC236}">
                  <a16:creationId xmlns:a16="http://schemas.microsoft.com/office/drawing/2014/main" id="{00000000-0008-0000-0200-0000D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69" name="Check Box 221" hidden="1">
              <a:extLst>
                <a:ext uri="{63B3BB69-23CF-44E3-9099-C40C66FF867C}">
                  <a14:compatExt spid="_x0000_s2269"/>
                </a:ext>
                <a:ext uri="{FF2B5EF4-FFF2-40B4-BE49-F238E27FC236}">
                  <a16:creationId xmlns:a16="http://schemas.microsoft.com/office/drawing/2014/main" id="{00000000-0008-0000-0200-0000D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70" name="Check Box 222" hidden="1">
              <a:extLst>
                <a:ext uri="{63B3BB69-23CF-44E3-9099-C40C66FF867C}">
                  <a14:compatExt spid="_x0000_s2270"/>
                </a:ext>
                <a:ext uri="{FF2B5EF4-FFF2-40B4-BE49-F238E27FC236}">
                  <a16:creationId xmlns:a16="http://schemas.microsoft.com/office/drawing/2014/main" id="{00000000-0008-0000-0200-0000D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71" name="Check Box 223" hidden="1">
              <a:extLst>
                <a:ext uri="{63B3BB69-23CF-44E3-9099-C40C66FF867C}">
                  <a14:compatExt spid="_x0000_s2271"/>
                </a:ext>
                <a:ext uri="{FF2B5EF4-FFF2-40B4-BE49-F238E27FC236}">
                  <a16:creationId xmlns:a16="http://schemas.microsoft.com/office/drawing/2014/main" id="{00000000-0008-0000-0200-0000D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72" name="Check Box 224" hidden="1">
              <a:extLst>
                <a:ext uri="{63B3BB69-23CF-44E3-9099-C40C66FF867C}">
                  <a14:compatExt spid="_x0000_s2272"/>
                </a:ext>
                <a:ext uri="{FF2B5EF4-FFF2-40B4-BE49-F238E27FC236}">
                  <a16:creationId xmlns:a16="http://schemas.microsoft.com/office/drawing/2014/main" id="{00000000-0008-0000-0200-0000E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73" name="Check Box 225" hidden="1">
              <a:extLst>
                <a:ext uri="{63B3BB69-23CF-44E3-9099-C40C66FF867C}">
                  <a14:compatExt spid="_x0000_s2273"/>
                </a:ext>
                <a:ext uri="{FF2B5EF4-FFF2-40B4-BE49-F238E27FC236}">
                  <a16:creationId xmlns:a16="http://schemas.microsoft.com/office/drawing/2014/main" id="{00000000-0008-0000-0200-0000E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74" name="Check Box 226" hidden="1">
              <a:extLst>
                <a:ext uri="{63B3BB69-23CF-44E3-9099-C40C66FF867C}">
                  <a14:compatExt spid="_x0000_s2274"/>
                </a:ext>
                <a:ext uri="{FF2B5EF4-FFF2-40B4-BE49-F238E27FC236}">
                  <a16:creationId xmlns:a16="http://schemas.microsoft.com/office/drawing/2014/main" id="{00000000-0008-0000-0200-0000E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75" name="Check Box 227" hidden="1">
              <a:extLst>
                <a:ext uri="{63B3BB69-23CF-44E3-9099-C40C66FF867C}">
                  <a14:compatExt spid="_x0000_s2275"/>
                </a:ext>
                <a:ext uri="{FF2B5EF4-FFF2-40B4-BE49-F238E27FC236}">
                  <a16:creationId xmlns:a16="http://schemas.microsoft.com/office/drawing/2014/main" id="{00000000-0008-0000-0200-0000E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76" name="Check Box 228" hidden="1">
              <a:extLst>
                <a:ext uri="{63B3BB69-23CF-44E3-9099-C40C66FF867C}">
                  <a14:compatExt spid="_x0000_s2276"/>
                </a:ext>
                <a:ext uri="{FF2B5EF4-FFF2-40B4-BE49-F238E27FC236}">
                  <a16:creationId xmlns:a16="http://schemas.microsoft.com/office/drawing/2014/main" id="{00000000-0008-0000-0200-0000E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77" name="Check Box 229" hidden="1">
              <a:extLst>
                <a:ext uri="{63B3BB69-23CF-44E3-9099-C40C66FF867C}">
                  <a14:compatExt spid="_x0000_s2277"/>
                </a:ext>
                <a:ext uri="{FF2B5EF4-FFF2-40B4-BE49-F238E27FC236}">
                  <a16:creationId xmlns:a16="http://schemas.microsoft.com/office/drawing/2014/main" id="{00000000-0008-0000-0200-0000E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78" name="Check Box 230" hidden="1">
              <a:extLst>
                <a:ext uri="{63B3BB69-23CF-44E3-9099-C40C66FF867C}">
                  <a14:compatExt spid="_x0000_s2278"/>
                </a:ext>
                <a:ext uri="{FF2B5EF4-FFF2-40B4-BE49-F238E27FC236}">
                  <a16:creationId xmlns:a16="http://schemas.microsoft.com/office/drawing/2014/main" id="{00000000-0008-0000-0200-0000E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79" name="Check Box 231" hidden="1">
              <a:extLst>
                <a:ext uri="{63B3BB69-23CF-44E3-9099-C40C66FF867C}">
                  <a14:compatExt spid="_x0000_s2279"/>
                </a:ext>
                <a:ext uri="{FF2B5EF4-FFF2-40B4-BE49-F238E27FC236}">
                  <a16:creationId xmlns:a16="http://schemas.microsoft.com/office/drawing/2014/main" id="{00000000-0008-0000-0200-0000E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80" name="Check Box 232" hidden="1">
              <a:extLst>
                <a:ext uri="{63B3BB69-23CF-44E3-9099-C40C66FF867C}">
                  <a14:compatExt spid="_x0000_s2280"/>
                </a:ext>
                <a:ext uri="{FF2B5EF4-FFF2-40B4-BE49-F238E27FC236}">
                  <a16:creationId xmlns:a16="http://schemas.microsoft.com/office/drawing/2014/main" id="{00000000-0008-0000-0200-0000E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81" name="Check Box 233" hidden="1">
              <a:extLst>
                <a:ext uri="{63B3BB69-23CF-44E3-9099-C40C66FF867C}">
                  <a14:compatExt spid="_x0000_s2281"/>
                </a:ext>
                <a:ext uri="{FF2B5EF4-FFF2-40B4-BE49-F238E27FC236}">
                  <a16:creationId xmlns:a16="http://schemas.microsoft.com/office/drawing/2014/main" id="{00000000-0008-0000-0200-0000E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82" name="Check Box 234" hidden="1">
              <a:extLst>
                <a:ext uri="{63B3BB69-23CF-44E3-9099-C40C66FF867C}">
                  <a14:compatExt spid="_x0000_s2282"/>
                </a:ext>
                <a:ext uri="{FF2B5EF4-FFF2-40B4-BE49-F238E27FC236}">
                  <a16:creationId xmlns:a16="http://schemas.microsoft.com/office/drawing/2014/main" id="{00000000-0008-0000-0200-0000E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83" name="Check Box 235" hidden="1">
              <a:extLst>
                <a:ext uri="{63B3BB69-23CF-44E3-9099-C40C66FF867C}">
                  <a14:compatExt spid="_x0000_s2283"/>
                </a:ext>
                <a:ext uri="{FF2B5EF4-FFF2-40B4-BE49-F238E27FC236}">
                  <a16:creationId xmlns:a16="http://schemas.microsoft.com/office/drawing/2014/main" id="{00000000-0008-0000-0200-0000E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84" name="Check Box 236" hidden="1">
              <a:extLst>
                <a:ext uri="{63B3BB69-23CF-44E3-9099-C40C66FF867C}">
                  <a14:compatExt spid="_x0000_s2284"/>
                </a:ext>
                <a:ext uri="{FF2B5EF4-FFF2-40B4-BE49-F238E27FC236}">
                  <a16:creationId xmlns:a16="http://schemas.microsoft.com/office/drawing/2014/main" id="{00000000-0008-0000-0200-0000E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85" name="Check Box 237" hidden="1">
              <a:extLst>
                <a:ext uri="{63B3BB69-23CF-44E3-9099-C40C66FF867C}">
                  <a14:compatExt spid="_x0000_s2285"/>
                </a:ext>
                <a:ext uri="{FF2B5EF4-FFF2-40B4-BE49-F238E27FC236}">
                  <a16:creationId xmlns:a16="http://schemas.microsoft.com/office/drawing/2014/main" id="{00000000-0008-0000-0200-0000E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286" name="Check Box 238" hidden="1">
              <a:extLst>
                <a:ext uri="{63B3BB69-23CF-44E3-9099-C40C66FF867C}">
                  <a14:compatExt spid="_x0000_s2286"/>
                </a:ext>
                <a:ext uri="{FF2B5EF4-FFF2-40B4-BE49-F238E27FC236}">
                  <a16:creationId xmlns:a16="http://schemas.microsoft.com/office/drawing/2014/main" id="{00000000-0008-0000-0200-0000E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87" name="Check Box 239" hidden="1">
              <a:extLst>
                <a:ext uri="{63B3BB69-23CF-44E3-9099-C40C66FF867C}">
                  <a14:compatExt spid="_x0000_s2287"/>
                </a:ext>
                <a:ext uri="{FF2B5EF4-FFF2-40B4-BE49-F238E27FC236}">
                  <a16:creationId xmlns:a16="http://schemas.microsoft.com/office/drawing/2014/main" id="{00000000-0008-0000-0200-0000E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88" name="Check Box 240" hidden="1">
              <a:extLst>
                <a:ext uri="{63B3BB69-23CF-44E3-9099-C40C66FF867C}">
                  <a14:compatExt spid="_x0000_s2288"/>
                </a:ext>
                <a:ext uri="{FF2B5EF4-FFF2-40B4-BE49-F238E27FC236}">
                  <a16:creationId xmlns:a16="http://schemas.microsoft.com/office/drawing/2014/main" id="{00000000-0008-0000-0200-0000F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89" name="Check Box 241" hidden="1">
              <a:extLst>
                <a:ext uri="{63B3BB69-23CF-44E3-9099-C40C66FF867C}">
                  <a14:compatExt spid="_x0000_s2289"/>
                </a:ext>
                <a:ext uri="{FF2B5EF4-FFF2-40B4-BE49-F238E27FC236}">
                  <a16:creationId xmlns:a16="http://schemas.microsoft.com/office/drawing/2014/main" id="{00000000-0008-0000-0200-0000F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90" name="Check Box 242" hidden="1">
              <a:extLst>
                <a:ext uri="{63B3BB69-23CF-44E3-9099-C40C66FF867C}">
                  <a14:compatExt spid="_x0000_s2290"/>
                </a:ext>
                <a:ext uri="{FF2B5EF4-FFF2-40B4-BE49-F238E27FC236}">
                  <a16:creationId xmlns:a16="http://schemas.microsoft.com/office/drawing/2014/main" id="{00000000-0008-0000-0200-0000F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291" name="Check Box 243" hidden="1">
              <a:extLst>
                <a:ext uri="{63B3BB69-23CF-44E3-9099-C40C66FF867C}">
                  <a14:compatExt spid="_x0000_s2291"/>
                </a:ext>
                <a:ext uri="{FF2B5EF4-FFF2-40B4-BE49-F238E27FC236}">
                  <a16:creationId xmlns:a16="http://schemas.microsoft.com/office/drawing/2014/main" id="{00000000-0008-0000-0200-0000F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292" name="Check Box 244" hidden="1">
              <a:extLst>
                <a:ext uri="{63B3BB69-23CF-44E3-9099-C40C66FF867C}">
                  <a14:compatExt spid="_x0000_s2292"/>
                </a:ext>
                <a:ext uri="{FF2B5EF4-FFF2-40B4-BE49-F238E27FC236}">
                  <a16:creationId xmlns:a16="http://schemas.microsoft.com/office/drawing/2014/main" id="{00000000-0008-0000-0200-0000F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293" name="Check Box 245" hidden="1">
              <a:extLst>
                <a:ext uri="{63B3BB69-23CF-44E3-9099-C40C66FF867C}">
                  <a14:compatExt spid="_x0000_s2293"/>
                </a:ext>
                <a:ext uri="{FF2B5EF4-FFF2-40B4-BE49-F238E27FC236}">
                  <a16:creationId xmlns:a16="http://schemas.microsoft.com/office/drawing/2014/main" id="{00000000-0008-0000-0200-0000F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294" name="Check Box 246" hidden="1">
              <a:extLst>
                <a:ext uri="{63B3BB69-23CF-44E3-9099-C40C66FF867C}">
                  <a14:compatExt spid="_x0000_s2294"/>
                </a:ext>
                <a:ext uri="{FF2B5EF4-FFF2-40B4-BE49-F238E27FC236}">
                  <a16:creationId xmlns:a16="http://schemas.microsoft.com/office/drawing/2014/main" id="{00000000-0008-0000-0200-0000F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39</xdr:row>
          <xdr:rowOff>161925</xdr:rowOff>
        </xdr:from>
        <xdr:to>
          <xdr:col>15</xdr:col>
          <xdr:colOff>314325</xdr:colOff>
          <xdr:row>41</xdr:row>
          <xdr:rowOff>28575</xdr:rowOff>
        </xdr:to>
        <xdr:sp macro="" textlink="">
          <xdr:nvSpPr>
            <xdr:cNvPr id="2295" name="Check Box 247" hidden="1">
              <a:extLst>
                <a:ext uri="{63B3BB69-23CF-44E3-9099-C40C66FF867C}">
                  <a14:compatExt spid="_x0000_s2295"/>
                </a:ext>
                <a:ext uri="{FF2B5EF4-FFF2-40B4-BE49-F238E27FC236}">
                  <a16:creationId xmlns:a16="http://schemas.microsoft.com/office/drawing/2014/main" id="{00000000-0008-0000-0200-0000F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31</xdr:row>
          <xdr:rowOff>161925</xdr:rowOff>
        </xdr:from>
        <xdr:to>
          <xdr:col>15</xdr:col>
          <xdr:colOff>314325</xdr:colOff>
          <xdr:row>33</xdr:row>
          <xdr:rowOff>47625</xdr:rowOff>
        </xdr:to>
        <xdr:sp macro="" textlink="">
          <xdr:nvSpPr>
            <xdr:cNvPr id="2296" name="Check Box 248" hidden="1">
              <a:extLst>
                <a:ext uri="{63B3BB69-23CF-44E3-9099-C40C66FF867C}">
                  <a14:compatExt spid="_x0000_s2296"/>
                </a:ext>
                <a:ext uri="{FF2B5EF4-FFF2-40B4-BE49-F238E27FC236}">
                  <a16:creationId xmlns:a16="http://schemas.microsoft.com/office/drawing/2014/main" id="{00000000-0008-0000-0200-0000F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32</xdr:row>
          <xdr:rowOff>161925</xdr:rowOff>
        </xdr:from>
        <xdr:to>
          <xdr:col>15</xdr:col>
          <xdr:colOff>314325</xdr:colOff>
          <xdr:row>34</xdr:row>
          <xdr:rowOff>38100</xdr:rowOff>
        </xdr:to>
        <xdr:sp macro="" textlink="">
          <xdr:nvSpPr>
            <xdr:cNvPr id="2297" name="Check Box 249" hidden="1">
              <a:extLst>
                <a:ext uri="{63B3BB69-23CF-44E3-9099-C40C66FF867C}">
                  <a14:compatExt spid="_x0000_s2297"/>
                </a:ext>
                <a:ext uri="{FF2B5EF4-FFF2-40B4-BE49-F238E27FC236}">
                  <a16:creationId xmlns:a16="http://schemas.microsoft.com/office/drawing/2014/main" id="{00000000-0008-0000-0200-0000F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33</xdr:row>
          <xdr:rowOff>161925</xdr:rowOff>
        </xdr:from>
        <xdr:to>
          <xdr:col>15</xdr:col>
          <xdr:colOff>314325</xdr:colOff>
          <xdr:row>35</xdr:row>
          <xdr:rowOff>28575</xdr:rowOff>
        </xdr:to>
        <xdr:sp macro="" textlink="">
          <xdr:nvSpPr>
            <xdr:cNvPr id="2298" name="Check Box 250" hidden="1">
              <a:extLst>
                <a:ext uri="{63B3BB69-23CF-44E3-9099-C40C66FF867C}">
                  <a14:compatExt spid="_x0000_s2298"/>
                </a:ext>
                <a:ext uri="{FF2B5EF4-FFF2-40B4-BE49-F238E27FC236}">
                  <a16:creationId xmlns:a16="http://schemas.microsoft.com/office/drawing/2014/main" id="{00000000-0008-0000-0200-0000F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34</xdr:row>
          <xdr:rowOff>161925</xdr:rowOff>
        </xdr:from>
        <xdr:to>
          <xdr:col>15</xdr:col>
          <xdr:colOff>314325</xdr:colOff>
          <xdr:row>36</xdr:row>
          <xdr:rowOff>28575</xdr:rowOff>
        </xdr:to>
        <xdr:sp macro="" textlink="">
          <xdr:nvSpPr>
            <xdr:cNvPr id="2299" name="Check Box 251" hidden="1">
              <a:extLst>
                <a:ext uri="{63B3BB69-23CF-44E3-9099-C40C66FF867C}">
                  <a14:compatExt spid="_x0000_s2299"/>
                </a:ext>
                <a:ext uri="{FF2B5EF4-FFF2-40B4-BE49-F238E27FC236}">
                  <a16:creationId xmlns:a16="http://schemas.microsoft.com/office/drawing/2014/main" id="{00000000-0008-0000-0200-0000F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35</xdr:row>
          <xdr:rowOff>161925</xdr:rowOff>
        </xdr:from>
        <xdr:to>
          <xdr:col>15</xdr:col>
          <xdr:colOff>314325</xdr:colOff>
          <xdr:row>37</xdr:row>
          <xdr:rowOff>28575</xdr:rowOff>
        </xdr:to>
        <xdr:sp macro="" textlink="">
          <xdr:nvSpPr>
            <xdr:cNvPr id="2300" name="Check Box 252" hidden="1">
              <a:extLst>
                <a:ext uri="{63B3BB69-23CF-44E3-9099-C40C66FF867C}">
                  <a14:compatExt spid="_x0000_s2300"/>
                </a:ext>
                <a:ext uri="{FF2B5EF4-FFF2-40B4-BE49-F238E27FC236}">
                  <a16:creationId xmlns:a16="http://schemas.microsoft.com/office/drawing/2014/main" id="{00000000-0008-0000-0200-0000F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36</xdr:row>
          <xdr:rowOff>161925</xdr:rowOff>
        </xdr:from>
        <xdr:to>
          <xdr:col>15</xdr:col>
          <xdr:colOff>314325</xdr:colOff>
          <xdr:row>38</xdr:row>
          <xdr:rowOff>28575</xdr:rowOff>
        </xdr:to>
        <xdr:sp macro="" textlink="">
          <xdr:nvSpPr>
            <xdr:cNvPr id="2301" name="Check Box 253" hidden="1">
              <a:extLst>
                <a:ext uri="{63B3BB69-23CF-44E3-9099-C40C66FF867C}">
                  <a14:compatExt spid="_x0000_s2301"/>
                </a:ext>
                <a:ext uri="{FF2B5EF4-FFF2-40B4-BE49-F238E27FC236}">
                  <a16:creationId xmlns:a16="http://schemas.microsoft.com/office/drawing/2014/main" id="{00000000-0008-0000-0200-0000F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37</xdr:row>
          <xdr:rowOff>161925</xdr:rowOff>
        </xdr:from>
        <xdr:to>
          <xdr:col>15</xdr:col>
          <xdr:colOff>314325</xdr:colOff>
          <xdr:row>39</xdr:row>
          <xdr:rowOff>28575</xdr:rowOff>
        </xdr:to>
        <xdr:sp macro="" textlink="">
          <xdr:nvSpPr>
            <xdr:cNvPr id="2302" name="Check Box 254" hidden="1">
              <a:extLst>
                <a:ext uri="{63B3BB69-23CF-44E3-9099-C40C66FF867C}">
                  <a14:compatExt spid="_x0000_s2302"/>
                </a:ext>
                <a:ext uri="{FF2B5EF4-FFF2-40B4-BE49-F238E27FC236}">
                  <a16:creationId xmlns:a16="http://schemas.microsoft.com/office/drawing/2014/main" id="{00000000-0008-0000-0200-0000F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38</xdr:row>
          <xdr:rowOff>161925</xdr:rowOff>
        </xdr:from>
        <xdr:to>
          <xdr:col>15</xdr:col>
          <xdr:colOff>314325</xdr:colOff>
          <xdr:row>40</xdr:row>
          <xdr:rowOff>28575</xdr:rowOff>
        </xdr:to>
        <xdr:sp macro="" textlink="">
          <xdr:nvSpPr>
            <xdr:cNvPr id="2303" name="Check Box 255" hidden="1">
              <a:extLst>
                <a:ext uri="{63B3BB69-23CF-44E3-9099-C40C66FF867C}">
                  <a14:compatExt spid="_x0000_s2303"/>
                </a:ext>
                <a:ext uri="{FF2B5EF4-FFF2-40B4-BE49-F238E27FC236}">
                  <a16:creationId xmlns:a16="http://schemas.microsoft.com/office/drawing/2014/main" id="{00000000-0008-0000-0200-0000F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39</xdr:row>
          <xdr:rowOff>161925</xdr:rowOff>
        </xdr:from>
        <xdr:to>
          <xdr:col>15</xdr:col>
          <xdr:colOff>314325</xdr:colOff>
          <xdr:row>41</xdr:row>
          <xdr:rowOff>28575</xdr:rowOff>
        </xdr:to>
        <xdr:sp macro="" textlink="">
          <xdr:nvSpPr>
            <xdr:cNvPr id="2304" name="Check Box 256" hidden="1">
              <a:extLst>
                <a:ext uri="{63B3BB69-23CF-44E3-9099-C40C66FF867C}">
                  <a14:compatExt spid="_x0000_s2304"/>
                </a:ext>
                <a:ext uri="{FF2B5EF4-FFF2-40B4-BE49-F238E27FC236}">
                  <a16:creationId xmlns:a16="http://schemas.microsoft.com/office/drawing/2014/main" id="{00000000-0008-0000-0200-00000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15</xdr:col>
          <xdr:colOff>123825</xdr:colOff>
          <xdr:row>40</xdr:row>
          <xdr:rowOff>161925</xdr:rowOff>
        </xdr:from>
        <xdr:to>
          <xdr:col>15</xdr:col>
          <xdr:colOff>314325</xdr:colOff>
          <xdr:row>42</xdr:row>
          <xdr:rowOff>28575</xdr:rowOff>
        </xdr:to>
        <xdr:sp macro="" textlink="">
          <xdr:nvSpPr>
            <xdr:cNvPr id="2305" name="Check Box 257" hidden="1">
              <a:extLst>
                <a:ext uri="{63B3BB69-23CF-44E3-9099-C40C66FF867C}">
                  <a14:compatExt spid="_x0000_s2305"/>
                </a:ext>
                <a:ext uri="{FF2B5EF4-FFF2-40B4-BE49-F238E27FC236}">
                  <a16:creationId xmlns:a16="http://schemas.microsoft.com/office/drawing/2014/main" id="{00000000-0008-0000-0200-00000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13</xdr:row>
          <xdr:rowOff>152400</xdr:rowOff>
        </xdr:from>
        <xdr:to>
          <xdr:col>5</xdr:col>
          <xdr:colOff>314325</xdr:colOff>
          <xdr:row>15</xdr:row>
          <xdr:rowOff>28575</xdr:rowOff>
        </xdr:to>
        <xdr:sp macro="" textlink="">
          <xdr:nvSpPr>
            <xdr:cNvPr id="2316" name="Check Box 22" hidden="1">
              <a:extLst>
                <a:ext uri="{63B3BB69-23CF-44E3-9099-C40C66FF867C}">
                  <a14:compatExt spid="_x0000_s2316"/>
                </a:ext>
                <a:ext uri="{FF2B5EF4-FFF2-40B4-BE49-F238E27FC236}">
                  <a16:creationId xmlns:a16="http://schemas.microsoft.com/office/drawing/2014/main" id="{00000000-0008-0000-0200-00000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18" name="Check Box 22" hidden="1">
              <a:extLst>
                <a:ext uri="{63B3BB69-23CF-44E3-9099-C40C66FF867C}">
                  <a14:compatExt spid="_x0000_s2318"/>
                </a:ext>
                <a:ext uri="{FF2B5EF4-FFF2-40B4-BE49-F238E27FC236}">
                  <a16:creationId xmlns:a16="http://schemas.microsoft.com/office/drawing/2014/main" id="{00000000-0008-0000-0200-00000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152400</xdr:rowOff>
        </xdr:from>
        <xdr:to>
          <xdr:col>6</xdr:col>
          <xdr:colOff>314325</xdr:colOff>
          <xdr:row>15</xdr:row>
          <xdr:rowOff>28575</xdr:rowOff>
        </xdr:to>
        <xdr:sp macro="" textlink="">
          <xdr:nvSpPr>
            <xdr:cNvPr id="2320" name="Check Box 22" hidden="1">
              <a:extLst>
                <a:ext uri="{63B3BB69-23CF-44E3-9099-C40C66FF867C}">
                  <a14:compatExt spid="_x0000_s2320"/>
                </a:ext>
                <a:ext uri="{FF2B5EF4-FFF2-40B4-BE49-F238E27FC236}">
                  <a16:creationId xmlns:a16="http://schemas.microsoft.com/office/drawing/2014/main" id="{00000000-0008-0000-0200-00001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22" name="Check Box 22" hidden="1">
              <a:extLst>
                <a:ext uri="{63B3BB69-23CF-44E3-9099-C40C66FF867C}">
                  <a14:compatExt spid="_x0000_s2322"/>
                </a:ext>
                <a:ext uri="{FF2B5EF4-FFF2-40B4-BE49-F238E27FC236}">
                  <a16:creationId xmlns:a16="http://schemas.microsoft.com/office/drawing/2014/main" id="{00000000-0008-0000-0200-00001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xdr:row>
          <xdr:rowOff>152400</xdr:rowOff>
        </xdr:from>
        <xdr:to>
          <xdr:col>6</xdr:col>
          <xdr:colOff>314325</xdr:colOff>
          <xdr:row>18</xdr:row>
          <xdr:rowOff>28575</xdr:rowOff>
        </xdr:to>
        <xdr:sp macro="" textlink="">
          <xdr:nvSpPr>
            <xdr:cNvPr id="2324" name="Check Box 22" hidden="1">
              <a:extLst>
                <a:ext uri="{63B3BB69-23CF-44E3-9099-C40C66FF867C}">
                  <a14:compatExt spid="_x0000_s2324"/>
                </a:ext>
                <a:ext uri="{FF2B5EF4-FFF2-40B4-BE49-F238E27FC236}">
                  <a16:creationId xmlns:a16="http://schemas.microsoft.com/office/drawing/2014/main" id="{00000000-0008-0000-0200-00001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xdr:row>
          <xdr:rowOff>152400</xdr:rowOff>
        </xdr:from>
        <xdr:to>
          <xdr:col>6</xdr:col>
          <xdr:colOff>314325</xdr:colOff>
          <xdr:row>17</xdr:row>
          <xdr:rowOff>28575</xdr:rowOff>
        </xdr:to>
        <xdr:sp macro="" textlink="">
          <xdr:nvSpPr>
            <xdr:cNvPr id="2326" name="Check Box 22" hidden="1">
              <a:extLst>
                <a:ext uri="{63B3BB69-23CF-44E3-9099-C40C66FF867C}">
                  <a14:compatExt spid="_x0000_s2326"/>
                </a:ext>
                <a:ext uri="{FF2B5EF4-FFF2-40B4-BE49-F238E27FC236}">
                  <a16:creationId xmlns:a16="http://schemas.microsoft.com/office/drawing/2014/main" id="{00000000-0008-0000-0200-00001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12</xdr:row>
          <xdr:rowOff>152400</xdr:rowOff>
        </xdr:from>
        <xdr:to>
          <xdr:col>6</xdr:col>
          <xdr:colOff>314325</xdr:colOff>
          <xdr:row>14</xdr:row>
          <xdr:rowOff>28575</xdr:rowOff>
        </xdr:to>
        <xdr:sp macro="" textlink="">
          <xdr:nvSpPr>
            <xdr:cNvPr id="2327" name="Check Box 22" hidden="1">
              <a:extLst>
                <a:ext uri="{63B3BB69-23CF-44E3-9099-C40C66FF867C}">
                  <a14:compatExt spid="_x0000_s2327"/>
                </a:ext>
                <a:ext uri="{FF2B5EF4-FFF2-40B4-BE49-F238E27FC236}">
                  <a16:creationId xmlns:a16="http://schemas.microsoft.com/office/drawing/2014/main" id="{00000000-0008-0000-0200-00001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12</xdr:row>
          <xdr:rowOff>152400</xdr:rowOff>
        </xdr:from>
        <xdr:to>
          <xdr:col>5</xdr:col>
          <xdr:colOff>314325</xdr:colOff>
          <xdr:row>14</xdr:row>
          <xdr:rowOff>28575</xdr:rowOff>
        </xdr:to>
        <xdr:sp macro="" textlink="">
          <xdr:nvSpPr>
            <xdr:cNvPr id="2329" name="Check Box 22" hidden="1">
              <a:extLst>
                <a:ext uri="{63B3BB69-23CF-44E3-9099-C40C66FF867C}">
                  <a14:compatExt spid="_x0000_s2329"/>
                </a:ext>
                <a:ext uri="{FF2B5EF4-FFF2-40B4-BE49-F238E27FC236}">
                  <a16:creationId xmlns:a16="http://schemas.microsoft.com/office/drawing/2014/main" id="{00000000-0008-0000-0200-00001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14</xdr:row>
          <xdr:rowOff>152400</xdr:rowOff>
        </xdr:from>
        <xdr:to>
          <xdr:col>5</xdr:col>
          <xdr:colOff>314325</xdr:colOff>
          <xdr:row>16</xdr:row>
          <xdr:rowOff>28575</xdr:rowOff>
        </xdr:to>
        <xdr:sp macro="" textlink="">
          <xdr:nvSpPr>
            <xdr:cNvPr id="2330" name="Check Box 22" hidden="1">
              <a:extLst>
                <a:ext uri="{63B3BB69-23CF-44E3-9099-C40C66FF867C}">
                  <a14:compatExt spid="_x0000_s2330"/>
                </a:ext>
                <a:ext uri="{FF2B5EF4-FFF2-40B4-BE49-F238E27FC236}">
                  <a16:creationId xmlns:a16="http://schemas.microsoft.com/office/drawing/2014/main" id="{00000000-0008-0000-0200-00001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15</xdr:row>
          <xdr:rowOff>152400</xdr:rowOff>
        </xdr:from>
        <xdr:to>
          <xdr:col>5</xdr:col>
          <xdr:colOff>314325</xdr:colOff>
          <xdr:row>17</xdr:row>
          <xdr:rowOff>28575</xdr:rowOff>
        </xdr:to>
        <xdr:sp macro="" textlink="">
          <xdr:nvSpPr>
            <xdr:cNvPr id="2332" name="Check Box 22" hidden="1">
              <a:extLst>
                <a:ext uri="{63B3BB69-23CF-44E3-9099-C40C66FF867C}">
                  <a14:compatExt spid="_x0000_s2332"/>
                </a:ext>
                <a:ext uri="{FF2B5EF4-FFF2-40B4-BE49-F238E27FC236}">
                  <a16:creationId xmlns:a16="http://schemas.microsoft.com/office/drawing/2014/main" id="{00000000-0008-0000-0200-00001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16</xdr:row>
          <xdr:rowOff>152400</xdr:rowOff>
        </xdr:from>
        <xdr:to>
          <xdr:col>5</xdr:col>
          <xdr:colOff>314325</xdr:colOff>
          <xdr:row>18</xdr:row>
          <xdr:rowOff>28575</xdr:rowOff>
        </xdr:to>
        <xdr:sp macro="" textlink="">
          <xdr:nvSpPr>
            <xdr:cNvPr id="2333" name="Check Box 22" hidden="1">
              <a:extLst>
                <a:ext uri="{63B3BB69-23CF-44E3-9099-C40C66FF867C}">
                  <a14:compatExt spid="_x0000_s2333"/>
                </a:ext>
                <a:ext uri="{FF2B5EF4-FFF2-40B4-BE49-F238E27FC236}">
                  <a16:creationId xmlns:a16="http://schemas.microsoft.com/office/drawing/2014/main" id="{00000000-0008-0000-0200-00001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17</xdr:row>
          <xdr:rowOff>152400</xdr:rowOff>
        </xdr:from>
        <xdr:to>
          <xdr:col>5</xdr:col>
          <xdr:colOff>314325</xdr:colOff>
          <xdr:row>19</xdr:row>
          <xdr:rowOff>28575</xdr:rowOff>
        </xdr:to>
        <xdr:sp macro="" textlink="">
          <xdr:nvSpPr>
            <xdr:cNvPr id="2334" name="Check Box 22" hidden="1">
              <a:extLst>
                <a:ext uri="{63B3BB69-23CF-44E3-9099-C40C66FF867C}">
                  <a14:compatExt spid="_x0000_s2334"/>
                </a:ext>
                <a:ext uri="{FF2B5EF4-FFF2-40B4-BE49-F238E27FC236}">
                  <a16:creationId xmlns:a16="http://schemas.microsoft.com/office/drawing/2014/main" id="{00000000-0008-0000-0200-00001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18</xdr:row>
          <xdr:rowOff>152400</xdr:rowOff>
        </xdr:from>
        <xdr:to>
          <xdr:col>5</xdr:col>
          <xdr:colOff>314325</xdr:colOff>
          <xdr:row>20</xdr:row>
          <xdr:rowOff>28575</xdr:rowOff>
        </xdr:to>
        <xdr:sp macro="" textlink="">
          <xdr:nvSpPr>
            <xdr:cNvPr id="2335" name="Check Box 22" hidden="1">
              <a:extLst>
                <a:ext uri="{63B3BB69-23CF-44E3-9099-C40C66FF867C}">
                  <a14:compatExt spid="_x0000_s2335"/>
                </a:ext>
                <a:ext uri="{FF2B5EF4-FFF2-40B4-BE49-F238E27FC236}">
                  <a16:creationId xmlns:a16="http://schemas.microsoft.com/office/drawing/2014/main" id="{00000000-0008-0000-0200-00001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19</xdr:row>
          <xdr:rowOff>152400</xdr:rowOff>
        </xdr:from>
        <xdr:to>
          <xdr:col>5</xdr:col>
          <xdr:colOff>314325</xdr:colOff>
          <xdr:row>21</xdr:row>
          <xdr:rowOff>28575</xdr:rowOff>
        </xdr:to>
        <xdr:sp macro="" textlink="">
          <xdr:nvSpPr>
            <xdr:cNvPr id="2336" name="Check Box 22" hidden="1">
              <a:extLst>
                <a:ext uri="{63B3BB69-23CF-44E3-9099-C40C66FF867C}">
                  <a14:compatExt spid="_x0000_s2336"/>
                </a:ext>
                <a:ext uri="{FF2B5EF4-FFF2-40B4-BE49-F238E27FC236}">
                  <a16:creationId xmlns:a16="http://schemas.microsoft.com/office/drawing/2014/main" id="{00000000-0008-0000-0200-00002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20</xdr:row>
          <xdr:rowOff>152400</xdr:rowOff>
        </xdr:from>
        <xdr:to>
          <xdr:col>5</xdr:col>
          <xdr:colOff>314325</xdr:colOff>
          <xdr:row>22</xdr:row>
          <xdr:rowOff>28575</xdr:rowOff>
        </xdr:to>
        <xdr:sp macro="" textlink="">
          <xdr:nvSpPr>
            <xdr:cNvPr id="2338" name="Check Box 22" hidden="1">
              <a:extLst>
                <a:ext uri="{63B3BB69-23CF-44E3-9099-C40C66FF867C}">
                  <a14:compatExt spid="_x0000_s2338"/>
                </a:ext>
                <a:ext uri="{FF2B5EF4-FFF2-40B4-BE49-F238E27FC236}">
                  <a16:creationId xmlns:a16="http://schemas.microsoft.com/office/drawing/2014/main" id="{00000000-0008-0000-0200-00002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21</xdr:row>
          <xdr:rowOff>152400</xdr:rowOff>
        </xdr:from>
        <xdr:to>
          <xdr:col>5</xdr:col>
          <xdr:colOff>314325</xdr:colOff>
          <xdr:row>23</xdr:row>
          <xdr:rowOff>28575</xdr:rowOff>
        </xdr:to>
        <xdr:sp macro="" textlink="">
          <xdr:nvSpPr>
            <xdr:cNvPr id="2340" name="Check Box 22" hidden="1">
              <a:extLst>
                <a:ext uri="{63B3BB69-23CF-44E3-9099-C40C66FF867C}">
                  <a14:compatExt spid="_x0000_s2340"/>
                </a:ext>
                <a:ext uri="{FF2B5EF4-FFF2-40B4-BE49-F238E27FC236}">
                  <a16:creationId xmlns:a16="http://schemas.microsoft.com/office/drawing/2014/main" id="{00000000-0008-0000-0200-00002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xdr:row>
          <xdr:rowOff>152400</xdr:rowOff>
        </xdr:from>
        <xdr:to>
          <xdr:col>6</xdr:col>
          <xdr:colOff>314325</xdr:colOff>
          <xdr:row>19</xdr:row>
          <xdr:rowOff>28575</xdr:rowOff>
        </xdr:to>
        <xdr:sp macro="" textlink="">
          <xdr:nvSpPr>
            <xdr:cNvPr id="2342" name="Check Box 22" hidden="1">
              <a:extLst>
                <a:ext uri="{63B3BB69-23CF-44E3-9099-C40C66FF867C}">
                  <a14:compatExt spid="_x0000_s2342"/>
                </a:ext>
                <a:ext uri="{FF2B5EF4-FFF2-40B4-BE49-F238E27FC236}">
                  <a16:creationId xmlns:a16="http://schemas.microsoft.com/office/drawing/2014/main" id="{00000000-0008-0000-0200-00002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xdr:row>
          <xdr:rowOff>152400</xdr:rowOff>
        </xdr:from>
        <xdr:to>
          <xdr:col>6</xdr:col>
          <xdr:colOff>314325</xdr:colOff>
          <xdr:row>20</xdr:row>
          <xdr:rowOff>28575</xdr:rowOff>
        </xdr:to>
        <xdr:sp macro="" textlink="">
          <xdr:nvSpPr>
            <xdr:cNvPr id="2343" name="Check Box 22" hidden="1">
              <a:extLst>
                <a:ext uri="{63B3BB69-23CF-44E3-9099-C40C66FF867C}">
                  <a14:compatExt spid="_x0000_s2343"/>
                </a:ext>
                <a:ext uri="{FF2B5EF4-FFF2-40B4-BE49-F238E27FC236}">
                  <a16:creationId xmlns:a16="http://schemas.microsoft.com/office/drawing/2014/main" id="{00000000-0008-0000-0200-00002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xdr:row>
          <xdr:rowOff>152400</xdr:rowOff>
        </xdr:from>
        <xdr:to>
          <xdr:col>6</xdr:col>
          <xdr:colOff>314325</xdr:colOff>
          <xdr:row>21</xdr:row>
          <xdr:rowOff>28575</xdr:rowOff>
        </xdr:to>
        <xdr:sp macro="" textlink="">
          <xdr:nvSpPr>
            <xdr:cNvPr id="2344" name="Check Box 22" hidden="1">
              <a:extLst>
                <a:ext uri="{63B3BB69-23CF-44E3-9099-C40C66FF867C}">
                  <a14:compatExt spid="_x0000_s2344"/>
                </a:ext>
                <a:ext uri="{FF2B5EF4-FFF2-40B4-BE49-F238E27FC236}">
                  <a16:creationId xmlns:a16="http://schemas.microsoft.com/office/drawing/2014/main" id="{00000000-0008-0000-0200-00002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152400</xdr:rowOff>
        </xdr:from>
        <xdr:to>
          <xdr:col>6</xdr:col>
          <xdr:colOff>314325</xdr:colOff>
          <xdr:row>22</xdr:row>
          <xdr:rowOff>28575</xdr:rowOff>
        </xdr:to>
        <xdr:sp macro="" textlink="">
          <xdr:nvSpPr>
            <xdr:cNvPr id="2346" name="Check Box 22" hidden="1">
              <a:extLst>
                <a:ext uri="{63B3BB69-23CF-44E3-9099-C40C66FF867C}">
                  <a14:compatExt spid="_x0000_s2346"/>
                </a:ext>
                <a:ext uri="{FF2B5EF4-FFF2-40B4-BE49-F238E27FC236}">
                  <a16:creationId xmlns:a16="http://schemas.microsoft.com/office/drawing/2014/main" id="{00000000-0008-0000-0200-00002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152400</xdr:rowOff>
        </xdr:from>
        <xdr:to>
          <xdr:col>6</xdr:col>
          <xdr:colOff>314325</xdr:colOff>
          <xdr:row>23</xdr:row>
          <xdr:rowOff>28575</xdr:rowOff>
        </xdr:to>
        <xdr:sp macro="" textlink="">
          <xdr:nvSpPr>
            <xdr:cNvPr id="2348" name="Check Box 22" hidden="1">
              <a:extLst>
                <a:ext uri="{63B3BB69-23CF-44E3-9099-C40C66FF867C}">
                  <a14:compatExt spid="_x0000_s2348"/>
                </a:ext>
                <a:ext uri="{FF2B5EF4-FFF2-40B4-BE49-F238E27FC236}">
                  <a16:creationId xmlns:a16="http://schemas.microsoft.com/office/drawing/2014/main" id="{00000000-0008-0000-0200-00002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32</xdr:row>
          <xdr:rowOff>152400</xdr:rowOff>
        </xdr:from>
        <xdr:to>
          <xdr:col>10</xdr:col>
          <xdr:colOff>314325</xdr:colOff>
          <xdr:row>34</xdr:row>
          <xdr:rowOff>28575</xdr:rowOff>
        </xdr:to>
        <xdr:sp macro="" textlink="">
          <xdr:nvSpPr>
            <xdr:cNvPr id="2350" name="Check Box 302" hidden="1">
              <a:extLst>
                <a:ext uri="{63B3BB69-23CF-44E3-9099-C40C66FF867C}">
                  <a14:compatExt spid="_x0000_s2350"/>
                </a:ext>
                <a:ext uri="{FF2B5EF4-FFF2-40B4-BE49-F238E27FC236}">
                  <a16:creationId xmlns:a16="http://schemas.microsoft.com/office/drawing/2014/main" id="{00000000-0008-0000-0200-00002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33</xdr:row>
          <xdr:rowOff>152400</xdr:rowOff>
        </xdr:from>
        <xdr:to>
          <xdr:col>11</xdr:col>
          <xdr:colOff>314325</xdr:colOff>
          <xdr:row>35</xdr:row>
          <xdr:rowOff>9525</xdr:rowOff>
        </xdr:to>
        <xdr:sp macro="" textlink="">
          <xdr:nvSpPr>
            <xdr:cNvPr id="2351" name="Check Box 303" hidden="1">
              <a:extLst>
                <a:ext uri="{63B3BB69-23CF-44E3-9099-C40C66FF867C}">
                  <a14:compatExt spid="_x0000_s2351"/>
                </a:ext>
                <a:ext uri="{FF2B5EF4-FFF2-40B4-BE49-F238E27FC236}">
                  <a16:creationId xmlns:a16="http://schemas.microsoft.com/office/drawing/2014/main" id="{00000000-0008-0000-0200-00002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32</xdr:row>
          <xdr:rowOff>152400</xdr:rowOff>
        </xdr:from>
        <xdr:to>
          <xdr:col>11</xdr:col>
          <xdr:colOff>314325</xdr:colOff>
          <xdr:row>34</xdr:row>
          <xdr:rowOff>28575</xdr:rowOff>
        </xdr:to>
        <xdr:sp macro="" textlink="">
          <xdr:nvSpPr>
            <xdr:cNvPr id="2352" name="Check Box 304" hidden="1">
              <a:extLst>
                <a:ext uri="{63B3BB69-23CF-44E3-9099-C40C66FF867C}">
                  <a14:compatExt spid="_x0000_s2352"/>
                </a:ext>
                <a:ext uri="{FF2B5EF4-FFF2-40B4-BE49-F238E27FC236}">
                  <a16:creationId xmlns:a16="http://schemas.microsoft.com/office/drawing/2014/main" id="{00000000-0008-0000-0200-00003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33</xdr:row>
          <xdr:rowOff>152400</xdr:rowOff>
        </xdr:from>
        <xdr:to>
          <xdr:col>11</xdr:col>
          <xdr:colOff>314325</xdr:colOff>
          <xdr:row>35</xdr:row>
          <xdr:rowOff>9525</xdr:rowOff>
        </xdr:to>
        <xdr:sp macro="" textlink="">
          <xdr:nvSpPr>
            <xdr:cNvPr id="2353" name="Check Box 305" hidden="1">
              <a:extLst>
                <a:ext uri="{63B3BB69-23CF-44E3-9099-C40C66FF867C}">
                  <a14:compatExt spid="_x0000_s2353"/>
                </a:ext>
                <a:ext uri="{FF2B5EF4-FFF2-40B4-BE49-F238E27FC236}">
                  <a16:creationId xmlns:a16="http://schemas.microsoft.com/office/drawing/2014/main" id="{00000000-0008-0000-0200-00003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35</xdr:row>
          <xdr:rowOff>152400</xdr:rowOff>
        </xdr:from>
        <xdr:to>
          <xdr:col>11</xdr:col>
          <xdr:colOff>314325</xdr:colOff>
          <xdr:row>37</xdr:row>
          <xdr:rowOff>9525</xdr:rowOff>
        </xdr:to>
        <xdr:sp macro="" textlink="">
          <xdr:nvSpPr>
            <xdr:cNvPr id="2354" name="Check Box 306" hidden="1">
              <a:extLst>
                <a:ext uri="{63B3BB69-23CF-44E3-9099-C40C66FF867C}">
                  <a14:compatExt spid="_x0000_s2354"/>
                </a:ext>
                <a:ext uri="{FF2B5EF4-FFF2-40B4-BE49-F238E27FC236}">
                  <a16:creationId xmlns:a16="http://schemas.microsoft.com/office/drawing/2014/main" id="{00000000-0008-0000-0200-00003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34</xdr:row>
          <xdr:rowOff>152400</xdr:rowOff>
        </xdr:from>
        <xdr:to>
          <xdr:col>11</xdr:col>
          <xdr:colOff>314325</xdr:colOff>
          <xdr:row>36</xdr:row>
          <xdr:rowOff>9525</xdr:rowOff>
        </xdr:to>
        <xdr:sp macro="" textlink="">
          <xdr:nvSpPr>
            <xdr:cNvPr id="2355" name="Check Box 307" hidden="1">
              <a:extLst>
                <a:ext uri="{63B3BB69-23CF-44E3-9099-C40C66FF867C}">
                  <a14:compatExt spid="_x0000_s2355"/>
                </a:ext>
                <a:ext uri="{FF2B5EF4-FFF2-40B4-BE49-F238E27FC236}">
                  <a16:creationId xmlns:a16="http://schemas.microsoft.com/office/drawing/2014/main" id="{00000000-0008-0000-0200-00003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31</xdr:row>
          <xdr:rowOff>152400</xdr:rowOff>
        </xdr:from>
        <xdr:to>
          <xdr:col>11</xdr:col>
          <xdr:colOff>314325</xdr:colOff>
          <xdr:row>33</xdr:row>
          <xdr:rowOff>38100</xdr:rowOff>
        </xdr:to>
        <xdr:sp macro="" textlink="">
          <xdr:nvSpPr>
            <xdr:cNvPr id="2356" name="Check Box 308" hidden="1">
              <a:extLst>
                <a:ext uri="{63B3BB69-23CF-44E3-9099-C40C66FF867C}">
                  <a14:compatExt spid="_x0000_s2356"/>
                </a:ext>
                <a:ext uri="{FF2B5EF4-FFF2-40B4-BE49-F238E27FC236}">
                  <a16:creationId xmlns:a16="http://schemas.microsoft.com/office/drawing/2014/main" id="{00000000-0008-0000-0200-00003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31</xdr:row>
          <xdr:rowOff>152400</xdr:rowOff>
        </xdr:from>
        <xdr:to>
          <xdr:col>10</xdr:col>
          <xdr:colOff>314325</xdr:colOff>
          <xdr:row>33</xdr:row>
          <xdr:rowOff>38100</xdr:rowOff>
        </xdr:to>
        <xdr:sp macro="" textlink="">
          <xdr:nvSpPr>
            <xdr:cNvPr id="2357" name="Check Box 309" hidden="1">
              <a:extLst>
                <a:ext uri="{63B3BB69-23CF-44E3-9099-C40C66FF867C}">
                  <a14:compatExt spid="_x0000_s2357"/>
                </a:ext>
                <a:ext uri="{FF2B5EF4-FFF2-40B4-BE49-F238E27FC236}">
                  <a16:creationId xmlns:a16="http://schemas.microsoft.com/office/drawing/2014/main" id="{00000000-0008-0000-0200-00003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33</xdr:row>
          <xdr:rowOff>152400</xdr:rowOff>
        </xdr:from>
        <xdr:to>
          <xdr:col>10</xdr:col>
          <xdr:colOff>314325</xdr:colOff>
          <xdr:row>35</xdr:row>
          <xdr:rowOff>9525</xdr:rowOff>
        </xdr:to>
        <xdr:sp macro="" textlink="">
          <xdr:nvSpPr>
            <xdr:cNvPr id="2358" name="Check Box 310" hidden="1">
              <a:extLst>
                <a:ext uri="{63B3BB69-23CF-44E3-9099-C40C66FF867C}">
                  <a14:compatExt spid="_x0000_s2358"/>
                </a:ext>
                <a:ext uri="{FF2B5EF4-FFF2-40B4-BE49-F238E27FC236}">
                  <a16:creationId xmlns:a16="http://schemas.microsoft.com/office/drawing/2014/main" id="{00000000-0008-0000-0200-00003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34</xdr:row>
          <xdr:rowOff>152400</xdr:rowOff>
        </xdr:from>
        <xdr:to>
          <xdr:col>10</xdr:col>
          <xdr:colOff>314325</xdr:colOff>
          <xdr:row>36</xdr:row>
          <xdr:rowOff>9525</xdr:rowOff>
        </xdr:to>
        <xdr:sp macro="" textlink="">
          <xdr:nvSpPr>
            <xdr:cNvPr id="2359" name="Check Box 311" hidden="1">
              <a:extLst>
                <a:ext uri="{63B3BB69-23CF-44E3-9099-C40C66FF867C}">
                  <a14:compatExt spid="_x0000_s2359"/>
                </a:ext>
                <a:ext uri="{FF2B5EF4-FFF2-40B4-BE49-F238E27FC236}">
                  <a16:creationId xmlns:a16="http://schemas.microsoft.com/office/drawing/2014/main" id="{00000000-0008-0000-0200-000037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35</xdr:row>
          <xdr:rowOff>152400</xdr:rowOff>
        </xdr:from>
        <xdr:to>
          <xdr:col>10</xdr:col>
          <xdr:colOff>314325</xdr:colOff>
          <xdr:row>37</xdr:row>
          <xdr:rowOff>9525</xdr:rowOff>
        </xdr:to>
        <xdr:sp macro="" textlink="">
          <xdr:nvSpPr>
            <xdr:cNvPr id="2360" name="Check Box 312" hidden="1">
              <a:extLst>
                <a:ext uri="{63B3BB69-23CF-44E3-9099-C40C66FF867C}">
                  <a14:compatExt spid="_x0000_s2360"/>
                </a:ext>
                <a:ext uri="{FF2B5EF4-FFF2-40B4-BE49-F238E27FC236}">
                  <a16:creationId xmlns:a16="http://schemas.microsoft.com/office/drawing/2014/main" id="{00000000-0008-0000-0200-000038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36</xdr:row>
          <xdr:rowOff>152400</xdr:rowOff>
        </xdr:from>
        <xdr:to>
          <xdr:col>10</xdr:col>
          <xdr:colOff>314325</xdr:colOff>
          <xdr:row>38</xdr:row>
          <xdr:rowOff>0</xdr:rowOff>
        </xdr:to>
        <xdr:sp macro="" textlink="">
          <xdr:nvSpPr>
            <xdr:cNvPr id="2361" name="Check Box 313" hidden="1">
              <a:extLst>
                <a:ext uri="{63B3BB69-23CF-44E3-9099-C40C66FF867C}">
                  <a14:compatExt spid="_x0000_s2361"/>
                </a:ext>
                <a:ext uri="{FF2B5EF4-FFF2-40B4-BE49-F238E27FC236}">
                  <a16:creationId xmlns:a16="http://schemas.microsoft.com/office/drawing/2014/main" id="{00000000-0008-0000-0200-000039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37</xdr:row>
          <xdr:rowOff>152400</xdr:rowOff>
        </xdr:from>
        <xdr:to>
          <xdr:col>10</xdr:col>
          <xdr:colOff>314325</xdr:colOff>
          <xdr:row>39</xdr:row>
          <xdr:rowOff>0</xdr:rowOff>
        </xdr:to>
        <xdr:sp macro="" textlink="">
          <xdr:nvSpPr>
            <xdr:cNvPr id="2362" name="Check Box 314" hidden="1">
              <a:extLst>
                <a:ext uri="{63B3BB69-23CF-44E3-9099-C40C66FF867C}">
                  <a14:compatExt spid="_x0000_s2362"/>
                </a:ext>
                <a:ext uri="{FF2B5EF4-FFF2-40B4-BE49-F238E27FC236}">
                  <a16:creationId xmlns:a16="http://schemas.microsoft.com/office/drawing/2014/main" id="{00000000-0008-0000-0200-00003A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38</xdr:row>
          <xdr:rowOff>152400</xdr:rowOff>
        </xdr:from>
        <xdr:to>
          <xdr:col>10</xdr:col>
          <xdr:colOff>314325</xdr:colOff>
          <xdr:row>40</xdr:row>
          <xdr:rowOff>9525</xdr:rowOff>
        </xdr:to>
        <xdr:sp macro="" textlink="">
          <xdr:nvSpPr>
            <xdr:cNvPr id="2363" name="Check Box 315" hidden="1">
              <a:extLst>
                <a:ext uri="{63B3BB69-23CF-44E3-9099-C40C66FF867C}">
                  <a14:compatExt spid="_x0000_s2363"/>
                </a:ext>
                <a:ext uri="{FF2B5EF4-FFF2-40B4-BE49-F238E27FC236}">
                  <a16:creationId xmlns:a16="http://schemas.microsoft.com/office/drawing/2014/main" id="{00000000-0008-0000-0200-00003B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39</xdr:row>
          <xdr:rowOff>152400</xdr:rowOff>
        </xdr:from>
        <xdr:to>
          <xdr:col>10</xdr:col>
          <xdr:colOff>314325</xdr:colOff>
          <xdr:row>41</xdr:row>
          <xdr:rowOff>9525</xdr:rowOff>
        </xdr:to>
        <xdr:sp macro="" textlink="">
          <xdr:nvSpPr>
            <xdr:cNvPr id="2364" name="Check Box 316" hidden="1">
              <a:extLst>
                <a:ext uri="{63B3BB69-23CF-44E3-9099-C40C66FF867C}">
                  <a14:compatExt spid="_x0000_s2364"/>
                </a:ext>
                <a:ext uri="{FF2B5EF4-FFF2-40B4-BE49-F238E27FC236}">
                  <a16:creationId xmlns:a16="http://schemas.microsoft.com/office/drawing/2014/main" id="{00000000-0008-0000-0200-00003C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40</xdr:row>
          <xdr:rowOff>152400</xdr:rowOff>
        </xdr:from>
        <xdr:to>
          <xdr:col>10</xdr:col>
          <xdr:colOff>314325</xdr:colOff>
          <xdr:row>42</xdr:row>
          <xdr:rowOff>0</xdr:rowOff>
        </xdr:to>
        <xdr:sp macro="" textlink="">
          <xdr:nvSpPr>
            <xdr:cNvPr id="2365" name="Check Box 317" hidden="1">
              <a:extLst>
                <a:ext uri="{63B3BB69-23CF-44E3-9099-C40C66FF867C}">
                  <a14:compatExt spid="_x0000_s2365"/>
                </a:ext>
                <a:ext uri="{FF2B5EF4-FFF2-40B4-BE49-F238E27FC236}">
                  <a16:creationId xmlns:a16="http://schemas.microsoft.com/office/drawing/2014/main" id="{00000000-0008-0000-0200-00003D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36</xdr:row>
          <xdr:rowOff>152400</xdr:rowOff>
        </xdr:from>
        <xdr:to>
          <xdr:col>11</xdr:col>
          <xdr:colOff>314325</xdr:colOff>
          <xdr:row>38</xdr:row>
          <xdr:rowOff>0</xdr:rowOff>
        </xdr:to>
        <xdr:sp macro="" textlink="">
          <xdr:nvSpPr>
            <xdr:cNvPr id="2366" name="Check Box 318" hidden="1">
              <a:extLst>
                <a:ext uri="{63B3BB69-23CF-44E3-9099-C40C66FF867C}">
                  <a14:compatExt spid="_x0000_s2366"/>
                </a:ext>
                <a:ext uri="{FF2B5EF4-FFF2-40B4-BE49-F238E27FC236}">
                  <a16:creationId xmlns:a16="http://schemas.microsoft.com/office/drawing/2014/main" id="{00000000-0008-0000-0200-00003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37</xdr:row>
          <xdr:rowOff>152400</xdr:rowOff>
        </xdr:from>
        <xdr:to>
          <xdr:col>11</xdr:col>
          <xdr:colOff>314325</xdr:colOff>
          <xdr:row>39</xdr:row>
          <xdr:rowOff>0</xdr:rowOff>
        </xdr:to>
        <xdr:sp macro="" textlink="">
          <xdr:nvSpPr>
            <xdr:cNvPr id="2367" name="Check Box 319" hidden="1">
              <a:extLst>
                <a:ext uri="{63B3BB69-23CF-44E3-9099-C40C66FF867C}">
                  <a14:compatExt spid="_x0000_s2367"/>
                </a:ext>
                <a:ext uri="{FF2B5EF4-FFF2-40B4-BE49-F238E27FC236}">
                  <a16:creationId xmlns:a16="http://schemas.microsoft.com/office/drawing/2014/main" id="{00000000-0008-0000-0200-00003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38</xdr:row>
          <xdr:rowOff>152400</xdr:rowOff>
        </xdr:from>
        <xdr:to>
          <xdr:col>11</xdr:col>
          <xdr:colOff>314325</xdr:colOff>
          <xdr:row>40</xdr:row>
          <xdr:rowOff>9525</xdr:rowOff>
        </xdr:to>
        <xdr:sp macro="" textlink="">
          <xdr:nvSpPr>
            <xdr:cNvPr id="2368" name="Check Box 320" hidden="1">
              <a:extLst>
                <a:ext uri="{63B3BB69-23CF-44E3-9099-C40C66FF867C}">
                  <a14:compatExt spid="_x0000_s2368"/>
                </a:ext>
                <a:ext uri="{FF2B5EF4-FFF2-40B4-BE49-F238E27FC236}">
                  <a16:creationId xmlns:a16="http://schemas.microsoft.com/office/drawing/2014/main" id="{00000000-0008-0000-0200-00004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39</xdr:row>
          <xdr:rowOff>152400</xdr:rowOff>
        </xdr:from>
        <xdr:to>
          <xdr:col>11</xdr:col>
          <xdr:colOff>314325</xdr:colOff>
          <xdr:row>41</xdr:row>
          <xdr:rowOff>9525</xdr:rowOff>
        </xdr:to>
        <xdr:sp macro="" textlink="">
          <xdr:nvSpPr>
            <xdr:cNvPr id="2369" name="Check Box 321" hidden="1">
              <a:extLst>
                <a:ext uri="{63B3BB69-23CF-44E3-9099-C40C66FF867C}">
                  <a14:compatExt spid="_x0000_s2369"/>
                </a:ext>
                <a:ext uri="{FF2B5EF4-FFF2-40B4-BE49-F238E27FC236}">
                  <a16:creationId xmlns:a16="http://schemas.microsoft.com/office/drawing/2014/main" id="{00000000-0008-0000-0200-00004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123825</xdr:colOff>
          <xdr:row>40</xdr:row>
          <xdr:rowOff>152400</xdr:rowOff>
        </xdr:from>
        <xdr:to>
          <xdr:col>11</xdr:col>
          <xdr:colOff>314325</xdr:colOff>
          <xdr:row>42</xdr:row>
          <xdr:rowOff>0</xdr:rowOff>
        </xdr:to>
        <xdr:sp macro="" textlink="">
          <xdr:nvSpPr>
            <xdr:cNvPr id="2370" name="Check Box 322" hidden="1">
              <a:extLst>
                <a:ext uri="{63B3BB69-23CF-44E3-9099-C40C66FF867C}">
                  <a14:compatExt spid="_x0000_s2370"/>
                </a:ext>
                <a:ext uri="{FF2B5EF4-FFF2-40B4-BE49-F238E27FC236}">
                  <a16:creationId xmlns:a16="http://schemas.microsoft.com/office/drawing/2014/main" id="{00000000-0008-0000-0200-00004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13</xdr:row>
          <xdr:rowOff>152400</xdr:rowOff>
        </xdr:from>
        <xdr:to>
          <xdr:col>6</xdr:col>
          <xdr:colOff>314325</xdr:colOff>
          <xdr:row>15</xdr:row>
          <xdr:rowOff>28575</xdr:rowOff>
        </xdr:to>
        <xdr:sp macro="" textlink="">
          <xdr:nvSpPr>
            <xdr:cNvPr id="2382" name="Check Box 334" hidden="1">
              <a:extLst>
                <a:ext uri="{63B3BB69-23CF-44E3-9099-C40C66FF867C}">
                  <a14:compatExt spid="_x0000_s2382"/>
                </a:ext>
                <a:ext uri="{FF2B5EF4-FFF2-40B4-BE49-F238E27FC236}">
                  <a16:creationId xmlns:a16="http://schemas.microsoft.com/office/drawing/2014/main" id="{00000000-0008-0000-0200-00004E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14</xdr:row>
          <xdr:rowOff>152400</xdr:rowOff>
        </xdr:from>
        <xdr:to>
          <xdr:col>6</xdr:col>
          <xdr:colOff>314325</xdr:colOff>
          <xdr:row>16</xdr:row>
          <xdr:rowOff>28575</xdr:rowOff>
        </xdr:to>
        <xdr:sp macro="" textlink="">
          <xdr:nvSpPr>
            <xdr:cNvPr id="2383" name="Check Box 335" hidden="1">
              <a:extLst>
                <a:ext uri="{63B3BB69-23CF-44E3-9099-C40C66FF867C}">
                  <a14:compatExt spid="_x0000_s2383"/>
                </a:ext>
                <a:ext uri="{FF2B5EF4-FFF2-40B4-BE49-F238E27FC236}">
                  <a16:creationId xmlns:a16="http://schemas.microsoft.com/office/drawing/2014/main" id="{00000000-0008-0000-0200-00004F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15</xdr:row>
          <xdr:rowOff>152400</xdr:rowOff>
        </xdr:from>
        <xdr:to>
          <xdr:col>6</xdr:col>
          <xdr:colOff>314325</xdr:colOff>
          <xdr:row>17</xdr:row>
          <xdr:rowOff>28575</xdr:rowOff>
        </xdr:to>
        <xdr:sp macro="" textlink="">
          <xdr:nvSpPr>
            <xdr:cNvPr id="2384" name="Check Box 336" hidden="1">
              <a:extLst>
                <a:ext uri="{63B3BB69-23CF-44E3-9099-C40C66FF867C}">
                  <a14:compatExt spid="_x0000_s2384"/>
                </a:ext>
                <a:ext uri="{FF2B5EF4-FFF2-40B4-BE49-F238E27FC236}">
                  <a16:creationId xmlns:a16="http://schemas.microsoft.com/office/drawing/2014/main" id="{00000000-0008-0000-0200-000050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16</xdr:row>
          <xdr:rowOff>152400</xdr:rowOff>
        </xdr:from>
        <xdr:to>
          <xdr:col>6</xdr:col>
          <xdr:colOff>314325</xdr:colOff>
          <xdr:row>18</xdr:row>
          <xdr:rowOff>28575</xdr:rowOff>
        </xdr:to>
        <xdr:sp macro="" textlink="">
          <xdr:nvSpPr>
            <xdr:cNvPr id="2385" name="Check Box 337" hidden="1">
              <a:extLst>
                <a:ext uri="{63B3BB69-23CF-44E3-9099-C40C66FF867C}">
                  <a14:compatExt spid="_x0000_s2385"/>
                </a:ext>
                <a:ext uri="{FF2B5EF4-FFF2-40B4-BE49-F238E27FC236}">
                  <a16:creationId xmlns:a16="http://schemas.microsoft.com/office/drawing/2014/main" id="{00000000-0008-0000-0200-000051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17</xdr:row>
          <xdr:rowOff>152400</xdr:rowOff>
        </xdr:from>
        <xdr:to>
          <xdr:col>6</xdr:col>
          <xdr:colOff>314325</xdr:colOff>
          <xdr:row>19</xdr:row>
          <xdr:rowOff>28575</xdr:rowOff>
        </xdr:to>
        <xdr:sp macro="" textlink="">
          <xdr:nvSpPr>
            <xdr:cNvPr id="2386" name="Check Box 338" hidden="1">
              <a:extLst>
                <a:ext uri="{63B3BB69-23CF-44E3-9099-C40C66FF867C}">
                  <a14:compatExt spid="_x0000_s2386"/>
                </a:ext>
                <a:ext uri="{FF2B5EF4-FFF2-40B4-BE49-F238E27FC236}">
                  <a16:creationId xmlns:a16="http://schemas.microsoft.com/office/drawing/2014/main" id="{00000000-0008-0000-0200-000052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18</xdr:row>
          <xdr:rowOff>152400</xdr:rowOff>
        </xdr:from>
        <xdr:to>
          <xdr:col>6</xdr:col>
          <xdr:colOff>314325</xdr:colOff>
          <xdr:row>20</xdr:row>
          <xdr:rowOff>28575</xdr:rowOff>
        </xdr:to>
        <xdr:sp macro="" textlink="">
          <xdr:nvSpPr>
            <xdr:cNvPr id="2387" name="Check Box 339" hidden="1">
              <a:extLst>
                <a:ext uri="{63B3BB69-23CF-44E3-9099-C40C66FF867C}">
                  <a14:compatExt spid="_x0000_s2387"/>
                </a:ext>
                <a:ext uri="{FF2B5EF4-FFF2-40B4-BE49-F238E27FC236}">
                  <a16:creationId xmlns:a16="http://schemas.microsoft.com/office/drawing/2014/main" id="{00000000-0008-0000-0200-000053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19</xdr:row>
          <xdr:rowOff>152400</xdr:rowOff>
        </xdr:from>
        <xdr:to>
          <xdr:col>6</xdr:col>
          <xdr:colOff>314325</xdr:colOff>
          <xdr:row>21</xdr:row>
          <xdr:rowOff>28575</xdr:rowOff>
        </xdr:to>
        <xdr:sp macro="" textlink="">
          <xdr:nvSpPr>
            <xdr:cNvPr id="2388" name="Check Box 340" hidden="1">
              <a:extLst>
                <a:ext uri="{63B3BB69-23CF-44E3-9099-C40C66FF867C}">
                  <a14:compatExt spid="_x0000_s2388"/>
                </a:ext>
                <a:ext uri="{FF2B5EF4-FFF2-40B4-BE49-F238E27FC236}">
                  <a16:creationId xmlns:a16="http://schemas.microsoft.com/office/drawing/2014/main" id="{00000000-0008-0000-0200-000054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20</xdr:row>
          <xdr:rowOff>152400</xdr:rowOff>
        </xdr:from>
        <xdr:to>
          <xdr:col>6</xdr:col>
          <xdr:colOff>314325</xdr:colOff>
          <xdr:row>22</xdr:row>
          <xdr:rowOff>28575</xdr:rowOff>
        </xdr:to>
        <xdr:sp macro="" textlink="">
          <xdr:nvSpPr>
            <xdr:cNvPr id="2389" name="Check Box 341" hidden="1">
              <a:extLst>
                <a:ext uri="{63B3BB69-23CF-44E3-9099-C40C66FF867C}">
                  <a14:compatExt spid="_x0000_s2389"/>
                </a:ext>
                <a:ext uri="{FF2B5EF4-FFF2-40B4-BE49-F238E27FC236}">
                  <a16:creationId xmlns:a16="http://schemas.microsoft.com/office/drawing/2014/main" id="{00000000-0008-0000-0200-000055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123825</xdr:colOff>
          <xdr:row>21</xdr:row>
          <xdr:rowOff>152400</xdr:rowOff>
        </xdr:from>
        <xdr:to>
          <xdr:col>6</xdr:col>
          <xdr:colOff>314325</xdr:colOff>
          <xdr:row>23</xdr:row>
          <xdr:rowOff>28575</xdr:rowOff>
        </xdr:to>
        <xdr:sp macro="" textlink="">
          <xdr:nvSpPr>
            <xdr:cNvPr id="2390" name="Check Box 342" hidden="1">
              <a:extLst>
                <a:ext uri="{63B3BB69-23CF-44E3-9099-C40C66FF867C}">
                  <a14:compatExt spid="_x0000_s2390"/>
                </a:ext>
                <a:ext uri="{FF2B5EF4-FFF2-40B4-BE49-F238E27FC236}">
                  <a16:creationId xmlns:a16="http://schemas.microsoft.com/office/drawing/2014/main" id="{00000000-0008-0000-0200-0000560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fPrintsWithSheet="0"/>
      </xdr:twoCellAnchor>
    </mc:Choice>
    <mc:Fallback/>
  </mc:AlternateContent>
  <xdr:oneCellAnchor>
    <xdr:from>
      <xdr:col>4</xdr:col>
      <xdr:colOff>369095</xdr:colOff>
      <xdr:row>4</xdr:row>
      <xdr:rowOff>166689</xdr:rowOff>
    </xdr:from>
    <xdr:ext cx="2178844" cy="609013"/>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3536158" y="1071564"/>
          <a:ext cx="2178844" cy="609013"/>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100"/>
            <a:t>OBS! Om du anger vall använd max 2-årsvall och glöm ej kryssa i att vallskörden bortförs</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57</xdr:row>
      <xdr:rowOff>0</xdr:rowOff>
    </xdr:from>
    <xdr:to>
      <xdr:col>8</xdr:col>
      <xdr:colOff>581025</xdr:colOff>
      <xdr:row>78</xdr:row>
      <xdr:rowOff>85725</xdr:rowOff>
    </xdr:to>
    <xdr:graphicFrame macro="">
      <xdr:nvGraphicFramePr>
        <xdr:cNvPr id="3145" name="Diagram 17">
          <a:extLst>
            <a:ext uri="{FF2B5EF4-FFF2-40B4-BE49-F238E27FC236}">
              <a16:creationId xmlns:a16="http://schemas.microsoft.com/office/drawing/2014/main" id="{00000000-0008-0000-0300-0000490C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xdr:col>
      <xdr:colOff>382009</xdr:colOff>
      <xdr:row>0</xdr:row>
      <xdr:rowOff>118283</xdr:rowOff>
    </xdr:from>
    <xdr:ext cx="10271851" cy="342786"/>
    <xdr:sp macro="" textlink="">
      <xdr:nvSpPr>
        <xdr:cNvPr id="2" name="textruta 1">
          <a:extLst>
            <a:ext uri="{FF2B5EF4-FFF2-40B4-BE49-F238E27FC236}">
              <a16:creationId xmlns:a16="http://schemas.microsoft.com/office/drawing/2014/main" id="{00000000-0008-0000-0400-000002000000}"/>
            </a:ext>
          </a:extLst>
        </xdr:cNvPr>
        <xdr:cNvSpPr txBox="1"/>
      </xdr:nvSpPr>
      <xdr:spPr>
        <a:xfrm>
          <a:off x="2858509" y="118283"/>
          <a:ext cx="10271851" cy="342786"/>
        </a:xfrm>
        <a:prstGeom prst="rect">
          <a:avLst/>
        </a:prstGeom>
        <a:solidFill>
          <a:srgbClr val="FFFF00"/>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600"/>
            <a:t>Lägg in kostnader i blå</a:t>
          </a:r>
          <a:r>
            <a:rPr lang="sv-SE" sz="1600" baseline="0"/>
            <a:t> </a:t>
          </a:r>
          <a:r>
            <a:rPr lang="sv-SE" sz="1600"/>
            <a:t>rutor.</a:t>
          </a:r>
          <a:r>
            <a:rPr lang="sv-SE" sz="1600" baseline="0"/>
            <a:t> Överdriv inte noggrannheten. Det är skillnaden mellan alternativen som bör finnas med!</a:t>
          </a:r>
          <a:endParaRPr lang="sv-SE" sz="1600"/>
        </a:p>
      </xdr:txBody>
    </xdr:sp>
    <xdr:clientData/>
  </xdr:oneCellAnchor>
  <xdr:oneCellAnchor>
    <xdr:from>
      <xdr:col>21</xdr:col>
      <xdr:colOff>59531</xdr:colOff>
      <xdr:row>9</xdr:row>
      <xdr:rowOff>190501</xdr:rowOff>
    </xdr:from>
    <xdr:ext cx="1028295" cy="280205"/>
    <xdr:sp macro="" textlink="">
      <xdr:nvSpPr>
        <xdr:cNvPr id="3" name="textruta 2">
          <a:extLst>
            <a:ext uri="{FF2B5EF4-FFF2-40B4-BE49-F238E27FC236}">
              <a16:creationId xmlns:a16="http://schemas.microsoft.com/office/drawing/2014/main" id="{00000000-0008-0000-0400-000003000000}"/>
            </a:ext>
          </a:extLst>
        </xdr:cNvPr>
        <xdr:cNvSpPr txBox="1"/>
      </xdr:nvSpPr>
      <xdr:spPr>
        <a:xfrm>
          <a:off x="15835312" y="1726407"/>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20</xdr:col>
      <xdr:colOff>111125</xdr:colOff>
      <xdr:row>3</xdr:row>
      <xdr:rowOff>27776</xdr:rowOff>
    </xdr:from>
    <xdr:ext cx="1028295" cy="280205"/>
    <xdr:sp macro="" textlink="">
      <xdr:nvSpPr>
        <xdr:cNvPr id="2" name="textruta 1">
          <a:extLst>
            <a:ext uri="{FF2B5EF4-FFF2-40B4-BE49-F238E27FC236}">
              <a16:creationId xmlns:a16="http://schemas.microsoft.com/office/drawing/2014/main" id="{00000000-0008-0000-0500-000002000000}"/>
            </a:ext>
          </a:extLst>
        </xdr:cNvPr>
        <xdr:cNvSpPr txBox="1"/>
      </xdr:nvSpPr>
      <xdr:spPr>
        <a:xfrm>
          <a:off x="14220031" y="623089"/>
          <a:ext cx="1028295"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200" b="1"/>
            <a:t>Indikation på</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9</xdr:col>
      <xdr:colOff>1</xdr:colOff>
      <xdr:row>17</xdr:row>
      <xdr:rowOff>1</xdr:rowOff>
    </xdr:from>
    <xdr:to>
      <xdr:col>12</xdr:col>
      <xdr:colOff>733425</xdr:colOff>
      <xdr:row>31</xdr:row>
      <xdr:rowOff>9525</xdr:rowOff>
    </xdr:to>
    <xdr:graphicFrame macro="">
      <xdr:nvGraphicFramePr>
        <xdr:cNvPr id="7" name="Diagram 6">
          <a:extLst>
            <a:ext uri="{FF2B5EF4-FFF2-40B4-BE49-F238E27FC236}">
              <a16:creationId xmlns:a16="http://schemas.microsoft.com/office/drawing/2014/main" id="{00000000-0008-0000-06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0</xdr:colOff>
      <xdr:row>31</xdr:row>
      <xdr:rowOff>161924</xdr:rowOff>
    </xdr:from>
    <xdr:to>
      <xdr:col>12</xdr:col>
      <xdr:colOff>723900</xdr:colOff>
      <xdr:row>46</xdr:row>
      <xdr:rowOff>9524</xdr:rowOff>
    </xdr:to>
    <xdr:graphicFrame macro="">
      <xdr:nvGraphicFramePr>
        <xdr:cNvPr id="12" name="Diagram 11">
          <a:extLst>
            <a:ext uri="{FF2B5EF4-FFF2-40B4-BE49-F238E27FC236}">
              <a16:creationId xmlns:a16="http://schemas.microsoft.com/office/drawing/2014/main" id="{00000000-0008-0000-06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61</xdr:row>
      <xdr:rowOff>0</xdr:rowOff>
    </xdr:from>
    <xdr:to>
      <xdr:col>11</xdr:col>
      <xdr:colOff>228600</xdr:colOff>
      <xdr:row>79</xdr:row>
      <xdr:rowOff>45071</xdr:rowOff>
    </xdr:to>
    <xdr:graphicFrame macro="">
      <xdr:nvGraphicFramePr>
        <xdr:cNvPr id="13" name="Diagram 12">
          <a:extLst>
            <a:ext uri="{FF2B5EF4-FFF2-40B4-BE49-F238E27FC236}">
              <a16:creationId xmlns:a16="http://schemas.microsoft.com/office/drawing/2014/main" id="{00000000-0008-0000-06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19</xdr:col>
      <xdr:colOff>552450</xdr:colOff>
      <xdr:row>54</xdr:row>
      <xdr:rowOff>95250</xdr:rowOff>
    </xdr:from>
    <xdr:to>
      <xdr:col>22</xdr:col>
      <xdr:colOff>104775</xdr:colOff>
      <xdr:row>55</xdr:row>
      <xdr:rowOff>104775</xdr:rowOff>
    </xdr:to>
    <xdr:sp macro="" textlink="">
      <xdr:nvSpPr>
        <xdr:cNvPr id="5" name="Text 23">
          <a:extLst>
            <a:ext uri="{FF2B5EF4-FFF2-40B4-BE49-F238E27FC236}">
              <a16:creationId xmlns:a16="http://schemas.microsoft.com/office/drawing/2014/main" id="{00000000-0008-0000-0700-000005000000}"/>
            </a:ext>
          </a:extLst>
        </xdr:cNvPr>
        <xdr:cNvSpPr txBox="1">
          <a:spLocks noChangeArrowheads="1"/>
        </xdr:cNvSpPr>
      </xdr:nvSpPr>
      <xdr:spPr bwMode="auto">
        <a:xfrm>
          <a:off x="8924925" y="9858375"/>
          <a:ext cx="885825"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2</xdr:col>
      <xdr:colOff>705969</xdr:colOff>
      <xdr:row>8</xdr:row>
      <xdr:rowOff>112057</xdr:rowOff>
    </xdr:from>
    <xdr:to>
      <xdr:col>5</xdr:col>
      <xdr:colOff>130967</xdr:colOff>
      <xdr:row>9</xdr:row>
      <xdr:rowOff>154780</xdr:rowOff>
    </xdr:to>
    <xdr:sp macro="" textlink="">
      <xdr:nvSpPr>
        <xdr:cNvPr id="8" name="Line 37">
          <a:extLst>
            <a:ext uri="{FF2B5EF4-FFF2-40B4-BE49-F238E27FC236}">
              <a16:creationId xmlns:a16="http://schemas.microsoft.com/office/drawing/2014/main" id="{00000000-0008-0000-0700-000008000000}"/>
            </a:ext>
          </a:extLst>
        </xdr:cNvPr>
        <xdr:cNvSpPr>
          <a:spLocks noChangeShapeType="1"/>
        </xdr:cNvSpPr>
      </xdr:nvSpPr>
      <xdr:spPr bwMode="auto">
        <a:xfrm flipH="1" flipV="1">
          <a:off x="2396657" y="2219463"/>
          <a:ext cx="1008529" cy="233223"/>
        </a:xfrm>
        <a:prstGeom prst="line">
          <a:avLst/>
        </a:prstGeom>
        <a:noFill/>
        <a:ln w="9360">
          <a:solidFill>
            <a:srgbClr val="3A3935"/>
          </a:solidFill>
          <a:miter lim="800000"/>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19</xdr:col>
      <xdr:colOff>552450</xdr:colOff>
      <xdr:row>54</xdr:row>
      <xdr:rowOff>95250</xdr:rowOff>
    </xdr:from>
    <xdr:to>
      <xdr:col>22</xdr:col>
      <xdr:colOff>104775</xdr:colOff>
      <xdr:row>55</xdr:row>
      <xdr:rowOff>104775</xdr:rowOff>
    </xdr:to>
    <xdr:sp macro="" textlink="">
      <xdr:nvSpPr>
        <xdr:cNvPr id="9" name="Text 23">
          <a:extLst>
            <a:ext uri="{FF2B5EF4-FFF2-40B4-BE49-F238E27FC236}">
              <a16:creationId xmlns:a16="http://schemas.microsoft.com/office/drawing/2014/main" id="{00000000-0008-0000-0700-000009000000}"/>
            </a:ext>
          </a:extLst>
        </xdr:cNvPr>
        <xdr:cNvSpPr txBox="1">
          <a:spLocks noChangeArrowheads="1"/>
        </xdr:cNvSpPr>
      </xdr:nvSpPr>
      <xdr:spPr bwMode="auto">
        <a:xfrm>
          <a:off x="8924925" y="9858375"/>
          <a:ext cx="885825" cy="1714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808080"/>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307861</xdr:colOff>
      <xdr:row>1</xdr:row>
      <xdr:rowOff>18709</xdr:rowOff>
    </xdr:from>
    <xdr:to>
      <xdr:col>14</xdr:col>
      <xdr:colOff>392906</xdr:colOff>
      <xdr:row>15</xdr:row>
      <xdr:rowOff>119062</xdr:rowOff>
    </xdr:to>
    <xdr:graphicFrame macro="">
      <xdr:nvGraphicFramePr>
        <xdr:cNvPr id="7" name="Diagram 6">
          <a:extLst>
            <a:ext uri="{FF2B5EF4-FFF2-40B4-BE49-F238E27FC236}">
              <a16:creationId xmlns:a16="http://schemas.microsoft.com/office/drawing/2014/main" id="{00000000-0008-0000-07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488155</xdr:colOff>
      <xdr:row>1</xdr:row>
      <xdr:rowOff>35719</xdr:rowOff>
    </xdr:from>
    <xdr:to>
      <xdr:col>23</xdr:col>
      <xdr:colOff>547686</xdr:colOff>
      <xdr:row>15</xdr:row>
      <xdr:rowOff>54596</xdr:rowOff>
    </xdr:to>
    <xdr:graphicFrame macro="">
      <xdr:nvGraphicFramePr>
        <xdr:cNvPr id="6" name="Diagram 5">
          <a:extLst>
            <a:ext uri="{FF2B5EF4-FFF2-40B4-BE49-F238E27FC236}">
              <a16:creationId xmlns:a16="http://schemas.microsoft.com/office/drawing/2014/main" id="{00000000-0008-0000-0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27</xdr:col>
      <xdr:colOff>304800</xdr:colOff>
      <xdr:row>49</xdr:row>
      <xdr:rowOff>76201</xdr:rowOff>
    </xdr:from>
    <xdr:to>
      <xdr:col>27</xdr:col>
      <xdr:colOff>352425</xdr:colOff>
      <xdr:row>50</xdr:row>
      <xdr:rowOff>66676</xdr:rowOff>
    </xdr:to>
    <xdr:sp macro="" textlink="">
      <xdr:nvSpPr>
        <xdr:cNvPr id="5" name="Text Box 7">
          <a:extLst>
            <a:ext uri="{FF2B5EF4-FFF2-40B4-BE49-F238E27FC236}">
              <a16:creationId xmlns:a16="http://schemas.microsoft.com/office/drawing/2014/main" id="{00000000-0008-0000-0800-000005000000}"/>
            </a:ext>
          </a:extLst>
        </xdr:cNvPr>
        <xdr:cNvSpPr txBox="1">
          <a:spLocks noChangeArrowheads="1"/>
        </xdr:cNvSpPr>
      </xdr:nvSpPr>
      <xdr:spPr bwMode="auto">
        <a:xfrm flipV="1">
          <a:off x="17973675" y="10163176"/>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xdr:from>
      <xdr:col>27</xdr:col>
      <xdr:colOff>304800</xdr:colOff>
      <xdr:row>49</xdr:row>
      <xdr:rowOff>76201</xdr:rowOff>
    </xdr:from>
    <xdr:to>
      <xdr:col>27</xdr:col>
      <xdr:colOff>352425</xdr:colOff>
      <xdr:row>50</xdr:row>
      <xdr:rowOff>66676</xdr:rowOff>
    </xdr:to>
    <xdr:sp macro="" textlink="">
      <xdr:nvSpPr>
        <xdr:cNvPr id="19" name="Text Box 7">
          <a:extLst>
            <a:ext uri="{FF2B5EF4-FFF2-40B4-BE49-F238E27FC236}">
              <a16:creationId xmlns:a16="http://schemas.microsoft.com/office/drawing/2014/main" id="{00000000-0008-0000-0800-000013000000}"/>
            </a:ext>
          </a:extLst>
        </xdr:cNvPr>
        <xdr:cNvSpPr txBox="1">
          <a:spLocks noChangeArrowheads="1"/>
        </xdr:cNvSpPr>
      </xdr:nvSpPr>
      <xdr:spPr bwMode="auto">
        <a:xfrm flipV="1">
          <a:off x="18278475" y="10172701"/>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xdr:from>
      <xdr:col>27</xdr:col>
      <xdr:colOff>304800</xdr:colOff>
      <xdr:row>49</xdr:row>
      <xdr:rowOff>76201</xdr:rowOff>
    </xdr:from>
    <xdr:to>
      <xdr:col>27</xdr:col>
      <xdr:colOff>352425</xdr:colOff>
      <xdr:row>50</xdr:row>
      <xdr:rowOff>66676</xdr:rowOff>
    </xdr:to>
    <xdr:sp macro="" textlink="">
      <xdr:nvSpPr>
        <xdr:cNvPr id="35" name="Text Box 7">
          <a:extLst>
            <a:ext uri="{FF2B5EF4-FFF2-40B4-BE49-F238E27FC236}">
              <a16:creationId xmlns:a16="http://schemas.microsoft.com/office/drawing/2014/main" id="{00000000-0008-0000-0800-000023000000}"/>
            </a:ext>
          </a:extLst>
        </xdr:cNvPr>
        <xdr:cNvSpPr txBox="1">
          <a:spLocks noChangeArrowheads="1"/>
        </xdr:cNvSpPr>
      </xdr:nvSpPr>
      <xdr:spPr bwMode="auto">
        <a:xfrm flipV="1">
          <a:off x="18278475" y="10172701"/>
          <a:ext cx="47625" cy="19050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vert="vert270" wrap="square" lIns="27432" tIns="18288" rIns="0" bIns="0" anchor="t" upright="1"/>
        <a:lstStyle/>
        <a:p>
          <a:pPr algn="r" rtl="0">
            <a:defRPr sz="1000"/>
          </a:pPr>
          <a:r>
            <a:rPr lang="sv-SE" sz="1000" b="0" i="0" u="none" strike="noStrike" baseline="0">
              <a:solidFill>
                <a:srgbClr val="000000"/>
              </a:solidFill>
              <a:latin typeface="Arial"/>
              <a:cs typeface="Arial"/>
            </a:rPr>
            <a:t>Char input</a:t>
          </a:r>
          <a:endParaRPr lang="sv-SE"/>
        </a:p>
      </xdr:txBody>
    </xdr:sp>
    <xdr:clientData/>
  </xdr:twoCellAnchor>
  <xdr:twoCellAnchor editAs="oneCell">
    <xdr:from>
      <xdr:col>17</xdr:col>
      <xdr:colOff>587375</xdr:colOff>
      <xdr:row>2</xdr:row>
      <xdr:rowOff>0</xdr:rowOff>
    </xdr:from>
    <xdr:to>
      <xdr:col>28</xdr:col>
      <xdr:colOff>291435</xdr:colOff>
      <xdr:row>17</xdr:row>
      <xdr:rowOff>168859</xdr:rowOff>
    </xdr:to>
    <xdr:pic>
      <xdr:nvPicPr>
        <xdr:cNvPr id="15" name="Bildobjek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1"/>
        <a:stretch>
          <a:fillRect/>
        </a:stretch>
      </xdr:blipFill>
      <xdr:spPr>
        <a:xfrm>
          <a:off x="13747750" y="587375"/>
          <a:ext cx="8054310" cy="4058234"/>
        </a:xfrm>
        <a:prstGeom prst="rect">
          <a:avLst/>
        </a:prstGeom>
      </xdr:spPr>
    </xdr:pic>
    <xdr:clientData/>
  </xdr:twoCellAnchor>
  <xdr:twoCellAnchor editAs="oneCell">
    <xdr:from>
      <xdr:col>28</xdr:col>
      <xdr:colOff>252429</xdr:colOff>
      <xdr:row>1</xdr:row>
      <xdr:rowOff>247196</xdr:rowOff>
    </xdr:from>
    <xdr:to>
      <xdr:col>41</xdr:col>
      <xdr:colOff>570649</xdr:colOff>
      <xdr:row>16</xdr:row>
      <xdr:rowOff>1</xdr:rowOff>
    </xdr:to>
    <xdr:pic>
      <xdr:nvPicPr>
        <xdr:cNvPr id="27" name="Bildobjekt 26">
          <a:extLst>
            <a:ext uri="{FF2B5EF4-FFF2-40B4-BE49-F238E27FC236}">
              <a16:creationId xmlns:a16="http://schemas.microsoft.com/office/drawing/2014/main" id="{00000000-0008-0000-0800-00001B000000}"/>
            </a:ext>
          </a:extLst>
        </xdr:cNvPr>
        <xdr:cNvPicPr>
          <a:picLocks noChangeAspect="1"/>
        </xdr:cNvPicPr>
      </xdr:nvPicPr>
      <xdr:blipFill>
        <a:blip xmlns:r="http://schemas.openxmlformats.org/officeDocument/2006/relationships" r:embed="rId2"/>
        <a:stretch>
          <a:fillRect/>
        </a:stretch>
      </xdr:blipFill>
      <xdr:spPr>
        <a:xfrm>
          <a:off x="21860572" y="451303"/>
          <a:ext cx="9435006" cy="3834948"/>
        </a:xfrm>
        <a:prstGeom prst="rect">
          <a:avLst/>
        </a:prstGeom>
      </xdr:spPr>
    </xdr:pic>
    <xdr:clientData/>
  </xdr:twoCellAnchor>
  <xdr:twoCellAnchor>
    <xdr:from>
      <xdr:col>6</xdr:col>
      <xdr:colOff>555625</xdr:colOff>
      <xdr:row>0</xdr:row>
      <xdr:rowOff>95250</xdr:rowOff>
    </xdr:from>
    <xdr:to>
      <xdr:col>17</xdr:col>
      <xdr:colOff>460375</xdr:colOff>
      <xdr:row>3</xdr:row>
      <xdr:rowOff>47625</xdr:rowOff>
    </xdr:to>
    <xdr:sp macro="" textlink="">
      <xdr:nvSpPr>
        <xdr:cNvPr id="2" name="textruta 1">
          <a:extLst>
            <a:ext uri="{FF2B5EF4-FFF2-40B4-BE49-F238E27FC236}">
              <a16:creationId xmlns:a16="http://schemas.microsoft.com/office/drawing/2014/main" id="{00000000-0008-0000-0800-000002000000}"/>
            </a:ext>
          </a:extLst>
        </xdr:cNvPr>
        <xdr:cNvSpPr txBox="1"/>
      </xdr:nvSpPr>
      <xdr:spPr>
        <a:xfrm>
          <a:off x="4857750" y="95250"/>
          <a:ext cx="8763000" cy="920750"/>
        </a:xfrm>
        <a:prstGeom prst="rect">
          <a:avLst/>
        </a:prstGeom>
        <a:solidFill>
          <a:srgbClr val="FFFF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1600" b="1"/>
            <a:t>OBS! r-faktorn (justering av nedbrytningshastigheten efter temperatur</a:t>
          </a:r>
        </a:p>
        <a:p>
          <a:r>
            <a:rPr lang="sv-SE" sz="1600" b="1"/>
            <a:t>och fuktihetsförhållande)</a:t>
          </a:r>
          <a:r>
            <a:rPr lang="sv-SE" sz="1600" b="1" baseline="0"/>
            <a:t> följer inte ursprungliga modellen som är anpassad för ett ramförsök på Ultuna utan är anpassad för ett antal långliggande försök i främst södra Sverige.</a:t>
          </a:r>
          <a:endParaRPr lang="sv-SE" sz="1600" b="1"/>
        </a:p>
      </xdr:txBody>
    </xdr:sp>
    <xdr:clientData/>
  </xdr:twoCellAnchor>
  <xdr:oneCellAnchor>
    <xdr:from>
      <xdr:col>20</xdr:col>
      <xdr:colOff>365125</xdr:colOff>
      <xdr:row>2</xdr:row>
      <xdr:rowOff>238125</xdr:rowOff>
    </xdr:from>
    <xdr:ext cx="970074" cy="311496"/>
    <xdr:sp macro="" textlink="">
      <xdr:nvSpPr>
        <xdr:cNvPr id="3" name="textruta 2">
          <a:extLst>
            <a:ext uri="{FF2B5EF4-FFF2-40B4-BE49-F238E27FC236}">
              <a16:creationId xmlns:a16="http://schemas.microsoft.com/office/drawing/2014/main" id="{00000000-0008-0000-0800-000003000000}"/>
            </a:ext>
          </a:extLst>
        </xdr:cNvPr>
        <xdr:cNvSpPr txBox="1"/>
      </xdr:nvSpPr>
      <xdr:spPr>
        <a:xfrm>
          <a:off x="15589250" y="825500"/>
          <a:ext cx="970074"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v-SE" sz="1400"/>
            <a:t>Stallgödsel</a:t>
          </a:r>
        </a:p>
      </xdr:txBody>
    </xdr:sp>
    <xdr:clientData/>
  </xdr:oneCellAnchor>
  <xdr:oneCellAnchor>
    <xdr:from>
      <xdr:col>24</xdr:col>
      <xdr:colOff>533400</xdr:colOff>
      <xdr:row>2</xdr:row>
      <xdr:rowOff>238125</xdr:rowOff>
    </xdr:from>
    <xdr:ext cx="1111586" cy="336896"/>
    <xdr:sp macro="" textlink="">
      <xdr:nvSpPr>
        <xdr:cNvPr id="9" name="textruta 8">
          <a:extLst>
            <a:ext uri="{FF2B5EF4-FFF2-40B4-BE49-F238E27FC236}">
              <a16:creationId xmlns:a16="http://schemas.microsoft.com/office/drawing/2014/main" id="{00000000-0008-0000-0800-000009000000}"/>
            </a:ext>
          </a:extLst>
        </xdr:cNvPr>
        <xdr:cNvSpPr txBox="1"/>
      </xdr:nvSpPr>
      <xdr:spPr>
        <a:xfrm>
          <a:off x="18186400" y="825500"/>
          <a:ext cx="1111586" cy="3368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sv-SE" sz="1400"/>
            <a:t>Skörderester</a:t>
          </a:r>
        </a:p>
      </xdr:txBody>
    </xdr:sp>
    <xdr:clientData/>
  </xdr:oneCellAnchor>
  <xdr:oneCellAnchor>
    <xdr:from>
      <xdr:col>25</xdr:col>
      <xdr:colOff>19050</xdr:colOff>
      <xdr:row>2</xdr:row>
      <xdr:rowOff>254000</xdr:rowOff>
    </xdr:from>
    <xdr:ext cx="711200" cy="311496"/>
    <xdr:sp macro="" textlink="">
      <xdr:nvSpPr>
        <xdr:cNvPr id="10" name="textruta 9">
          <a:extLst>
            <a:ext uri="{FF2B5EF4-FFF2-40B4-BE49-F238E27FC236}">
              <a16:creationId xmlns:a16="http://schemas.microsoft.com/office/drawing/2014/main" id="{00000000-0008-0000-0800-00000A000000}"/>
            </a:ext>
          </a:extLst>
        </xdr:cNvPr>
        <xdr:cNvSpPr txBox="1"/>
      </xdr:nvSpPr>
      <xdr:spPr>
        <a:xfrm>
          <a:off x="19402425" y="841375"/>
          <a:ext cx="711200" cy="311496"/>
        </a:xfrm>
        <a:prstGeom prst="rect">
          <a:avLst/>
        </a:prstGeom>
        <a:solidFill>
          <a:schemeClr val="bg1"/>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sv-SE" sz="1400"/>
            <a:t>Rötter</a:t>
          </a:r>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mal\531029-001\My%20Documents\Hans%20filer\GREPPA\Projekt\Mullutveckling\Material%20G&#246;te\Underlag%20OP%20jan%202017\Test_ny%20OP_H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unddata"/>
      <sheetName val="Huvudinmatning"/>
      <sheetName val="Mull_ICBM"/>
      <sheetName val="ICBM"/>
      <sheetName val="Försöksdata"/>
      <sheetName val="Miljösammanfattning"/>
      <sheetName val="Kostnader"/>
      <sheetName val="Mullberäkning"/>
      <sheetName val="Data skörd-mull"/>
      <sheetName val="Mullinfo"/>
      <sheetName val="Utlakning"/>
      <sheetName val="Växthusgaser"/>
      <sheetName val="RAPPORT"/>
      <sheetName val="Gröddata"/>
      <sheetName val="Stallgödseldata"/>
      <sheetName val="Underlag_spannmål"/>
      <sheetName val="Underlag_oljeväxter, trindsäd"/>
      <sheetName val="NPK-rekommendationer"/>
      <sheetName val="&quot;Kvävesimulator&quot;"/>
      <sheetName val="Tekniskt underlag"/>
      <sheetName val="Kopplingsfil"/>
      <sheetName val="Spannmål_S"/>
      <sheetName val="Giva_S"/>
      <sheetName val="Spannmål_N"/>
      <sheetName val="Giva_N"/>
      <sheetName val="Oljeväxter"/>
      <sheetName val="Vall"/>
      <sheetName val="Förfrukt"/>
      <sheetName val="stallgödseleffekt"/>
      <sheetName val="Listor"/>
      <sheetName val="Blad1"/>
      <sheetName val="Förändringar"/>
      <sheetName val="Blad3"/>
    </sheetNames>
    <sheetDataSet>
      <sheetData sheetId="0"/>
      <sheetData sheetId="1">
        <row r="10">
          <cell r="D10">
            <v>4</v>
          </cell>
        </row>
      </sheetData>
      <sheetData sheetId="2">
        <row r="2">
          <cell r="T2">
            <v>45000</v>
          </cell>
        </row>
      </sheetData>
      <sheetData sheetId="3">
        <row r="21">
          <cell r="Q21" t="str">
            <v>Bas</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2003-dokument.doc"/></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6.vml"/><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7.v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6" Type="http://schemas.openxmlformats.org/officeDocument/2006/relationships/ctrlProp" Target="../ctrlProps/ctrlProp23.xml"/><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47" Type="http://schemas.openxmlformats.org/officeDocument/2006/relationships/ctrlProp" Target="../ctrlProps/ctrlProp44.xml"/><Relationship Id="rId63" Type="http://schemas.openxmlformats.org/officeDocument/2006/relationships/ctrlProp" Target="../ctrlProps/ctrlProp60.xml"/><Relationship Id="rId68" Type="http://schemas.openxmlformats.org/officeDocument/2006/relationships/ctrlProp" Target="../ctrlProps/ctrlProp65.xml"/><Relationship Id="rId84" Type="http://schemas.openxmlformats.org/officeDocument/2006/relationships/ctrlProp" Target="../ctrlProps/ctrlProp81.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38" Type="http://schemas.openxmlformats.org/officeDocument/2006/relationships/ctrlProp" Target="../ctrlProps/ctrlProp135.xml"/><Relationship Id="rId154" Type="http://schemas.openxmlformats.org/officeDocument/2006/relationships/ctrlProp" Target="../ctrlProps/ctrlProp151.xml"/><Relationship Id="rId16" Type="http://schemas.openxmlformats.org/officeDocument/2006/relationships/ctrlProp" Target="../ctrlProps/ctrlProp13.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37" Type="http://schemas.openxmlformats.org/officeDocument/2006/relationships/ctrlProp" Target="../ctrlProps/ctrlProp34.xml"/><Relationship Id="rId53" Type="http://schemas.openxmlformats.org/officeDocument/2006/relationships/ctrlProp" Target="../ctrlProps/ctrlProp50.xml"/><Relationship Id="rId58" Type="http://schemas.openxmlformats.org/officeDocument/2006/relationships/ctrlProp" Target="../ctrlProps/ctrlProp55.xml"/><Relationship Id="rId74" Type="http://schemas.openxmlformats.org/officeDocument/2006/relationships/ctrlProp" Target="../ctrlProps/ctrlProp71.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28" Type="http://schemas.openxmlformats.org/officeDocument/2006/relationships/ctrlProp" Target="../ctrlProps/ctrlProp125.xml"/><Relationship Id="rId144" Type="http://schemas.openxmlformats.org/officeDocument/2006/relationships/ctrlProp" Target="../ctrlProps/ctrlProp141.xml"/><Relationship Id="rId149" Type="http://schemas.openxmlformats.org/officeDocument/2006/relationships/ctrlProp" Target="../ctrlProps/ctrlProp146.xml"/><Relationship Id="rId5" Type="http://schemas.openxmlformats.org/officeDocument/2006/relationships/ctrlProp" Target="../ctrlProps/ctrlProp2.xml"/><Relationship Id="rId90" Type="http://schemas.openxmlformats.org/officeDocument/2006/relationships/ctrlProp" Target="../ctrlProps/ctrlProp87.xml"/><Relationship Id="rId95" Type="http://schemas.openxmlformats.org/officeDocument/2006/relationships/ctrlProp" Target="../ctrlProps/ctrlProp92.xml"/><Relationship Id="rId22" Type="http://schemas.openxmlformats.org/officeDocument/2006/relationships/ctrlProp" Target="../ctrlProps/ctrlProp19.xml"/><Relationship Id="rId27" Type="http://schemas.openxmlformats.org/officeDocument/2006/relationships/ctrlProp" Target="../ctrlProps/ctrlProp24.xml"/><Relationship Id="rId43" Type="http://schemas.openxmlformats.org/officeDocument/2006/relationships/ctrlProp" Target="../ctrlProps/ctrlProp40.xml"/><Relationship Id="rId48" Type="http://schemas.openxmlformats.org/officeDocument/2006/relationships/ctrlProp" Target="../ctrlProps/ctrlProp45.xml"/><Relationship Id="rId64" Type="http://schemas.openxmlformats.org/officeDocument/2006/relationships/ctrlProp" Target="../ctrlProps/ctrlProp61.xml"/><Relationship Id="rId69" Type="http://schemas.openxmlformats.org/officeDocument/2006/relationships/ctrlProp" Target="../ctrlProps/ctrlProp66.xml"/><Relationship Id="rId113" Type="http://schemas.openxmlformats.org/officeDocument/2006/relationships/ctrlProp" Target="../ctrlProps/ctrlProp110.xml"/><Relationship Id="rId118" Type="http://schemas.openxmlformats.org/officeDocument/2006/relationships/ctrlProp" Target="../ctrlProps/ctrlProp115.xml"/><Relationship Id="rId134" Type="http://schemas.openxmlformats.org/officeDocument/2006/relationships/ctrlProp" Target="../ctrlProps/ctrlProp131.xml"/><Relationship Id="rId139" Type="http://schemas.openxmlformats.org/officeDocument/2006/relationships/ctrlProp" Target="../ctrlProps/ctrlProp136.xml"/><Relationship Id="rId80" Type="http://schemas.openxmlformats.org/officeDocument/2006/relationships/ctrlProp" Target="../ctrlProps/ctrlProp77.xml"/><Relationship Id="rId85" Type="http://schemas.openxmlformats.org/officeDocument/2006/relationships/ctrlProp" Target="../ctrlProps/ctrlProp82.xml"/><Relationship Id="rId150" Type="http://schemas.openxmlformats.org/officeDocument/2006/relationships/ctrlProp" Target="../ctrlProps/ctrlProp147.xml"/><Relationship Id="rId155" Type="http://schemas.openxmlformats.org/officeDocument/2006/relationships/ctrlProp" Target="../ctrlProps/ctrlProp152.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103" Type="http://schemas.openxmlformats.org/officeDocument/2006/relationships/ctrlProp" Target="../ctrlProps/ctrlProp100.xml"/><Relationship Id="rId108" Type="http://schemas.openxmlformats.org/officeDocument/2006/relationships/ctrlProp" Target="../ctrlProps/ctrlProp105.xml"/><Relationship Id="rId116" Type="http://schemas.openxmlformats.org/officeDocument/2006/relationships/ctrlProp" Target="../ctrlProps/ctrlProp113.xml"/><Relationship Id="rId124" Type="http://schemas.openxmlformats.org/officeDocument/2006/relationships/ctrlProp" Target="../ctrlProps/ctrlProp121.xml"/><Relationship Id="rId129" Type="http://schemas.openxmlformats.org/officeDocument/2006/relationships/ctrlProp" Target="../ctrlProps/ctrlProp126.xml"/><Relationship Id="rId137" Type="http://schemas.openxmlformats.org/officeDocument/2006/relationships/ctrlProp" Target="../ctrlProps/ctrlProp13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 Id="rId75" Type="http://schemas.openxmlformats.org/officeDocument/2006/relationships/ctrlProp" Target="../ctrlProps/ctrlProp72.xml"/><Relationship Id="rId83" Type="http://schemas.openxmlformats.org/officeDocument/2006/relationships/ctrlProp" Target="../ctrlProps/ctrlProp80.xml"/><Relationship Id="rId88" Type="http://schemas.openxmlformats.org/officeDocument/2006/relationships/ctrlProp" Target="../ctrlProps/ctrlProp85.xml"/><Relationship Id="rId91" Type="http://schemas.openxmlformats.org/officeDocument/2006/relationships/ctrlProp" Target="../ctrlProps/ctrlProp88.xml"/><Relationship Id="rId96" Type="http://schemas.openxmlformats.org/officeDocument/2006/relationships/ctrlProp" Target="../ctrlProps/ctrlProp93.xml"/><Relationship Id="rId111" Type="http://schemas.openxmlformats.org/officeDocument/2006/relationships/ctrlProp" Target="../ctrlProps/ctrlProp108.xml"/><Relationship Id="rId132" Type="http://schemas.openxmlformats.org/officeDocument/2006/relationships/ctrlProp" Target="../ctrlProps/ctrlProp129.xml"/><Relationship Id="rId140" Type="http://schemas.openxmlformats.org/officeDocument/2006/relationships/ctrlProp" Target="../ctrlProps/ctrlProp137.xml"/><Relationship Id="rId145" Type="http://schemas.openxmlformats.org/officeDocument/2006/relationships/ctrlProp" Target="../ctrlProps/ctrlProp142.xml"/><Relationship Id="rId153" Type="http://schemas.openxmlformats.org/officeDocument/2006/relationships/ctrlProp" Target="../ctrlProps/ctrlProp150.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6" Type="http://schemas.openxmlformats.org/officeDocument/2006/relationships/ctrlProp" Target="../ctrlProps/ctrlProp103.xml"/><Relationship Id="rId114" Type="http://schemas.openxmlformats.org/officeDocument/2006/relationships/ctrlProp" Target="../ctrlProps/ctrlProp111.xml"/><Relationship Id="rId119" Type="http://schemas.openxmlformats.org/officeDocument/2006/relationships/ctrlProp" Target="../ctrlProps/ctrlProp116.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73" Type="http://schemas.openxmlformats.org/officeDocument/2006/relationships/ctrlProp" Target="../ctrlProps/ctrlProp70.xml"/><Relationship Id="rId78" Type="http://schemas.openxmlformats.org/officeDocument/2006/relationships/ctrlProp" Target="../ctrlProps/ctrlProp75.xml"/><Relationship Id="rId81" Type="http://schemas.openxmlformats.org/officeDocument/2006/relationships/ctrlProp" Target="../ctrlProps/ctrlProp78.xml"/><Relationship Id="rId86" Type="http://schemas.openxmlformats.org/officeDocument/2006/relationships/ctrlProp" Target="../ctrlProps/ctrlProp83.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30" Type="http://schemas.openxmlformats.org/officeDocument/2006/relationships/ctrlProp" Target="../ctrlProps/ctrlProp127.xml"/><Relationship Id="rId135" Type="http://schemas.openxmlformats.org/officeDocument/2006/relationships/ctrlProp" Target="../ctrlProps/ctrlProp132.xml"/><Relationship Id="rId143" Type="http://schemas.openxmlformats.org/officeDocument/2006/relationships/ctrlProp" Target="../ctrlProps/ctrlProp140.xml"/><Relationship Id="rId148" Type="http://schemas.openxmlformats.org/officeDocument/2006/relationships/ctrlProp" Target="../ctrlProps/ctrlProp145.xml"/><Relationship Id="rId151" Type="http://schemas.openxmlformats.org/officeDocument/2006/relationships/ctrlProp" Target="../ctrlProps/ctrlProp148.xml"/><Relationship Id="rId156"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2" Type="http://schemas.openxmlformats.org/officeDocument/2006/relationships/drawing" Target="../drawings/drawing3.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3"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6.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1">
    <tabColor theme="1"/>
  </sheetPr>
  <dimension ref="A1"/>
  <sheetViews>
    <sheetView workbookViewId="0">
      <selection activeCell="J495" sqref="J495"/>
    </sheetView>
  </sheetViews>
  <sheetFormatPr defaultRowHeight="12.7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Word.Document.8" shapeId="134149" r:id="rId4">
          <objectPr defaultSize="0" autoPict="0" r:id="rId5">
            <anchor moveWithCells="1" sizeWithCells="1">
              <from>
                <xdr:col>0</xdr:col>
                <xdr:colOff>142875</xdr:colOff>
                <xdr:row>508</xdr:row>
                <xdr:rowOff>76200</xdr:rowOff>
              </from>
              <to>
                <xdr:col>8</xdr:col>
                <xdr:colOff>361950</xdr:colOff>
                <xdr:row>530</xdr:row>
                <xdr:rowOff>85725</xdr:rowOff>
              </to>
            </anchor>
          </objectPr>
        </oleObject>
      </mc:Choice>
      <mc:Fallback>
        <oleObject progId="Word.Document.8" shapeId="134149"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tabColor rgb="FFFF0000"/>
  </sheetPr>
  <dimension ref="A1:T109"/>
  <sheetViews>
    <sheetView workbookViewId="0">
      <selection activeCell="Q46" sqref="Q46"/>
    </sheetView>
  </sheetViews>
  <sheetFormatPr defaultRowHeight="12.75"/>
  <sheetData>
    <row r="1" spans="1:20">
      <c r="A1" s="2"/>
      <c r="B1" s="2"/>
      <c r="C1" s="2"/>
      <c r="D1" s="2"/>
      <c r="E1" s="2"/>
      <c r="F1" s="2"/>
      <c r="G1" s="2"/>
      <c r="H1" s="2"/>
      <c r="I1" s="2"/>
      <c r="J1" s="2"/>
      <c r="K1" s="2"/>
      <c r="L1" s="2"/>
      <c r="M1" s="2"/>
      <c r="N1" s="2"/>
      <c r="O1" s="2"/>
      <c r="P1" s="2"/>
      <c r="Q1" s="2"/>
      <c r="R1" s="2"/>
      <c r="S1" s="2"/>
      <c r="T1" s="2"/>
    </row>
    <row r="2" spans="1:20" ht="20.25">
      <c r="A2" s="2"/>
      <c r="B2" s="422" t="s">
        <v>328</v>
      </c>
      <c r="C2" s="364"/>
      <c r="D2" s="364"/>
      <c r="E2" s="364"/>
      <c r="F2" s="364"/>
      <c r="G2" s="364"/>
      <c r="H2" s="364"/>
      <c r="I2" s="364"/>
      <c r="J2" s="364"/>
      <c r="K2" s="364"/>
      <c r="L2" s="364"/>
      <c r="M2" s="424"/>
      <c r="N2" s="364"/>
      <c r="O2" s="364"/>
      <c r="P2" s="367"/>
      <c r="Q2" s="2"/>
      <c r="R2" s="2"/>
      <c r="S2" s="2"/>
      <c r="T2" s="2"/>
    </row>
    <row r="3" spans="1:20">
      <c r="A3" s="2"/>
      <c r="B3" s="423" t="s">
        <v>329</v>
      </c>
      <c r="C3" s="365"/>
      <c r="D3" s="365"/>
      <c r="E3" s="365"/>
      <c r="F3" s="365"/>
      <c r="G3" s="365"/>
      <c r="H3" s="365"/>
      <c r="I3" s="365"/>
      <c r="J3" s="365"/>
      <c r="K3" s="365"/>
      <c r="L3" s="365"/>
      <c r="M3" s="425"/>
      <c r="N3" s="425"/>
      <c r="O3" s="425"/>
      <c r="P3" s="366"/>
      <c r="Q3" s="2"/>
      <c r="R3" s="2"/>
      <c r="S3" s="2"/>
      <c r="T3" s="2"/>
    </row>
    <row r="4" spans="1:20">
      <c r="A4" s="2"/>
      <c r="B4" s="2"/>
      <c r="C4" s="2"/>
      <c r="D4" s="2"/>
      <c r="E4" s="2"/>
      <c r="F4" s="2"/>
      <c r="G4" s="2"/>
      <c r="H4" s="2"/>
      <c r="I4" s="2"/>
      <c r="J4" s="2"/>
      <c r="K4" s="2"/>
      <c r="L4" s="2"/>
      <c r="M4" s="2"/>
      <c r="N4" s="2"/>
      <c r="O4" s="2"/>
      <c r="P4" s="2"/>
      <c r="Q4" s="2"/>
      <c r="R4" s="2"/>
      <c r="S4" s="2"/>
      <c r="T4" s="2"/>
    </row>
    <row r="5" spans="1:20" ht="15.75">
      <c r="A5" s="2"/>
      <c r="B5" s="2"/>
      <c r="C5" s="2"/>
      <c r="D5" s="2"/>
      <c r="E5" s="2"/>
      <c r="F5" s="2"/>
      <c r="G5" s="2"/>
      <c r="H5" s="2"/>
      <c r="I5" s="2"/>
      <c r="J5" s="2"/>
      <c r="K5" s="2"/>
      <c r="L5" s="2"/>
      <c r="M5" s="2"/>
      <c r="N5" s="3" t="s">
        <v>115</v>
      </c>
      <c r="O5" s="4" t="s">
        <v>116</v>
      </c>
      <c r="P5" s="2"/>
      <c r="Q5" s="2"/>
      <c r="R5" s="2"/>
      <c r="S5" s="2"/>
      <c r="T5" s="2"/>
    </row>
    <row r="6" spans="1:20">
      <c r="A6" s="2"/>
      <c r="B6" s="2"/>
      <c r="C6" s="2"/>
      <c r="D6" s="2"/>
      <c r="E6" s="2"/>
      <c r="F6" s="2"/>
      <c r="G6" s="2"/>
      <c r="H6" s="2"/>
      <c r="I6" s="2"/>
      <c r="J6" s="2"/>
      <c r="K6" s="2"/>
      <c r="L6" s="2"/>
      <c r="M6" s="2"/>
      <c r="N6" s="2"/>
      <c r="O6" s="2"/>
      <c r="P6" s="2"/>
      <c r="Q6" s="2"/>
      <c r="R6" s="2"/>
      <c r="S6" s="2"/>
      <c r="T6" s="2"/>
    </row>
    <row r="7" spans="1:20">
      <c r="A7" s="2"/>
      <c r="B7" s="2"/>
      <c r="C7" s="2"/>
      <c r="D7" s="2"/>
      <c r="E7" s="2"/>
      <c r="F7" s="2"/>
      <c r="G7" s="2"/>
      <c r="H7" s="2"/>
      <c r="I7" s="2"/>
      <c r="J7" s="2"/>
      <c r="K7" s="2"/>
      <c r="L7" s="2"/>
      <c r="M7" s="2"/>
      <c r="N7" s="2"/>
      <c r="O7" s="2"/>
      <c r="P7" s="2"/>
      <c r="Q7" s="2"/>
      <c r="R7" s="2"/>
      <c r="S7" s="2"/>
      <c r="T7" s="2"/>
    </row>
    <row r="8" spans="1:20">
      <c r="A8" s="2"/>
      <c r="B8" s="2"/>
      <c r="C8" s="2"/>
      <c r="D8" s="2"/>
      <c r="E8" s="2"/>
      <c r="F8" s="2"/>
      <c r="G8" s="2"/>
      <c r="H8" s="2"/>
      <c r="I8" s="2"/>
      <c r="J8" s="2"/>
      <c r="K8" s="2"/>
      <c r="L8" s="2"/>
      <c r="M8" s="2"/>
      <c r="N8" s="2"/>
      <c r="O8" s="2"/>
      <c r="P8" s="2"/>
      <c r="Q8" s="2"/>
      <c r="R8" s="2"/>
      <c r="S8" s="2"/>
      <c r="T8" s="2"/>
    </row>
    <row r="9" spans="1:20">
      <c r="A9" s="2"/>
      <c r="B9" s="2"/>
      <c r="C9" s="2"/>
      <c r="D9" s="2"/>
      <c r="E9" s="2"/>
      <c r="F9" s="2"/>
      <c r="G9" s="2"/>
      <c r="H9" s="2"/>
      <c r="I9" s="2"/>
      <c r="J9" s="2"/>
      <c r="K9" s="2"/>
      <c r="L9" s="2"/>
      <c r="M9" s="2"/>
      <c r="N9" s="2"/>
      <c r="O9" s="2"/>
      <c r="P9" s="2"/>
      <c r="Q9" s="2"/>
      <c r="R9" s="2"/>
      <c r="S9" s="2"/>
      <c r="T9" s="2"/>
    </row>
    <row r="10" spans="1:20">
      <c r="A10" s="2"/>
      <c r="B10" s="2"/>
      <c r="C10" s="2"/>
      <c r="D10" s="2"/>
      <c r="E10" s="2"/>
      <c r="F10" s="2"/>
      <c r="G10" s="2"/>
      <c r="H10" s="2"/>
      <c r="I10" s="2"/>
      <c r="J10" s="2"/>
      <c r="K10" s="2"/>
      <c r="L10" s="2"/>
      <c r="M10" s="2"/>
      <c r="N10" s="2"/>
      <c r="O10" s="2"/>
      <c r="P10" s="2"/>
      <c r="Q10" s="2"/>
      <c r="R10" s="2"/>
      <c r="S10" s="2"/>
      <c r="T10" s="2"/>
    </row>
    <row r="11" spans="1:20">
      <c r="A11" s="2"/>
      <c r="B11" s="2"/>
      <c r="C11" s="2"/>
      <c r="D11" s="2"/>
      <c r="E11" s="2"/>
      <c r="F11" s="2"/>
      <c r="G11" s="2"/>
      <c r="H11" s="2"/>
      <c r="I11" s="2"/>
      <c r="J11" s="2"/>
      <c r="K11" s="2"/>
      <c r="L11" s="2"/>
      <c r="M11" s="2"/>
      <c r="N11" s="2"/>
      <c r="O11" s="2"/>
      <c r="P11" s="2"/>
      <c r="Q11" s="2"/>
      <c r="R11" s="2"/>
      <c r="S11" s="2"/>
      <c r="T11" s="2"/>
    </row>
    <row r="12" spans="1:20">
      <c r="A12" s="2"/>
      <c r="B12" s="2"/>
      <c r="C12" s="2"/>
      <c r="D12" s="2"/>
      <c r="E12" s="2"/>
      <c r="F12" s="2"/>
      <c r="G12" s="2"/>
      <c r="H12" s="2"/>
      <c r="I12" s="2"/>
      <c r="J12" s="2"/>
      <c r="K12" s="2"/>
      <c r="L12" s="2"/>
      <c r="M12" s="2"/>
      <c r="N12" s="2"/>
      <c r="O12" s="2"/>
      <c r="P12" s="2"/>
      <c r="Q12" s="2"/>
      <c r="R12" s="2"/>
      <c r="S12" s="2"/>
      <c r="T12" s="2"/>
    </row>
    <row r="13" spans="1:20">
      <c r="A13" s="263"/>
      <c r="B13" s="263"/>
      <c r="C13" s="263"/>
      <c r="D13" s="263"/>
      <c r="E13" s="263"/>
      <c r="F13" s="263"/>
      <c r="G13" s="263"/>
      <c r="H13" s="263"/>
      <c r="I13" s="263"/>
      <c r="J13" s="263"/>
      <c r="K13" s="263"/>
      <c r="L13" s="263"/>
      <c r="M13" s="263"/>
      <c r="N13" s="263"/>
      <c r="O13" s="263"/>
      <c r="P13" s="263"/>
      <c r="Q13" s="263"/>
      <c r="R13" s="2"/>
      <c r="S13" s="2"/>
      <c r="T13" s="2"/>
    </row>
    <row r="14" spans="1:20">
      <c r="A14" s="263"/>
      <c r="B14" s="263"/>
      <c r="C14" s="263"/>
      <c r="D14" s="263"/>
      <c r="E14" s="263"/>
      <c r="F14" s="263"/>
      <c r="G14" s="263"/>
      <c r="H14" s="263"/>
      <c r="I14" s="263"/>
      <c r="J14" s="263"/>
      <c r="K14" s="263"/>
      <c r="L14" s="263"/>
      <c r="M14" s="263"/>
      <c r="N14" s="263"/>
      <c r="O14" s="263"/>
      <c r="P14" s="263"/>
      <c r="Q14" s="263"/>
      <c r="R14" s="2"/>
      <c r="S14" s="2"/>
      <c r="T14" s="2"/>
    </row>
    <row r="15" spans="1:20">
      <c r="A15" s="263"/>
      <c r="B15" s="263"/>
      <c r="C15" s="263"/>
      <c r="D15" s="263"/>
      <c r="E15" s="263"/>
      <c r="F15" s="263"/>
      <c r="G15" s="263"/>
      <c r="H15" s="263"/>
      <c r="I15" s="263"/>
      <c r="J15" s="263"/>
      <c r="K15" s="263"/>
      <c r="L15" s="263"/>
      <c r="M15" s="263"/>
      <c r="N15" s="263"/>
      <c r="O15" s="263"/>
      <c r="P15" s="263"/>
      <c r="Q15" s="263"/>
      <c r="R15" s="2"/>
      <c r="S15" s="2"/>
      <c r="T15" s="2"/>
    </row>
    <row r="16" spans="1:20">
      <c r="A16" s="263"/>
      <c r="B16" s="263"/>
      <c r="C16" s="263"/>
      <c r="D16" s="263"/>
      <c r="E16" s="263"/>
      <c r="F16" s="263"/>
      <c r="G16" s="263"/>
      <c r="H16" s="263"/>
      <c r="I16" s="263"/>
      <c r="J16" s="263"/>
      <c r="K16" s="263"/>
      <c r="L16" s="263"/>
      <c r="M16" s="263"/>
      <c r="N16" s="263"/>
      <c r="O16" s="263"/>
      <c r="P16" s="263"/>
      <c r="Q16" s="263"/>
      <c r="R16" s="2"/>
      <c r="S16" s="2"/>
      <c r="T16" s="2"/>
    </row>
    <row r="17" spans="1:20">
      <c r="A17" s="263"/>
      <c r="B17" s="263"/>
      <c r="C17" s="263"/>
      <c r="D17" s="263"/>
      <c r="E17" s="263"/>
      <c r="F17" s="263"/>
      <c r="G17" s="263"/>
      <c r="H17" s="263"/>
      <c r="I17" s="263"/>
      <c r="J17" s="263"/>
      <c r="K17" s="263"/>
      <c r="L17" s="263"/>
      <c r="M17" s="263"/>
      <c r="N17" s="263"/>
      <c r="O17" s="263"/>
      <c r="P17" s="263"/>
      <c r="Q17" s="263"/>
      <c r="R17" s="2"/>
      <c r="S17" s="2"/>
      <c r="T17" s="2"/>
    </row>
    <row r="18" spans="1:20">
      <c r="A18" s="263"/>
      <c r="B18" s="263"/>
      <c r="C18" s="263"/>
      <c r="D18" s="263"/>
      <c r="E18" s="263"/>
      <c r="F18" s="263"/>
      <c r="G18" s="263"/>
      <c r="H18" s="263"/>
      <c r="I18" s="263"/>
      <c r="J18" s="263"/>
      <c r="K18" s="263"/>
      <c r="L18" s="263"/>
      <c r="M18" s="263"/>
      <c r="N18" s="263"/>
      <c r="O18" s="263"/>
      <c r="P18" s="263"/>
      <c r="Q18" s="263"/>
      <c r="R18" s="2"/>
      <c r="S18" s="2"/>
      <c r="T18" s="2"/>
    </row>
    <row r="19" spans="1:20">
      <c r="A19" s="263"/>
      <c r="B19" s="263"/>
      <c r="C19" s="263"/>
      <c r="D19" s="263"/>
      <c r="E19" s="263"/>
      <c r="F19" s="263"/>
      <c r="G19" s="263"/>
      <c r="H19" s="263"/>
      <c r="I19" s="263"/>
      <c r="J19" s="263"/>
      <c r="K19" s="263"/>
      <c r="L19" s="263"/>
      <c r="M19" s="263"/>
      <c r="N19" s="263"/>
      <c r="O19" s="263"/>
      <c r="P19" s="263"/>
      <c r="Q19" s="263"/>
      <c r="R19" s="2"/>
      <c r="S19" s="2"/>
      <c r="T19" s="2"/>
    </row>
    <row r="20" spans="1:20">
      <c r="A20" s="263"/>
      <c r="B20" s="263"/>
      <c r="C20" s="263"/>
      <c r="D20" s="263"/>
      <c r="E20" s="263"/>
      <c r="F20" s="263"/>
      <c r="G20" s="263"/>
      <c r="H20" s="263"/>
      <c r="I20" s="263"/>
      <c r="J20" s="263"/>
      <c r="K20" s="263"/>
      <c r="L20" s="263"/>
      <c r="M20" s="263"/>
      <c r="N20" s="263"/>
      <c r="O20" s="263"/>
      <c r="P20" s="263"/>
      <c r="Q20" s="263"/>
      <c r="R20" s="2"/>
      <c r="S20" s="2"/>
      <c r="T20" s="2"/>
    </row>
    <row r="21" spans="1:20">
      <c r="A21" s="263"/>
      <c r="B21" s="263"/>
      <c r="C21" s="263"/>
      <c r="D21" s="263"/>
      <c r="E21" s="263"/>
      <c r="F21" s="263"/>
      <c r="G21" s="263"/>
      <c r="H21" s="263"/>
      <c r="I21" s="263"/>
      <c r="J21" s="263"/>
      <c r="K21" s="263"/>
      <c r="L21" s="263"/>
      <c r="M21" s="263"/>
      <c r="N21" s="263"/>
      <c r="O21" s="263"/>
      <c r="P21" s="263"/>
      <c r="Q21" s="263"/>
      <c r="R21" s="2"/>
      <c r="S21" s="2"/>
      <c r="T21" s="2"/>
    </row>
    <row r="22" spans="1:20">
      <c r="A22" s="263"/>
      <c r="B22" s="263"/>
      <c r="C22" s="263"/>
      <c r="D22" s="263"/>
      <c r="E22" s="263"/>
      <c r="F22" s="263"/>
      <c r="G22" s="263"/>
      <c r="H22" s="263"/>
      <c r="I22" s="263"/>
      <c r="J22" s="263"/>
      <c r="K22" s="263"/>
      <c r="L22" s="263"/>
      <c r="M22" s="263"/>
      <c r="N22" s="263"/>
      <c r="O22" s="263"/>
      <c r="P22" s="263"/>
      <c r="Q22" s="263"/>
      <c r="R22" s="2"/>
      <c r="S22" s="2"/>
      <c r="T22" s="2"/>
    </row>
    <row r="23" spans="1:20">
      <c r="A23" s="263"/>
      <c r="B23" s="263"/>
      <c r="C23" s="263"/>
      <c r="D23" s="263"/>
      <c r="E23" s="263"/>
      <c r="F23" s="263"/>
      <c r="G23" s="263"/>
      <c r="H23" s="263"/>
      <c r="I23" s="263"/>
      <c r="J23" s="263"/>
      <c r="K23" s="263"/>
      <c r="L23" s="263"/>
      <c r="M23" s="263"/>
      <c r="N23" s="263"/>
      <c r="O23" s="263"/>
      <c r="P23" s="263"/>
      <c r="Q23" s="263"/>
      <c r="R23" s="2"/>
      <c r="S23" s="2"/>
      <c r="T23" s="2"/>
    </row>
    <row r="24" spans="1:20">
      <c r="A24" s="263"/>
      <c r="B24" s="263"/>
      <c r="C24" s="263"/>
      <c r="D24" s="263"/>
      <c r="E24" s="263"/>
      <c r="F24" s="263"/>
      <c r="G24" s="263"/>
      <c r="H24" s="263"/>
      <c r="I24" s="263"/>
      <c r="J24" s="263"/>
      <c r="K24" s="263"/>
      <c r="L24" s="263"/>
      <c r="M24" s="263"/>
      <c r="N24" s="263"/>
      <c r="O24" s="263"/>
      <c r="P24" s="263"/>
      <c r="Q24" s="263"/>
      <c r="R24" s="2"/>
      <c r="S24" s="2"/>
      <c r="T24" s="2"/>
    </row>
    <row r="25" spans="1:20">
      <c r="A25" s="263"/>
      <c r="B25" s="263"/>
      <c r="C25" s="263"/>
      <c r="D25" s="263"/>
      <c r="E25" s="263"/>
      <c r="F25" s="263"/>
      <c r="G25" s="263"/>
      <c r="H25" s="263"/>
      <c r="I25" s="263"/>
      <c r="J25" s="263"/>
      <c r="K25" s="263"/>
      <c r="L25" s="263"/>
      <c r="M25" s="263"/>
      <c r="N25" s="263"/>
      <c r="O25" s="263"/>
      <c r="P25" s="263"/>
      <c r="Q25" s="263"/>
      <c r="R25" s="2"/>
      <c r="S25" s="2"/>
      <c r="T25" s="2"/>
    </row>
    <row r="26" spans="1:20">
      <c r="A26" s="263"/>
      <c r="B26" s="263"/>
      <c r="C26" s="263"/>
      <c r="D26" s="263"/>
      <c r="E26" s="263"/>
      <c r="F26" s="263"/>
      <c r="G26" s="263"/>
      <c r="H26" s="263"/>
      <c r="I26" s="263"/>
      <c r="J26" s="263"/>
      <c r="K26" s="263"/>
      <c r="L26" s="263"/>
      <c r="M26" s="263"/>
      <c r="N26" s="263"/>
      <c r="O26" s="263"/>
      <c r="P26" s="263"/>
      <c r="Q26" s="263"/>
      <c r="R26" s="2"/>
      <c r="S26" s="2"/>
      <c r="T26" s="2"/>
    </row>
    <row r="27" spans="1:20">
      <c r="A27" s="263"/>
      <c r="B27" s="263"/>
      <c r="C27" s="263"/>
      <c r="D27" s="263"/>
      <c r="E27" s="263"/>
      <c r="F27" s="263"/>
      <c r="G27" s="263"/>
      <c r="H27" s="263"/>
      <c r="I27" s="263"/>
      <c r="J27" s="263"/>
      <c r="K27" s="263"/>
      <c r="L27" s="263"/>
      <c r="M27" s="263"/>
      <c r="N27" s="263"/>
      <c r="O27" s="263"/>
      <c r="P27" s="263"/>
      <c r="Q27" s="263"/>
      <c r="R27" s="2"/>
      <c r="S27" s="2"/>
      <c r="T27" s="2"/>
    </row>
    <row r="28" spans="1:20">
      <c r="A28" s="263"/>
      <c r="B28" s="263"/>
      <c r="C28" s="263"/>
      <c r="D28" s="263"/>
      <c r="E28" s="263"/>
      <c r="F28" s="263"/>
      <c r="G28" s="263"/>
      <c r="H28" s="263"/>
      <c r="I28" s="263"/>
      <c r="J28" s="263"/>
      <c r="K28" s="263"/>
      <c r="L28" s="263"/>
      <c r="M28" s="263"/>
      <c r="N28" s="263"/>
      <c r="O28" s="263"/>
      <c r="P28" s="263"/>
      <c r="Q28" s="263"/>
      <c r="R28" s="2"/>
      <c r="S28" s="2"/>
      <c r="T28" s="2"/>
    </row>
    <row r="29" spans="1:20">
      <c r="A29" s="263"/>
      <c r="B29" s="263"/>
      <c r="C29" s="263"/>
      <c r="D29" s="263"/>
      <c r="E29" s="263"/>
      <c r="F29" s="263"/>
      <c r="G29" s="263"/>
      <c r="H29" s="263"/>
      <c r="I29" s="263"/>
      <c r="J29" s="263"/>
      <c r="K29" s="263"/>
      <c r="L29" s="263"/>
      <c r="M29" s="263"/>
      <c r="N29" s="263"/>
      <c r="O29" s="263"/>
      <c r="P29" s="263"/>
      <c r="Q29" s="263"/>
      <c r="R29" s="2"/>
      <c r="S29" s="2"/>
      <c r="T29" s="2"/>
    </row>
    <row r="30" spans="1:20">
      <c r="A30" s="263"/>
      <c r="B30" s="263"/>
      <c r="C30" s="263"/>
      <c r="D30" s="263"/>
      <c r="E30" s="263"/>
      <c r="F30" s="263"/>
      <c r="G30" s="263"/>
      <c r="H30" s="263"/>
      <c r="I30" s="263"/>
      <c r="J30" s="263"/>
      <c r="K30" s="263"/>
      <c r="L30" s="263"/>
      <c r="M30" s="263"/>
      <c r="N30" s="263"/>
      <c r="O30" s="263"/>
      <c r="P30" s="263"/>
      <c r="Q30" s="263"/>
      <c r="R30" s="2"/>
      <c r="S30" s="2"/>
      <c r="T30" s="2"/>
    </row>
    <row r="31" spans="1:20">
      <c r="A31" s="263"/>
      <c r="B31" s="263"/>
      <c r="C31" s="263"/>
      <c r="D31" s="263"/>
      <c r="E31" s="263"/>
      <c r="F31" s="263"/>
      <c r="G31" s="263"/>
      <c r="H31" s="263"/>
      <c r="I31" s="263"/>
      <c r="J31" s="263"/>
      <c r="K31" s="263"/>
      <c r="L31" s="263"/>
      <c r="M31" s="263"/>
      <c r="N31" s="263"/>
      <c r="O31" s="263"/>
      <c r="P31" s="263"/>
      <c r="Q31" s="263"/>
      <c r="R31" s="2"/>
      <c r="S31" s="2"/>
      <c r="T31" s="2"/>
    </row>
    <row r="32" spans="1:20">
      <c r="A32" s="263"/>
      <c r="B32" s="263"/>
      <c r="C32" s="263"/>
      <c r="D32" s="263"/>
      <c r="E32" s="263"/>
      <c r="F32" s="263"/>
      <c r="G32" s="263"/>
      <c r="H32" s="263"/>
      <c r="I32" s="263"/>
      <c r="J32" s="263"/>
      <c r="K32" s="263"/>
      <c r="L32" s="263"/>
      <c r="M32" s="263"/>
      <c r="N32" s="263"/>
      <c r="O32" s="263"/>
      <c r="P32" s="263"/>
      <c r="Q32" s="263"/>
      <c r="R32" s="2"/>
      <c r="S32" s="2"/>
      <c r="T32" s="2"/>
    </row>
    <row r="33" spans="1:20">
      <c r="A33" s="263"/>
      <c r="B33" s="263"/>
      <c r="C33" s="263"/>
      <c r="D33" s="263"/>
      <c r="E33" s="263"/>
      <c r="F33" s="263"/>
      <c r="G33" s="263"/>
      <c r="H33" s="263"/>
      <c r="I33" s="263"/>
      <c r="J33" s="263"/>
      <c r="K33" s="263"/>
      <c r="L33" s="263"/>
      <c r="M33" s="263"/>
      <c r="N33" s="263"/>
      <c r="O33" s="263"/>
      <c r="P33" s="263"/>
      <c r="Q33" s="263"/>
      <c r="R33" s="2"/>
      <c r="S33" s="2"/>
      <c r="T33" s="2"/>
    </row>
    <row r="34" spans="1:20">
      <c r="A34" s="263"/>
      <c r="B34" s="263"/>
      <c r="C34" s="263"/>
      <c r="D34" s="263"/>
      <c r="E34" s="263"/>
      <c r="F34" s="263"/>
      <c r="G34" s="263"/>
      <c r="H34" s="263"/>
      <c r="I34" s="263"/>
      <c r="J34" s="263"/>
      <c r="K34" s="263"/>
      <c r="L34" s="263"/>
      <c r="M34" s="263"/>
      <c r="N34" s="263"/>
      <c r="O34" s="263"/>
      <c r="P34" s="263"/>
      <c r="Q34" s="263"/>
      <c r="R34" s="2"/>
      <c r="S34" s="2"/>
      <c r="T34" s="2"/>
    </row>
    <row r="35" spans="1:20">
      <c r="A35" s="263"/>
      <c r="B35" s="263"/>
      <c r="C35" s="263"/>
      <c r="D35" s="263"/>
      <c r="E35" s="263"/>
      <c r="F35" s="263"/>
      <c r="G35" s="263"/>
      <c r="H35" s="263"/>
      <c r="I35" s="263"/>
      <c r="J35" s="263"/>
      <c r="K35" s="263"/>
      <c r="L35" s="263"/>
      <c r="M35" s="263"/>
      <c r="N35" s="263"/>
      <c r="O35" s="263"/>
      <c r="P35" s="263"/>
      <c r="Q35" s="263"/>
      <c r="R35" s="2"/>
      <c r="S35" s="2"/>
      <c r="T35" s="2"/>
    </row>
    <row r="36" spans="1:20">
      <c r="A36" s="263"/>
      <c r="B36" s="263"/>
      <c r="C36" s="263"/>
      <c r="D36" s="263"/>
      <c r="E36" s="263"/>
      <c r="F36" s="263"/>
      <c r="G36" s="263"/>
      <c r="H36" s="263"/>
      <c r="I36" s="263"/>
      <c r="J36" s="263"/>
      <c r="K36" s="263"/>
      <c r="L36" s="263"/>
      <c r="M36" s="263"/>
      <c r="N36" s="263"/>
      <c r="O36" s="263"/>
      <c r="P36" s="263"/>
      <c r="Q36" s="263"/>
      <c r="R36" s="2"/>
      <c r="S36" s="2"/>
      <c r="T36" s="2"/>
    </row>
    <row r="37" spans="1:20">
      <c r="A37" s="2"/>
      <c r="B37" s="2"/>
      <c r="C37" s="2"/>
      <c r="D37" s="2"/>
      <c r="E37" s="2"/>
      <c r="F37" s="2"/>
      <c r="G37" s="2"/>
      <c r="H37" s="2"/>
      <c r="I37" s="2"/>
      <c r="J37" s="2"/>
      <c r="K37" s="2"/>
      <c r="L37" s="2"/>
      <c r="M37" s="2"/>
      <c r="N37" s="2"/>
      <c r="O37" s="2"/>
      <c r="P37" s="2"/>
      <c r="Q37" s="2"/>
      <c r="R37" s="2"/>
      <c r="S37" s="2"/>
      <c r="T37" s="2"/>
    </row>
    <row r="38" spans="1:20">
      <c r="A38" s="2"/>
      <c r="B38" s="2"/>
      <c r="C38" s="2"/>
      <c r="D38" s="2"/>
      <c r="E38" s="2"/>
      <c r="F38" s="2"/>
      <c r="G38" s="2"/>
      <c r="H38" s="2"/>
      <c r="I38" s="2"/>
      <c r="J38" s="2"/>
      <c r="K38" s="2"/>
      <c r="L38" s="2"/>
      <c r="M38" s="6"/>
      <c r="N38" s="2"/>
      <c r="O38" s="2"/>
      <c r="P38" s="2"/>
      <c r="Q38" s="2"/>
      <c r="R38" s="2"/>
      <c r="S38" s="2"/>
      <c r="T38" s="2"/>
    </row>
    <row r="39" spans="1:20">
      <c r="A39" s="2"/>
      <c r="B39" s="6" t="s">
        <v>59</v>
      </c>
      <c r="C39" s="2"/>
      <c r="D39" s="2"/>
      <c r="E39" s="2"/>
      <c r="F39" s="2"/>
      <c r="G39" s="2"/>
      <c r="H39" s="2"/>
      <c r="I39" s="2"/>
      <c r="K39" s="2"/>
      <c r="L39" s="2"/>
      <c r="M39" s="2"/>
      <c r="N39" s="2"/>
      <c r="O39" s="2"/>
      <c r="P39" s="2"/>
      <c r="Q39" s="2"/>
      <c r="R39" s="2"/>
      <c r="S39" s="2"/>
      <c r="T39" s="2"/>
    </row>
    <row r="40" spans="1:20">
      <c r="A40" s="2"/>
      <c r="B40" s="164" t="s">
        <v>60</v>
      </c>
      <c r="C40" s="2"/>
      <c r="D40" s="2"/>
      <c r="E40" s="2"/>
      <c r="F40" s="2"/>
      <c r="G40" s="2"/>
      <c r="H40" s="2"/>
      <c r="I40" s="2"/>
      <c r="J40" s="2"/>
      <c r="K40" s="2"/>
      <c r="L40" s="2"/>
      <c r="M40" s="6"/>
      <c r="N40" s="2"/>
      <c r="O40" s="2"/>
      <c r="P40" s="2"/>
      <c r="Q40" s="2"/>
      <c r="R40" s="2"/>
      <c r="S40" s="2"/>
      <c r="T40" s="2"/>
    </row>
    <row r="41" spans="1:20">
      <c r="A41" s="2"/>
      <c r="B41" s="2"/>
      <c r="C41" s="2"/>
      <c r="D41" s="2"/>
      <c r="E41" s="2"/>
      <c r="F41" s="2"/>
      <c r="G41" s="2"/>
      <c r="H41" s="2"/>
      <c r="I41" s="2"/>
      <c r="J41" s="6" t="s">
        <v>61</v>
      </c>
      <c r="K41" s="2"/>
      <c r="L41" s="2"/>
      <c r="M41" s="2"/>
      <c r="N41" s="2"/>
      <c r="O41" s="2"/>
      <c r="P41" s="2"/>
      <c r="Q41" s="2"/>
      <c r="R41" s="2"/>
      <c r="S41" s="2"/>
      <c r="T41" s="2"/>
    </row>
    <row r="42" spans="1:20" ht="15">
      <c r="A42" s="2"/>
      <c r="B42" s="2"/>
      <c r="C42" s="2"/>
      <c r="D42" s="2"/>
      <c r="E42" s="2"/>
      <c r="F42" s="2"/>
      <c r="G42" s="2"/>
      <c r="H42" s="2"/>
      <c r="I42" s="2"/>
      <c r="J42" s="2301" t="s">
        <v>62</v>
      </c>
      <c r="K42" s="1481"/>
      <c r="L42" s="2297" t="s">
        <v>120</v>
      </c>
      <c r="M42" s="6"/>
      <c r="N42" s="2"/>
      <c r="O42" s="2"/>
      <c r="P42" s="2"/>
      <c r="Q42" s="2"/>
      <c r="R42" s="2"/>
      <c r="S42" s="2"/>
      <c r="T42" s="2"/>
    </row>
    <row r="43" spans="1:20">
      <c r="A43" s="2"/>
      <c r="B43" s="2"/>
      <c r="C43" s="2"/>
      <c r="D43" s="2"/>
      <c r="E43" s="2"/>
      <c r="F43" s="2"/>
      <c r="G43" s="2"/>
      <c r="H43" s="2"/>
      <c r="I43" s="2"/>
      <c r="J43" s="2299" t="s">
        <v>63</v>
      </c>
      <c r="K43" s="371"/>
      <c r="L43" s="2298"/>
      <c r="M43" s="6"/>
      <c r="N43" s="2"/>
      <c r="O43" s="2"/>
      <c r="P43" s="2"/>
      <c r="Q43" s="2"/>
      <c r="R43" s="2"/>
      <c r="S43" s="2"/>
      <c r="T43" s="2"/>
    </row>
    <row r="44" spans="1:20">
      <c r="A44" s="2"/>
      <c r="B44" s="2"/>
      <c r="C44" s="2"/>
      <c r="D44" s="2"/>
      <c r="E44" s="2"/>
      <c r="F44" s="2"/>
      <c r="G44" s="2"/>
      <c r="H44" s="2"/>
      <c r="I44" s="2"/>
      <c r="J44" s="1551" t="s">
        <v>64</v>
      </c>
      <c r="K44" s="1552"/>
      <c r="L44" s="427">
        <v>7</v>
      </c>
      <c r="M44" s="6"/>
      <c r="N44" s="2"/>
      <c r="O44" s="2"/>
      <c r="P44" s="2"/>
      <c r="Q44" s="2"/>
      <c r="R44" s="2"/>
      <c r="S44" s="2"/>
      <c r="T44" s="2"/>
    </row>
    <row r="45" spans="1:20">
      <c r="A45" s="2"/>
      <c r="B45" s="2"/>
      <c r="C45" s="2"/>
      <c r="D45" s="2"/>
      <c r="E45" s="2"/>
      <c r="F45" s="2"/>
      <c r="G45" s="2"/>
      <c r="H45" s="2"/>
      <c r="I45" s="2"/>
      <c r="J45" s="392" t="s">
        <v>65</v>
      </c>
      <c r="K45" s="1481"/>
      <c r="L45" s="427">
        <v>5</v>
      </c>
      <c r="M45" s="2"/>
      <c r="N45" s="2"/>
      <c r="O45" s="2"/>
      <c r="P45" s="2"/>
      <c r="Q45" s="2"/>
      <c r="R45" s="2"/>
      <c r="S45" s="2"/>
      <c r="T45" s="2"/>
    </row>
    <row r="46" spans="1:20">
      <c r="A46" s="2"/>
      <c r="B46" s="2"/>
      <c r="C46" s="2"/>
      <c r="D46" s="2"/>
      <c r="E46" s="2"/>
      <c r="F46" s="2"/>
      <c r="G46" s="2"/>
      <c r="H46" s="2"/>
      <c r="I46" s="2"/>
      <c r="J46" s="1551" t="s">
        <v>66</v>
      </c>
      <c r="K46" s="1552"/>
      <c r="L46" s="427">
        <v>0</v>
      </c>
      <c r="M46" s="2"/>
      <c r="N46" s="2"/>
      <c r="O46" s="2"/>
      <c r="P46" s="2"/>
      <c r="Q46" s="2"/>
      <c r="R46" s="2"/>
      <c r="S46" s="2"/>
      <c r="T46" s="2"/>
    </row>
    <row r="47" spans="1:20">
      <c r="A47" s="2"/>
      <c r="B47" s="2"/>
      <c r="C47" s="2"/>
      <c r="D47" s="2"/>
      <c r="E47" s="2"/>
      <c r="F47" s="2"/>
      <c r="G47" s="2"/>
      <c r="H47" s="2"/>
      <c r="I47" s="2"/>
      <c r="J47" s="2300" t="s">
        <v>67</v>
      </c>
      <c r="K47" s="1481"/>
      <c r="L47" s="427"/>
      <c r="M47" s="6"/>
      <c r="N47" s="2"/>
      <c r="O47" s="2"/>
      <c r="P47" s="2"/>
      <c r="Q47" s="2"/>
      <c r="R47" s="2"/>
      <c r="S47" s="2"/>
      <c r="T47" s="2"/>
    </row>
    <row r="48" spans="1:20">
      <c r="A48" s="2"/>
      <c r="B48" s="2"/>
      <c r="C48" s="2"/>
      <c r="D48" s="2"/>
      <c r="E48" s="2"/>
      <c r="F48" s="2"/>
      <c r="G48" s="2"/>
      <c r="H48" s="2"/>
      <c r="I48" s="2"/>
      <c r="J48" s="392" t="s">
        <v>68</v>
      </c>
      <c r="K48" s="1481"/>
      <c r="L48" s="427">
        <v>8</v>
      </c>
      <c r="M48" s="6"/>
      <c r="N48" s="2"/>
      <c r="O48" s="2"/>
      <c r="P48" s="2"/>
      <c r="Q48" s="2"/>
      <c r="R48" s="2"/>
      <c r="S48" s="2"/>
      <c r="T48" s="2"/>
    </row>
    <row r="49" spans="1:20">
      <c r="A49" s="2"/>
      <c r="B49" s="2"/>
      <c r="C49" s="2"/>
      <c r="D49" s="2"/>
      <c r="E49" s="2"/>
      <c r="F49" s="2"/>
      <c r="G49" s="2"/>
      <c r="H49" s="2"/>
      <c r="I49" s="2"/>
      <c r="J49" s="392" t="s">
        <v>69</v>
      </c>
      <c r="K49" s="1481"/>
      <c r="L49" s="427">
        <v>8</v>
      </c>
      <c r="M49" s="6"/>
      <c r="N49" s="2"/>
      <c r="O49" s="2"/>
      <c r="P49" s="2"/>
      <c r="Q49" s="2"/>
      <c r="R49" s="2"/>
      <c r="S49" s="2"/>
      <c r="T49" s="2"/>
    </row>
    <row r="50" spans="1:20">
      <c r="A50" s="2"/>
      <c r="B50" s="2"/>
      <c r="C50" s="2"/>
      <c r="D50" s="2"/>
      <c r="E50" s="2"/>
      <c r="F50" s="2"/>
      <c r="G50" s="2"/>
      <c r="H50" s="2"/>
      <c r="I50" s="2"/>
      <c r="J50" s="1551"/>
      <c r="K50" s="1552"/>
      <c r="L50" s="427"/>
      <c r="M50" s="2"/>
      <c r="N50" s="2"/>
      <c r="O50" s="2"/>
      <c r="P50" s="2"/>
      <c r="Q50" s="2"/>
      <c r="R50" s="2"/>
      <c r="S50" s="2"/>
      <c r="T50" s="2"/>
    </row>
    <row r="51" spans="1:20">
      <c r="A51" s="2"/>
      <c r="B51" s="2"/>
      <c r="C51" s="2"/>
      <c r="D51" s="2"/>
      <c r="E51" s="2"/>
      <c r="F51" s="2"/>
      <c r="G51" s="2"/>
      <c r="H51" s="2"/>
      <c r="I51" s="2"/>
      <c r="J51" s="2300" t="s">
        <v>70</v>
      </c>
      <c r="K51" s="1481"/>
      <c r="L51" s="427">
        <v>5</v>
      </c>
      <c r="M51" s="6"/>
      <c r="N51" s="2"/>
      <c r="O51" s="2"/>
      <c r="P51" s="2"/>
      <c r="Q51" s="2"/>
      <c r="R51" s="2"/>
      <c r="S51" s="2"/>
      <c r="T51" s="2"/>
    </row>
    <row r="52" spans="1:20">
      <c r="A52" s="2"/>
      <c r="B52" s="2"/>
      <c r="C52" s="2"/>
      <c r="D52" s="2"/>
      <c r="E52" s="2"/>
      <c r="F52" s="2"/>
      <c r="G52" s="2"/>
      <c r="H52" s="2"/>
      <c r="I52" s="2"/>
      <c r="J52" s="2"/>
      <c r="K52" s="2"/>
      <c r="L52" s="2"/>
      <c r="M52" s="2"/>
      <c r="N52" s="2"/>
      <c r="O52" s="2"/>
      <c r="P52" s="2"/>
      <c r="Q52" s="2"/>
      <c r="R52" s="2"/>
      <c r="S52" s="2"/>
      <c r="T52" s="2"/>
    </row>
    <row r="53" spans="1:20">
      <c r="A53" s="2"/>
      <c r="B53" s="2"/>
      <c r="C53" s="2"/>
      <c r="D53" s="2"/>
      <c r="E53" s="2"/>
      <c r="F53" s="2"/>
      <c r="G53" s="2"/>
      <c r="H53" s="2"/>
      <c r="I53" s="2"/>
      <c r="J53" s="2"/>
      <c r="K53" s="2"/>
      <c r="L53" s="2"/>
      <c r="M53" s="2"/>
      <c r="N53" s="2"/>
      <c r="O53" s="2"/>
      <c r="P53" s="2"/>
      <c r="Q53" s="2"/>
      <c r="R53" s="2"/>
      <c r="S53" s="2"/>
      <c r="T53" s="2"/>
    </row>
    <row r="54" spans="1:20">
      <c r="A54" s="2"/>
      <c r="B54" s="2"/>
      <c r="C54" s="2"/>
      <c r="D54" s="2"/>
      <c r="E54" s="2"/>
      <c r="F54" s="2"/>
      <c r="G54" s="2"/>
      <c r="H54" s="2"/>
      <c r="I54" s="2"/>
      <c r="J54" s="2"/>
      <c r="K54" s="2"/>
      <c r="L54" s="2"/>
      <c r="M54" s="2"/>
      <c r="N54" s="2"/>
      <c r="O54" s="2"/>
      <c r="P54" s="2"/>
      <c r="Q54" s="2"/>
      <c r="R54" s="2"/>
      <c r="S54" s="2"/>
      <c r="T54" s="2"/>
    </row>
    <row r="55" spans="1:20">
      <c r="A55" s="2"/>
      <c r="B55" s="2"/>
      <c r="C55" s="2"/>
      <c r="D55" s="2"/>
      <c r="E55" s="2"/>
      <c r="F55" s="2"/>
      <c r="G55" s="2"/>
      <c r="H55" s="2"/>
      <c r="I55" s="2"/>
      <c r="J55" s="2"/>
      <c r="K55" s="2"/>
      <c r="L55" s="2"/>
      <c r="M55" s="2"/>
      <c r="N55" s="2"/>
      <c r="O55" s="2"/>
      <c r="P55" s="2"/>
      <c r="Q55" s="2"/>
      <c r="R55" s="2"/>
      <c r="S55" s="2"/>
      <c r="T55" s="2"/>
    </row>
    <row r="56" spans="1:20">
      <c r="A56" s="2"/>
      <c r="B56" s="2"/>
      <c r="C56" s="2"/>
      <c r="D56" s="2"/>
      <c r="E56" s="2"/>
      <c r="F56" s="2"/>
      <c r="G56" s="2"/>
      <c r="H56" s="2"/>
      <c r="I56" s="2"/>
      <c r="J56" s="2"/>
      <c r="K56" s="2"/>
      <c r="L56" s="2"/>
      <c r="M56" s="2"/>
      <c r="N56" s="2"/>
      <c r="O56" s="2"/>
      <c r="P56" s="2"/>
      <c r="Q56" s="2"/>
      <c r="R56" s="2"/>
      <c r="S56" s="2"/>
      <c r="T56" s="2"/>
    </row>
    <row r="57" spans="1:20">
      <c r="A57" s="2"/>
      <c r="B57" s="2"/>
      <c r="C57" s="2"/>
      <c r="D57" s="2"/>
      <c r="E57" s="2"/>
      <c r="F57" s="2"/>
      <c r="G57" s="2"/>
      <c r="H57" s="2"/>
      <c r="I57" s="2"/>
      <c r="J57" s="2"/>
      <c r="K57" s="2"/>
      <c r="L57" s="2"/>
      <c r="M57" s="2"/>
      <c r="N57" s="2"/>
      <c r="O57" s="2"/>
      <c r="P57" s="2"/>
      <c r="Q57" s="2"/>
      <c r="R57" s="2"/>
      <c r="S57" s="2"/>
      <c r="T57" s="2"/>
    </row>
    <row r="58" spans="1:20">
      <c r="A58" s="2"/>
      <c r="B58" s="2"/>
      <c r="C58" s="2"/>
      <c r="D58" s="2"/>
      <c r="E58" s="2"/>
      <c r="F58" s="2"/>
      <c r="G58" s="2"/>
      <c r="H58" s="2"/>
      <c r="I58" s="2"/>
      <c r="J58" s="2"/>
      <c r="K58" s="2"/>
      <c r="L58" s="2"/>
      <c r="M58" s="2"/>
      <c r="N58" s="2"/>
      <c r="O58" s="2"/>
      <c r="P58" s="2"/>
      <c r="Q58" s="2"/>
      <c r="R58" s="2"/>
      <c r="S58" s="2"/>
      <c r="T58" s="2"/>
    </row>
    <row r="59" spans="1:20">
      <c r="A59" s="2"/>
      <c r="B59" s="2"/>
      <c r="C59" s="2"/>
      <c r="D59" s="2"/>
      <c r="E59" s="2"/>
      <c r="F59" s="2"/>
      <c r="G59" s="2"/>
      <c r="H59" s="2"/>
      <c r="I59" s="2"/>
      <c r="J59" s="2"/>
      <c r="K59" s="2"/>
      <c r="L59" s="2"/>
      <c r="M59" s="2"/>
      <c r="N59" s="2"/>
      <c r="O59" s="2"/>
      <c r="P59" s="2"/>
      <c r="Q59" s="2"/>
      <c r="R59" s="2"/>
      <c r="S59" s="2"/>
      <c r="T59" s="2"/>
    </row>
    <row r="60" spans="1:20">
      <c r="A60" s="2"/>
      <c r="B60" s="2"/>
      <c r="C60" s="2"/>
      <c r="D60" s="2"/>
      <c r="E60" s="2"/>
      <c r="F60" s="2"/>
      <c r="G60" s="2"/>
      <c r="H60" s="2"/>
      <c r="I60" s="2"/>
      <c r="J60" s="2"/>
      <c r="K60" s="2"/>
      <c r="L60" s="2"/>
      <c r="M60" s="2"/>
      <c r="N60" s="2"/>
      <c r="O60" s="2"/>
      <c r="P60" s="2"/>
      <c r="Q60" s="2"/>
      <c r="R60" s="2"/>
      <c r="S60" s="2"/>
      <c r="T60" s="2"/>
    </row>
    <row r="61" spans="1:20">
      <c r="A61" s="2"/>
      <c r="B61" s="2"/>
      <c r="C61" s="2"/>
      <c r="D61" s="2"/>
      <c r="E61" s="2"/>
      <c r="F61" s="2"/>
      <c r="G61" s="2"/>
      <c r="H61" s="2"/>
      <c r="I61" s="2"/>
      <c r="J61" s="2"/>
      <c r="K61" s="2"/>
      <c r="L61" s="2"/>
      <c r="M61" s="2"/>
      <c r="N61" s="2"/>
      <c r="O61" s="2"/>
      <c r="P61" s="2"/>
      <c r="Q61" s="2"/>
      <c r="R61" s="2"/>
      <c r="S61" s="2"/>
      <c r="T61" s="2"/>
    </row>
    <row r="62" spans="1:20">
      <c r="A62" s="2"/>
      <c r="B62" s="2"/>
      <c r="C62" s="2"/>
      <c r="D62" s="2"/>
      <c r="E62" s="2"/>
      <c r="F62" s="2"/>
      <c r="G62" s="2"/>
      <c r="H62" s="2"/>
      <c r="I62" s="2"/>
      <c r="J62" s="2"/>
      <c r="K62" s="2"/>
      <c r="L62" s="2"/>
      <c r="M62" s="2"/>
      <c r="N62" s="2"/>
      <c r="O62" s="2"/>
      <c r="P62" s="2"/>
      <c r="Q62" s="2"/>
      <c r="R62" s="2"/>
      <c r="S62" s="2"/>
      <c r="T62" s="2"/>
    </row>
    <row r="63" spans="1:20">
      <c r="A63" s="2"/>
      <c r="B63" s="2"/>
      <c r="C63" s="2"/>
      <c r="D63" s="2"/>
      <c r="E63" s="2"/>
      <c r="F63" s="2"/>
      <c r="G63" s="2"/>
      <c r="H63" s="2"/>
      <c r="I63" s="2"/>
      <c r="J63" s="2"/>
      <c r="K63" s="2"/>
      <c r="L63" s="2"/>
      <c r="M63" s="2"/>
      <c r="N63" s="2"/>
      <c r="O63" s="2"/>
      <c r="P63" s="2"/>
      <c r="Q63" s="2"/>
      <c r="R63" s="2"/>
      <c r="S63" s="2"/>
      <c r="T63" s="2"/>
    </row>
    <row r="64" spans="1:20">
      <c r="A64" s="2"/>
      <c r="B64" s="2"/>
      <c r="C64" s="2"/>
      <c r="D64" s="2"/>
      <c r="E64" s="2"/>
      <c r="F64" s="2"/>
      <c r="G64" s="2"/>
      <c r="H64" s="2"/>
      <c r="I64" s="2"/>
      <c r="J64" s="2"/>
      <c r="K64" s="2"/>
      <c r="L64" s="2"/>
      <c r="M64" s="2"/>
      <c r="N64" s="2"/>
      <c r="O64" s="2"/>
      <c r="P64" s="2"/>
      <c r="Q64" s="2"/>
      <c r="R64" s="2"/>
      <c r="S64" s="2"/>
      <c r="T64" s="2"/>
    </row>
    <row r="65" spans="1:20">
      <c r="A65" s="2"/>
      <c r="B65" s="2"/>
      <c r="C65" s="2"/>
      <c r="D65" s="2"/>
      <c r="E65" s="2"/>
      <c r="F65" s="2"/>
      <c r="G65" s="2"/>
      <c r="H65" s="2"/>
      <c r="I65" s="2"/>
      <c r="J65" s="2"/>
      <c r="K65" s="2"/>
      <c r="L65" s="2"/>
      <c r="M65" s="2"/>
      <c r="N65" s="2"/>
      <c r="O65" s="2"/>
      <c r="P65" s="2"/>
      <c r="Q65" s="2"/>
      <c r="R65" s="2"/>
      <c r="S65" s="2"/>
      <c r="T65" s="2"/>
    </row>
    <row r="66" spans="1:20">
      <c r="A66" s="2"/>
      <c r="B66" s="2"/>
      <c r="C66" s="2"/>
      <c r="D66" s="2"/>
      <c r="E66" s="2"/>
      <c r="F66" s="2"/>
      <c r="G66" s="2"/>
      <c r="H66" s="2"/>
      <c r="I66" s="2"/>
      <c r="J66" s="2"/>
      <c r="K66" s="2"/>
      <c r="L66" s="2"/>
      <c r="M66" s="2"/>
      <c r="N66" s="2"/>
      <c r="O66" s="2"/>
      <c r="P66" s="2"/>
      <c r="Q66" s="2"/>
      <c r="R66" s="2"/>
      <c r="S66" s="2"/>
      <c r="T66" s="2"/>
    </row>
    <row r="67" spans="1:20">
      <c r="A67" s="2"/>
      <c r="B67" s="2" t="s">
        <v>84</v>
      </c>
      <c r="C67" s="2"/>
      <c r="D67" s="2"/>
      <c r="E67" s="2"/>
      <c r="F67" s="2"/>
      <c r="G67" s="2"/>
      <c r="H67" s="2"/>
      <c r="I67" s="2"/>
      <c r="J67" s="2"/>
      <c r="K67" s="2"/>
      <c r="L67" s="2"/>
      <c r="M67" s="2"/>
      <c r="N67" s="2"/>
      <c r="O67" s="2"/>
      <c r="P67" s="2"/>
      <c r="Q67" s="2"/>
      <c r="R67" s="2"/>
      <c r="S67" s="2"/>
      <c r="T67" s="2"/>
    </row>
    <row r="68" spans="1:20">
      <c r="A68" s="2"/>
      <c r="B68" s="2">
        <v>1.1000000000000001</v>
      </c>
      <c r="C68" s="2">
        <v>65</v>
      </c>
      <c r="D68" s="2"/>
      <c r="E68" s="2"/>
      <c r="F68" s="2"/>
      <c r="G68" s="2"/>
      <c r="H68" s="2"/>
      <c r="I68" s="2"/>
      <c r="J68" s="2"/>
      <c r="K68" s="2"/>
      <c r="L68" s="2"/>
      <c r="M68" s="2"/>
      <c r="N68" s="2"/>
      <c r="O68" s="2"/>
      <c r="P68" s="2"/>
      <c r="Q68" s="2"/>
      <c r="R68" s="2"/>
      <c r="S68" s="2"/>
      <c r="T68" s="2"/>
    </row>
    <row r="69" spans="1:20">
      <c r="A69" s="2"/>
      <c r="B69" s="2">
        <v>1</v>
      </c>
      <c r="C69" s="2">
        <v>73</v>
      </c>
      <c r="D69" s="2"/>
      <c r="E69" s="2"/>
      <c r="F69" s="2"/>
      <c r="G69" s="2"/>
      <c r="H69" s="2"/>
      <c r="I69" s="2"/>
      <c r="J69" s="2"/>
      <c r="K69" s="2"/>
      <c r="L69" s="2"/>
      <c r="M69" s="6"/>
      <c r="N69" s="2"/>
      <c r="O69" s="2"/>
      <c r="P69" s="2"/>
      <c r="Q69" s="2"/>
      <c r="R69" s="2"/>
      <c r="S69" s="2"/>
      <c r="T69" s="2"/>
    </row>
    <row r="70" spans="1:20">
      <c r="A70" s="2"/>
      <c r="B70" s="2">
        <v>1</v>
      </c>
      <c r="C70" s="2">
        <v>80</v>
      </c>
      <c r="D70" s="2"/>
      <c r="E70" s="2"/>
      <c r="F70" s="2"/>
      <c r="G70" s="2"/>
      <c r="H70" s="2"/>
      <c r="I70" s="2"/>
      <c r="J70" s="2"/>
      <c r="K70" s="2"/>
      <c r="L70" s="2"/>
      <c r="M70" s="6"/>
      <c r="N70" s="2"/>
      <c r="O70" s="2"/>
      <c r="P70" s="2"/>
      <c r="Q70" s="2"/>
      <c r="R70" s="2"/>
      <c r="S70" s="2"/>
      <c r="T70" s="2"/>
    </row>
    <row r="71" spans="1:20">
      <c r="A71" s="2"/>
      <c r="B71" s="2">
        <v>0.9</v>
      </c>
      <c r="C71" s="2">
        <v>90</v>
      </c>
      <c r="D71" s="2"/>
      <c r="E71" s="2"/>
      <c r="F71" s="2"/>
      <c r="G71" s="2"/>
      <c r="H71" s="2"/>
      <c r="I71" s="2"/>
      <c r="J71" s="2"/>
      <c r="K71" s="2"/>
      <c r="L71" s="2"/>
      <c r="M71" s="2"/>
      <c r="N71" s="2"/>
      <c r="O71" s="2"/>
      <c r="P71" s="2"/>
      <c r="Q71" s="2"/>
      <c r="R71" s="2"/>
      <c r="S71" s="2"/>
      <c r="T71" s="2"/>
    </row>
    <row r="72" spans="1:20">
      <c r="A72" s="2"/>
      <c r="B72" s="2">
        <v>0.95</v>
      </c>
      <c r="C72" s="2">
        <v>90</v>
      </c>
      <c r="D72" s="2"/>
      <c r="E72" s="2"/>
      <c r="F72" s="2"/>
      <c r="G72" s="2"/>
      <c r="H72" s="2"/>
      <c r="I72" s="2"/>
      <c r="J72" s="2"/>
      <c r="K72" s="2"/>
      <c r="L72" s="2"/>
      <c r="M72" s="2"/>
      <c r="N72" s="2"/>
      <c r="O72" s="2"/>
      <c r="P72" s="2"/>
      <c r="Q72" s="2"/>
      <c r="R72" s="2"/>
      <c r="S72" s="2"/>
      <c r="T72" s="2"/>
    </row>
    <row r="73" spans="1:20">
      <c r="A73" s="2"/>
      <c r="B73" s="2">
        <v>1.3</v>
      </c>
      <c r="C73" s="2">
        <v>77</v>
      </c>
      <c r="D73" s="2"/>
      <c r="E73" s="2"/>
      <c r="F73" s="2"/>
      <c r="G73" s="2"/>
      <c r="H73" s="2"/>
      <c r="I73" s="2"/>
      <c r="J73" s="2"/>
      <c r="K73" s="2"/>
      <c r="L73" s="2"/>
      <c r="M73" s="2"/>
      <c r="N73" s="2"/>
      <c r="O73" s="2"/>
      <c r="P73" s="2"/>
      <c r="Q73" s="2"/>
      <c r="R73" s="2"/>
      <c r="S73" s="2"/>
      <c r="T73" s="2"/>
    </row>
    <row r="74" spans="1:20">
      <c r="A74" s="2"/>
      <c r="B74" s="2">
        <v>1.3</v>
      </c>
      <c r="C74" s="2">
        <v>90</v>
      </c>
      <c r="D74" s="2"/>
      <c r="E74" s="2"/>
      <c r="F74" s="2"/>
      <c r="G74" s="2"/>
      <c r="H74" s="2"/>
      <c r="I74" s="2"/>
      <c r="J74" s="2"/>
      <c r="K74" s="2"/>
      <c r="L74" s="2"/>
      <c r="M74" s="2"/>
      <c r="N74" s="2"/>
      <c r="O74" s="2"/>
      <c r="P74" s="2"/>
      <c r="Q74" s="2"/>
      <c r="R74" s="2"/>
      <c r="S74" s="2"/>
      <c r="T74" s="2"/>
    </row>
    <row r="75" spans="1:20">
      <c r="A75" s="2"/>
      <c r="B75" s="2">
        <v>1.5</v>
      </c>
      <c r="C75" s="2">
        <v>95</v>
      </c>
      <c r="D75" s="2"/>
      <c r="E75" s="2"/>
      <c r="F75" s="2"/>
      <c r="G75" s="2"/>
      <c r="H75" s="2"/>
      <c r="I75" s="2"/>
      <c r="J75" s="2"/>
      <c r="K75" s="2"/>
      <c r="L75" s="2"/>
      <c r="M75" s="2"/>
      <c r="N75" s="2"/>
      <c r="O75" s="2"/>
      <c r="P75" s="2"/>
      <c r="Q75" s="2"/>
      <c r="R75" s="2"/>
      <c r="S75" s="2"/>
      <c r="T75" s="2"/>
    </row>
    <row r="76" spans="1:20">
      <c r="A76" s="2"/>
      <c r="B76" s="2">
        <v>1.6</v>
      </c>
      <c r="C76" s="2">
        <v>83</v>
      </c>
      <c r="D76" s="2"/>
      <c r="E76" s="2"/>
      <c r="F76" s="2"/>
      <c r="G76" s="2"/>
      <c r="H76" s="2"/>
      <c r="I76" s="2"/>
      <c r="J76" s="2"/>
      <c r="K76" s="2"/>
      <c r="L76" s="2"/>
      <c r="M76" s="2"/>
      <c r="N76" s="2"/>
      <c r="O76" s="2"/>
      <c r="P76" s="2"/>
      <c r="Q76" s="2"/>
      <c r="R76" s="2"/>
      <c r="S76" s="2"/>
      <c r="T76" s="2"/>
    </row>
    <row r="77" spans="1:20">
      <c r="A77" s="2"/>
      <c r="B77" s="2">
        <v>1.7</v>
      </c>
      <c r="C77" s="2">
        <v>95</v>
      </c>
      <c r="D77" s="2"/>
      <c r="E77" s="2"/>
      <c r="F77" s="2"/>
      <c r="G77" s="2"/>
      <c r="H77" s="2"/>
      <c r="I77" s="2"/>
      <c r="J77" s="2"/>
      <c r="K77" s="2"/>
      <c r="L77" s="2"/>
      <c r="M77" s="2"/>
      <c r="N77" s="2"/>
      <c r="O77" s="2"/>
      <c r="P77" s="2"/>
      <c r="Q77" s="2"/>
      <c r="R77" s="2"/>
      <c r="S77" s="2"/>
      <c r="T77" s="2"/>
    </row>
    <row r="78" spans="1:20">
      <c r="A78" s="2"/>
      <c r="B78" s="2">
        <v>1.9</v>
      </c>
      <c r="C78" s="2">
        <v>85</v>
      </c>
      <c r="D78" s="2"/>
      <c r="E78" s="2"/>
      <c r="F78" s="2"/>
      <c r="G78" s="2"/>
      <c r="H78" s="2"/>
      <c r="I78" s="2"/>
      <c r="J78" s="2"/>
      <c r="K78" s="2"/>
      <c r="L78" s="2"/>
      <c r="M78" s="2"/>
      <c r="N78" s="2"/>
      <c r="O78" s="2"/>
      <c r="P78" s="2"/>
      <c r="Q78" s="2"/>
      <c r="R78" s="2"/>
      <c r="S78" s="2"/>
      <c r="T78" s="2"/>
    </row>
    <row r="79" spans="1:20">
      <c r="A79" s="2"/>
      <c r="B79" s="2">
        <v>1.5</v>
      </c>
      <c r="C79" s="2">
        <v>80</v>
      </c>
      <c r="D79" s="2"/>
      <c r="E79" s="2"/>
      <c r="F79" s="2"/>
      <c r="G79" s="2"/>
      <c r="H79" s="2"/>
      <c r="I79" s="2"/>
      <c r="J79" s="2"/>
      <c r="K79" s="2"/>
      <c r="L79" s="2"/>
      <c r="M79" s="2"/>
      <c r="N79" s="2"/>
      <c r="O79" s="2"/>
      <c r="P79" s="2"/>
      <c r="Q79" s="2"/>
      <c r="R79" s="2"/>
      <c r="S79" s="2"/>
      <c r="T79" s="2"/>
    </row>
    <row r="80" spans="1:20">
      <c r="A80" s="2"/>
      <c r="B80" s="2">
        <v>2</v>
      </c>
      <c r="C80" s="2">
        <v>100</v>
      </c>
      <c r="D80" s="2"/>
      <c r="E80" s="2"/>
      <c r="F80" s="2"/>
      <c r="G80" s="2"/>
      <c r="H80" s="2"/>
      <c r="I80" s="2"/>
      <c r="J80" s="2"/>
      <c r="K80" s="2"/>
      <c r="L80" s="2"/>
      <c r="M80" s="2"/>
      <c r="N80" s="2"/>
      <c r="O80" s="2"/>
      <c r="P80" s="2"/>
      <c r="Q80" s="2"/>
      <c r="R80" s="2"/>
      <c r="S80" s="2"/>
      <c r="T80" s="2"/>
    </row>
    <row r="81" spans="1:20">
      <c r="A81" s="2"/>
      <c r="B81" s="2">
        <v>2.2000000000000002</v>
      </c>
      <c r="C81" s="2">
        <v>100</v>
      </c>
      <c r="D81" s="2"/>
      <c r="E81" s="2"/>
      <c r="F81" s="2"/>
      <c r="G81" s="2"/>
      <c r="H81" s="2"/>
      <c r="I81" s="2"/>
      <c r="J81" s="2"/>
      <c r="K81" s="2"/>
      <c r="L81" s="2"/>
      <c r="M81" s="2"/>
      <c r="N81" s="2"/>
      <c r="O81" s="2"/>
      <c r="P81" s="2"/>
      <c r="Q81" s="2"/>
      <c r="R81" s="2"/>
      <c r="S81" s="2"/>
      <c r="T81" s="2"/>
    </row>
    <row r="82" spans="1:20">
      <c r="A82" s="2"/>
      <c r="B82" s="2">
        <v>2.4</v>
      </c>
      <c r="C82" s="2">
        <v>100</v>
      </c>
      <c r="D82" s="2"/>
      <c r="E82" s="2"/>
      <c r="F82" s="2"/>
      <c r="G82" s="2"/>
      <c r="H82" s="2"/>
      <c r="I82" s="2"/>
      <c r="J82" s="2"/>
      <c r="K82" s="2"/>
      <c r="L82" s="2"/>
      <c r="M82" s="2"/>
      <c r="N82" s="2"/>
      <c r="O82" s="2"/>
      <c r="P82" s="2"/>
      <c r="Q82" s="2"/>
      <c r="R82" s="2"/>
      <c r="S82" s="2"/>
      <c r="T82" s="2"/>
    </row>
    <row r="83" spans="1:20">
      <c r="A83" s="2"/>
      <c r="B83" s="2">
        <v>3</v>
      </c>
      <c r="C83" s="2">
        <v>100</v>
      </c>
      <c r="D83" s="2"/>
      <c r="E83" s="2"/>
      <c r="F83" s="2"/>
      <c r="G83" s="2"/>
      <c r="H83" s="2"/>
      <c r="I83" s="2"/>
      <c r="J83" s="2"/>
      <c r="K83" s="2"/>
      <c r="L83" s="2"/>
      <c r="M83" s="2"/>
      <c r="N83" s="2"/>
      <c r="O83" s="2"/>
      <c r="P83" s="2"/>
      <c r="Q83" s="2"/>
      <c r="R83" s="2"/>
      <c r="S83" s="2"/>
      <c r="T83" s="2"/>
    </row>
    <row r="84" spans="1:20">
      <c r="A84" s="2"/>
      <c r="B84" s="2">
        <v>1.5</v>
      </c>
      <c r="C84" s="2">
        <v>85</v>
      </c>
      <c r="D84" s="2"/>
      <c r="E84" s="2"/>
      <c r="F84" s="2"/>
      <c r="G84" s="2"/>
      <c r="H84" s="2"/>
      <c r="I84" s="2"/>
      <c r="J84" s="2"/>
      <c r="K84" s="2"/>
      <c r="L84" s="2"/>
      <c r="M84" s="2"/>
      <c r="N84" s="2"/>
      <c r="O84" s="2"/>
      <c r="P84" s="2"/>
      <c r="Q84" s="2"/>
      <c r="R84" s="2"/>
      <c r="S84" s="2"/>
      <c r="T84" s="2"/>
    </row>
    <row r="85" spans="1:20">
      <c r="A85" s="2"/>
      <c r="B85" s="2">
        <v>1</v>
      </c>
      <c r="C85" s="2">
        <v>95</v>
      </c>
      <c r="D85" s="2"/>
      <c r="E85" s="2"/>
      <c r="F85" s="2"/>
      <c r="G85" s="2"/>
      <c r="H85" s="2"/>
      <c r="I85" s="2"/>
      <c r="J85" s="2"/>
      <c r="K85" s="2"/>
      <c r="L85" s="2"/>
      <c r="M85" s="2"/>
      <c r="N85" s="2"/>
      <c r="O85" s="2"/>
      <c r="P85" s="2"/>
      <c r="Q85" s="2"/>
      <c r="R85" s="2"/>
      <c r="S85" s="2"/>
      <c r="T85" s="2"/>
    </row>
    <row r="86" spans="1:20">
      <c r="A86" s="2"/>
      <c r="B86" s="2"/>
      <c r="C86" s="2"/>
      <c r="D86" s="2"/>
      <c r="E86" s="2"/>
      <c r="F86" s="2"/>
      <c r="G86" s="2"/>
      <c r="H86" s="2"/>
      <c r="I86" s="2"/>
      <c r="J86" s="2"/>
      <c r="K86" s="2"/>
      <c r="L86" s="2"/>
      <c r="M86" s="2"/>
      <c r="N86" s="2"/>
      <c r="O86" s="2"/>
      <c r="P86" s="2"/>
      <c r="Q86" s="2"/>
      <c r="R86" s="2"/>
      <c r="S86" s="2"/>
      <c r="T86" s="2"/>
    </row>
    <row r="87" spans="1:20">
      <c r="A87" s="2"/>
      <c r="B87" s="2"/>
      <c r="C87" s="2"/>
      <c r="D87" s="2"/>
      <c r="E87" s="2"/>
      <c r="F87" s="2"/>
      <c r="G87" s="2"/>
      <c r="H87" s="2"/>
      <c r="I87" s="2"/>
      <c r="J87" s="2"/>
      <c r="K87" s="2"/>
      <c r="L87" s="2"/>
      <c r="M87" s="2"/>
      <c r="N87" s="2"/>
      <c r="O87" s="2"/>
      <c r="P87" s="2"/>
      <c r="Q87" s="2"/>
      <c r="R87" s="2"/>
      <c r="S87" s="2"/>
      <c r="T87" s="2"/>
    </row>
    <row r="88" spans="1:20">
      <c r="A88" s="2"/>
      <c r="B88" s="2"/>
      <c r="C88" s="2"/>
      <c r="D88" s="2"/>
      <c r="E88" s="2"/>
      <c r="F88" s="2"/>
      <c r="G88" s="2"/>
      <c r="H88" s="2"/>
      <c r="I88" s="2"/>
      <c r="J88" s="2"/>
      <c r="K88" s="2"/>
      <c r="L88" s="2"/>
      <c r="M88" s="2"/>
      <c r="N88" s="2"/>
      <c r="O88" s="2"/>
      <c r="P88" s="2"/>
      <c r="Q88" s="2"/>
      <c r="R88" s="2"/>
      <c r="S88" s="2"/>
      <c r="T88" s="2"/>
    </row>
    <row r="89" spans="1:20">
      <c r="A89" s="2"/>
      <c r="B89" s="2"/>
      <c r="C89" s="2"/>
      <c r="D89" s="2"/>
      <c r="E89" s="2"/>
      <c r="F89" s="2"/>
      <c r="G89" s="2"/>
      <c r="H89" s="2"/>
      <c r="I89" s="2"/>
      <c r="J89" s="2"/>
      <c r="K89" s="2"/>
      <c r="L89" s="2"/>
      <c r="M89" s="2"/>
      <c r="N89" s="2"/>
      <c r="O89" s="2"/>
      <c r="P89" s="2"/>
      <c r="Q89" s="2"/>
      <c r="R89" s="2"/>
      <c r="S89" s="2"/>
      <c r="T89" s="2"/>
    </row>
    <row r="90" spans="1:20">
      <c r="A90" s="2"/>
      <c r="B90" s="2"/>
      <c r="C90" s="2"/>
      <c r="D90" s="2"/>
      <c r="E90" s="2"/>
      <c r="F90" s="2"/>
      <c r="G90" s="2"/>
      <c r="H90" s="2"/>
      <c r="I90" s="2"/>
      <c r="J90" s="2"/>
      <c r="K90" s="2"/>
      <c r="L90" s="2"/>
      <c r="M90" s="2"/>
      <c r="N90" s="2"/>
      <c r="O90" s="2"/>
      <c r="P90" s="2"/>
      <c r="Q90" s="2"/>
      <c r="R90" s="2"/>
      <c r="S90" s="2"/>
      <c r="T90" s="2"/>
    </row>
    <row r="91" spans="1:20">
      <c r="A91" s="2"/>
      <c r="B91" s="2"/>
      <c r="C91" s="2"/>
      <c r="D91" s="2"/>
      <c r="E91" s="2"/>
      <c r="F91" s="2"/>
      <c r="G91" s="2"/>
      <c r="H91" s="2"/>
      <c r="I91" s="2"/>
      <c r="J91" s="2"/>
      <c r="K91" s="2"/>
      <c r="L91" s="2"/>
      <c r="M91" s="2"/>
      <c r="N91" s="2"/>
      <c r="O91" s="2"/>
      <c r="P91" s="2"/>
      <c r="Q91" s="2"/>
      <c r="R91" s="2"/>
      <c r="S91" s="2"/>
      <c r="T91" s="2"/>
    </row>
    <row r="92" spans="1:20">
      <c r="A92" s="2"/>
      <c r="B92" s="2"/>
      <c r="C92" s="2"/>
      <c r="D92" s="2"/>
      <c r="E92" s="2"/>
      <c r="F92" s="2"/>
      <c r="G92" s="2"/>
      <c r="H92" s="2"/>
      <c r="I92" s="2"/>
      <c r="J92" s="2"/>
      <c r="K92" s="2"/>
      <c r="L92" s="2"/>
      <c r="M92" s="2"/>
      <c r="N92" s="2"/>
      <c r="O92" s="2"/>
      <c r="P92" s="2"/>
      <c r="Q92" s="2"/>
      <c r="R92" s="2"/>
      <c r="S92" s="2"/>
      <c r="T92" s="2"/>
    </row>
    <row r="93" spans="1:20">
      <c r="A93" s="2"/>
      <c r="B93" s="2"/>
      <c r="C93" s="2"/>
      <c r="D93" s="2"/>
      <c r="E93" s="2"/>
      <c r="F93" s="2"/>
      <c r="G93" s="2"/>
      <c r="H93" s="2"/>
      <c r="I93" s="2"/>
      <c r="J93" s="2"/>
      <c r="K93" s="2"/>
      <c r="L93" s="2"/>
      <c r="M93" s="2"/>
      <c r="N93" s="2"/>
      <c r="O93" s="2"/>
      <c r="P93" s="2"/>
      <c r="Q93" s="2"/>
      <c r="R93" s="2"/>
      <c r="S93" s="2"/>
      <c r="T93" s="2"/>
    </row>
    <row r="94" spans="1:20">
      <c r="A94" s="2"/>
      <c r="B94" s="2"/>
      <c r="C94" s="2"/>
      <c r="D94" s="2"/>
      <c r="E94" s="2"/>
      <c r="F94" s="2"/>
      <c r="G94" s="2"/>
      <c r="H94" s="2"/>
      <c r="I94" s="2"/>
      <c r="J94" s="2"/>
      <c r="K94" s="2"/>
      <c r="L94" s="2"/>
      <c r="M94" s="2"/>
      <c r="N94" s="2"/>
      <c r="O94" s="2"/>
      <c r="P94" s="2"/>
      <c r="Q94" s="2"/>
      <c r="R94" s="2"/>
      <c r="S94" s="2"/>
      <c r="T94" s="2"/>
    </row>
    <row r="95" spans="1:20">
      <c r="A95" s="2"/>
      <c r="B95" s="2"/>
      <c r="C95" s="2"/>
      <c r="D95" s="2"/>
      <c r="E95" s="2"/>
      <c r="F95" s="2"/>
      <c r="G95" s="2"/>
      <c r="H95" s="2"/>
      <c r="I95" s="2"/>
      <c r="J95" s="2"/>
      <c r="K95" s="2"/>
      <c r="L95" s="2"/>
      <c r="M95" s="2"/>
      <c r="N95" s="2"/>
      <c r="O95" s="2"/>
      <c r="P95" s="2"/>
      <c r="Q95" s="2"/>
      <c r="R95" s="2"/>
      <c r="S95" s="2"/>
      <c r="T95" s="2"/>
    </row>
    <row r="96" spans="1:20">
      <c r="A96" s="2"/>
      <c r="B96" s="2"/>
      <c r="C96" s="2"/>
      <c r="D96" s="2"/>
      <c r="E96" s="2"/>
      <c r="F96" s="2"/>
      <c r="G96" s="2"/>
      <c r="H96" s="2"/>
      <c r="I96" s="2"/>
      <c r="J96" s="2"/>
      <c r="K96" s="2"/>
      <c r="L96" s="2"/>
      <c r="M96" s="2"/>
      <c r="N96" s="2"/>
      <c r="O96" s="2"/>
      <c r="P96" s="2"/>
      <c r="Q96" s="2"/>
      <c r="R96" s="2"/>
      <c r="S96" s="2"/>
      <c r="T96" s="2"/>
    </row>
    <row r="97" spans="1:20">
      <c r="A97" s="2"/>
      <c r="B97" s="2"/>
      <c r="C97" s="2"/>
      <c r="D97" s="2"/>
      <c r="E97" s="2"/>
      <c r="F97" s="2"/>
      <c r="G97" s="2"/>
      <c r="H97" s="2"/>
      <c r="I97" s="2"/>
      <c r="J97" s="2"/>
      <c r="K97" s="2"/>
      <c r="L97" s="2"/>
      <c r="M97" s="2"/>
      <c r="N97" s="2"/>
      <c r="O97" s="2"/>
      <c r="P97" s="2"/>
      <c r="Q97" s="2"/>
      <c r="R97" s="2"/>
      <c r="S97" s="2"/>
      <c r="T97" s="2"/>
    </row>
    <row r="98" spans="1:20">
      <c r="A98" s="2"/>
      <c r="B98" s="2" t="s">
        <v>330</v>
      </c>
      <c r="C98" s="2"/>
      <c r="D98" s="2"/>
      <c r="E98" s="2"/>
      <c r="F98" s="2"/>
      <c r="G98" s="2"/>
      <c r="H98" s="2"/>
      <c r="I98" s="2"/>
      <c r="J98" s="2"/>
      <c r="K98" s="2"/>
      <c r="L98" s="2"/>
      <c r="M98" s="2"/>
      <c r="N98" s="2"/>
      <c r="O98" s="2"/>
      <c r="P98" s="2"/>
      <c r="Q98" s="2"/>
      <c r="R98" s="2"/>
      <c r="S98" s="2"/>
      <c r="T98" s="2"/>
    </row>
    <row r="99" spans="1:20">
      <c r="A99" s="2"/>
      <c r="B99" s="2" t="s">
        <v>331</v>
      </c>
      <c r="C99" s="2"/>
      <c r="D99" s="2"/>
      <c r="E99" s="2"/>
      <c r="F99" s="2"/>
      <c r="G99" s="2"/>
      <c r="H99" s="2"/>
      <c r="I99" s="2"/>
      <c r="J99" s="2"/>
      <c r="K99" s="2"/>
      <c r="L99" s="2"/>
      <c r="M99" s="2"/>
      <c r="N99" s="2"/>
      <c r="O99" s="2"/>
      <c r="P99" s="2"/>
      <c r="Q99" s="2"/>
      <c r="R99" s="2"/>
      <c r="S99" s="2"/>
      <c r="T99" s="2"/>
    </row>
    <row r="100" spans="1:20">
      <c r="A100" s="2"/>
      <c r="B100" s="2" t="s">
        <v>332</v>
      </c>
      <c r="C100" s="2"/>
      <c r="D100" s="2"/>
      <c r="E100" s="2"/>
      <c r="F100" s="2"/>
      <c r="G100" s="2"/>
      <c r="H100" s="2"/>
      <c r="I100" s="2"/>
      <c r="J100" s="2"/>
      <c r="K100" s="2"/>
      <c r="L100" s="2"/>
      <c r="M100" s="2"/>
      <c r="N100" s="2"/>
      <c r="O100" s="2"/>
      <c r="P100" s="2"/>
      <c r="Q100" s="2"/>
      <c r="R100" s="2"/>
      <c r="S100" s="2"/>
      <c r="T100" s="2"/>
    </row>
    <row r="101" spans="1:20">
      <c r="A101" s="2"/>
      <c r="B101" s="2" t="s">
        <v>333</v>
      </c>
      <c r="C101" s="2"/>
      <c r="D101" s="2"/>
      <c r="E101" s="2"/>
      <c r="F101" s="2"/>
      <c r="G101" s="2"/>
      <c r="H101" s="2"/>
      <c r="I101" s="2"/>
      <c r="J101" s="2"/>
      <c r="K101" s="2"/>
      <c r="L101" s="2"/>
      <c r="M101" s="2"/>
      <c r="N101" s="2"/>
      <c r="O101" s="2"/>
      <c r="P101" s="2"/>
      <c r="Q101" s="2"/>
      <c r="R101" s="2"/>
      <c r="S101" s="2"/>
      <c r="T101" s="2"/>
    </row>
    <row r="102" spans="1:20" ht="15.75">
      <c r="A102" s="2"/>
      <c r="B102" s="28" t="s">
        <v>334</v>
      </c>
      <c r="C102" s="2"/>
      <c r="D102" s="2"/>
      <c r="E102" s="2"/>
      <c r="F102" s="2"/>
      <c r="G102" s="2"/>
      <c r="H102" s="2"/>
      <c r="I102" s="2"/>
      <c r="J102" s="2"/>
      <c r="K102" s="2"/>
      <c r="L102" s="2"/>
      <c r="M102" s="2"/>
      <c r="N102" s="2"/>
      <c r="O102" s="2"/>
      <c r="P102" s="2"/>
      <c r="Q102" s="2"/>
      <c r="R102" s="2"/>
      <c r="S102" s="2"/>
      <c r="T102" s="2"/>
    </row>
    <row r="103" spans="1:20">
      <c r="A103" s="2"/>
      <c r="B103" s="2" t="s">
        <v>335</v>
      </c>
      <c r="C103" s="2"/>
      <c r="D103" s="2"/>
      <c r="E103" s="2"/>
      <c r="F103" s="2"/>
      <c r="G103" s="2"/>
      <c r="H103" s="2"/>
      <c r="I103" s="2"/>
      <c r="J103" s="2"/>
      <c r="K103" s="2"/>
      <c r="L103" s="2"/>
      <c r="M103" s="2"/>
      <c r="N103" s="2"/>
      <c r="O103" s="2"/>
      <c r="P103" s="2"/>
      <c r="Q103" s="2"/>
      <c r="R103" s="2"/>
      <c r="S103" s="2"/>
      <c r="T103" s="2"/>
    </row>
    <row r="104" spans="1:20">
      <c r="A104" s="2"/>
      <c r="B104" s="2"/>
      <c r="C104" s="2"/>
      <c r="D104" s="2"/>
      <c r="E104" s="2"/>
      <c r="F104" s="2"/>
      <c r="G104" s="2"/>
      <c r="H104" s="2"/>
      <c r="I104" s="2"/>
      <c r="J104" s="2"/>
      <c r="K104" s="2"/>
      <c r="L104" s="2"/>
      <c r="M104" s="2"/>
      <c r="N104" s="2"/>
      <c r="O104" s="2"/>
      <c r="P104" s="2"/>
      <c r="Q104" s="2"/>
      <c r="R104" s="2"/>
      <c r="S104" s="2"/>
      <c r="T104" s="2"/>
    </row>
    <row r="107" spans="1:20" ht="27.75">
      <c r="B107" s="102"/>
    </row>
    <row r="108" spans="1:20" ht="15">
      <c r="B108" s="103"/>
    </row>
    <row r="109" spans="1:20" ht="15">
      <c r="B109" s="103"/>
    </row>
  </sheetData>
  <sheetProtection sheet="1" objects="1" scenarios="1"/>
  <phoneticPr fontId="24"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tabColor rgb="FFFF0000"/>
  </sheetPr>
  <dimension ref="A1:N129"/>
  <sheetViews>
    <sheetView workbookViewId="0">
      <selection activeCell="P81" sqref="P81"/>
    </sheetView>
  </sheetViews>
  <sheetFormatPr defaultRowHeight="12.75"/>
  <sheetData>
    <row r="1" spans="1:14" ht="20.25">
      <c r="A1" s="418"/>
      <c r="B1" s="263"/>
      <c r="C1" s="263"/>
      <c r="D1" s="263"/>
      <c r="E1" s="263"/>
      <c r="F1" s="263"/>
      <c r="G1" s="263"/>
      <c r="H1" s="263"/>
      <c r="I1" s="263"/>
      <c r="J1" s="263"/>
      <c r="K1" s="263"/>
      <c r="L1" s="263"/>
      <c r="M1" s="263"/>
      <c r="N1" s="263"/>
    </row>
    <row r="2" spans="1:14" ht="18">
      <c r="A2" s="263"/>
      <c r="B2" s="419" t="s">
        <v>113</v>
      </c>
      <c r="C2" s="420"/>
      <c r="D2" s="420"/>
      <c r="E2" s="420"/>
      <c r="F2" s="420"/>
      <c r="G2" s="420"/>
      <c r="H2" s="420"/>
      <c r="I2" s="420"/>
      <c r="J2" s="420"/>
      <c r="K2" s="420"/>
      <c r="L2" s="420"/>
      <c r="M2" s="420"/>
      <c r="N2" s="421"/>
    </row>
    <row r="3" spans="1:14" ht="15.75">
      <c r="A3" s="263"/>
      <c r="B3" s="449" t="s">
        <v>115</v>
      </c>
      <c r="C3" s="450" t="s">
        <v>116</v>
      </c>
      <c r="D3" s="263"/>
      <c r="E3" s="263"/>
      <c r="F3" s="263"/>
      <c r="G3" s="263"/>
      <c r="H3" s="263"/>
      <c r="I3" s="263"/>
      <c r="J3" s="263"/>
      <c r="K3" s="263"/>
      <c r="L3" s="263"/>
      <c r="M3" s="263"/>
      <c r="N3" s="263"/>
    </row>
    <row r="4" spans="1:14">
      <c r="A4" s="263"/>
      <c r="B4" s="263"/>
      <c r="C4" s="263"/>
      <c r="D4" s="263"/>
      <c r="E4" s="263"/>
      <c r="F4" s="263"/>
      <c r="G4" s="263"/>
      <c r="H4" s="263"/>
      <c r="I4" s="263"/>
      <c r="J4" s="263"/>
      <c r="K4" s="263"/>
      <c r="L4" s="263"/>
      <c r="M4" s="263"/>
      <c r="N4" s="263"/>
    </row>
    <row r="5" spans="1:14">
      <c r="A5" s="263"/>
      <c r="B5" s="263"/>
      <c r="C5" s="263"/>
      <c r="D5" s="263"/>
      <c r="E5" s="263"/>
      <c r="F5" s="263"/>
      <c r="G5" s="263"/>
      <c r="H5" s="263"/>
      <c r="I5" s="263"/>
      <c r="J5" s="263"/>
      <c r="K5" s="263"/>
      <c r="L5" s="263"/>
      <c r="M5" s="263"/>
      <c r="N5" s="263"/>
    </row>
    <row r="6" spans="1:14">
      <c r="A6" s="263"/>
      <c r="B6" s="263"/>
      <c r="C6" s="263"/>
      <c r="D6" s="263"/>
      <c r="E6" s="263"/>
      <c r="F6" s="263"/>
      <c r="G6" s="263"/>
      <c r="H6" s="263"/>
      <c r="I6" s="263"/>
      <c r="J6" s="263"/>
      <c r="K6" s="263"/>
      <c r="L6" s="263"/>
      <c r="M6" s="263"/>
      <c r="N6" s="263"/>
    </row>
    <row r="7" spans="1:14">
      <c r="A7" s="263"/>
      <c r="B7" s="263"/>
      <c r="C7" s="263"/>
      <c r="D7" s="263"/>
      <c r="E7" s="263"/>
      <c r="F7" s="263"/>
      <c r="G7" s="263"/>
      <c r="H7" s="263"/>
      <c r="I7" s="263"/>
      <c r="J7" s="263"/>
      <c r="K7" s="263"/>
      <c r="L7" s="263"/>
      <c r="M7" s="263"/>
      <c r="N7" s="263"/>
    </row>
    <row r="8" spans="1:14">
      <c r="A8" s="263"/>
      <c r="B8" s="263"/>
      <c r="C8" s="263"/>
      <c r="D8" s="263"/>
      <c r="E8" s="263"/>
      <c r="F8" s="263"/>
      <c r="G8" s="263"/>
      <c r="H8" s="263"/>
      <c r="I8" s="263"/>
      <c r="J8" s="263"/>
      <c r="K8" s="263"/>
      <c r="L8" s="263"/>
      <c r="M8" s="263"/>
      <c r="N8" s="263"/>
    </row>
    <row r="9" spans="1:14">
      <c r="A9" s="263"/>
      <c r="B9" s="263"/>
      <c r="C9" s="263"/>
      <c r="D9" s="263"/>
      <c r="E9" s="263"/>
      <c r="F9" s="263"/>
      <c r="G9" s="263"/>
      <c r="H9" s="263"/>
      <c r="I9" s="263"/>
      <c r="J9" s="263"/>
      <c r="K9" s="263"/>
      <c r="L9" s="263"/>
      <c r="M9" s="263"/>
      <c r="N9" s="263"/>
    </row>
    <row r="10" spans="1:14">
      <c r="A10" s="263"/>
      <c r="B10" s="263"/>
      <c r="C10" s="263"/>
      <c r="D10" s="263"/>
      <c r="E10" s="263"/>
      <c r="F10" s="263"/>
      <c r="G10" s="263"/>
      <c r="H10" s="263"/>
      <c r="I10" s="263"/>
      <c r="J10" s="263"/>
      <c r="K10" s="263"/>
      <c r="L10" s="263"/>
      <c r="M10" s="263"/>
      <c r="N10" s="263"/>
    </row>
    <row r="11" spans="1:14">
      <c r="A11" s="263"/>
      <c r="B11" s="263"/>
      <c r="C11" s="263"/>
      <c r="D11" s="263"/>
      <c r="E11" s="263"/>
      <c r="F11" s="263"/>
      <c r="G11" s="263"/>
      <c r="H11" s="263"/>
      <c r="I11" s="263"/>
      <c r="J11" s="263"/>
      <c r="K11" s="263"/>
      <c r="L11" s="263"/>
      <c r="M11" s="263"/>
      <c r="N11" s="263"/>
    </row>
    <row r="12" spans="1:14">
      <c r="A12" s="263"/>
      <c r="B12" s="263"/>
      <c r="C12" s="263"/>
      <c r="D12" s="263"/>
      <c r="E12" s="263"/>
      <c r="F12" s="263"/>
      <c r="G12" s="263"/>
      <c r="H12" s="263"/>
      <c r="I12" s="263"/>
      <c r="J12" s="263"/>
      <c r="K12" s="263"/>
      <c r="L12" s="263"/>
      <c r="M12" s="263"/>
      <c r="N12" s="263"/>
    </row>
    <row r="13" spans="1:14">
      <c r="A13" s="263"/>
      <c r="B13" s="263"/>
      <c r="C13" s="263"/>
      <c r="D13" s="263"/>
      <c r="E13" s="263"/>
      <c r="F13" s="263"/>
      <c r="G13" s="263"/>
      <c r="H13" s="263"/>
      <c r="I13" s="263"/>
      <c r="J13" s="263"/>
      <c r="K13" s="263"/>
      <c r="L13" s="263"/>
      <c r="M13" s="263"/>
      <c r="N13" s="263"/>
    </row>
    <row r="14" spans="1:14">
      <c r="A14" s="263"/>
      <c r="B14" s="263"/>
      <c r="C14" s="263"/>
      <c r="D14" s="263"/>
      <c r="E14" s="263"/>
      <c r="F14" s="263"/>
      <c r="G14" s="263"/>
      <c r="H14" s="263"/>
      <c r="I14" s="263"/>
      <c r="J14" s="263"/>
      <c r="K14" s="263"/>
      <c r="L14" s="263"/>
      <c r="M14" s="263"/>
      <c r="N14" s="263"/>
    </row>
    <row r="15" spans="1:14">
      <c r="A15" s="263"/>
      <c r="B15" s="263"/>
      <c r="C15" s="263"/>
      <c r="D15" s="263"/>
      <c r="E15" s="263"/>
      <c r="F15" s="263"/>
      <c r="G15" s="263"/>
      <c r="H15" s="263"/>
      <c r="I15" s="263"/>
      <c r="J15" s="263"/>
      <c r="K15" s="263"/>
      <c r="L15" s="263"/>
      <c r="M15" s="263"/>
      <c r="N15" s="263"/>
    </row>
    <row r="16" spans="1:14">
      <c r="A16" s="263"/>
      <c r="B16" s="263"/>
      <c r="C16" s="263"/>
      <c r="D16" s="263"/>
      <c r="E16" s="263"/>
      <c r="F16" s="263"/>
      <c r="G16" s="263"/>
      <c r="H16" s="263"/>
      <c r="I16" s="263"/>
      <c r="J16" s="263"/>
      <c r="K16" s="263"/>
      <c r="L16" s="263"/>
      <c r="M16" s="263"/>
      <c r="N16" s="263"/>
    </row>
    <row r="17" spans="1:14">
      <c r="A17" s="263"/>
      <c r="B17" s="263"/>
      <c r="C17" s="263"/>
      <c r="D17" s="263"/>
      <c r="E17" s="263"/>
      <c r="F17" s="263"/>
      <c r="G17" s="263"/>
      <c r="H17" s="263"/>
      <c r="I17" s="263"/>
      <c r="J17" s="263"/>
      <c r="K17" s="263"/>
      <c r="L17" s="263"/>
      <c r="M17" s="263"/>
      <c r="N17" s="263"/>
    </row>
    <row r="18" spans="1:14">
      <c r="A18" s="263"/>
      <c r="B18" s="263"/>
      <c r="C18" s="263"/>
      <c r="D18" s="263"/>
      <c r="E18" s="263"/>
      <c r="F18" s="263"/>
      <c r="G18" s="263"/>
      <c r="H18" s="263"/>
      <c r="I18" s="263"/>
      <c r="J18" s="263"/>
      <c r="K18" s="263"/>
      <c r="L18" s="263"/>
      <c r="M18" s="263"/>
      <c r="N18" s="263"/>
    </row>
    <row r="19" spans="1:14">
      <c r="A19" s="263"/>
      <c r="B19" s="263"/>
      <c r="C19" s="263"/>
      <c r="D19" s="263"/>
      <c r="E19" s="263"/>
      <c r="F19" s="263"/>
      <c r="G19" s="263"/>
      <c r="H19" s="263"/>
      <c r="I19" s="263"/>
      <c r="J19" s="263"/>
      <c r="K19" s="263"/>
      <c r="L19" s="263"/>
      <c r="M19" s="263"/>
      <c r="N19" s="263"/>
    </row>
    <row r="20" spans="1:14">
      <c r="A20" s="263"/>
      <c r="B20" s="263"/>
      <c r="C20" s="263"/>
      <c r="D20" s="263"/>
      <c r="E20" s="263"/>
      <c r="F20" s="263"/>
      <c r="G20" s="263"/>
      <c r="H20" s="263"/>
      <c r="I20" s="263"/>
      <c r="J20" s="263"/>
      <c r="K20" s="263"/>
      <c r="L20" s="263"/>
      <c r="M20" s="263"/>
      <c r="N20" s="263"/>
    </row>
    <row r="21" spans="1:14">
      <c r="A21" s="263"/>
      <c r="B21" s="263"/>
      <c r="C21" s="263"/>
      <c r="D21" s="263"/>
      <c r="E21" s="263"/>
      <c r="F21" s="263"/>
      <c r="G21" s="263"/>
      <c r="H21" s="263"/>
      <c r="I21" s="263"/>
      <c r="J21" s="263"/>
      <c r="K21" s="263"/>
      <c r="L21" s="263"/>
      <c r="M21" s="263"/>
      <c r="N21" s="263"/>
    </row>
    <row r="22" spans="1:14">
      <c r="A22" s="263"/>
      <c r="B22" s="263"/>
      <c r="C22" s="263"/>
      <c r="D22" s="263"/>
      <c r="E22" s="263"/>
      <c r="F22" s="263"/>
      <c r="G22" s="263"/>
      <c r="H22" s="263"/>
      <c r="I22" s="263"/>
      <c r="J22" s="263"/>
      <c r="K22" s="263"/>
      <c r="L22" s="263"/>
      <c r="M22" s="263"/>
      <c r="N22" s="263"/>
    </row>
    <row r="23" spans="1:14">
      <c r="A23" s="263"/>
      <c r="B23" s="263"/>
      <c r="C23" s="263"/>
      <c r="D23" s="263"/>
      <c r="E23" s="263"/>
      <c r="F23" s="263"/>
      <c r="G23" s="263"/>
      <c r="H23" s="263"/>
      <c r="I23" s="263"/>
      <c r="J23" s="263"/>
      <c r="K23" s="263"/>
      <c r="L23" s="263"/>
      <c r="M23" s="263"/>
      <c r="N23" s="263"/>
    </row>
    <row r="24" spans="1:14">
      <c r="A24" s="263"/>
      <c r="B24" s="263"/>
      <c r="C24" s="263"/>
      <c r="D24" s="263"/>
      <c r="E24" s="263"/>
      <c r="F24" s="263"/>
      <c r="G24" s="263"/>
      <c r="H24" s="263"/>
      <c r="I24" s="263"/>
      <c r="J24" s="263"/>
      <c r="K24" s="263"/>
      <c r="L24" s="263"/>
      <c r="M24" s="263"/>
      <c r="N24" s="263"/>
    </row>
    <row r="25" spans="1:14">
      <c r="A25" s="263"/>
      <c r="B25" s="263"/>
      <c r="C25" s="263"/>
      <c r="D25" s="263"/>
      <c r="E25" s="263"/>
      <c r="F25" s="263"/>
      <c r="G25" s="263"/>
      <c r="H25" s="263"/>
      <c r="I25" s="263"/>
      <c r="J25" s="263"/>
      <c r="K25" s="263"/>
      <c r="L25" s="263"/>
      <c r="M25" s="263"/>
      <c r="N25" s="263"/>
    </row>
    <row r="26" spans="1:14">
      <c r="A26" s="263"/>
      <c r="B26" s="263"/>
      <c r="C26" s="263"/>
      <c r="D26" s="263"/>
      <c r="E26" s="263"/>
      <c r="F26" s="263"/>
      <c r="G26" s="263"/>
      <c r="H26" s="263"/>
      <c r="I26" s="263"/>
      <c r="J26" s="263"/>
      <c r="K26" s="263"/>
      <c r="L26" s="263"/>
      <c r="M26" s="263"/>
      <c r="N26" s="263"/>
    </row>
    <row r="27" spans="1:14">
      <c r="A27" s="263"/>
      <c r="B27" s="263"/>
      <c r="C27" s="263"/>
      <c r="D27" s="263"/>
      <c r="E27" s="263"/>
      <c r="F27" s="263"/>
      <c r="G27" s="263"/>
      <c r="H27" s="263"/>
      <c r="I27" s="263"/>
      <c r="J27" s="263"/>
      <c r="K27" s="263"/>
      <c r="L27" s="263"/>
      <c r="M27" s="263"/>
      <c r="N27" s="263"/>
    </row>
    <row r="28" spans="1:14">
      <c r="A28" s="263"/>
      <c r="B28" s="263"/>
      <c r="C28" s="263"/>
      <c r="D28" s="263"/>
      <c r="E28" s="263"/>
      <c r="F28" s="263"/>
      <c r="G28" s="263"/>
      <c r="H28" s="263"/>
      <c r="I28" s="263"/>
      <c r="J28" s="263"/>
      <c r="K28" s="263"/>
      <c r="L28" s="263"/>
      <c r="M28" s="263"/>
      <c r="N28" s="263"/>
    </row>
    <row r="29" spans="1:14">
      <c r="A29" s="263"/>
      <c r="B29" s="263"/>
      <c r="C29" s="263"/>
      <c r="D29" s="263"/>
      <c r="E29" s="263"/>
      <c r="F29" s="263"/>
      <c r="G29" s="263"/>
      <c r="H29" s="263"/>
      <c r="I29" s="263"/>
      <c r="J29" s="263"/>
      <c r="K29" s="263"/>
      <c r="L29" s="263"/>
      <c r="M29" s="263"/>
      <c r="N29" s="263"/>
    </row>
    <row r="30" spans="1:14">
      <c r="A30" s="263"/>
      <c r="B30" s="263"/>
      <c r="C30" s="263"/>
      <c r="D30" s="263"/>
      <c r="E30" s="263"/>
      <c r="F30" s="263"/>
      <c r="G30" s="263"/>
      <c r="H30" s="263"/>
      <c r="I30" s="263"/>
      <c r="J30" s="263"/>
      <c r="K30" s="263"/>
      <c r="L30" s="263"/>
      <c r="M30" s="263"/>
      <c r="N30" s="263"/>
    </row>
    <row r="31" spans="1:14">
      <c r="A31" s="263"/>
      <c r="B31" s="263"/>
      <c r="C31" s="263"/>
      <c r="D31" s="263"/>
      <c r="E31" s="263"/>
      <c r="F31" s="263"/>
      <c r="G31" s="263"/>
      <c r="H31" s="263"/>
      <c r="I31" s="263"/>
      <c r="J31" s="263"/>
      <c r="K31" s="263"/>
      <c r="L31" s="263"/>
      <c r="M31" s="263"/>
      <c r="N31" s="263"/>
    </row>
    <row r="32" spans="1:14">
      <c r="A32" s="263"/>
      <c r="B32" s="263"/>
      <c r="C32" s="263"/>
      <c r="D32" s="263"/>
      <c r="E32" s="263"/>
      <c r="F32" s="263"/>
      <c r="G32" s="263"/>
      <c r="H32" s="263"/>
      <c r="I32" s="263"/>
      <c r="J32" s="263"/>
      <c r="K32" s="263"/>
      <c r="L32" s="263"/>
      <c r="M32" s="263"/>
      <c r="N32" s="263"/>
    </row>
    <row r="33" spans="1:14">
      <c r="A33" s="263"/>
      <c r="B33" s="263"/>
      <c r="C33" s="263"/>
      <c r="D33" s="263"/>
      <c r="E33" s="263"/>
      <c r="F33" s="263"/>
      <c r="G33" s="263"/>
      <c r="H33" s="263"/>
      <c r="I33" s="263"/>
      <c r="J33" s="263"/>
      <c r="K33" s="263"/>
      <c r="L33" s="263"/>
      <c r="M33" s="263"/>
      <c r="N33" s="263"/>
    </row>
    <row r="34" spans="1:14">
      <c r="A34" s="263"/>
      <c r="B34" s="263"/>
      <c r="C34" s="263"/>
      <c r="D34" s="263"/>
      <c r="E34" s="263"/>
      <c r="F34" s="263"/>
      <c r="G34" s="263"/>
      <c r="H34" s="263"/>
      <c r="I34" s="263"/>
      <c r="J34" s="263"/>
      <c r="K34" s="263"/>
      <c r="L34" s="263"/>
      <c r="M34" s="263"/>
      <c r="N34" s="263"/>
    </row>
    <row r="35" spans="1:14">
      <c r="A35" s="263"/>
      <c r="B35" s="263"/>
      <c r="C35" s="263"/>
      <c r="D35" s="263"/>
      <c r="E35" s="263"/>
      <c r="F35" s="263"/>
      <c r="G35" s="263"/>
      <c r="H35" s="263"/>
      <c r="I35" s="263"/>
      <c r="J35" s="263"/>
      <c r="K35" s="263"/>
      <c r="L35" s="263"/>
      <c r="M35" s="263"/>
      <c r="N35" s="263"/>
    </row>
    <row r="36" spans="1:14">
      <c r="A36" s="263"/>
      <c r="B36" s="263"/>
      <c r="C36" s="263"/>
      <c r="D36" s="263"/>
      <c r="E36" s="263"/>
      <c r="F36" s="263"/>
      <c r="G36" s="263"/>
      <c r="H36" s="263"/>
      <c r="I36" s="263"/>
      <c r="J36" s="263"/>
      <c r="K36" s="263"/>
      <c r="L36" s="263"/>
      <c r="M36" s="263"/>
      <c r="N36" s="263"/>
    </row>
    <row r="37" spans="1:14">
      <c r="A37" s="263"/>
      <c r="B37" s="263"/>
      <c r="C37" s="263"/>
      <c r="D37" s="263"/>
      <c r="E37" s="263"/>
      <c r="F37" s="263"/>
      <c r="G37" s="263"/>
      <c r="H37" s="263"/>
      <c r="I37" s="263"/>
      <c r="J37" s="263"/>
      <c r="K37" s="263"/>
      <c r="L37" s="263"/>
      <c r="M37" s="263"/>
      <c r="N37" s="263"/>
    </row>
    <row r="38" spans="1:14">
      <c r="A38" s="263"/>
      <c r="B38" s="263"/>
      <c r="C38" s="263"/>
      <c r="D38" s="263"/>
      <c r="E38" s="263"/>
      <c r="F38" s="263"/>
      <c r="G38" s="263"/>
      <c r="H38" s="263"/>
      <c r="I38" s="263"/>
      <c r="J38" s="263"/>
      <c r="K38" s="263"/>
      <c r="L38" s="263"/>
      <c r="M38" s="263"/>
      <c r="N38" s="263"/>
    </row>
    <row r="39" spans="1:14">
      <c r="A39" s="263"/>
      <c r="B39" s="263"/>
      <c r="C39" s="263"/>
      <c r="D39" s="263"/>
      <c r="E39" s="263"/>
      <c r="F39" s="263"/>
      <c r="G39" s="263"/>
      <c r="H39" s="263"/>
      <c r="I39" s="263"/>
      <c r="J39" s="263"/>
      <c r="K39" s="263"/>
      <c r="L39" s="263"/>
      <c r="M39" s="263"/>
      <c r="N39" s="263"/>
    </row>
    <row r="40" spans="1:14">
      <c r="A40" s="263"/>
      <c r="B40" s="263"/>
      <c r="C40" s="263"/>
      <c r="D40" s="263"/>
      <c r="E40" s="263"/>
      <c r="F40" s="263"/>
      <c r="G40" s="263"/>
      <c r="H40" s="263"/>
      <c r="I40" s="263"/>
      <c r="J40" s="263"/>
      <c r="K40" s="263"/>
      <c r="L40" s="263"/>
      <c r="M40" s="263"/>
      <c r="N40" s="263"/>
    </row>
    <row r="41" spans="1:14">
      <c r="A41" s="263"/>
      <c r="B41" s="263"/>
      <c r="C41" s="263"/>
      <c r="D41" s="263"/>
      <c r="E41" s="263"/>
      <c r="F41" s="263"/>
      <c r="G41" s="263"/>
      <c r="H41" s="263"/>
      <c r="I41" s="263"/>
      <c r="J41" s="263"/>
      <c r="K41" s="263"/>
      <c r="L41" s="263"/>
      <c r="M41" s="263"/>
      <c r="N41" s="263"/>
    </row>
    <row r="42" spans="1:14">
      <c r="A42" s="263"/>
      <c r="B42" s="263"/>
      <c r="C42" s="263"/>
      <c r="D42" s="263"/>
      <c r="E42" s="263"/>
      <c r="F42" s="263"/>
      <c r="G42" s="263"/>
      <c r="H42" s="263"/>
      <c r="I42" s="263"/>
      <c r="J42" s="263"/>
      <c r="K42" s="263"/>
      <c r="L42" s="263"/>
      <c r="M42" s="263"/>
      <c r="N42" s="263"/>
    </row>
    <row r="43" spans="1:14">
      <c r="A43" s="263"/>
      <c r="B43" s="263"/>
      <c r="C43" s="263"/>
      <c r="D43" s="263"/>
      <c r="E43" s="263"/>
      <c r="F43" s="263"/>
      <c r="G43" s="263"/>
      <c r="H43" s="263"/>
      <c r="I43" s="263"/>
      <c r="J43" s="263"/>
      <c r="K43" s="263"/>
      <c r="L43" s="263"/>
      <c r="M43" s="263"/>
      <c r="N43" s="263"/>
    </row>
    <row r="44" spans="1:14">
      <c r="A44" s="263"/>
      <c r="B44" s="263"/>
      <c r="C44" s="263"/>
      <c r="D44" s="263"/>
      <c r="E44" s="263"/>
      <c r="F44" s="263"/>
      <c r="G44" s="263"/>
      <c r="H44" s="263"/>
      <c r="I44" s="263"/>
      <c r="J44" s="263"/>
      <c r="K44" s="263"/>
      <c r="L44" s="263"/>
      <c r="M44" s="263"/>
      <c r="N44" s="263"/>
    </row>
    <row r="45" spans="1:14">
      <c r="A45" s="263"/>
      <c r="B45" s="263"/>
      <c r="C45" s="263"/>
      <c r="D45" s="263"/>
      <c r="E45" s="263"/>
      <c r="F45" s="263"/>
      <c r="G45" s="263"/>
      <c r="H45" s="263"/>
      <c r="I45" s="263"/>
      <c r="J45" s="263"/>
      <c r="K45" s="263"/>
      <c r="L45" s="263"/>
      <c r="M45" s="263"/>
      <c r="N45" s="263"/>
    </row>
    <row r="46" spans="1:14">
      <c r="A46" s="263"/>
      <c r="B46" s="263"/>
      <c r="C46" s="263"/>
      <c r="D46" s="263"/>
      <c r="E46" s="263"/>
      <c r="F46" s="263"/>
      <c r="G46" s="263"/>
      <c r="H46" s="263"/>
      <c r="I46" s="263"/>
      <c r="J46" s="263"/>
      <c r="K46" s="263"/>
      <c r="L46" s="263"/>
      <c r="M46" s="263"/>
      <c r="N46" s="263"/>
    </row>
    <row r="47" spans="1:14">
      <c r="A47" s="263"/>
      <c r="B47" s="263"/>
      <c r="C47" s="263"/>
      <c r="D47" s="263"/>
      <c r="E47" s="263"/>
      <c r="F47" s="263"/>
      <c r="G47" s="263"/>
      <c r="H47" s="263"/>
      <c r="I47" s="263"/>
      <c r="J47" s="263"/>
      <c r="K47" s="263"/>
      <c r="L47" s="263"/>
      <c r="M47" s="263"/>
      <c r="N47" s="263"/>
    </row>
    <row r="48" spans="1:14">
      <c r="A48" s="263"/>
      <c r="B48" s="263"/>
      <c r="C48" s="263"/>
      <c r="D48" s="263"/>
      <c r="E48" s="263"/>
      <c r="F48" s="263"/>
      <c r="G48" s="263"/>
      <c r="H48" s="263"/>
      <c r="I48" s="263"/>
      <c r="J48" s="263"/>
      <c r="K48" s="263"/>
      <c r="L48" s="263"/>
      <c r="M48" s="263"/>
      <c r="N48" s="263"/>
    </row>
    <row r="49" spans="1:14">
      <c r="A49" s="263"/>
      <c r="B49" s="263"/>
      <c r="C49" s="263"/>
      <c r="D49" s="263"/>
      <c r="E49" s="263"/>
      <c r="F49" s="263"/>
      <c r="G49" s="263"/>
      <c r="H49" s="263"/>
      <c r="I49" s="263"/>
      <c r="J49" s="263"/>
      <c r="K49" s="263"/>
      <c r="L49" s="263"/>
      <c r="M49" s="263"/>
      <c r="N49" s="263"/>
    </row>
    <row r="50" spans="1:14">
      <c r="A50" s="263"/>
      <c r="B50" s="263"/>
      <c r="C50" s="263"/>
      <c r="D50" s="263"/>
      <c r="E50" s="263"/>
      <c r="F50" s="263"/>
      <c r="G50" s="263"/>
      <c r="H50" s="263"/>
      <c r="I50" s="263"/>
      <c r="J50" s="263"/>
      <c r="K50" s="263"/>
      <c r="L50" s="263"/>
      <c r="M50" s="263"/>
      <c r="N50" s="263"/>
    </row>
    <row r="51" spans="1:14">
      <c r="A51" s="263"/>
      <c r="B51" s="263"/>
      <c r="C51" s="263"/>
      <c r="D51" s="263"/>
      <c r="E51" s="263"/>
      <c r="F51" s="263"/>
      <c r="G51" s="263"/>
      <c r="H51" s="263"/>
      <c r="I51" s="263"/>
      <c r="J51" s="263"/>
      <c r="K51" s="263"/>
      <c r="L51" s="263"/>
      <c r="M51" s="263"/>
      <c r="N51" s="263"/>
    </row>
    <row r="52" spans="1:14">
      <c r="A52" s="263"/>
      <c r="B52" s="263"/>
      <c r="C52" s="263"/>
      <c r="D52" s="263"/>
      <c r="E52" s="263"/>
      <c r="F52" s="263"/>
      <c r="G52" s="263"/>
      <c r="H52" s="263"/>
      <c r="I52" s="263"/>
      <c r="J52" s="263"/>
      <c r="K52" s="263"/>
      <c r="L52" s="263"/>
      <c r="M52" s="263"/>
      <c r="N52" s="263"/>
    </row>
    <row r="53" spans="1:14">
      <c r="A53" s="263"/>
      <c r="B53" s="263"/>
      <c r="C53" s="263"/>
      <c r="D53" s="263"/>
      <c r="E53" s="263"/>
      <c r="F53" s="263"/>
      <c r="G53" s="263"/>
      <c r="H53" s="263"/>
      <c r="I53" s="263"/>
      <c r="J53" s="263"/>
      <c r="K53" s="263"/>
      <c r="L53" s="263"/>
      <c r="M53" s="263"/>
      <c r="N53" s="263"/>
    </row>
    <row r="54" spans="1:14">
      <c r="A54" s="263"/>
      <c r="B54" s="263"/>
      <c r="C54" s="263"/>
      <c r="D54" s="263"/>
      <c r="E54" s="263"/>
      <c r="F54" s="263"/>
      <c r="G54" s="263"/>
      <c r="H54" s="263"/>
      <c r="I54" s="263"/>
      <c r="J54" s="263"/>
      <c r="K54" s="263"/>
      <c r="L54" s="263"/>
      <c r="M54" s="263"/>
      <c r="N54" s="263"/>
    </row>
    <row r="55" spans="1:14">
      <c r="A55" s="263"/>
      <c r="B55" s="263"/>
      <c r="C55" s="263"/>
      <c r="D55" s="263"/>
      <c r="E55" s="263"/>
      <c r="F55" s="263"/>
      <c r="G55" s="263"/>
      <c r="H55" s="263"/>
      <c r="I55" s="263"/>
      <c r="J55" s="263"/>
      <c r="K55" s="263"/>
      <c r="L55" s="263"/>
      <c r="M55" s="263"/>
      <c r="N55" s="263"/>
    </row>
    <row r="56" spans="1:14">
      <c r="A56" s="263"/>
      <c r="B56" s="263"/>
      <c r="C56" s="263"/>
      <c r="D56" s="263"/>
      <c r="E56" s="263"/>
      <c r="F56" s="263"/>
      <c r="G56" s="263"/>
      <c r="H56" s="263"/>
      <c r="I56" s="263"/>
      <c r="J56" s="263"/>
      <c r="K56" s="263"/>
      <c r="L56" s="263"/>
      <c r="M56" s="263"/>
      <c r="N56" s="263"/>
    </row>
    <row r="57" spans="1:14">
      <c r="A57" s="263"/>
      <c r="B57" s="263"/>
      <c r="C57" s="263"/>
      <c r="D57" s="263"/>
      <c r="E57" s="263"/>
      <c r="F57" s="263"/>
      <c r="G57" s="263"/>
      <c r="H57" s="263"/>
      <c r="I57" s="263"/>
      <c r="J57" s="263"/>
      <c r="K57" s="263"/>
      <c r="L57" s="263"/>
      <c r="M57" s="263"/>
      <c r="N57" s="263"/>
    </row>
    <row r="58" spans="1:14">
      <c r="A58" s="263"/>
      <c r="B58" s="263"/>
      <c r="C58" s="263"/>
      <c r="D58" s="263"/>
      <c r="E58" s="263"/>
      <c r="F58" s="263"/>
      <c r="G58" s="263"/>
      <c r="H58" s="263"/>
      <c r="I58" s="263"/>
      <c r="J58" s="263"/>
      <c r="K58" s="263"/>
      <c r="L58" s="263"/>
      <c r="M58" s="263"/>
      <c r="N58" s="263"/>
    </row>
    <row r="59" spans="1:14">
      <c r="A59" s="263"/>
      <c r="B59" s="263"/>
      <c r="C59" s="263"/>
      <c r="D59" s="263"/>
      <c r="E59" s="263"/>
      <c r="F59" s="263"/>
      <c r="G59" s="263"/>
      <c r="H59" s="263"/>
      <c r="I59" s="263"/>
      <c r="J59" s="263"/>
      <c r="K59" s="263"/>
      <c r="L59" s="263"/>
      <c r="M59" s="263"/>
      <c r="N59" s="263"/>
    </row>
    <row r="60" spans="1:14">
      <c r="A60" s="263"/>
      <c r="B60" s="263"/>
      <c r="C60" s="263"/>
      <c r="D60" s="263"/>
      <c r="E60" s="263"/>
      <c r="F60" s="263"/>
      <c r="G60" s="263"/>
      <c r="H60" s="263"/>
      <c r="I60" s="263"/>
      <c r="J60" s="263"/>
      <c r="K60" s="263"/>
      <c r="L60" s="263"/>
      <c r="M60" s="263"/>
      <c r="N60" s="263"/>
    </row>
    <row r="61" spans="1:14">
      <c r="A61" s="263"/>
      <c r="B61" s="263"/>
      <c r="C61" s="263"/>
      <c r="D61" s="263"/>
      <c r="E61" s="263"/>
      <c r="F61" s="263"/>
      <c r="G61" s="263"/>
      <c r="H61" s="263"/>
      <c r="I61" s="263"/>
      <c r="J61" s="263"/>
      <c r="K61" s="263"/>
      <c r="L61" s="263"/>
      <c r="M61" s="263"/>
      <c r="N61" s="263"/>
    </row>
    <row r="62" spans="1:14">
      <c r="A62" s="263"/>
      <c r="B62" s="263"/>
      <c r="C62" s="263"/>
      <c r="D62" s="263"/>
      <c r="E62" s="263"/>
      <c r="F62" s="263"/>
      <c r="G62" s="263"/>
      <c r="H62" s="263"/>
      <c r="I62" s="263"/>
      <c r="J62" s="263"/>
      <c r="K62" s="263"/>
      <c r="L62" s="263"/>
      <c r="M62" s="263"/>
      <c r="N62" s="263"/>
    </row>
    <row r="63" spans="1:14">
      <c r="A63" s="263"/>
      <c r="B63" s="263"/>
      <c r="C63" s="263"/>
      <c r="D63" s="263"/>
      <c r="E63" s="263"/>
      <c r="F63" s="263"/>
      <c r="G63" s="263"/>
      <c r="H63" s="263"/>
      <c r="I63" s="263"/>
      <c r="J63" s="263"/>
      <c r="K63" s="263"/>
      <c r="L63" s="263"/>
      <c r="M63" s="263"/>
      <c r="N63" s="263"/>
    </row>
    <row r="64" spans="1:14">
      <c r="A64" s="263"/>
      <c r="B64" s="263"/>
      <c r="C64" s="263"/>
      <c r="D64" s="263"/>
      <c r="E64" s="263"/>
      <c r="F64" s="263"/>
      <c r="G64" s="263"/>
      <c r="H64" s="263"/>
      <c r="I64" s="263"/>
      <c r="J64" s="263"/>
      <c r="K64" s="263"/>
      <c r="L64" s="263"/>
      <c r="M64" s="263"/>
      <c r="N64" s="263"/>
    </row>
    <row r="65" spans="1:14">
      <c r="A65" s="263"/>
      <c r="B65" s="263"/>
      <c r="C65" s="263"/>
      <c r="D65" s="263"/>
      <c r="E65" s="263"/>
      <c r="F65" s="263"/>
      <c r="G65" s="263"/>
      <c r="H65" s="263"/>
      <c r="I65" s="263"/>
      <c r="J65" s="263"/>
      <c r="K65" s="263"/>
      <c r="L65" s="263"/>
      <c r="M65" s="263"/>
      <c r="N65" s="263"/>
    </row>
    <row r="66" spans="1:14">
      <c r="A66" s="263"/>
      <c r="B66" s="263"/>
      <c r="C66" s="263"/>
      <c r="D66" s="263"/>
      <c r="E66" s="263"/>
      <c r="F66" s="263"/>
      <c r="G66" s="263"/>
      <c r="H66" s="263"/>
      <c r="I66" s="263"/>
      <c r="J66" s="263"/>
      <c r="K66" s="263"/>
      <c r="L66" s="263"/>
      <c r="M66" s="263"/>
      <c r="N66" s="263"/>
    </row>
    <row r="67" spans="1:14">
      <c r="A67" s="263"/>
      <c r="B67" s="263"/>
      <c r="C67" s="263"/>
      <c r="D67" s="263"/>
      <c r="E67" s="263"/>
      <c r="F67" s="263"/>
      <c r="G67" s="263"/>
      <c r="H67" s="263"/>
      <c r="I67" s="263"/>
      <c r="J67" s="263"/>
      <c r="K67" s="263"/>
      <c r="L67" s="263"/>
      <c r="M67" s="263"/>
      <c r="N67" s="263"/>
    </row>
    <row r="68" spans="1:14">
      <c r="A68" s="263"/>
      <c r="B68" s="263"/>
      <c r="C68" s="263"/>
      <c r="D68" s="263"/>
      <c r="E68" s="263"/>
      <c r="F68" s="263"/>
      <c r="G68" s="263"/>
      <c r="H68" s="263"/>
      <c r="I68" s="263"/>
      <c r="J68" s="263"/>
      <c r="K68" s="263"/>
      <c r="L68" s="263"/>
      <c r="M68" s="263"/>
      <c r="N68" s="263"/>
    </row>
    <row r="69" spans="1:14">
      <c r="A69" s="263"/>
      <c r="B69" s="263"/>
      <c r="C69" s="263"/>
      <c r="D69" s="263"/>
      <c r="E69" s="263"/>
      <c r="F69" s="263"/>
      <c r="G69" s="263"/>
      <c r="H69" s="263"/>
      <c r="I69" s="263"/>
      <c r="J69" s="263"/>
      <c r="K69" s="263"/>
      <c r="L69" s="263"/>
      <c r="M69" s="263"/>
      <c r="N69" s="263"/>
    </row>
    <row r="70" spans="1:14">
      <c r="A70" s="263"/>
      <c r="B70" s="263"/>
      <c r="C70" s="263"/>
      <c r="D70" s="263"/>
      <c r="E70" s="263"/>
      <c r="F70" s="263"/>
      <c r="G70" s="263"/>
      <c r="H70" s="263"/>
      <c r="I70" s="263"/>
      <c r="J70" s="263"/>
      <c r="K70" s="263"/>
      <c r="L70" s="263"/>
      <c r="M70" s="263"/>
      <c r="N70" s="263"/>
    </row>
    <row r="71" spans="1:14">
      <c r="A71" s="263"/>
      <c r="B71" s="263"/>
      <c r="C71" s="263"/>
      <c r="D71" s="263"/>
      <c r="E71" s="263"/>
      <c r="F71" s="263"/>
      <c r="G71" s="263"/>
      <c r="H71" s="263"/>
      <c r="I71" s="263"/>
      <c r="J71" s="263"/>
      <c r="K71" s="263"/>
      <c r="L71" s="263"/>
      <c r="M71" s="263"/>
      <c r="N71" s="263"/>
    </row>
    <row r="72" spans="1:14">
      <c r="A72" s="263"/>
      <c r="B72" s="263"/>
      <c r="C72" s="263"/>
      <c r="D72" s="263"/>
      <c r="E72" s="263"/>
      <c r="F72" s="263"/>
      <c r="G72" s="263"/>
      <c r="H72" s="263"/>
      <c r="I72" s="263"/>
      <c r="J72" s="263"/>
      <c r="K72" s="263"/>
      <c r="L72" s="263"/>
      <c r="M72" s="263"/>
      <c r="N72" s="263"/>
    </row>
    <row r="73" spans="1:14">
      <c r="A73" s="263"/>
      <c r="B73" s="263"/>
      <c r="C73" s="263"/>
      <c r="D73" s="263"/>
      <c r="E73" s="263"/>
      <c r="F73" s="263"/>
      <c r="G73" s="263"/>
      <c r="H73" s="263"/>
      <c r="I73" s="263"/>
      <c r="J73" s="263"/>
      <c r="K73" s="263"/>
      <c r="L73" s="263"/>
      <c r="M73" s="263"/>
      <c r="N73" s="263"/>
    </row>
    <row r="74" spans="1:14">
      <c r="A74" s="263"/>
      <c r="B74" s="263"/>
      <c r="C74" s="263"/>
      <c r="D74" s="263"/>
      <c r="E74" s="263"/>
      <c r="F74" s="263"/>
      <c r="G74" s="263"/>
      <c r="H74" s="263"/>
      <c r="I74" s="263"/>
      <c r="J74" s="263"/>
      <c r="K74" s="263"/>
      <c r="L74" s="263"/>
      <c r="M74" s="263"/>
      <c r="N74" s="263"/>
    </row>
    <row r="75" spans="1:14">
      <c r="A75" s="263"/>
      <c r="B75" s="263"/>
      <c r="C75" s="263"/>
      <c r="D75" s="263"/>
      <c r="E75" s="263"/>
      <c r="F75" s="263"/>
      <c r="G75" s="263"/>
      <c r="H75" s="263"/>
      <c r="I75" s="263"/>
      <c r="J75" s="263"/>
      <c r="K75" s="263"/>
      <c r="L75" s="263"/>
      <c r="M75" s="263"/>
      <c r="N75" s="263"/>
    </row>
    <row r="76" spans="1:14">
      <c r="A76" s="263"/>
      <c r="B76" s="263"/>
      <c r="C76" s="263"/>
      <c r="D76" s="263"/>
      <c r="E76" s="263"/>
      <c r="F76" s="263"/>
      <c r="G76" s="263"/>
      <c r="H76" s="263"/>
      <c r="I76" s="263"/>
      <c r="J76" s="263"/>
      <c r="K76" s="263"/>
      <c r="L76" s="263"/>
      <c r="M76" s="263"/>
      <c r="N76" s="263"/>
    </row>
    <row r="77" spans="1:14">
      <c r="A77" s="263"/>
      <c r="B77" s="263"/>
      <c r="C77" s="263"/>
      <c r="D77" s="263"/>
      <c r="E77" s="263"/>
      <c r="F77" s="263"/>
      <c r="G77" s="263"/>
      <c r="H77" s="263"/>
      <c r="I77" s="263"/>
      <c r="J77" s="263"/>
      <c r="K77" s="263"/>
      <c r="L77" s="263"/>
      <c r="M77" s="263"/>
      <c r="N77" s="263"/>
    </row>
    <row r="78" spans="1:14">
      <c r="A78" s="263"/>
      <c r="B78" s="263"/>
      <c r="C78" s="263"/>
      <c r="D78" s="263"/>
      <c r="E78" s="263"/>
      <c r="F78" s="263"/>
      <c r="G78" s="263"/>
      <c r="H78" s="263"/>
      <c r="I78" s="263"/>
      <c r="J78" s="263"/>
      <c r="K78" s="263"/>
      <c r="L78" s="263"/>
      <c r="M78" s="263"/>
      <c r="N78" s="263"/>
    </row>
    <row r="79" spans="1:14">
      <c r="A79" s="263"/>
      <c r="B79" s="263"/>
      <c r="C79" s="263"/>
      <c r="D79" s="263"/>
      <c r="E79" s="263"/>
      <c r="F79" s="263"/>
      <c r="G79" s="263"/>
      <c r="H79" s="263"/>
      <c r="I79" s="263"/>
      <c r="J79" s="263"/>
      <c r="K79" s="263"/>
      <c r="L79" s="263"/>
      <c r="M79" s="263"/>
      <c r="N79" s="263"/>
    </row>
    <row r="80" spans="1:14">
      <c r="A80" s="263"/>
      <c r="B80" s="263"/>
      <c r="C80" s="263"/>
      <c r="D80" s="263"/>
      <c r="E80" s="263"/>
      <c r="F80" s="263"/>
      <c r="G80" s="263"/>
      <c r="H80" s="263"/>
      <c r="I80" s="263"/>
      <c r="J80" s="263"/>
      <c r="K80" s="263"/>
      <c r="L80" s="263"/>
      <c r="M80" s="263"/>
      <c r="N80" s="263"/>
    </row>
    <row r="81" spans="1:14">
      <c r="A81" s="263"/>
      <c r="B81" s="263"/>
      <c r="C81" s="263"/>
      <c r="D81" s="263"/>
      <c r="E81" s="263"/>
      <c r="F81" s="263"/>
      <c r="G81" s="263"/>
      <c r="H81" s="263"/>
      <c r="I81" s="263"/>
      <c r="J81" s="263"/>
      <c r="K81" s="263"/>
      <c r="L81" s="263"/>
      <c r="M81" s="263"/>
      <c r="N81" s="263"/>
    </row>
    <row r="82" spans="1:14">
      <c r="A82" s="263"/>
      <c r="B82" s="263"/>
      <c r="C82" s="263"/>
      <c r="D82" s="263"/>
      <c r="E82" s="263"/>
      <c r="F82" s="263"/>
      <c r="G82" s="263"/>
      <c r="H82" s="263"/>
      <c r="I82" s="263"/>
      <c r="J82" s="263"/>
      <c r="K82" s="263"/>
      <c r="L82" s="263"/>
      <c r="M82" s="263"/>
      <c r="N82" s="263"/>
    </row>
    <row r="83" spans="1:14">
      <c r="A83" s="263"/>
      <c r="B83" s="263"/>
      <c r="C83" s="263"/>
      <c r="D83" s="263"/>
      <c r="E83" s="263"/>
      <c r="F83" s="263"/>
      <c r="G83" s="263"/>
      <c r="H83" s="263"/>
      <c r="I83" s="263"/>
      <c r="J83" s="263"/>
      <c r="K83" s="263"/>
      <c r="L83" s="263"/>
      <c r="M83" s="263"/>
      <c r="N83" s="263"/>
    </row>
    <row r="84" spans="1:14">
      <c r="A84" s="263"/>
      <c r="B84" s="263"/>
      <c r="C84" s="263"/>
      <c r="D84" s="263"/>
      <c r="E84" s="263"/>
      <c r="F84" s="263"/>
      <c r="G84" s="263"/>
      <c r="H84" s="263"/>
      <c r="I84" s="263"/>
      <c r="J84" s="263"/>
      <c r="K84" s="263"/>
      <c r="L84" s="263"/>
      <c r="M84" s="263"/>
      <c r="N84" s="263"/>
    </row>
    <row r="85" spans="1:14">
      <c r="A85" s="263"/>
      <c r="B85" s="263"/>
      <c r="C85" s="263"/>
      <c r="D85" s="263"/>
      <c r="E85" s="263"/>
      <c r="F85" s="263"/>
      <c r="G85" s="263"/>
      <c r="H85" s="263"/>
      <c r="I85" s="263"/>
      <c r="J85" s="263"/>
      <c r="K85" s="263"/>
      <c r="L85" s="263"/>
      <c r="M85" s="263"/>
      <c r="N85" s="263"/>
    </row>
    <row r="86" spans="1:14">
      <c r="A86" s="263"/>
      <c r="B86" s="263"/>
      <c r="C86" s="263"/>
      <c r="D86" s="263"/>
      <c r="E86" s="263"/>
      <c r="F86" s="263"/>
      <c r="G86" s="263"/>
      <c r="H86" s="263"/>
      <c r="I86" s="263"/>
      <c r="J86" s="263"/>
      <c r="K86" s="263"/>
      <c r="L86" s="263"/>
      <c r="M86" s="263"/>
      <c r="N86" s="263"/>
    </row>
    <row r="87" spans="1:14">
      <c r="A87" s="263"/>
      <c r="B87" s="263"/>
      <c r="C87" s="263"/>
      <c r="D87" s="263"/>
      <c r="E87" s="263"/>
      <c r="F87" s="263"/>
      <c r="G87" s="263"/>
      <c r="H87" s="263"/>
      <c r="I87" s="263"/>
      <c r="J87" s="263"/>
      <c r="K87" s="263"/>
      <c r="L87" s="263"/>
      <c r="M87" s="263"/>
      <c r="N87" s="263"/>
    </row>
    <row r="88" spans="1:14">
      <c r="A88" s="263"/>
      <c r="B88" s="263"/>
      <c r="C88" s="263"/>
      <c r="D88" s="263"/>
      <c r="E88" s="263"/>
      <c r="F88" s="263"/>
      <c r="G88" s="263"/>
      <c r="H88" s="263"/>
      <c r="I88" s="263"/>
      <c r="J88" s="263"/>
      <c r="K88" s="263"/>
      <c r="L88" s="263"/>
      <c r="M88" s="263"/>
      <c r="N88" s="263"/>
    </row>
    <row r="89" spans="1:14">
      <c r="A89" s="263"/>
      <c r="B89" s="263"/>
      <c r="C89" s="263"/>
      <c r="D89" s="263"/>
      <c r="E89" s="263"/>
      <c r="F89" s="263"/>
      <c r="G89" s="263"/>
      <c r="H89" s="263"/>
      <c r="I89" s="263"/>
      <c r="J89" s="263"/>
      <c r="K89" s="263"/>
      <c r="L89" s="263"/>
      <c r="M89" s="263"/>
      <c r="N89" s="263"/>
    </row>
    <row r="90" spans="1:14">
      <c r="A90" s="263"/>
      <c r="B90" s="263"/>
      <c r="C90" s="263"/>
      <c r="D90" s="263"/>
      <c r="E90" s="263"/>
      <c r="F90" s="263"/>
      <c r="G90" s="263"/>
      <c r="H90" s="263"/>
      <c r="I90" s="263"/>
      <c r="J90" s="263"/>
      <c r="K90" s="263"/>
      <c r="L90" s="263"/>
      <c r="M90" s="263"/>
      <c r="N90" s="263"/>
    </row>
    <row r="91" spans="1:14">
      <c r="A91" s="263"/>
      <c r="B91" s="263"/>
      <c r="C91" s="263"/>
      <c r="D91" s="263"/>
      <c r="E91" s="263"/>
      <c r="F91" s="263"/>
      <c r="G91" s="263"/>
      <c r="H91" s="263"/>
      <c r="I91" s="263"/>
      <c r="J91" s="263"/>
      <c r="K91" s="263"/>
      <c r="L91" s="263"/>
      <c r="M91" s="263"/>
      <c r="N91" s="263"/>
    </row>
    <row r="92" spans="1:14">
      <c r="A92" s="263"/>
      <c r="B92" s="263"/>
      <c r="C92" s="263"/>
      <c r="D92" s="263"/>
      <c r="E92" s="263"/>
      <c r="F92" s="263"/>
      <c r="G92" s="263"/>
      <c r="H92" s="263"/>
      <c r="I92" s="263"/>
      <c r="J92" s="263"/>
      <c r="K92" s="263"/>
      <c r="L92" s="263"/>
      <c r="M92" s="263"/>
      <c r="N92" s="263"/>
    </row>
    <row r="93" spans="1:14">
      <c r="A93" s="263"/>
      <c r="B93" s="263"/>
      <c r="C93" s="263"/>
      <c r="D93" s="263"/>
      <c r="E93" s="263"/>
      <c r="F93" s="263"/>
      <c r="G93" s="263"/>
      <c r="H93" s="263"/>
      <c r="I93" s="263"/>
      <c r="J93" s="263"/>
      <c r="K93" s="263"/>
      <c r="L93" s="263"/>
      <c r="M93" s="263"/>
      <c r="N93" s="263"/>
    </row>
    <row r="94" spans="1:14">
      <c r="A94" s="263"/>
      <c r="B94" s="263"/>
      <c r="C94" s="263"/>
      <c r="D94" s="263"/>
      <c r="E94" s="263"/>
      <c r="F94" s="263"/>
      <c r="G94" s="263"/>
      <c r="H94" s="263"/>
      <c r="I94" s="263"/>
      <c r="J94" s="263"/>
      <c r="K94" s="263"/>
      <c r="L94" s="263"/>
      <c r="M94" s="263"/>
      <c r="N94" s="263"/>
    </row>
    <row r="95" spans="1:14">
      <c r="A95" s="263"/>
      <c r="B95" s="263"/>
      <c r="C95" s="263"/>
      <c r="D95" s="263"/>
      <c r="E95" s="263"/>
      <c r="F95" s="263"/>
      <c r="G95" s="263"/>
      <c r="H95" s="263"/>
      <c r="I95" s="263"/>
      <c r="J95" s="263"/>
      <c r="K95" s="263"/>
      <c r="L95" s="263"/>
      <c r="M95" s="263"/>
      <c r="N95" s="263"/>
    </row>
    <row r="96" spans="1:14">
      <c r="A96" s="263"/>
      <c r="B96" s="263"/>
      <c r="C96" s="263"/>
      <c r="D96" s="263"/>
      <c r="E96" s="263"/>
      <c r="F96" s="263"/>
      <c r="G96" s="263"/>
      <c r="H96" s="263"/>
      <c r="I96" s="263"/>
      <c r="J96" s="263"/>
      <c r="K96" s="263"/>
      <c r="L96" s="263"/>
      <c r="M96" s="263"/>
      <c r="N96" s="263"/>
    </row>
    <row r="97" spans="1:14">
      <c r="A97" s="263"/>
      <c r="B97" s="263"/>
      <c r="C97" s="263"/>
      <c r="D97" s="263"/>
      <c r="E97" s="263"/>
      <c r="F97" s="263"/>
      <c r="G97" s="263"/>
      <c r="H97" s="263"/>
      <c r="I97" s="263"/>
      <c r="J97" s="263"/>
      <c r="K97" s="263"/>
      <c r="L97" s="263"/>
      <c r="M97" s="263"/>
      <c r="N97" s="263"/>
    </row>
    <row r="98" spans="1:14">
      <c r="A98" s="263"/>
      <c r="B98" s="263"/>
      <c r="C98" s="263"/>
      <c r="D98" s="263"/>
      <c r="E98" s="263"/>
      <c r="F98" s="263"/>
      <c r="G98" s="263"/>
      <c r="H98" s="263"/>
      <c r="I98" s="263"/>
      <c r="J98" s="263"/>
      <c r="K98" s="263"/>
      <c r="L98" s="263"/>
      <c r="M98" s="263"/>
      <c r="N98" s="263"/>
    </row>
    <row r="99" spans="1:14">
      <c r="A99" s="263"/>
      <c r="B99" s="263"/>
      <c r="C99" s="263"/>
      <c r="D99" s="263"/>
      <c r="E99" s="263"/>
      <c r="F99" s="263"/>
      <c r="G99" s="263"/>
      <c r="H99" s="263"/>
      <c r="I99" s="263"/>
      <c r="J99" s="263"/>
      <c r="K99" s="263"/>
      <c r="L99" s="263"/>
      <c r="M99" s="263"/>
      <c r="N99" s="263"/>
    </row>
    <row r="100" spans="1:14">
      <c r="A100" s="263"/>
      <c r="B100" s="263"/>
      <c r="C100" s="263"/>
      <c r="D100" s="263"/>
      <c r="E100" s="263"/>
      <c r="F100" s="263"/>
      <c r="G100" s="263"/>
      <c r="H100" s="263"/>
      <c r="I100" s="263"/>
      <c r="J100" s="263"/>
      <c r="K100" s="263"/>
      <c r="L100" s="263"/>
      <c r="M100" s="263"/>
      <c r="N100" s="263"/>
    </row>
    <row r="101" spans="1:14">
      <c r="A101" s="263"/>
      <c r="B101" s="263"/>
      <c r="C101" s="263"/>
      <c r="D101" s="263"/>
      <c r="E101" s="263"/>
      <c r="F101" s="263"/>
      <c r="G101" s="263"/>
      <c r="H101" s="263"/>
      <c r="I101" s="263"/>
      <c r="J101" s="263"/>
      <c r="K101" s="263"/>
      <c r="L101" s="263"/>
      <c r="M101" s="263"/>
      <c r="N101" s="263"/>
    </row>
    <row r="102" spans="1:14">
      <c r="A102" s="263"/>
      <c r="B102" s="263"/>
      <c r="C102" s="263"/>
      <c r="D102" s="263"/>
      <c r="E102" s="263"/>
      <c r="F102" s="263"/>
      <c r="G102" s="263"/>
      <c r="H102" s="263"/>
      <c r="I102" s="263"/>
      <c r="J102" s="263"/>
      <c r="K102" s="263"/>
      <c r="L102" s="263"/>
      <c r="M102" s="263"/>
      <c r="N102" s="263"/>
    </row>
    <row r="103" spans="1:14">
      <c r="A103" s="263"/>
      <c r="B103" s="263"/>
      <c r="C103" s="263"/>
      <c r="D103" s="263"/>
      <c r="E103" s="263"/>
      <c r="F103" s="263"/>
      <c r="G103" s="263"/>
      <c r="H103" s="263"/>
      <c r="I103" s="263"/>
      <c r="J103" s="263"/>
      <c r="K103" s="263"/>
      <c r="L103" s="263"/>
      <c r="M103" s="263"/>
      <c r="N103" s="263"/>
    </row>
    <row r="104" spans="1:14">
      <c r="A104" s="263"/>
      <c r="B104" s="263"/>
      <c r="C104" s="263"/>
      <c r="D104" s="263"/>
      <c r="E104" s="263"/>
      <c r="F104" s="263"/>
      <c r="G104" s="263"/>
      <c r="H104" s="263"/>
      <c r="I104" s="263"/>
      <c r="J104" s="263"/>
      <c r="K104" s="263"/>
      <c r="L104" s="263"/>
      <c r="M104" s="263"/>
      <c r="N104" s="263"/>
    </row>
    <row r="105" spans="1:14">
      <c r="A105" s="263"/>
      <c r="B105" s="263"/>
      <c r="C105" s="263"/>
      <c r="D105" s="263"/>
      <c r="E105" s="263"/>
      <c r="F105" s="263"/>
      <c r="G105" s="263"/>
      <c r="H105" s="263"/>
      <c r="I105" s="263"/>
      <c r="J105" s="263"/>
      <c r="K105" s="263"/>
      <c r="L105" s="263"/>
      <c r="M105" s="263"/>
      <c r="N105" s="263"/>
    </row>
    <row r="106" spans="1:14">
      <c r="A106" s="263"/>
      <c r="B106" s="263"/>
      <c r="C106" s="263"/>
      <c r="D106" s="263"/>
      <c r="E106" s="263"/>
      <c r="F106" s="263"/>
      <c r="G106" s="263"/>
      <c r="H106" s="263"/>
      <c r="I106" s="263"/>
      <c r="J106" s="263"/>
      <c r="K106" s="263"/>
      <c r="L106" s="263"/>
      <c r="M106" s="263"/>
      <c r="N106" s="263"/>
    </row>
    <row r="107" spans="1:14">
      <c r="A107" s="263"/>
      <c r="B107" s="263"/>
      <c r="C107" s="263"/>
      <c r="D107" s="263"/>
      <c r="E107" s="263"/>
      <c r="F107" s="263"/>
      <c r="G107" s="263"/>
      <c r="H107" s="263"/>
      <c r="I107" s="263"/>
      <c r="J107" s="263"/>
      <c r="K107" s="263"/>
      <c r="L107" s="263"/>
      <c r="M107" s="263"/>
      <c r="N107" s="263"/>
    </row>
    <row r="108" spans="1:14">
      <c r="A108" s="263"/>
      <c r="B108" s="263"/>
      <c r="C108" s="263"/>
      <c r="D108" s="263"/>
      <c r="E108" s="263"/>
      <c r="F108" s="263"/>
      <c r="G108" s="263"/>
      <c r="H108" s="263"/>
      <c r="I108" s="263"/>
      <c r="J108" s="263"/>
      <c r="K108" s="263"/>
      <c r="L108" s="263"/>
      <c r="M108" s="263"/>
      <c r="N108" s="263"/>
    </row>
    <row r="109" spans="1:14">
      <c r="A109" s="263"/>
      <c r="B109" s="263"/>
      <c r="C109" s="263"/>
      <c r="D109" s="263"/>
      <c r="E109" s="263"/>
      <c r="F109" s="263"/>
      <c r="G109" s="263"/>
      <c r="H109" s="263"/>
      <c r="I109" s="263"/>
      <c r="J109" s="263"/>
      <c r="K109" s="263"/>
      <c r="L109" s="263"/>
      <c r="M109" s="263"/>
      <c r="N109" s="263"/>
    </row>
    <row r="110" spans="1:14">
      <c r="A110" s="263"/>
      <c r="B110" s="263"/>
      <c r="C110" s="263"/>
      <c r="D110" s="263"/>
      <c r="E110" s="263"/>
      <c r="F110" s="263"/>
      <c r="G110" s="263"/>
      <c r="H110" s="263"/>
      <c r="I110" s="263"/>
      <c r="J110" s="263"/>
      <c r="K110" s="263"/>
      <c r="L110" s="263"/>
      <c r="M110" s="263"/>
      <c r="N110" s="263"/>
    </row>
    <row r="111" spans="1:14">
      <c r="A111" s="263"/>
      <c r="B111" s="263"/>
      <c r="C111" s="263"/>
      <c r="D111" s="263"/>
      <c r="E111" s="263"/>
      <c r="F111" s="263"/>
      <c r="G111" s="263"/>
      <c r="H111" s="263"/>
      <c r="I111" s="263"/>
      <c r="J111" s="263"/>
      <c r="K111" s="263"/>
      <c r="L111" s="263"/>
      <c r="M111" s="263"/>
      <c r="N111" s="263"/>
    </row>
    <row r="112" spans="1:14">
      <c r="A112" s="263"/>
      <c r="B112" s="263"/>
      <c r="C112" s="263"/>
      <c r="D112" s="263"/>
      <c r="E112" s="263"/>
      <c r="F112" s="263"/>
      <c r="G112" s="263"/>
      <c r="H112" s="263"/>
      <c r="I112" s="263"/>
      <c r="J112" s="263"/>
      <c r="K112" s="263"/>
      <c r="L112" s="263"/>
      <c r="M112" s="263"/>
      <c r="N112" s="263"/>
    </row>
    <row r="113" spans="1:14">
      <c r="A113" s="263"/>
      <c r="B113" s="263"/>
      <c r="C113" s="263"/>
      <c r="D113" s="263"/>
      <c r="E113" s="263"/>
      <c r="F113" s="263"/>
      <c r="G113" s="263"/>
      <c r="H113" s="263"/>
      <c r="I113" s="263"/>
      <c r="J113" s="263"/>
      <c r="K113" s="263"/>
      <c r="L113" s="263"/>
      <c r="M113" s="263"/>
      <c r="N113" s="263"/>
    </row>
    <row r="114" spans="1:14">
      <c r="A114" s="263"/>
      <c r="B114" s="263"/>
      <c r="C114" s="263"/>
      <c r="D114" s="263"/>
      <c r="E114" s="263"/>
      <c r="F114" s="263"/>
      <c r="G114" s="263"/>
      <c r="H114" s="263"/>
      <c r="I114" s="263"/>
      <c r="J114" s="263"/>
      <c r="K114" s="263"/>
      <c r="L114" s="263"/>
      <c r="M114" s="263"/>
      <c r="N114" s="263"/>
    </row>
    <row r="115" spans="1:14">
      <c r="A115" s="263"/>
      <c r="B115" s="263"/>
      <c r="C115" s="263"/>
      <c r="D115" s="263"/>
      <c r="E115" s="263"/>
      <c r="F115" s="263"/>
      <c r="G115" s="263"/>
      <c r="H115" s="263"/>
      <c r="I115" s="263"/>
      <c r="J115" s="263"/>
      <c r="K115" s="263"/>
      <c r="L115" s="263"/>
      <c r="M115" s="263"/>
      <c r="N115" s="263"/>
    </row>
    <row r="116" spans="1:14">
      <c r="A116" s="263"/>
      <c r="B116" s="263"/>
      <c r="C116" s="263"/>
      <c r="D116" s="263"/>
      <c r="E116" s="263"/>
      <c r="F116" s="263"/>
      <c r="G116" s="263"/>
      <c r="H116" s="263"/>
      <c r="I116" s="263"/>
      <c r="J116" s="263"/>
      <c r="K116" s="263"/>
      <c r="L116" s="263"/>
      <c r="M116" s="263"/>
      <c r="N116" s="263"/>
    </row>
    <row r="117" spans="1:14">
      <c r="A117" s="263"/>
      <c r="B117" s="263"/>
      <c r="C117" s="263"/>
      <c r="D117" s="263"/>
      <c r="E117" s="263"/>
      <c r="F117" s="263"/>
      <c r="G117" s="263"/>
      <c r="H117" s="263"/>
      <c r="I117" s="263"/>
      <c r="J117" s="263"/>
      <c r="K117" s="263"/>
      <c r="L117" s="263"/>
      <c r="M117" s="263"/>
      <c r="N117" s="263"/>
    </row>
    <row r="118" spans="1:14">
      <c r="A118" s="263"/>
      <c r="B118" s="263"/>
      <c r="C118" s="263"/>
      <c r="D118" s="263"/>
      <c r="E118" s="263"/>
      <c r="F118" s="263"/>
      <c r="G118" s="263"/>
      <c r="H118" s="263"/>
      <c r="I118" s="263"/>
      <c r="J118" s="263"/>
      <c r="K118" s="263"/>
      <c r="L118" s="263"/>
      <c r="M118" s="263"/>
      <c r="N118" s="263"/>
    </row>
    <row r="119" spans="1:14">
      <c r="A119" s="263"/>
      <c r="B119" s="263"/>
      <c r="C119" s="263"/>
      <c r="D119" s="263"/>
      <c r="E119" s="263"/>
      <c r="F119" s="263"/>
      <c r="G119" s="263"/>
      <c r="H119" s="263"/>
      <c r="I119" s="263"/>
      <c r="J119" s="263"/>
      <c r="K119" s="263"/>
      <c r="L119" s="263"/>
      <c r="M119" s="263"/>
      <c r="N119" s="263"/>
    </row>
    <row r="120" spans="1:14">
      <c r="A120" s="263"/>
      <c r="B120" s="263"/>
      <c r="C120" s="263"/>
      <c r="D120" s="263"/>
      <c r="E120" s="263"/>
      <c r="F120" s="263"/>
      <c r="G120" s="263"/>
      <c r="H120" s="263"/>
      <c r="I120" s="263"/>
      <c r="J120" s="263"/>
      <c r="K120" s="263"/>
      <c r="L120" s="263"/>
      <c r="M120" s="263"/>
      <c r="N120" s="263"/>
    </row>
    <row r="121" spans="1:14">
      <c r="A121" s="263"/>
      <c r="B121" s="263"/>
      <c r="C121" s="263"/>
      <c r="D121" s="263"/>
      <c r="E121" s="263"/>
      <c r="F121" s="263"/>
      <c r="G121" s="263"/>
      <c r="H121" s="263"/>
      <c r="I121" s="263"/>
      <c r="J121" s="263"/>
      <c r="K121" s="263"/>
      <c r="L121" s="263"/>
      <c r="M121" s="263"/>
      <c r="N121" s="263"/>
    </row>
    <row r="122" spans="1:14">
      <c r="A122" s="263"/>
      <c r="B122" s="263"/>
      <c r="C122" s="263"/>
      <c r="D122" s="263"/>
      <c r="E122" s="263"/>
      <c r="F122" s="263"/>
      <c r="G122" s="263"/>
      <c r="H122" s="263"/>
      <c r="I122" s="263"/>
      <c r="J122" s="263"/>
      <c r="K122" s="263"/>
      <c r="L122" s="263"/>
      <c r="M122" s="263"/>
      <c r="N122" s="263"/>
    </row>
    <row r="123" spans="1:14">
      <c r="A123" s="263"/>
      <c r="B123" s="263"/>
      <c r="C123" s="263"/>
      <c r="D123" s="263"/>
      <c r="E123" s="263"/>
      <c r="F123" s="263"/>
      <c r="G123" s="263"/>
      <c r="H123" s="263"/>
      <c r="I123" s="263"/>
      <c r="J123" s="263"/>
      <c r="K123" s="263"/>
      <c r="L123" s="263"/>
      <c r="M123" s="263"/>
      <c r="N123" s="263"/>
    </row>
    <row r="124" spans="1:14">
      <c r="A124" s="263"/>
      <c r="B124" s="263"/>
      <c r="C124" s="263"/>
      <c r="D124" s="263"/>
      <c r="E124" s="263"/>
      <c r="F124" s="263"/>
      <c r="G124" s="263"/>
      <c r="H124" s="263"/>
      <c r="I124" s="263"/>
      <c r="J124" s="263"/>
      <c r="K124" s="263"/>
      <c r="L124" s="263"/>
      <c r="M124" s="263"/>
      <c r="N124" s="263"/>
    </row>
    <row r="125" spans="1:14">
      <c r="A125" s="263"/>
      <c r="B125" s="263"/>
      <c r="C125" s="263"/>
      <c r="D125" s="263"/>
      <c r="E125" s="263"/>
      <c r="F125" s="263"/>
      <c r="G125" s="263"/>
      <c r="H125" s="263"/>
      <c r="I125" s="263"/>
      <c r="J125" s="263"/>
      <c r="K125" s="263"/>
      <c r="L125" s="263"/>
      <c r="M125" s="263"/>
      <c r="N125" s="263"/>
    </row>
    <row r="126" spans="1:14">
      <c r="A126" s="263"/>
      <c r="B126" s="263"/>
      <c r="C126" s="263"/>
      <c r="D126" s="263"/>
      <c r="E126" s="263"/>
      <c r="F126" s="263"/>
      <c r="G126" s="263"/>
      <c r="H126" s="263"/>
      <c r="I126" s="263"/>
      <c r="J126" s="263"/>
      <c r="K126" s="263"/>
      <c r="L126" s="263"/>
      <c r="M126" s="263"/>
      <c r="N126" s="263"/>
    </row>
    <row r="127" spans="1:14">
      <c r="A127" s="263"/>
      <c r="B127" s="263"/>
      <c r="C127" s="263"/>
      <c r="D127" s="263"/>
      <c r="E127" s="263"/>
      <c r="F127" s="263"/>
      <c r="G127" s="263"/>
      <c r="H127" s="263"/>
      <c r="I127" s="263"/>
      <c r="J127" s="263"/>
      <c r="K127" s="263"/>
      <c r="L127" s="263"/>
      <c r="M127" s="263"/>
      <c r="N127" s="263"/>
    </row>
    <row r="128" spans="1:14">
      <c r="A128" s="263"/>
      <c r="B128" s="263"/>
      <c r="C128" s="263"/>
      <c r="D128" s="263"/>
      <c r="E128" s="263"/>
      <c r="F128" s="263"/>
      <c r="G128" s="263"/>
      <c r="H128" s="263"/>
      <c r="I128" s="263"/>
      <c r="J128" s="263"/>
      <c r="K128" s="263"/>
      <c r="L128" s="263"/>
      <c r="M128" s="263"/>
      <c r="N128" s="263"/>
    </row>
    <row r="129" spans="1:14">
      <c r="A129" s="263"/>
      <c r="B129" s="263"/>
      <c r="C129" s="263"/>
      <c r="D129" s="263"/>
      <c r="E129" s="263"/>
      <c r="F129" s="263"/>
      <c r="G129" s="263"/>
      <c r="H129" s="263"/>
      <c r="I129" s="263"/>
      <c r="J129" s="263"/>
      <c r="K129" s="263"/>
      <c r="L129" s="263"/>
      <c r="M129" s="263"/>
      <c r="N129" s="263"/>
    </row>
  </sheetData>
  <sheetProtection sheet="1" objects="1" scenarios="1"/>
  <phoneticPr fontId="24" type="noConversion"/>
  <pageMargins left="0.75" right="0.75" top="1" bottom="1" header="0.5" footer="0.5"/>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4">
    <tabColor rgb="FFFF0000"/>
  </sheetPr>
  <dimension ref="A1:P45"/>
  <sheetViews>
    <sheetView workbookViewId="0">
      <selection activeCell="C3" sqref="C3"/>
    </sheetView>
  </sheetViews>
  <sheetFormatPr defaultRowHeight="12.75"/>
  <cols>
    <col min="2" max="2" width="28.5703125" customWidth="1"/>
  </cols>
  <sheetData>
    <row r="1" spans="1:4" ht="15.75">
      <c r="B1" s="1955" t="s">
        <v>1587</v>
      </c>
      <c r="C1" t="s">
        <v>1727</v>
      </c>
    </row>
    <row r="2" spans="1:4">
      <c r="C2" t="s">
        <v>1665</v>
      </c>
    </row>
    <row r="3" spans="1:4">
      <c r="A3">
        <v>1</v>
      </c>
      <c r="B3" t="s">
        <v>1595</v>
      </c>
      <c r="C3">
        <v>1.3</v>
      </c>
      <c r="D3" t="s">
        <v>1622</v>
      </c>
    </row>
    <row r="4" spans="1:4">
      <c r="A4">
        <v>2</v>
      </c>
      <c r="B4" t="s">
        <v>1588</v>
      </c>
      <c r="C4">
        <v>1.05</v>
      </c>
      <c r="D4" t="s">
        <v>1623</v>
      </c>
    </row>
    <row r="5" spans="1:4">
      <c r="A5">
        <v>3</v>
      </c>
      <c r="B5" t="s">
        <v>1590</v>
      </c>
      <c r="C5">
        <v>1.04</v>
      </c>
      <c r="D5" t="s">
        <v>1624</v>
      </c>
    </row>
    <row r="6" spans="1:4">
      <c r="A6">
        <v>4</v>
      </c>
      <c r="B6" t="s">
        <v>1591</v>
      </c>
      <c r="C6">
        <v>1.04</v>
      </c>
      <c r="D6" t="s">
        <v>1625</v>
      </c>
    </row>
    <row r="7" spans="1:4">
      <c r="A7">
        <v>5</v>
      </c>
      <c r="B7" t="s">
        <v>1589</v>
      </c>
      <c r="C7">
        <v>0.99</v>
      </c>
      <c r="D7" t="s">
        <v>1626</v>
      </c>
    </row>
    <row r="8" spans="1:4">
      <c r="A8">
        <v>6</v>
      </c>
      <c r="B8" t="s">
        <v>1592</v>
      </c>
      <c r="C8">
        <v>0.88</v>
      </c>
      <c r="D8" t="s">
        <v>1627</v>
      </c>
    </row>
    <row r="9" spans="1:4">
      <c r="A9">
        <v>7</v>
      </c>
      <c r="B9" t="s">
        <v>1593</v>
      </c>
      <c r="C9">
        <v>0.69</v>
      </c>
      <c r="D9" t="s">
        <v>1628</v>
      </c>
    </row>
    <row r="10" spans="1:4">
      <c r="A10">
        <v>8</v>
      </c>
      <c r="B10" t="s">
        <v>1594</v>
      </c>
      <c r="C10">
        <v>0.67</v>
      </c>
      <c r="D10" t="s">
        <v>1629</v>
      </c>
    </row>
    <row r="45" spans="16:16">
      <c r="P45" t="e">
        <f>IF(O45=" "," ",VLOOKUP(Grunddata!E22,Produktionsområde!B3:B10,2,FALSE))</f>
        <v>#REF!</v>
      </c>
    </row>
  </sheetData>
  <sheetProtection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7">
    <tabColor rgb="FFFFFF00"/>
  </sheetPr>
  <dimension ref="A1:AF211"/>
  <sheetViews>
    <sheetView showZeros="0" topLeftCell="A10" zoomScale="90" zoomScaleNormal="90" workbookViewId="0">
      <selection activeCell="E30" sqref="E30"/>
    </sheetView>
  </sheetViews>
  <sheetFormatPr defaultRowHeight="12.75"/>
  <cols>
    <col min="2" max="2" width="21.7109375" customWidth="1"/>
    <col min="3" max="3" width="13.28515625" customWidth="1"/>
    <col min="4" max="4" width="15.7109375" customWidth="1"/>
    <col min="5" max="5" width="9.7109375" customWidth="1"/>
    <col min="6" max="6" width="14.140625" customWidth="1"/>
    <col min="7" max="7" width="13.140625" customWidth="1"/>
    <col min="8" max="9" width="16" customWidth="1"/>
    <col min="10" max="10" width="12.140625" customWidth="1"/>
    <col min="11" max="11" width="13.140625" customWidth="1"/>
    <col min="12" max="12" width="11" customWidth="1"/>
    <col min="13" max="13" width="12.28515625" customWidth="1"/>
    <col min="14" max="14" width="11.140625" bestFit="1" customWidth="1"/>
    <col min="15" max="15" width="13.42578125" bestFit="1" customWidth="1"/>
    <col min="16" max="16" width="12.42578125" customWidth="1"/>
    <col min="17" max="17" width="14.140625" customWidth="1"/>
    <col min="18" max="18" width="15.42578125" customWidth="1"/>
    <col min="19" max="19" width="13.140625" customWidth="1"/>
    <col min="20" max="21" width="13.42578125" customWidth="1"/>
    <col min="22" max="22" width="11.85546875" customWidth="1"/>
    <col min="23" max="24" width="13.140625" bestFit="1" customWidth="1"/>
    <col min="25" max="25" width="12.42578125" customWidth="1"/>
    <col min="26" max="26" width="11.28515625" customWidth="1"/>
    <col min="27" max="27" width="13.140625" customWidth="1"/>
    <col min="28" max="28" width="11.7109375" customWidth="1"/>
    <col min="29" max="29" width="13" bestFit="1" customWidth="1"/>
    <col min="30" max="30" width="13.7109375" customWidth="1"/>
  </cols>
  <sheetData>
    <row r="1" spans="1:28">
      <c r="A1" s="486"/>
      <c r="B1" s="486"/>
      <c r="C1" s="486"/>
      <c r="D1" s="486"/>
      <c r="E1" s="486"/>
      <c r="F1" s="486"/>
      <c r="G1" s="486"/>
      <c r="H1" s="486"/>
      <c r="I1" s="486"/>
      <c r="J1" s="486"/>
      <c r="K1" s="486"/>
      <c r="L1" s="486"/>
      <c r="M1" s="486"/>
      <c r="N1" s="486"/>
      <c r="O1" s="486"/>
      <c r="P1" s="486"/>
      <c r="Q1" s="486"/>
      <c r="R1" s="486"/>
      <c r="S1" s="486"/>
      <c r="T1" s="486"/>
      <c r="U1" s="486"/>
      <c r="V1" s="486"/>
    </row>
    <row r="2" spans="1:28" ht="18">
      <c r="A2" s="1197" t="s">
        <v>879</v>
      </c>
      <c r="B2" s="486"/>
      <c r="C2" s="486"/>
      <c r="D2" s="486"/>
      <c r="E2" s="486"/>
      <c r="F2" s="486"/>
      <c r="G2" s="486"/>
      <c r="H2" s="486"/>
      <c r="I2" s="486"/>
      <c r="J2" s="486"/>
      <c r="K2" s="486"/>
      <c r="L2" s="486"/>
      <c r="M2" s="486"/>
      <c r="N2" s="486"/>
      <c r="O2" s="486"/>
      <c r="P2" s="486"/>
      <c r="Q2" s="486"/>
      <c r="R2" s="486"/>
      <c r="S2" s="486"/>
      <c r="T2" s="486"/>
      <c r="U2" s="486"/>
      <c r="V2" s="486"/>
    </row>
    <row r="3" spans="1:28" ht="13.5" thickBot="1">
      <c r="A3" s="486"/>
      <c r="B3" s="486"/>
      <c r="C3" s="486"/>
      <c r="D3" s="486"/>
      <c r="E3" s="486"/>
      <c r="F3" s="486"/>
      <c r="G3" s="486"/>
      <c r="H3" s="486"/>
      <c r="I3" s="486"/>
      <c r="J3" s="486"/>
      <c r="K3" s="486"/>
      <c r="L3" s="486"/>
      <c r="M3" s="486"/>
      <c r="N3" s="486"/>
      <c r="O3" s="486"/>
      <c r="P3" s="710"/>
      <c r="Q3" s="710"/>
      <c r="R3" s="710"/>
      <c r="S3" s="710"/>
      <c r="T3" s="710"/>
      <c r="U3" s="710"/>
      <c r="V3" s="710"/>
      <c r="W3" s="74"/>
      <c r="X3" s="74"/>
      <c r="Y3" s="74"/>
      <c r="Z3" s="74"/>
      <c r="AA3" s="74"/>
      <c r="AB3" s="74"/>
    </row>
    <row r="4" spans="1:28" ht="15.75">
      <c r="A4" s="733"/>
      <c r="B4" s="734"/>
      <c r="C4" s="734"/>
      <c r="D4" s="734"/>
      <c r="E4" s="734"/>
      <c r="F4" s="734"/>
      <c r="G4" s="734"/>
      <c r="H4" s="529"/>
      <c r="I4" s="529"/>
      <c r="J4" s="529"/>
      <c r="K4" s="715"/>
      <c r="L4" s="715"/>
      <c r="M4" s="530"/>
      <c r="N4" s="710"/>
      <c r="O4" s="710"/>
      <c r="P4" s="710"/>
      <c r="Q4" s="710"/>
      <c r="R4" s="710"/>
      <c r="S4" s="710"/>
      <c r="T4" s="710"/>
      <c r="U4" s="710"/>
      <c r="V4" s="710"/>
      <c r="W4" s="1017"/>
      <c r="X4" s="1017"/>
      <c r="Y4" s="1017"/>
      <c r="Z4" s="74"/>
      <c r="AA4" s="74"/>
      <c r="AB4" s="74"/>
    </row>
    <row r="5" spans="1:28" ht="18">
      <c r="A5" s="737"/>
      <c r="B5" s="14" t="s">
        <v>133</v>
      </c>
      <c r="C5" s="14"/>
      <c r="D5" s="8"/>
      <c r="E5" s="8"/>
      <c r="F5" s="22"/>
      <c r="G5" s="22"/>
      <c r="H5" s="526"/>
      <c r="I5" s="526"/>
      <c r="J5" s="526"/>
      <c r="K5" s="526"/>
      <c r="L5" s="526"/>
      <c r="M5" s="794"/>
      <c r="N5" s="710"/>
      <c r="O5" s="710"/>
      <c r="P5" s="710"/>
      <c r="Q5" s="710"/>
      <c r="R5" s="710"/>
      <c r="S5" s="710"/>
      <c r="T5" s="1198"/>
      <c r="U5" s="1081"/>
      <c r="V5" s="710"/>
      <c r="W5" s="1017"/>
      <c r="X5" s="1017"/>
      <c r="Y5" s="1017"/>
      <c r="Z5" s="74"/>
      <c r="AA5" s="74"/>
      <c r="AB5" s="74"/>
    </row>
    <row r="6" spans="1:28" ht="15.75">
      <c r="A6" s="737"/>
      <c r="B6" s="8"/>
      <c r="C6" s="8"/>
      <c r="D6" s="8"/>
      <c r="E6" s="8"/>
      <c r="F6" s="8"/>
      <c r="G6" s="8"/>
      <c r="H6" s="526"/>
      <c r="I6" s="526"/>
      <c r="J6" s="526"/>
      <c r="K6" s="526"/>
      <c r="L6" s="526"/>
      <c r="M6" s="794"/>
      <c r="N6" s="710"/>
      <c r="O6" s="710"/>
      <c r="P6" s="710"/>
      <c r="Q6" s="710"/>
      <c r="R6" s="710"/>
      <c r="S6" s="710"/>
      <c r="T6" s="1199"/>
      <c r="U6" s="1081"/>
      <c r="V6" s="710"/>
      <c r="W6" s="74"/>
      <c r="X6" s="74"/>
      <c r="Y6" s="74"/>
      <c r="Z6" s="74"/>
      <c r="AA6" s="74"/>
      <c r="AB6" s="74"/>
    </row>
    <row r="7" spans="1:28" ht="15.75">
      <c r="A7" s="737"/>
      <c r="B7" s="884" t="s">
        <v>138</v>
      </c>
      <c r="C7" s="884" t="s">
        <v>811</v>
      </c>
      <c r="D7" s="910" t="s">
        <v>832</v>
      </c>
      <c r="E7" s="810"/>
      <c r="F7" s="917" t="s">
        <v>870</v>
      </c>
      <c r="G7" s="1648"/>
      <c r="H7" s="909" t="s">
        <v>728</v>
      </c>
      <c r="I7" s="883"/>
      <c r="J7" s="886"/>
      <c r="K7" s="699"/>
      <c r="L7" s="699" t="s">
        <v>824</v>
      </c>
      <c r="M7" s="794"/>
      <c r="N7" s="1200"/>
      <c r="O7" s="1200"/>
      <c r="P7" s="1200"/>
      <c r="Q7" s="1200"/>
      <c r="R7" s="710"/>
      <c r="S7" s="710"/>
      <c r="T7" s="1199"/>
      <c r="U7" s="1081"/>
      <c r="V7" s="710"/>
      <c r="W7" s="74"/>
      <c r="X7" s="74"/>
      <c r="Y7" s="74"/>
      <c r="Z7" s="74"/>
      <c r="AA7" s="74"/>
      <c r="AB7" s="74"/>
    </row>
    <row r="8" spans="1:28">
      <c r="A8" s="737"/>
      <c r="B8" s="881"/>
      <c r="C8" s="881" t="s">
        <v>813</v>
      </c>
      <c r="D8" s="879"/>
      <c r="E8" s="674"/>
      <c r="F8" s="881"/>
      <c r="G8" s="674"/>
      <c r="H8" s="884" t="s">
        <v>309</v>
      </c>
      <c r="I8" s="672" t="s">
        <v>311</v>
      </c>
      <c r="J8" s="819" t="s">
        <v>801</v>
      </c>
      <c r="K8" s="879" t="s">
        <v>305</v>
      </c>
      <c r="L8" s="820"/>
      <c r="M8" s="794"/>
      <c r="N8" s="1200"/>
      <c r="O8" s="1200"/>
      <c r="P8" s="1200"/>
      <c r="Q8" s="1200"/>
      <c r="R8" s="710"/>
      <c r="S8" s="710"/>
      <c r="T8" s="710"/>
      <c r="U8" s="710"/>
      <c r="V8" s="710"/>
      <c r="W8" s="74"/>
      <c r="X8" s="74"/>
      <c r="Y8" s="74"/>
      <c r="Z8" s="74"/>
      <c r="AA8" s="74"/>
      <c r="AB8" s="74"/>
    </row>
    <row r="9" spans="1:28">
      <c r="A9" s="737"/>
      <c r="B9" s="882"/>
      <c r="C9" s="882" t="s">
        <v>317</v>
      </c>
      <c r="D9" s="880" t="s">
        <v>801</v>
      </c>
      <c r="E9" s="674" t="s">
        <v>833</v>
      </c>
      <c r="F9" s="882" t="s">
        <v>309</v>
      </c>
      <c r="G9" s="881" t="s">
        <v>833</v>
      </c>
      <c r="H9" s="882"/>
      <c r="I9" s="675" t="s">
        <v>320</v>
      </c>
      <c r="J9" s="880"/>
      <c r="K9" s="885"/>
      <c r="L9" s="885" t="s">
        <v>317</v>
      </c>
      <c r="M9" s="794"/>
      <c r="N9" s="1200"/>
      <c r="O9" s="1200"/>
      <c r="P9" s="1200"/>
      <c r="Q9" s="1200"/>
      <c r="R9" s="710"/>
      <c r="S9" s="710"/>
      <c r="T9" s="710"/>
      <c r="U9" s="710"/>
      <c r="V9" s="710"/>
      <c r="W9" s="74"/>
      <c r="X9" s="74"/>
      <c r="Y9" s="74"/>
      <c r="Z9" s="74"/>
      <c r="AA9" s="74"/>
      <c r="AB9" s="74"/>
    </row>
    <row r="10" spans="1:28" ht="15">
      <c r="A10" s="852"/>
      <c r="B10" s="911" t="str">
        <f>Kostnader!B11</f>
        <v xml:space="preserve">Höstraps </v>
      </c>
      <c r="C10" s="908">
        <f t="shared" ref="C10:C19" si="0">IF(B10=" "," ",INDEX(K$150:S$177,MATCH(B10,K$150:K$177,0),3))</f>
        <v>39.535399999999996</v>
      </c>
      <c r="D10" s="878" t="str">
        <f>IF(Huvudinmatning!J14=0," ",Huvudinmatning!J14)</f>
        <v xml:space="preserve"> </v>
      </c>
      <c r="E10" s="912">
        <f t="shared" ref="E10:E19" si="1">IF(B10=" "," ",(C10*Q54)-C10)</f>
        <v>0</v>
      </c>
      <c r="F10" s="878" t="str">
        <f>IF(B10=" "," ",IF(Huvudinmatning!K14=TRUE,"ja","nej"))</f>
        <v>nej</v>
      </c>
      <c r="G10" s="912">
        <f t="shared" ref="G10:G19" si="2">IF(B10=" "," ",(N54*Q54*T54)-(N54*Q54))</f>
        <v>0</v>
      </c>
      <c r="H10" s="913" t="str">
        <f>IF(Huvudinmatning!M14=0," ",Huvudinmatning!M14)</f>
        <v xml:space="preserve"> </v>
      </c>
      <c r="I10" s="878" t="str">
        <f>IF(Huvudinmatning!N14=0," ",Huvudinmatning!N14)</f>
        <v xml:space="preserve"> </v>
      </c>
      <c r="J10" s="877" t="str">
        <f>IF(Huvudinmatning!O14=0," ",Huvudinmatning!O14)</f>
        <v xml:space="preserve"> </v>
      </c>
      <c r="K10" s="916">
        <f t="shared" ref="K10:K19" si="3">AB54</f>
        <v>0</v>
      </c>
      <c r="L10" s="915">
        <f>IF(B10=" "," ",C10+E10+G10+K10)</f>
        <v>39.535399999999996</v>
      </c>
      <c r="M10" s="855"/>
      <c r="N10" s="1200"/>
      <c r="O10" s="1200"/>
      <c r="P10" s="1200"/>
      <c r="Q10" s="1200"/>
      <c r="R10" s="710"/>
      <c r="S10" s="710"/>
      <c r="T10" s="710"/>
      <c r="U10" s="710"/>
      <c r="V10" s="710"/>
      <c r="W10" s="74"/>
      <c r="X10" s="74"/>
      <c r="Y10" s="74"/>
      <c r="Z10" s="74"/>
      <c r="AA10" s="74"/>
      <c r="AB10" s="74"/>
    </row>
    <row r="11" spans="1:28" ht="15">
      <c r="A11" s="852"/>
      <c r="B11" s="914" t="str">
        <f>Kostnader!B12</f>
        <v>Höstvete bröd</v>
      </c>
      <c r="C11" s="908">
        <f t="shared" si="0"/>
        <v>36.249600000000001</v>
      </c>
      <c r="D11" s="878" t="str">
        <f>IF(Huvudinmatning!J15=0," ",Huvudinmatning!J15)</f>
        <v xml:space="preserve"> </v>
      </c>
      <c r="E11" s="912">
        <f t="shared" si="1"/>
        <v>0</v>
      </c>
      <c r="F11" s="878" t="str">
        <f>IF(B11=" "," ",IF(Huvudinmatning!K15=TRUE,"ja","nej"))</f>
        <v>nej</v>
      </c>
      <c r="G11" s="912">
        <f t="shared" si="2"/>
        <v>0</v>
      </c>
      <c r="H11" s="913" t="str">
        <f>IF(Huvudinmatning!M15=0," ",Huvudinmatning!M15)</f>
        <v xml:space="preserve"> </v>
      </c>
      <c r="I11" s="878" t="str">
        <f>IF(Huvudinmatning!N15=0," ",Huvudinmatning!N15)</f>
        <v xml:space="preserve"> </v>
      </c>
      <c r="J11" s="877" t="str">
        <f>IF(Huvudinmatning!O15=0," ",Huvudinmatning!O15)</f>
        <v xml:space="preserve"> </v>
      </c>
      <c r="K11" s="916">
        <f t="shared" si="3"/>
        <v>0</v>
      </c>
      <c r="L11" s="915">
        <f t="shared" ref="L11:L19" si="4">IF(B11=" "," ",C11+E11+G11+K11)</f>
        <v>36.249600000000001</v>
      </c>
      <c r="M11" s="855"/>
      <c r="N11" s="1200"/>
      <c r="O11" s="1200"/>
      <c r="P11" s="1200"/>
      <c r="Q11" s="1200"/>
      <c r="R11" s="710"/>
      <c r="S11" s="710"/>
      <c r="T11" s="1201"/>
      <c r="U11" s="1202"/>
      <c r="V11" s="1202"/>
      <c r="W11" s="1018"/>
      <c r="X11" s="1018"/>
      <c r="Y11" s="74"/>
      <c r="Z11" s="74"/>
      <c r="AA11" s="74"/>
      <c r="AB11" s="74"/>
    </row>
    <row r="12" spans="1:28" ht="15.75">
      <c r="A12" s="852"/>
      <c r="B12" s="914" t="str">
        <f>Kostnader!B13</f>
        <v>Höstvete bröd</v>
      </c>
      <c r="C12" s="908">
        <f t="shared" si="0"/>
        <v>36.249600000000001</v>
      </c>
      <c r="D12" s="878" t="str">
        <f>IF(Huvudinmatning!J16=0," ",Huvudinmatning!J16)</f>
        <v xml:space="preserve"> </v>
      </c>
      <c r="E12" s="912">
        <f t="shared" si="1"/>
        <v>0</v>
      </c>
      <c r="F12" s="878" t="str">
        <f>IF(B12=" "," ",IF(Huvudinmatning!K16=TRUE,"ja","nej"))</f>
        <v>nej</v>
      </c>
      <c r="G12" s="912">
        <f t="shared" si="2"/>
        <v>0</v>
      </c>
      <c r="H12" s="913" t="str">
        <f>IF(Huvudinmatning!M16=0," ",Huvudinmatning!M16)</f>
        <v xml:space="preserve"> </v>
      </c>
      <c r="I12" s="878" t="str">
        <f>IF(Huvudinmatning!N16=0," ",Huvudinmatning!N16)</f>
        <v xml:space="preserve"> </v>
      </c>
      <c r="J12" s="877" t="str">
        <f>IF(Huvudinmatning!O16=0," ",Huvudinmatning!O16)</f>
        <v xml:space="preserve"> </v>
      </c>
      <c r="K12" s="916">
        <f t="shared" si="3"/>
        <v>0</v>
      </c>
      <c r="L12" s="915">
        <f t="shared" si="4"/>
        <v>36.249600000000001</v>
      </c>
      <c r="M12" s="855"/>
      <c r="N12" s="1200"/>
      <c r="O12" s="1200"/>
      <c r="P12" s="1200"/>
      <c r="Q12" s="1200"/>
      <c r="R12" s="710"/>
      <c r="S12" s="710"/>
      <c r="T12" s="1203"/>
      <c r="U12" s="1204"/>
      <c r="V12" s="1204"/>
      <c r="W12" s="74"/>
      <c r="X12" s="74"/>
      <c r="Y12" s="74"/>
      <c r="Z12" s="74"/>
      <c r="AA12" s="74"/>
      <c r="AB12" s="74"/>
    </row>
    <row r="13" spans="1:28" ht="15">
      <c r="A13" s="852"/>
      <c r="B13" s="914" t="str">
        <f>Kostnader!B14</f>
        <v>Foderärt</v>
      </c>
      <c r="C13" s="908">
        <f t="shared" si="0"/>
        <v>40.052399999999999</v>
      </c>
      <c r="D13" s="878" t="str">
        <f>IF(Huvudinmatning!J17=0," ",Huvudinmatning!J17)</f>
        <v xml:space="preserve"> </v>
      </c>
      <c r="E13" s="912">
        <f t="shared" si="1"/>
        <v>0</v>
      </c>
      <c r="F13" s="878" t="str">
        <f>IF(B13=" "," ",IF(Huvudinmatning!K17=TRUE,"ja","nej"))</f>
        <v>nej</v>
      </c>
      <c r="G13" s="912">
        <f t="shared" si="2"/>
        <v>0</v>
      </c>
      <c r="H13" s="913" t="str">
        <f>IF(Huvudinmatning!M17=0," ",Huvudinmatning!M17)</f>
        <v xml:space="preserve"> </v>
      </c>
      <c r="I13" s="878" t="str">
        <f>IF(Huvudinmatning!N17=0," ",Huvudinmatning!N17)</f>
        <v xml:space="preserve"> </v>
      </c>
      <c r="J13" s="877" t="str">
        <f>IF(Huvudinmatning!O17=0," ",Huvudinmatning!O17)</f>
        <v xml:space="preserve"> </v>
      </c>
      <c r="K13" s="916">
        <f t="shared" si="3"/>
        <v>0</v>
      </c>
      <c r="L13" s="915">
        <f t="shared" si="4"/>
        <v>40.052399999999999</v>
      </c>
      <c r="M13" s="856"/>
      <c r="N13" s="1200"/>
      <c r="O13" s="1200"/>
      <c r="P13" s="1200"/>
      <c r="Q13" s="1200"/>
      <c r="R13" s="710"/>
      <c r="S13" s="710"/>
      <c r="T13" s="710"/>
      <c r="U13" s="1204"/>
      <c r="V13" s="1202"/>
      <c r="W13" s="1018"/>
      <c r="X13" s="74"/>
      <c r="Y13" s="74"/>
      <c r="Z13" s="74"/>
      <c r="AA13" s="74"/>
      <c r="AB13" s="74"/>
    </row>
    <row r="14" spans="1:28" ht="15">
      <c r="A14" s="852"/>
      <c r="B14" s="914" t="str">
        <f>Kostnader!B15</f>
        <v>Höstvete bröd</v>
      </c>
      <c r="C14" s="908">
        <f t="shared" si="0"/>
        <v>36.249600000000001</v>
      </c>
      <c r="D14" s="878" t="str">
        <f>IF(Huvudinmatning!J18=0," ",Huvudinmatning!J18)</f>
        <v xml:space="preserve"> </v>
      </c>
      <c r="E14" s="912">
        <f t="shared" si="1"/>
        <v>0</v>
      </c>
      <c r="F14" s="878" t="str">
        <f>IF(B14=" "," ",IF(Huvudinmatning!K18=TRUE,"ja","nej"))</f>
        <v>nej</v>
      </c>
      <c r="G14" s="912">
        <f t="shared" si="2"/>
        <v>0</v>
      </c>
      <c r="H14" s="913" t="str">
        <f>IF(Huvudinmatning!M18=0," ",Huvudinmatning!M18)</f>
        <v xml:space="preserve"> </v>
      </c>
      <c r="I14" s="878" t="str">
        <f>IF(Huvudinmatning!N18=0," ",Huvudinmatning!N18)</f>
        <v xml:space="preserve"> </v>
      </c>
      <c r="J14" s="877" t="str">
        <f>IF(Huvudinmatning!O18=0," ",Huvudinmatning!O18)</f>
        <v xml:space="preserve"> </v>
      </c>
      <c r="K14" s="916">
        <f t="shared" si="3"/>
        <v>0</v>
      </c>
      <c r="L14" s="915">
        <f t="shared" si="4"/>
        <v>36.249600000000001</v>
      </c>
      <c r="M14" s="855"/>
      <c r="N14" s="1200"/>
      <c r="O14" s="1200"/>
      <c r="P14" s="1200"/>
      <c r="Q14" s="1200"/>
      <c r="R14" s="710"/>
      <c r="S14" s="710"/>
      <c r="T14" s="710"/>
      <c r="U14" s="1202"/>
      <c r="V14" s="1202"/>
      <c r="W14" s="1018"/>
      <c r="X14" s="74"/>
      <c r="Y14" s="74"/>
      <c r="Z14" s="74"/>
      <c r="AA14" s="74"/>
      <c r="AB14" s="74"/>
    </row>
    <row r="15" spans="1:28" ht="15">
      <c r="A15" s="852"/>
      <c r="B15" s="914" t="str">
        <f>Kostnader!B16</f>
        <v>Höstvete bröd</v>
      </c>
      <c r="C15" s="908">
        <f t="shared" si="0"/>
        <v>36.249600000000001</v>
      </c>
      <c r="D15" s="878" t="str">
        <f>IF(Huvudinmatning!J19=0," ",Huvudinmatning!J19)</f>
        <v xml:space="preserve"> </v>
      </c>
      <c r="E15" s="912">
        <f t="shared" si="1"/>
        <v>0</v>
      </c>
      <c r="F15" s="878" t="str">
        <f>IF(B15=" "," ",IF(Huvudinmatning!K19=TRUE,"ja","nej"))</f>
        <v>nej</v>
      </c>
      <c r="G15" s="912">
        <f t="shared" si="2"/>
        <v>0</v>
      </c>
      <c r="H15" s="913" t="str">
        <f>IF(Huvudinmatning!M19=0," ",Huvudinmatning!M19)</f>
        <v xml:space="preserve"> </v>
      </c>
      <c r="I15" s="878" t="str">
        <f>IF(Huvudinmatning!N19=0," ",Huvudinmatning!N19)</f>
        <v xml:space="preserve"> </v>
      </c>
      <c r="J15" s="877" t="str">
        <f>IF(Huvudinmatning!O19=0," ",Huvudinmatning!O19)</f>
        <v xml:space="preserve"> </v>
      </c>
      <c r="K15" s="916">
        <f t="shared" si="3"/>
        <v>0</v>
      </c>
      <c r="L15" s="915">
        <f t="shared" si="4"/>
        <v>36.249600000000001</v>
      </c>
      <c r="M15" s="857"/>
      <c r="N15" s="1200"/>
      <c r="O15" s="1200"/>
      <c r="P15" s="1200"/>
      <c r="Q15" s="1200"/>
      <c r="R15" s="710"/>
      <c r="S15" s="710"/>
      <c r="T15" s="710"/>
      <c r="U15" s="710"/>
      <c r="V15" s="710"/>
      <c r="W15" s="74"/>
      <c r="X15" s="74"/>
      <c r="Y15" s="74"/>
      <c r="Z15" s="74"/>
      <c r="AA15" s="74"/>
      <c r="AB15" s="74"/>
    </row>
    <row r="16" spans="1:28" ht="15">
      <c r="A16" s="852"/>
      <c r="B16" s="914" t="str">
        <f>Kostnader!B17</f>
        <v>Maltkorn</v>
      </c>
      <c r="C16" s="908">
        <f t="shared" si="0"/>
        <v>35.013200000000005</v>
      </c>
      <c r="D16" s="878" t="str">
        <f>IF(Huvudinmatning!J20=0," ",Huvudinmatning!J20)</f>
        <v xml:space="preserve"> </v>
      </c>
      <c r="E16" s="912">
        <f t="shared" si="1"/>
        <v>0</v>
      </c>
      <c r="F16" s="878" t="str">
        <f>IF(B16=" "," ",IF(Huvudinmatning!K20=TRUE,"ja","nej"))</f>
        <v>nej</v>
      </c>
      <c r="G16" s="912">
        <f t="shared" si="2"/>
        <v>0</v>
      </c>
      <c r="H16" s="913" t="str">
        <f>IF(Huvudinmatning!M20=0," ",Huvudinmatning!M20)</f>
        <v xml:space="preserve"> </v>
      </c>
      <c r="I16" s="878" t="str">
        <f>IF(Huvudinmatning!N20=0," ",Huvudinmatning!N20)</f>
        <v xml:space="preserve"> </v>
      </c>
      <c r="J16" s="877" t="str">
        <f>IF(Huvudinmatning!O20=0," ",Huvudinmatning!O20)</f>
        <v xml:space="preserve"> </v>
      </c>
      <c r="K16" s="916">
        <f t="shared" si="3"/>
        <v>0</v>
      </c>
      <c r="L16" s="915">
        <f t="shared" si="4"/>
        <v>35.013200000000005</v>
      </c>
      <c r="M16" s="857"/>
      <c r="N16" s="1200"/>
      <c r="O16" s="1200"/>
      <c r="P16" s="1200"/>
      <c r="Q16" s="1200"/>
      <c r="R16" s="710"/>
      <c r="S16" s="710"/>
      <c r="T16" s="710"/>
      <c r="U16" s="710"/>
      <c r="V16" s="710"/>
      <c r="W16" s="74"/>
      <c r="X16" s="74"/>
      <c r="Y16" s="74"/>
      <c r="Z16" s="74"/>
      <c r="AA16" s="74"/>
      <c r="AB16" s="74"/>
    </row>
    <row r="17" spans="1:29" ht="15.75">
      <c r="A17" s="852"/>
      <c r="B17" s="914" t="str">
        <f>Kostnader!B18</f>
        <v xml:space="preserve"> </v>
      </c>
      <c r="C17" s="908" t="str">
        <f t="shared" si="0"/>
        <v xml:space="preserve"> </v>
      </c>
      <c r="D17" s="878" t="str">
        <f>IF(Huvudinmatning!J21=0," ",Huvudinmatning!J21)</f>
        <v xml:space="preserve"> </v>
      </c>
      <c r="E17" s="912" t="str">
        <f t="shared" si="1"/>
        <v xml:space="preserve"> </v>
      </c>
      <c r="F17" s="878" t="str">
        <f>IF(B17=" "," ",IF(Huvudinmatning!K21=TRUE,"ja","nej"))</f>
        <v xml:space="preserve"> </v>
      </c>
      <c r="G17" s="912" t="str">
        <f t="shared" si="2"/>
        <v xml:space="preserve"> </v>
      </c>
      <c r="H17" s="913" t="str">
        <f>IF(Huvudinmatning!M21=0," ",Huvudinmatning!M21)</f>
        <v xml:space="preserve"> </v>
      </c>
      <c r="I17" s="878" t="str">
        <f>IF(Huvudinmatning!N21=0," ",Huvudinmatning!N21)</f>
        <v xml:space="preserve"> </v>
      </c>
      <c r="J17" s="877" t="str">
        <f>IF(Huvudinmatning!O21=0," ",Huvudinmatning!O21)</f>
        <v xml:space="preserve"> </v>
      </c>
      <c r="K17" s="916">
        <f t="shared" si="3"/>
        <v>0</v>
      </c>
      <c r="L17" s="915" t="str">
        <f t="shared" si="4"/>
        <v xml:space="preserve"> </v>
      </c>
      <c r="M17" s="857"/>
      <c r="N17" s="1200"/>
      <c r="O17" s="1200"/>
      <c r="P17" s="1200"/>
      <c r="Q17" s="1200"/>
      <c r="R17" s="710"/>
      <c r="S17" s="710"/>
      <c r="T17" s="710"/>
      <c r="U17" s="1205"/>
      <c r="V17" s="1206"/>
      <c r="W17" s="153"/>
      <c r="X17" s="153"/>
      <c r="Y17" s="74"/>
      <c r="Z17" s="74"/>
      <c r="AA17" s="74"/>
      <c r="AB17" s="74"/>
    </row>
    <row r="18" spans="1:29" ht="15">
      <c r="A18" s="852"/>
      <c r="B18" s="914" t="str">
        <f>Kostnader!B19</f>
        <v xml:space="preserve"> </v>
      </c>
      <c r="C18" s="908" t="str">
        <f t="shared" si="0"/>
        <v xml:space="preserve"> </v>
      </c>
      <c r="D18" s="495" t="str">
        <f>IF(Huvudinmatning!J22=0," ",Huvudinmatning!J22)</f>
        <v xml:space="preserve"> </v>
      </c>
      <c r="E18" s="980" t="str">
        <f t="shared" si="1"/>
        <v xml:space="preserve"> </v>
      </c>
      <c r="F18" s="878" t="str">
        <f>IF(B18=" "," ",IF(Huvudinmatning!K22=TRUE,"ja","nej"))</f>
        <v xml:space="preserve"> </v>
      </c>
      <c r="G18" s="980" t="str">
        <f t="shared" si="2"/>
        <v xml:space="preserve"> </v>
      </c>
      <c r="H18" s="913" t="str">
        <f>IF(Huvudinmatning!M22=0," ",Huvudinmatning!M22)</f>
        <v xml:space="preserve"> </v>
      </c>
      <c r="I18" s="495" t="str">
        <f>IF(Huvudinmatning!N22=0," ",Huvudinmatning!N22)</f>
        <v xml:space="preserve"> </v>
      </c>
      <c r="J18" s="981" t="str">
        <f>IF(Huvudinmatning!O22=0," ",Huvudinmatning!O22)</f>
        <v xml:space="preserve"> </v>
      </c>
      <c r="K18" s="982">
        <f t="shared" si="3"/>
        <v>0</v>
      </c>
      <c r="L18" s="983" t="str">
        <f t="shared" si="4"/>
        <v xml:space="preserve"> </v>
      </c>
      <c r="M18" s="857"/>
      <c r="N18" s="1200"/>
      <c r="O18" s="1200"/>
      <c r="P18" s="1200"/>
      <c r="Q18" s="1200"/>
      <c r="R18" s="710"/>
      <c r="S18" s="710"/>
      <c r="T18" s="1202"/>
      <c r="U18" s="1206"/>
      <c r="V18" s="1202"/>
      <c r="W18" s="1018"/>
      <c r="X18" s="159"/>
      <c r="Y18" s="74"/>
      <c r="Z18" s="74"/>
      <c r="AA18" s="74"/>
      <c r="AB18" s="74"/>
    </row>
    <row r="19" spans="1:29" ht="15.75" thickBot="1">
      <c r="A19" s="737"/>
      <c r="B19" s="877" t="str">
        <f>Kostnader!B20</f>
        <v xml:space="preserve"> </v>
      </c>
      <c r="C19" s="908" t="str">
        <f t="shared" si="0"/>
        <v xml:space="preserve"> </v>
      </c>
      <c r="D19" s="878" t="str">
        <f>IF(Huvudinmatning!J23=0," ",Huvudinmatning!J23)</f>
        <v xml:space="preserve"> </v>
      </c>
      <c r="E19" s="912" t="str">
        <f t="shared" si="1"/>
        <v xml:space="preserve"> </v>
      </c>
      <c r="F19" s="878" t="str">
        <f>IF(B19=" "," ",IF(Huvudinmatning!K23=TRUE,"ja","nej"))</f>
        <v xml:space="preserve"> </v>
      </c>
      <c r="G19" s="912" t="str">
        <f t="shared" si="2"/>
        <v xml:space="preserve"> </v>
      </c>
      <c r="H19" s="877" t="str">
        <f>IF(Huvudinmatning!M23=0," ",Huvudinmatning!M23)</f>
        <v xml:space="preserve"> </v>
      </c>
      <c r="I19" s="878" t="str">
        <f>IF(Huvudinmatning!N23=0," ",Huvudinmatning!N23)</f>
        <v xml:space="preserve"> </v>
      </c>
      <c r="J19" s="877" t="str">
        <f>IF(Huvudinmatning!O23=0," ",Huvudinmatning!O23)</f>
        <v xml:space="preserve"> </v>
      </c>
      <c r="K19" s="916">
        <f t="shared" si="3"/>
        <v>0</v>
      </c>
      <c r="L19" s="983" t="str">
        <f t="shared" si="4"/>
        <v xml:space="preserve"> </v>
      </c>
      <c r="M19" s="736"/>
      <c r="N19" s="1200"/>
      <c r="O19" s="1200"/>
      <c r="P19" s="1200"/>
      <c r="Q19" s="1200"/>
      <c r="R19" s="710"/>
      <c r="S19" s="710"/>
      <c r="T19" s="1202"/>
      <c r="U19" s="1206"/>
      <c r="V19" s="1206"/>
      <c r="W19" s="153"/>
      <c r="X19" s="153"/>
      <c r="Y19" s="74"/>
      <c r="Z19" s="74"/>
      <c r="AA19" s="74"/>
      <c r="AB19" s="74"/>
    </row>
    <row r="20" spans="1:29" ht="16.5" thickBot="1">
      <c r="A20" s="852"/>
      <c r="B20" s="762"/>
      <c r="C20" s="991"/>
      <c r="D20" s="992"/>
      <c r="E20" s="991"/>
      <c r="F20" s="992"/>
      <c r="G20" s="991"/>
      <c r="H20" s="993"/>
      <c r="I20" s="992"/>
      <c r="J20" s="993"/>
      <c r="K20" s="994"/>
      <c r="L20" s="1016">
        <f>IF(Huvudinmatning!D10=0," ", SUM(L10:L19)/Huvudinmatning!D10)</f>
        <v>37.085628571428565</v>
      </c>
      <c r="M20" s="857"/>
      <c r="N20" s="1200"/>
      <c r="O20" s="710"/>
      <c r="P20" s="710"/>
      <c r="Q20" s="710"/>
      <c r="R20" s="710"/>
      <c r="S20" s="710"/>
      <c r="T20" s="1207"/>
      <c r="U20" s="1208"/>
      <c r="V20" s="1206"/>
      <c r="W20" s="153"/>
      <c r="X20" s="153"/>
      <c r="Y20" s="74"/>
      <c r="Z20" s="74"/>
      <c r="AA20" s="74"/>
      <c r="AB20" s="74"/>
    </row>
    <row r="21" spans="1:29" ht="15.75" thickBot="1">
      <c r="A21" s="854"/>
      <c r="B21" s="858"/>
      <c r="C21" s="1001"/>
      <c r="D21" s="1002"/>
      <c r="E21" s="1001"/>
      <c r="F21" s="1002"/>
      <c r="G21" s="1001"/>
      <c r="H21" s="1003"/>
      <c r="I21" s="1002"/>
      <c r="J21" s="1003"/>
      <c r="K21" s="1004"/>
      <c r="L21" s="1005"/>
      <c r="M21" s="861"/>
      <c r="N21" s="710"/>
      <c r="O21" s="710"/>
      <c r="P21" s="710"/>
      <c r="Q21" s="710"/>
      <c r="R21" s="710"/>
      <c r="S21" s="710"/>
      <c r="T21" s="1207"/>
      <c r="U21" s="1202"/>
      <c r="V21" s="710"/>
      <c r="W21" s="74"/>
      <c r="X21" s="74"/>
      <c r="Y21" s="74"/>
      <c r="Z21" s="74"/>
      <c r="AA21" s="74"/>
      <c r="AB21" s="74"/>
    </row>
    <row r="22" spans="1:29" ht="15.75" thickBot="1">
      <c r="A22" s="2"/>
      <c r="B22" s="2"/>
      <c r="C22" s="984"/>
      <c r="D22" s="492"/>
      <c r="E22" s="985"/>
      <c r="F22" s="492"/>
      <c r="G22" s="985"/>
      <c r="H22" s="986"/>
      <c r="I22" s="492"/>
      <c r="J22" s="986"/>
      <c r="K22" s="987"/>
      <c r="L22" s="988"/>
      <c r="M22" s="58"/>
      <c r="N22" s="1209"/>
      <c r="O22" s="485"/>
      <c r="P22" s="710"/>
      <c r="Q22" s="710"/>
      <c r="R22" s="710"/>
      <c r="S22" s="710"/>
      <c r="T22" s="710"/>
      <c r="U22" s="710"/>
      <c r="V22" s="710"/>
      <c r="W22" s="74"/>
      <c r="X22" s="74"/>
      <c r="Y22" s="74"/>
      <c r="Z22" s="74"/>
      <c r="AA22" s="74"/>
      <c r="AB22" s="74"/>
    </row>
    <row r="23" spans="1:29" ht="15">
      <c r="A23" s="847"/>
      <c r="B23" s="715"/>
      <c r="C23" s="1006"/>
      <c r="D23" s="1007"/>
      <c r="E23" s="1006"/>
      <c r="F23" s="1007"/>
      <c r="G23" s="1006"/>
      <c r="H23" s="1008"/>
      <c r="I23" s="1007"/>
      <c r="J23" s="1008"/>
      <c r="K23" s="1009"/>
      <c r="L23" s="1010"/>
      <c r="M23" s="1011"/>
      <c r="N23" s="1207"/>
      <c r="O23" s="1207"/>
      <c r="P23" s="1207"/>
      <c r="Q23" s="710"/>
      <c r="R23" s="710"/>
      <c r="S23" s="710"/>
      <c r="T23" s="710"/>
      <c r="U23" s="710"/>
      <c r="V23" s="710"/>
      <c r="W23" s="74"/>
      <c r="X23" s="74"/>
      <c r="Y23" s="74"/>
      <c r="Z23" s="74"/>
      <c r="AA23" s="74"/>
      <c r="AB23" s="74"/>
      <c r="AC23" s="74"/>
    </row>
    <row r="24" spans="1:29" ht="15.75">
      <c r="A24" s="849"/>
      <c r="B24" s="830" t="s">
        <v>147</v>
      </c>
      <c r="C24" s="991"/>
      <c r="D24" s="992"/>
      <c r="E24" s="991"/>
      <c r="F24" s="992"/>
      <c r="G24" s="991"/>
      <c r="H24" s="993"/>
      <c r="I24" s="992"/>
      <c r="J24" s="993"/>
      <c r="K24" s="994"/>
      <c r="L24" s="995"/>
      <c r="M24" s="1012"/>
      <c r="N24" s="1207"/>
      <c r="O24" s="1207"/>
      <c r="P24" s="1207"/>
      <c r="Q24" s="710"/>
      <c r="R24" s="710"/>
      <c r="S24" s="710"/>
      <c r="T24" s="710"/>
      <c r="U24" s="710"/>
      <c r="V24" s="710"/>
      <c r="W24" s="74"/>
      <c r="X24" s="74"/>
      <c r="Y24" s="74"/>
      <c r="Z24" s="74"/>
      <c r="AA24" s="74"/>
      <c r="AB24" s="74"/>
      <c r="AC24" s="74"/>
    </row>
    <row r="25" spans="1:29" ht="15.75">
      <c r="A25" s="849"/>
      <c r="B25" s="526"/>
      <c r="C25" s="991"/>
      <c r="D25" s="992"/>
      <c r="E25" s="991"/>
      <c r="F25" s="992"/>
      <c r="G25" s="991"/>
      <c r="H25" s="993"/>
      <c r="I25" s="992"/>
      <c r="J25" s="993"/>
      <c r="K25" s="994"/>
      <c r="L25" s="995"/>
      <c r="M25" s="1013"/>
      <c r="N25" s="1210"/>
      <c r="O25" s="1211"/>
      <c r="P25" s="1211"/>
      <c r="Q25" s="1211"/>
      <c r="R25" s="710"/>
      <c r="S25" s="710"/>
      <c r="T25" s="710"/>
      <c r="U25" s="1207"/>
      <c r="V25" s="710"/>
      <c r="W25" s="997"/>
      <c r="X25" s="74"/>
      <c r="Y25" s="74"/>
      <c r="Z25" s="74"/>
      <c r="AA25" s="74"/>
      <c r="AB25" s="74"/>
      <c r="AC25" s="998"/>
    </row>
    <row r="26" spans="1:29" ht="15.75">
      <c r="A26" s="849"/>
      <c r="B26" s="884" t="s">
        <v>138</v>
      </c>
      <c r="C26" s="884" t="s">
        <v>811</v>
      </c>
      <c r="D26" s="910" t="s">
        <v>832</v>
      </c>
      <c r="E26" s="810"/>
      <c r="F26" s="917" t="s">
        <v>870</v>
      </c>
      <c r="G26" s="702"/>
      <c r="H26" s="909" t="s">
        <v>728</v>
      </c>
      <c r="I26" s="883"/>
      <c r="J26" s="886"/>
      <c r="K26" s="697"/>
      <c r="L26" s="699" t="s">
        <v>824</v>
      </c>
      <c r="M26" s="1014"/>
      <c r="N26" s="1212"/>
      <c r="O26" s="1212"/>
      <c r="P26" s="1212"/>
      <c r="Q26" s="1212"/>
      <c r="R26" s="1212"/>
      <c r="S26" s="1212"/>
      <c r="T26" s="1212"/>
      <c r="U26" s="1212"/>
      <c r="V26" s="1212"/>
      <c r="W26" s="999"/>
      <c r="X26" s="999"/>
      <c r="Y26" s="999"/>
      <c r="Z26" s="999"/>
      <c r="AA26" s="999"/>
      <c r="AB26" s="999"/>
      <c r="AC26" s="998"/>
    </row>
    <row r="27" spans="1:29" ht="15">
      <c r="A27" s="850"/>
      <c r="B27" s="881"/>
      <c r="C27" s="881" t="s">
        <v>813</v>
      </c>
      <c r="D27" s="879"/>
      <c r="E27" s="674"/>
      <c r="F27" s="881"/>
      <c r="G27" s="526"/>
      <c r="H27" s="884" t="s">
        <v>309</v>
      </c>
      <c r="I27" s="672" t="s">
        <v>311</v>
      </c>
      <c r="J27" s="819" t="s">
        <v>801</v>
      </c>
      <c r="K27" s="879" t="s">
        <v>305</v>
      </c>
      <c r="L27" s="820"/>
      <c r="M27" s="1014"/>
      <c r="N27" s="1212"/>
      <c r="O27" s="1212"/>
      <c r="P27" s="1212"/>
      <c r="Q27" s="1212"/>
      <c r="R27" s="1212"/>
      <c r="S27" s="1212"/>
      <c r="T27" s="1212"/>
      <c r="U27" s="1212"/>
      <c r="V27" s="1212"/>
      <c r="W27" s="999"/>
      <c r="X27" s="999"/>
      <c r="Y27" s="999"/>
      <c r="Z27" s="999"/>
      <c r="AA27" s="999"/>
      <c r="AB27" s="999"/>
      <c r="AC27" s="74"/>
    </row>
    <row r="28" spans="1:29" ht="15">
      <c r="A28" s="737"/>
      <c r="B28" s="881"/>
      <c r="C28" s="881" t="s">
        <v>317</v>
      </c>
      <c r="D28" s="879" t="s">
        <v>801</v>
      </c>
      <c r="E28" s="674" t="s">
        <v>833</v>
      </c>
      <c r="F28" s="881" t="s">
        <v>309</v>
      </c>
      <c r="G28" s="881" t="s">
        <v>833</v>
      </c>
      <c r="H28" s="881"/>
      <c r="I28" s="673" t="s">
        <v>320</v>
      </c>
      <c r="J28" s="879"/>
      <c r="K28" s="796"/>
      <c r="L28" s="885" t="s">
        <v>317</v>
      </c>
      <c r="M28" s="1014"/>
      <c r="N28" s="1212"/>
      <c r="O28" s="1212"/>
      <c r="P28" s="1212"/>
      <c r="Q28" s="1212"/>
      <c r="R28" s="1212"/>
      <c r="S28" s="1212"/>
      <c r="T28" s="1212"/>
      <c r="U28" s="1212"/>
      <c r="V28" s="1212"/>
      <c r="W28" s="999"/>
      <c r="X28" s="999"/>
      <c r="Y28" s="999"/>
      <c r="Z28" s="999"/>
      <c r="AA28" s="999"/>
      <c r="AB28" s="999"/>
      <c r="AC28" s="74"/>
    </row>
    <row r="29" spans="1:29" ht="15.75">
      <c r="A29" s="851"/>
      <c r="B29" s="996" t="str">
        <f>Kostnader!B31</f>
        <v xml:space="preserve">Höstraps </v>
      </c>
      <c r="C29" s="908">
        <f t="shared" ref="C29:C38" si="5">IF(B29=" "," ",INDEX(K$150:S$177,MATCH(B29,K$150:K$177,0),3))</f>
        <v>39.535399999999996</v>
      </c>
      <c r="D29" s="878" t="str">
        <f>IF(Huvudinmatning!O33=0," ",Huvudinmatning!O33)</f>
        <v xml:space="preserve"> </v>
      </c>
      <c r="E29" s="912">
        <f t="shared" ref="E29:E38" si="6">IF(B29=" "," ",(C29*Q69)-C29)</f>
        <v>0</v>
      </c>
      <c r="F29" s="878" t="str">
        <f>IF(B29=" "," ",IF(Huvudinmatning!P33=TRUE,"ja","nej"))</f>
        <v>nej</v>
      </c>
      <c r="G29" s="912">
        <f t="shared" ref="G29:G38" si="7">IF(B29=" "," ",(N69*Q69*T69)-(N69*Q69))</f>
        <v>0</v>
      </c>
      <c r="H29" s="877" t="str">
        <f>IF(Huvudinmatning!R33=0," ",Huvudinmatning!R33)</f>
        <v xml:space="preserve"> </v>
      </c>
      <c r="I29" s="878" t="str">
        <f>IF(Huvudinmatning!S33=0," ",Huvudinmatning!S33)</f>
        <v xml:space="preserve"> </v>
      </c>
      <c r="J29" s="878" t="str">
        <f>IF(Huvudinmatning!T33=0," ",Huvudinmatning!T33)</f>
        <v xml:space="preserve"> </v>
      </c>
      <c r="K29" s="916">
        <f t="shared" ref="K29:K38" si="8">AB69</f>
        <v>0</v>
      </c>
      <c r="L29" s="915">
        <f t="shared" ref="L29:L38" si="9">IF(B29=" "," ",C29+E29+G29+K29)</f>
        <v>39.535399999999996</v>
      </c>
      <c r="M29" s="1015"/>
      <c r="N29" s="1696"/>
      <c r="O29" s="1213"/>
      <c r="P29" s="1213"/>
      <c r="Q29" s="1213"/>
      <c r="R29" s="1213"/>
      <c r="S29" s="1213"/>
      <c r="T29" s="1213"/>
      <c r="U29" s="1213"/>
      <c r="V29" s="1213"/>
      <c r="W29" s="1000"/>
      <c r="X29" s="1000"/>
      <c r="Y29" s="1000"/>
      <c r="Z29" s="1000"/>
      <c r="AA29" s="1000"/>
      <c r="AB29" s="1000"/>
      <c r="AC29" s="74"/>
    </row>
    <row r="30" spans="1:29" ht="15.75">
      <c r="A30" s="851"/>
      <c r="B30" s="996" t="str">
        <f>Kostnader!B32</f>
        <v>Höstvete bröd</v>
      </c>
      <c r="C30" s="908">
        <f t="shared" si="5"/>
        <v>36.249600000000001</v>
      </c>
      <c r="D30" s="878" t="str">
        <f>IF(Huvudinmatning!O34=0," ",Huvudinmatning!O34)</f>
        <v xml:space="preserve"> </v>
      </c>
      <c r="E30" s="912">
        <f t="shared" si="6"/>
        <v>0</v>
      </c>
      <c r="F30" s="878" t="str">
        <f>IF(B30=" "," ",IF(Huvudinmatning!P34=TRUE,"ja","nej"))</f>
        <v>nej</v>
      </c>
      <c r="G30" s="912">
        <f t="shared" si="7"/>
        <v>0</v>
      </c>
      <c r="H30" s="877" t="str">
        <f>IF(Huvudinmatning!R34=0," ",Huvudinmatning!R34)</f>
        <v xml:space="preserve"> </v>
      </c>
      <c r="I30" s="878" t="str">
        <f>IF(Huvudinmatning!S34=0," ",Huvudinmatning!S34)</f>
        <v xml:space="preserve"> </v>
      </c>
      <c r="J30" s="878" t="str">
        <f>IF(Huvudinmatning!T34=0," ",Huvudinmatning!T34)</f>
        <v xml:space="preserve"> </v>
      </c>
      <c r="K30" s="916">
        <f t="shared" si="8"/>
        <v>0</v>
      </c>
      <c r="L30" s="915">
        <f t="shared" si="9"/>
        <v>36.249600000000001</v>
      </c>
      <c r="M30" s="1015"/>
      <c r="N30" s="1696"/>
      <c r="O30" s="1213"/>
      <c r="P30" s="1213"/>
      <c r="Q30" s="1213"/>
      <c r="R30" s="1213"/>
      <c r="S30" s="1213"/>
      <c r="T30" s="1213"/>
      <c r="U30" s="1213"/>
      <c r="V30" s="1213"/>
      <c r="W30" s="1000"/>
      <c r="X30" s="1000"/>
      <c r="Y30" s="1000"/>
      <c r="Z30" s="1000"/>
      <c r="AA30" s="1000"/>
      <c r="AB30" s="1000"/>
      <c r="AC30" s="74"/>
    </row>
    <row r="31" spans="1:29" ht="15.75">
      <c r="A31" s="851"/>
      <c r="B31" s="996" t="str">
        <f>Kostnader!B33</f>
        <v>Höstvete bröd</v>
      </c>
      <c r="C31" s="908">
        <f t="shared" si="5"/>
        <v>36.249600000000001</v>
      </c>
      <c r="D31" s="878" t="str">
        <f>IF(Huvudinmatning!O35=0," ",Huvudinmatning!O35)</f>
        <v xml:space="preserve"> </v>
      </c>
      <c r="E31" s="912">
        <f t="shared" si="6"/>
        <v>0</v>
      </c>
      <c r="F31" s="878" t="str">
        <f>IF(B31=" "," ",IF(Huvudinmatning!P35=TRUE,"ja","nej"))</f>
        <v>nej</v>
      </c>
      <c r="G31" s="912">
        <f t="shared" si="7"/>
        <v>0</v>
      </c>
      <c r="H31" s="877" t="str">
        <f>IF(Huvudinmatning!R35=0," ",Huvudinmatning!R35)</f>
        <v xml:space="preserve"> </v>
      </c>
      <c r="I31" s="878" t="str">
        <f>IF(Huvudinmatning!S35=0," ",Huvudinmatning!S35)</f>
        <v xml:space="preserve"> </v>
      </c>
      <c r="J31" s="878" t="str">
        <f>IF(Huvudinmatning!T35=0," ",Huvudinmatning!T35)</f>
        <v xml:space="preserve"> </v>
      </c>
      <c r="K31" s="916">
        <f t="shared" si="8"/>
        <v>0</v>
      </c>
      <c r="L31" s="915">
        <f t="shared" si="9"/>
        <v>36.249600000000001</v>
      </c>
      <c r="M31" s="1015"/>
      <c r="N31" s="1696"/>
      <c r="O31" s="1213"/>
      <c r="P31" s="1213"/>
      <c r="Q31" s="1213"/>
      <c r="R31" s="1213"/>
      <c r="S31" s="1213"/>
      <c r="T31" s="1213"/>
      <c r="U31" s="1213"/>
      <c r="V31" s="1213"/>
      <c r="W31" s="1000"/>
      <c r="X31" s="1000"/>
      <c r="Y31" s="1000"/>
      <c r="Z31" s="1000"/>
      <c r="AA31" s="1000"/>
      <c r="AB31" s="1000"/>
      <c r="AC31" s="74"/>
    </row>
    <row r="32" spans="1:29" ht="15.75">
      <c r="A32" s="851"/>
      <c r="B32" s="996" t="str">
        <f>Kostnader!B34</f>
        <v>Foderärt</v>
      </c>
      <c r="C32" s="908">
        <f t="shared" si="5"/>
        <v>40.052399999999999</v>
      </c>
      <c r="D32" s="878" t="str">
        <f>IF(Huvudinmatning!O36=0," ",Huvudinmatning!O36)</f>
        <v xml:space="preserve"> </v>
      </c>
      <c r="E32" s="912">
        <f t="shared" si="6"/>
        <v>0</v>
      </c>
      <c r="F32" s="878" t="str">
        <f>IF(B32=" "," ",IF(Huvudinmatning!P36=TRUE,"ja","nej"))</f>
        <v>nej</v>
      </c>
      <c r="G32" s="912">
        <f t="shared" si="7"/>
        <v>0</v>
      </c>
      <c r="H32" s="877" t="str">
        <f>IF(Huvudinmatning!R36=0," ",Huvudinmatning!R36)</f>
        <v xml:space="preserve"> </v>
      </c>
      <c r="I32" s="878" t="str">
        <f>IF(Huvudinmatning!S36=0," ",Huvudinmatning!S36)</f>
        <v xml:space="preserve"> </v>
      </c>
      <c r="J32" s="878" t="str">
        <f>IF(Huvudinmatning!T36=0," ",Huvudinmatning!T36)</f>
        <v xml:space="preserve"> </v>
      </c>
      <c r="K32" s="916">
        <f t="shared" si="8"/>
        <v>0</v>
      </c>
      <c r="L32" s="915">
        <f t="shared" si="9"/>
        <v>40.052399999999999</v>
      </c>
      <c r="M32" s="1015"/>
      <c r="N32" s="1696"/>
      <c r="O32" s="1213"/>
      <c r="P32" s="1213"/>
      <c r="Q32" s="1213"/>
      <c r="R32" s="1213"/>
      <c r="S32" s="1213"/>
      <c r="T32" s="1213"/>
      <c r="U32" s="1213"/>
      <c r="V32" s="1213"/>
      <c r="W32" s="1000"/>
      <c r="X32" s="1000"/>
      <c r="Y32" s="1000"/>
      <c r="Z32" s="1000"/>
      <c r="AA32" s="1000"/>
      <c r="AB32" s="1000"/>
      <c r="AC32" s="74"/>
    </row>
    <row r="33" spans="1:30" ht="15.75">
      <c r="A33" s="852"/>
      <c r="B33" s="996" t="str">
        <f>Kostnader!B35</f>
        <v>Höstvete bröd</v>
      </c>
      <c r="C33" s="908">
        <f t="shared" si="5"/>
        <v>36.249600000000001</v>
      </c>
      <c r="D33" s="878" t="str">
        <f>IF(Huvudinmatning!O37=0," ",Huvudinmatning!O37)</f>
        <v xml:space="preserve"> </v>
      </c>
      <c r="E33" s="912">
        <f t="shared" si="6"/>
        <v>0</v>
      </c>
      <c r="F33" s="878" t="str">
        <f>IF(B33=" "," ",IF(Huvudinmatning!P37=TRUE,"ja","nej"))</f>
        <v>nej</v>
      </c>
      <c r="G33" s="912">
        <f t="shared" si="7"/>
        <v>0</v>
      </c>
      <c r="H33" s="877" t="str">
        <f>IF(Huvudinmatning!R37=0," ",Huvudinmatning!R37)</f>
        <v xml:space="preserve"> </v>
      </c>
      <c r="I33" s="878" t="str">
        <f>IF(Huvudinmatning!S37=0," ",Huvudinmatning!S37)</f>
        <v xml:space="preserve"> </v>
      </c>
      <c r="J33" s="878" t="str">
        <f>IF(Huvudinmatning!T37=0," ",Huvudinmatning!T37)</f>
        <v xml:space="preserve"> </v>
      </c>
      <c r="K33" s="916">
        <f t="shared" si="8"/>
        <v>0</v>
      </c>
      <c r="L33" s="915">
        <f t="shared" si="9"/>
        <v>36.249600000000001</v>
      </c>
      <c r="M33" s="1015"/>
      <c r="N33" s="1696"/>
      <c r="O33" s="1213"/>
      <c r="P33" s="1213"/>
      <c r="Q33" s="1213"/>
      <c r="R33" s="1213"/>
      <c r="S33" s="1213"/>
      <c r="T33" s="1213"/>
      <c r="U33" s="1213"/>
      <c r="V33" s="1213"/>
      <c r="W33" s="1000"/>
      <c r="X33" s="1000"/>
      <c r="Y33" s="1000"/>
      <c r="Z33" s="1000"/>
      <c r="AA33" s="1000"/>
      <c r="AB33" s="1000"/>
      <c r="AC33" s="74"/>
    </row>
    <row r="34" spans="1:30" ht="15.75">
      <c r="A34" s="852"/>
      <c r="B34" s="996" t="str">
        <f>Kostnader!B36</f>
        <v>Höstvete bröd</v>
      </c>
      <c r="C34" s="908">
        <f t="shared" si="5"/>
        <v>36.249600000000001</v>
      </c>
      <c r="D34" s="878" t="str">
        <f>IF(Huvudinmatning!O38=0," ",Huvudinmatning!O38)</f>
        <v xml:space="preserve"> </v>
      </c>
      <c r="E34" s="912">
        <f t="shared" si="6"/>
        <v>0</v>
      </c>
      <c r="F34" s="878" t="str">
        <f>IF(B34=" "," ",IF(Huvudinmatning!P38=TRUE,"ja","nej"))</f>
        <v>nej</v>
      </c>
      <c r="G34" s="912">
        <f t="shared" si="7"/>
        <v>0</v>
      </c>
      <c r="H34" s="877" t="str">
        <f>IF(Huvudinmatning!R38=0," ",Huvudinmatning!R38)</f>
        <v xml:space="preserve"> </v>
      </c>
      <c r="I34" s="878" t="str">
        <f>IF(Huvudinmatning!S38=0," ",Huvudinmatning!S38)</f>
        <v xml:space="preserve"> </v>
      </c>
      <c r="J34" s="878" t="str">
        <f>IF(Huvudinmatning!T38=0," ",Huvudinmatning!T38)</f>
        <v xml:space="preserve"> </v>
      </c>
      <c r="K34" s="916">
        <f t="shared" si="8"/>
        <v>0</v>
      </c>
      <c r="L34" s="915">
        <f t="shared" si="9"/>
        <v>36.249600000000001</v>
      </c>
      <c r="M34" s="1015"/>
      <c r="N34" s="1696"/>
      <c r="O34" s="1213"/>
      <c r="P34" s="1213"/>
      <c r="Q34" s="1213"/>
      <c r="R34" s="1213"/>
      <c r="S34" s="1213"/>
      <c r="T34" s="1213"/>
      <c r="U34" s="1213"/>
      <c r="V34" s="1213"/>
      <c r="W34" s="1000"/>
      <c r="X34" s="1000"/>
      <c r="Y34" s="1000"/>
      <c r="Z34" s="1000"/>
      <c r="AA34" s="1000"/>
      <c r="AB34" s="1000"/>
      <c r="AC34" s="74"/>
    </row>
    <row r="35" spans="1:30" ht="15.75">
      <c r="A35" s="852"/>
      <c r="B35" s="996" t="str">
        <f>Kostnader!B37</f>
        <v>Maltkorn</v>
      </c>
      <c r="C35" s="908">
        <f t="shared" si="5"/>
        <v>35.013200000000005</v>
      </c>
      <c r="D35" s="878" t="str">
        <f>IF(Huvudinmatning!O39=0," ",Huvudinmatning!O39)</f>
        <v xml:space="preserve"> </v>
      </c>
      <c r="E35" s="912">
        <f t="shared" si="6"/>
        <v>0</v>
      </c>
      <c r="F35" s="878" t="str">
        <f>IF(B35=" "," ",IF(Huvudinmatning!P39=TRUE,"ja","nej"))</f>
        <v>nej</v>
      </c>
      <c r="G35" s="912">
        <f t="shared" si="7"/>
        <v>0</v>
      </c>
      <c r="H35" s="877" t="str">
        <f>IF(Huvudinmatning!R39=0," ",Huvudinmatning!R39)</f>
        <v xml:space="preserve"> </v>
      </c>
      <c r="I35" s="878" t="str">
        <f>IF(Huvudinmatning!S39=0," ",Huvudinmatning!S39)</f>
        <v xml:space="preserve"> </v>
      </c>
      <c r="J35" s="878" t="str">
        <f>IF(Huvudinmatning!T39=0," ",Huvudinmatning!T39)</f>
        <v xml:space="preserve"> </v>
      </c>
      <c r="K35" s="916">
        <f t="shared" si="8"/>
        <v>0</v>
      </c>
      <c r="L35" s="915">
        <f t="shared" si="9"/>
        <v>35.013200000000005</v>
      </c>
      <c r="M35" s="1015"/>
      <c r="N35" s="1696"/>
      <c r="O35" s="1213"/>
      <c r="P35" s="1213"/>
      <c r="Q35" s="1213"/>
      <c r="R35" s="1213"/>
      <c r="S35" s="1213"/>
      <c r="T35" s="1213"/>
      <c r="U35" s="1213"/>
      <c r="V35" s="1213"/>
      <c r="W35" s="1000"/>
      <c r="X35" s="1000"/>
      <c r="Y35" s="1000"/>
      <c r="Z35" s="1000"/>
      <c r="AA35" s="1000"/>
      <c r="AB35" s="1000"/>
      <c r="AC35" s="74"/>
    </row>
    <row r="36" spans="1:30" ht="15.75">
      <c r="A36" s="852"/>
      <c r="B36" s="996" t="str">
        <f>Kostnader!B38</f>
        <v xml:space="preserve"> </v>
      </c>
      <c r="C36" s="908" t="str">
        <f t="shared" si="5"/>
        <v xml:space="preserve"> </v>
      </c>
      <c r="D36" s="878" t="str">
        <f>IF(Huvudinmatning!O40=0," ",Huvudinmatning!O40)</f>
        <v xml:space="preserve"> </v>
      </c>
      <c r="E36" s="912" t="str">
        <f t="shared" si="6"/>
        <v xml:space="preserve"> </v>
      </c>
      <c r="F36" s="878" t="str">
        <f>IF(B36=" "," ",IF(Huvudinmatning!P40=TRUE,"ja","nej"))</f>
        <v xml:space="preserve"> </v>
      </c>
      <c r="G36" s="912" t="str">
        <f t="shared" si="7"/>
        <v xml:space="preserve"> </v>
      </c>
      <c r="H36" s="877" t="str">
        <f>IF(Huvudinmatning!R40=0," ",Huvudinmatning!R40)</f>
        <v xml:space="preserve"> </v>
      </c>
      <c r="I36" s="878" t="str">
        <f>IF(Huvudinmatning!S40=0," ",Huvudinmatning!S40)</f>
        <v xml:space="preserve"> </v>
      </c>
      <c r="J36" s="878" t="str">
        <f>IF(Huvudinmatning!T40=0," ",Huvudinmatning!T40)</f>
        <v xml:space="preserve"> </v>
      </c>
      <c r="K36" s="916">
        <f t="shared" si="8"/>
        <v>0</v>
      </c>
      <c r="L36" s="915" t="str">
        <f t="shared" si="9"/>
        <v xml:space="preserve"> </v>
      </c>
      <c r="M36" s="1015"/>
      <c r="N36" s="1213"/>
      <c r="O36" s="1213"/>
      <c r="P36" s="1213"/>
      <c r="Q36" s="1213"/>
      <c r="R36" s="1213"/>
      <c r="S36" s="1213"/>
      <c r="T36" s="1213"/>
      <c r="U36" s="1213"/>
      <c r="V36" s="1213"/>
      <c r="W36" s="1000"/>
      <c r="X36" s="1000"/>
      <c r="Y36" s="1000"/>
      <c r="Z36" s="1000"/>
      <c r="AA36" s="1000"/>
      <c r="AB36" s="1000"/>
      <c r="AC36" s="74"/>
    </row>
    <row r="37" spans="1:30" ht="15.75">
      <c r="A37" s="852"/>
      <c r="B37" s="996" t="str">
        <f>Kostnader!B39</f>
        <v xml:space="preserve"> </v>
      </c>
      <c r="C37" s="908" t="str">
        <f t="shared" si="5"/>
        <v xml:space="preserve"> </v>
      </c>
      <c r="D37" s="878" t="str">
        <f>IF(Huvudinmatning!O41=0," ",Huvudinmatning!O41)</f>
        <v xml:space="preserve"> </v>
      </c>
      <c r="E37" s="912" t="str">
        <f t="shared" si="6"/>
        <v xml:space="preserve"> </v>
      </c>
      <c r="F37" s="878" t="str">
        <f>IF(B37=" "," ",IF(Huvudinmatning!P41=TRUE,"ja","nej"))</f>
        <v xml:space="preserve"> </v>
      </c>
      <c r="G37" s="912" t="str">
        <f t="shared" si="7"/>
        <v xml:space="preserve"> </v>
      </c>
      <c r="H37" s="877" t="str">
        <f>IF(Huvudinmatning!R41=0," ",Huvudinmatning!R41)</f>
        <v xml:space="preserve"> </v>
      </c>
      <c r="I37" s="878" t="str">
        <f>IF(Huvudinmatning!S41=0," ",Huvudinmatning!S41)</f>
        <v xml:space="preserve"> </v>
      </c>
      <c r="J37" s="878" t="str">
        <f>IF(Huvudinmatning!T41=0," ",Huvudinmatning!T41)</f>
        <v xml:space="preserve"> </v>
      </c>
      <c r="K37" s="916">
        <f t="shared" si="8"/>
        <v>0</v>
      </c>
      <c r="L37" s="915" t="str">
        <f t="shared" si="9"/>
        <v xml:space="preserve"> </v>
      </c>
      <c r="M37" s="1015"/>
      <c r="N37" s="1213"/>
      <c r="O37" s="1213"/>
      <c r="P37" s="1213"/>
      <c r="Q37" s="1213"/>
      <c r="R37" s="1213"/>
      <c r="S37" s="1213"/>
      <c r="T37" s="1213"/>
      <c r="U37" s="1213"/>
      <c r="V37" s="1213"/>
      <c r="W37" s="1000"/>
      <c r="X37" s="1000"/>
      <c r="Y37" s="1000"/>
      <c r="Z37" s="1000"/>
      <c r="AA37" s="1000"/>
      <c r="AB37" s="1000"/>
      <c r="AC37" s="74"/>
    </row>
    <row r="38" spans="1:30" ht="16.5" thickBot="1">
      <c r="A38" s="852"/>
      <c r="B38" s="996" t="str">
        <f>Kostnader!B40</f>
        <v xml:space="preserve"> </v>
      </c>
      <c r="C38" s="908" t="str">
        <f t="shared" si="5"/>
        <v xml:space="preserve"> </v>
      </c>
      <c r="D38" s="878" t="str">
        <f>IF(Huvudinmatning!O42=0," ",Huvudinmatning!O42)</f>
        <v xml:space="preserve"> </v>
      </c>
      <c r="E38" s="912" t="str">
        <f t="shared" si="6"/>
        <v xml:space="preserve"> </v>
      </c>
      <c r="F38" s="878" t="str">
        <f>IF(B38=" "," ",IF(Huvudinmatning!P42=TRUE,"ja","nej"))</f>
        <v xml:space="preserve"> </v>
      </c>
      <c r="G38" s="912" t="str">
        <f t="shared" si="7"/>
        <v xml:space="preserve"> </v>
      </c>
      <c r="H38" s="877" t="str">
        <f>IF(Huvudinmatning!R42=0," ",Huvudinmatning!R42)</f>
        <v xml:space="preserve"> </v>
      </c>
      <c r="I38" s="878" t="str">
        <f>IF(Huvudinmatning!S42=0," ",Huvudinmatning!S42)</f>
        <v xml:space="preserve"> </v>
      </c>
      <c r="J38" s="878" t="str">
        <f>IF(Huvudinmatning!T42=0," ",Huvudinmatning!T42)</f>
        <v xml:space="preserve"> </v>
      </c>
      <c r="K38" s="916">
        <f t="shared" si="8"/>
        <v>0</v>
      </c>
      <c r="L38" s="983" t="str">
        <f t="shared" si="9"/>
        <v xml:space="preserve"> </v>
      </c>
      <c r="M38" s="1015"/>
      <c r="N38" s="1213"/>
      <c r="O38" s="1213"/>
      <c r="P38" s="1213"/>
      <c r="Q38" s="1213"/>
      <c r="R38" s="1213"/>
      <c r="S38" s="1213"/>
      <c r="T38" s="1213"/>
      <c r="U38" s="1213"/>
      <c r="V38" s="1213"/>
      <c r="W38" s="1000"/>
      <c r="X38" s="1000"/>
      <c r="Y38" s="1000"/>
      <c r="Z38" s="1000"/>
      <c r="AA38" s="1000"/>
      <c r="AB38" s="1000"/>
      <c r="AC38" s="74"/>
    </row>
    <row r="39" spans="1:30" ht="16.5" thickBot="1">
      <c r="A39" s="849"/>
      <c r="B39" s="990">
        <f>Kostnader!B41</f>
        <v>0</v>
      </c>
      <c r="C39" s="991"/>
      <c r="D39" s="992"/>
      <c r="E39" s="991"/>
      <c r="F39" s="992"/>
      <c r="G39" s="991">
        <f>IF(B39=" "," ",(N81*Q81*T81)-(N81*Q81))</f>
        <v>0</v>
      </c>
      <c r="H39" s="993"/>
      <c r="I39" s="992"/>
      <c r="J39" s="993"/>
      <c r="K39" s="994">
        <f>AA86</f>
        <v>0</v>
      </c>
      <c r="L39" s="1016">
        <f>IF(Huvudinmatning!D28=0," ",SUM(L29:L38)/Huvudinmatning!D28)</f>
        <v>37.085628571428565</v>
      </c>
      <c r="M39" s="1015"/>
      <c r="N39" s="1213"/>
      <c r="O39" s="1213"/>
      <c r="P39" s="1213"/>
      <c r="Q39" s="1213"/>
      <c r="R39" s="1213"/>
      <c r="S39" s="1213"/>
      <c r="T39" s="1213"/>
      <c r="U39" s="1213"/>
      <c r="V39" s="1213"/>
      <c r="W39" s="1000"/>
      <c r="X39" s="1000"/>
      <c r="Y39" s="1000"/>
      <c r="Z39" s="1000"/>
      <c r="AA39" s="1000"/>
      <c r="AB39" s="1000"/>
      <c r="AC39" s="74"/>
    </row>
    <row r="40" spans="1:30" ht="15.75">
      <c r="A40" s="849"/>
      <c r="B40" s="989">
        <f>Kostnader!B42</f>
        <v>0</v>
      </c>
      <c r="C40" s="989"/>
      <c r="D40" s="989">
        <f>Kostnader!G42</f>
        <v>0</v>
      </c>
      <c r="E40" s="989"/>
      <c r="F40" s="989">
        <f>Kostnader!J42</f>
        <v>0</v>
      </c>
      <c r="G40" s="989"/>
      <c r="H40" s="989"/>
      <c r="I40" s="526"/>
      <c r="J40" s="989"/>
      <c r="K40" s="989"/>
      <c r="L40" s="526"/>
      <c r="M40" s="1014"/>
      <c r="N40" s="1212"/>
      <c r="O40" s="1212"/>
      <c r="P40" s="1212"/>
      <c r="Q40" s="1212"/>
      <c r="R40" s="1212"/>
      <c r="S40" s="1212"/>
      <c r="T40" s="1212"/>
      <c r="U40" s="1212"/>
      <c r="V40" s="1212"/>
      <c r="W40" s="999"/>
      <c r="X40" s="999"/>
      <c r="Y40" s="999"/>
      <c r="Z40" s="999"/>
      <c r="AA40" s="999"/>
      <c r="AB40" s="999"/>
      <c r="AC40" s="74"/>
    </row>
    <row r="41" spans="1:30" ht="15.75" thickBot="1">
      <c r="A41" s="854"/>
      <c r="B41" s="739"/>
      <c r="C41" s="739"/>
      <c r="D41" s="739"/>
      <c r="E41" s="739"/>
      <c r="F41" s="739"/>
      <c r="G41" s="562"/>
      <c r="H41" s="562"/>
      <c r="I41" s="562"/>
      <c r="J41" s="562"/>
      <c r="K41" s="562"/>
      <c r="L41" s="562"/>
      <c r="M41" s="563"/>
      <c r="N41" s="710"/>
      <c r="O41" s="710"/>
      <c r="P41" s="710"/>
      <c r="Q41" s="710"/>
      <c r="R41" s="710"/>
      <c r="S41" s="710"/>
      <c r="T41" s="710"/>
      <c r="U41" s="710"/>
      <c r="V41" s="710"/>
      <c r="W41" s="74"/>
      <c r="X41" s="74"/>
      <c r="Y41" s="74"/>
      <c r="Z41" s="74"/>
      <c r="AA41" s="74"/>
      <c r="AB41" s="74"/>
      <c r="AC41" s="74"/>
    </row>
    <row r="42" spans="1:30">
      <c r="A42" s="486"/>
      <c r="B42" s="486"/>
      <c r="C42" s="486"/>
      <c r="D42" s="486"/>
      <c r="E42" s="486"/>
      <c r="F42" s="486"/>
      <c r="G42" s="486"/>
      <c r="H42" s="486"/>
      <c r="I42" s="486"/>
      <c r="J42" s="486"/>
      <c r="K42" s="486"/>
      <c r="L42" s="486"/>
      <c r="M42" s="710"/>
      <c r="N42" s="710"/>
      <c r="O42" s="710"/>
      <c r="P42" s="710"/>
      <c r="Q42" s="710"/>
      <c r="R42" s="710"/>
      <c r="S42" s="710"/>
      <c r="T42" s="710"/>
      <c r="U42" s="710"/>
      <c r="V42" s="710"/>
      <c r="W42" s="74"/>
      <c r="X42" s="74"/>
      <c r="Y42" s="74"/>
      <c r="Z42" s="74"/>
      <c r="AA42" s="74"/>
      <c r="AB42" s="74"/>
      <c r="AC42" s="74"/>
    </row>
    <row r="43" spans="1:30">
      <c r="A43" s="486"/>
      <c r="B43" s="486"/>
      <c r="C43" s="486"/>
      <c r="D43" s="486"/>
      <c r="E43" s="486"/>
      <c r="F43" s="486"/>
      <c r="G43" s="486"/>
      <c r="H43" s="486"/>
      <c r="I43" s="486"/>
      <c r="J43" s="486"/>
      <c r="K43" s="486"/>
      <c r="L43" s="486"/>
      <c r="M43" s="486"/>
      <c r="N43" s="486"/>
      <c r="O43" s="486"/>
      <c r="P43" s="486"/>
      <c r="Q43" s="486"/>
      <c r="R43" s="486"/>
      <c r="S43" s="486"/>
      <c r="T43" s="486"/>
      <c r="U43" s="486"/>
      <c r="V43" s="486"/>
    </row>
    <row r="44" spans="1:30">
      <c r="A44" s="486"/>
      <c r="B44" s="486"/>
      <c r="C44" s="486"/>
      <c r="D44" s="486"/>
      <c r="E44" s="486"/>
      <c r="F44" s="486"/>
      <c r="G44" s="486"/>
      <c r="H44" s="486"/>
      <c r="I44" s="486"/>
      <c r="J44" s="486"/>
      <c r="K44" s="486"/>
      <c r="L44" s="486"/>
      <c r="M44" s="486"/>
      <c r="N44" s="486"/>
      <c r="O44" s="486"/>
      <c r="P44" s="486"/>
      <c r="Q44" s="486"/>
      <c r="R44" s="486"/>
      <c r="S44" s="486"/>
      <c r="T44" s="486"/>
      <c r="U44" s="486"/>
      <c r="V44" s="486"/>
    </row>
    <row r="45" spans="1:30">
      <c r="A45" s="486"/>
      <c r="B45" s="486"/>
      <c r="C45" s="486"/>
      <c r="D45" s="486"/>
      <c r="E45" s="486"/>
      <c r="F45" s="486"/>
      <c r="G45" s="486"/>
      <c r="H45" s="486"/>
      <c r="I45" s="486"/>
      <c r="J45" s="486"/>
      <c r="K45" s="486"/>
      <c r="L45" s="486"/>
      <c r="M45" s="486"/>
      <c r="N45" s="486"/>
      <c r="O45" s="486"/>
      <c r="P45" s="486"/>
      <c r="Q45" s="486"/>
      <c r="R45" s="486"/>
      <c r="S45" s="486"/>
      <c r="T45" s="486"/>
      <c r="U45" s="486"/>
      <c r="V45" s="486"/>
    </row>
    <row r="46" spans="1:30">
      <c r="A46" s="969"/>
      <c r="B46" s="969"/>
      <c r="C46" s="969"/>
      <c r="D46" s="969"/>
    </row>
    <row r="47" spans="1:30" ht="15">
      <c r="A47" s="969"/>
      <c r="B47" s="970" t="s">
        <v>876</v>
      </c>
      <c r="C47" s="971"/>
      <c r="D47" s="972"/>
      <c r="K47" s="2087"/>
      <c r="L47" s="2087"/>
      <c r="M47" s="2087"/>
      <c r="N47" s="2087"/>
      <c r="O47" s="2087"/>
      <c r="P47" s="2087"/>
      <c r="Q47" s="2087"/>
      <c r="R47" s="2087"/>
      <c r="S47" s="2087"/>
      <c r="T47" s="2087"/>
      <c r="U47" s="2087"/>
      <c r="V47" s="2087"/>
      <c r="W47" s="2087"/>
      <c r="X47" s="2087"/>
      <c r="Y47" s="2087"/>
      <c r="Z47" s="2087"/>
      <c r="AA47" s="2087"/>
      <c r="AB47" s="2087"/>
      <c r="AC47" s="2087"/>
      <c r="AD47" s="2087"/>
    </row>
    <row r="48" spans="1:30">
      <c r="A48" s="969"/>
      <c r="B48" s="972"/>
      <c r="C48" s="972"/>
      <c r="D48" s="972"/>
      <c r="K48" s="2087"/>
      <c r="L48" s="2087"/>
      <c r="M48" s="2087"/>
      <c r="N48" s="2087"/>
      <c r="O48" s="2087"/>
      <c r="P48" s="2087"/>
      <c r="Q48" s="2087"/>
      <c r="R48" s="2087"/>
      <c r="S48" s="2087"/>
      <c r="T48" s="2087"/>
      <c r="U48" s="2087"/>
      <c r="V48" s="2087"/>
      <c r="W48" s="2087"/>
      <c r="X48" s="2087"/>
      <c r="Y48" s="2087"/>
      <c r="Z48" s="2087"/>
      <c r="AA48" s="2087"/>
      <c r="AB48" s="2087"/>
      <c r="AC48" s="2087"/>
      <c r="AD48" s="2087"/>
    </row>
    <row r="49" spans="1:30" ht="15.75">
      <c r="A49" s="969"/>
      <c r="B49" s="973" t="s">
        <v>119</v>
      </c>
      <c r="C49" s="974" t="s">
        <v>15</v>
      </c>
      <c r="D49" s="969"/>
      <c r="K49" s="2087"/>
      <c r="L49" s="2088" t="s">
        <v>878</v>
      </c>
      <c r="M49" s="2087"/>
      <c r="N49" s="2087"/>
      <c r="O49" s="2087"/>
      <c r="P49" s="2087"/>
      <c r="Q49" s="2087"/>
      <c r="R49" s="2087"/>
      <c r="S49" s="2087"/>
      <c r="T49" s="2087"/>
      <c r="U49" s="2087"/>
      <c r="V49" s="2087"/>
      <c r="W49" s="2087"/>
      <c r="X49" s="2087"/>
      <c r="Y49" s="2087"/>
      <c r="Z49" s="2087"/>
      <c r="AA49" s="2087"/>
      <c r="AB49" s="2087"/>
      <c r="AC49" s="2087"/>
      <c r="AD49" s="2087"/>
    </row>
    <row r="50" spans="1:30">
      <c r="A50" s="969"/>
      <c r="B50" s="975" t="s">
        <v>17</v>
      </c>
      <c r="C50" s="976">
        <f>Grunddata!C28</f>
        <v>3.5999999999999997E-2</v>
      </c>
      <c r="D50" s="969"/>
      <c r="K50" s="2087"/>
      <c r="L50" s="2087"/>
      <c r="M50" s="2087"/>
      <c r="N50" s="2087"/>
      <c r="O50" s="2087"/>
      <c r="P50" s="2087"/>
      <c r="Q50" s="2087"/>
      <c r="R50" s="2087"/>
      <c r="S50" s="2087"/>
      <c r="T50" s="2087"/>
      <c r="U50" s="2087"/>
      <c r="V50" s="2087"/>
      <c r="W50" s="2087"/>
      <c r="X50" s="2087"/>
      <c r="Y50" s="2087"/>
      <c r="Z50" s="2087"/>
      <c r="AA50" s="2087"/>
      <c r="AB50" s="2087"/>
      <c r="AC50" s="2087"/>
      <c r="AD50" s="2087"/>
    </row>
    <row r="51" spans="1:30" ht="15">
      <c r="A51" s="969"/>
      <c r="B51" s="977" t="s">
        <v>18</v>
      </c>
      <c r="C51" s="976">
        <f>Grunddata!C29</f>
        <v>0.35399999999999998</v>
      </c>
      <c r="D51" s="969"/>
      <c r="K51" s="2087"/>
      <c r="L51" s="2089" t="s">
        <v>133</v>
      </c>
      <c r="M51" s="2087"/>
      <c r="N51" s="2087"/>
      <c r="O51" s="2087"/>
      <c r="P51" s="2087"/>
      <c r="Q51" s="2087"/>
      <c r="R51" s="2087"/>
      <c r="S51" s="2087"/>
      <c r="T51" s="2087"/>
      <c r="U51" s="2087"/>
      <c r="V51" s="2087"/>
      <c r="W51" s="2087"/>
      <c r="X51" s="2087"/>
      <c r="Y51" s="2087"/>
      <c r="Z51" s="2087"/>
      <c r="AA51" s="2087"/>
      <c r="AB51" s="2087"/>
      <c r="AC51" s="2087"/>
      <c r="AD51" s="2087"/>
    </row>
    <row r="52" spans="1:30">
      <c r="A52" s="969"/>
      <c r="B52" s="977" t="s">
        <v>126</v>
      </c>
      <c r="C52" s="976">
        <f>Grunddata!C30</f>
        <v>0.39</v>
      </c>
      <c r="D52" s="969"/>
      <c r="K52" s="2087"/>
      <c r="L52" s="2090"/>
      <c r="M52" s="2090" t="s">
        <v>138</v>
      </c>
      <c r="N52" s="2090" t="s">
        <v>811</v>
      </c>
      <c r="O52" s="2090" t="s">
        <v>830</v>
      </c>
      <c r="P52" s="2091" t="s">
        <v>810</v>
      </c>
      <c r="Q52" s="2091"/>
      <c r="R52" s="2090" t="s">
        <v>830</v>
      </c>
      <c r="S52" s="2092" t="s">
        <v>870</v>
      </c>
      <c r="T52" s="2091"/>
      <c r="U52" s="2090" t="s">
        <v>153</v>
      </c>
      <c r="V52" s="2090" t="s">
        <v>837</v>
      </c>
      <c r="W52" s="2090" t="s">
        <v>830</v>
      </c>
      <c r="X52" s="2090" t="s">
        <v>866</v>
      </c>
      <c r="Y52" s="2093" t="s">
        <v>728</v>
      </c>
      <c r="Z52" s="2092" t="s">
        <v>767</v>
      </c>
      <c r="AA52" s="2091"/>
      <c r="AB52" s="2094"/>
      <c r="AC52" s="2090" t="s">
        <v>824</v>
      </c>
      <c r="AD52" s="2087"/>
    </row>
    <row r="53" spans="1:30">
      <c r="A53" s="969"/>
      <c r="B53" s="977" t="s">
        <v>128</v>
      </c>
      <c r="C53" s="976">
        <f>Grunddata!C31</f>
        <v>0.22</v>
      </c>
      <c r="D53" s="969"/>
      <c r="K53" s="2087"/>
      <c r="L53" s="2095" t="s">
        <v>137</v>
      </c>
      <c r="M53" s="2095"/>
      <c r="N53" s="2095"/>
      <c r="O53" s="2095" t="s">
        <v>827</v>
      </c>
      <c r="P53" s="2096"/>
      <c r="Q53" s="2096" t="s">
        <v>831</v>
      </c>
      <c r="R53" s="2095" t="s">
        <v>23</v>
      </c>
      <c r="S53" s="2095"/>
      <c r="T53" s="2087" t="s">
        <v>831</v>
      </c>
      <c r="U53" s="2095" t="s">
        <v>871</v>
      </c>
      <c r="V53" s="2095" t="s">
        <v>497</v>
      </c>
      <c r="W53" s="2095" t="s">
        <v>834</v>
      </c>
      <c r="X53" s="2095"/>
      <c r="Y53" s="2095" t="s">
        <v>865</v>
      </c>
      <c r="Z53" s="2087"/>
      <c r="AA53" s="2097" t="s">
        <v>831</v>
      </c>
      <c r="AB53" s="2098" t="s">
        <v>305</v>
      </c>
      <c r="AC53" s="2095"/>
      <c r="AD53" s="2087"/>
    </row>
    <row r="54" spans="1:30">
      <c r="A54" s="969"/>
      <c r="B54" s="977" t="s">
        <v>24</v>
      </c>
      <c r="C54" s="976">
        <f>Grunddata!C32</f>
        <v>0</v>
      </c>
      <c r="D54" s="969"/>
      <c r="K54" s="2087"/>
      <c r="L54" s="2096">
        <v>1</v>
      </c>
      <c r="M54" s="2096" t="str">
        <f t="shared" ref="M54:M63" si="10">B10</f>
        <v xml:space="preserve">Höstraps </v>
      </c>
      <c r="N54" s="2099">
        <f t="shared" ref="N54:N63" si="11">C10</f>
        <v>39.535399999999996</v>
      </c>
      <c r="O54" s="2100">
        <f t="shared" ref="O54:O63" si="12">IF(B10=" "," ",INDEX(K$150:T$177,MATCH(B10,K$150:K$177,0),10))</f>
        <v>1</v>
      </c>
      <c r="P54" s="2096" t="str">
        <f t="shared" ref="P54:P63" si="13">IF(D10=" ",IF(O54=1,L$87,IF(O54=2,L$90,0)),D10)</f>
        <v>Tidig höst</v>
      </c>
      <c r="Q54" s="2101">
        <f t="shared" ref="Q54:Q63" si="14">IF(D10=" ",1,(IF(O54=1,INDEX(L$87:O$90,MATCH(D10,L$87:L$90,0),2), INDEX(L$87:O$90,MATCH(D10,L$87:L$90,0),4))))</f>
        <v>1</v>
      </c>
      <c r="R54" s="2100">
        <f t="shared" ref="R54:R63" si="15">IF(B29=" "," ",INDEX(K$150:V$177,MATCH(B10,K$150:K$177,0),12))</f>
        <v>1</v>
      </c>
      <c r="S54" s="2096" t="str">
        <f t="shared" ref="S54:S63" si="16">F10</f>
        <v>nej</v>
      </c>
      <c r="T54" s="2102">
        <f t="shared" ref="T54:T63" si="17">IF(F10=" ",1,(IF(S54="nej",1,IF(R54=1,INDEX(L$95:N$98,MATCH(P54,L$95:L$98,0),2), INDEX(L$95:N$98,MATCH(P54,L$95:L$98,0),3)))))</f>
        <v>1</v>
      </c>
      <c r="U54" s="2103">
        <f t="shared" ref="U54:U63" si="18">IF(M54=" "," ",N54*Q54*T54)</f>
        <v>39.535399999999996</v>
      </c>
      <c r="V54" s="2104">
        <f t="shared" ref="V54:V63" si="19">IF(H10=" ",0,(INDEX($K$184:$W$195,MATCH(H10,$K$184:$K$195,0),13))*I10)</f>
        <v>0</v>
      </c>
      <c r="W54" s="2100">
        <f t="shared" ref="W54:W63" si="20">IF(B10=" "," ",INDEX(K$150:U$177,MATCH(B10,K$150:K$177,0),11))</f>
        <v>2</v>
      </c>
      <c r="X54" s="2096" t="str">
        <f t="shared" ref="X54:X63" si="21">H10</f>
        <v xml:space="preserve"> </v>
      </c>
      <c r="Y54" s="2096" t="str">
        <f>IF(X54=" "," ",IF(W54=1,INDEX(Q$87:T$99,MATCH(X54,Q$87:Q$99,0),2),IF(W54=2,INDEX(Q$87:T$99,MATCH(X54,Q$87:Q$99,0),3),IF(W54=3,INDEX(Q$87:T$99,MATCH(X54,Q$87:Q$99,0),4)))))</f>
        <v xml:space="preserve"> </v>
      </c>
      <c r="Z54" s="2096" t="str">
        <f t="shared" ref="Z54:Z63" si="22">J10</f>
        <v xml:space="preserve"> </v>
      </c>
      <c r="AA54" s="2105" t="str">
        <f>IF(X54=" "," ",IF(Z54=R$101,INDEX(Q$102:V$137,MATCH(Y54,Q$102:Q$137,0),2),IF(Z54=S$101,INDEX(Q$102:V$137,MATCH(Y54,Q$102:Q$137,0),3),IF(Z54=T$101,INDEX(Q$102:V$137,MATCH(Y54,Q$102:Q$137,0),4),IF(Z54=U$101,INDEX(Q$102:V$137,MATCH(Y54,Q$102:Q$137,0),5),IF(Z54=V$101,INDEX(Q$102:V$137,MATCH(Y54,Q$102:Q$137,0),6)))))))</f>
        <v xml:space="preserve"> </v>
      </c>
      <c r="AB54" s="2106">
        <f>IF(X54=" ",0,V54*AA54)</f>
        <v>0</v>
      </c>
      <c r="AC54" s="2107">
        <f t="shared" ref="AC54:AC63" si="23">IF(M54=" "," ",U54+AB54)</f>
        <v>39.535399999999996</v>
      </c>
      <c r="AD54" s="2087"/>
    </row>
    <row r="55" spans="1:30">
      <c r="A55" s="969"/>
      <c r="B55" s="973"/>
      <c r="C55" s="976">
        <f>Grunddata!C33</f>
        <v>0</v>
      </c>
      <c r="D55" s="969"/>
      <c r="K55" s="2087"/>
      <c r="L55" s="2096">
        <v>2</v>
      </c>
      <c r="M55" s="2096" t="str">
        <f t="shared" si="10"/>
        <v>Höstvete bröd</v>
      </c>
      <c r="N55" s="2099">
        <f t="shared" si="11"/>
        <v>36.249600000000001</v>
      </c>
      <c r="O55" s="2100">
        <f t="shared" si="12"/>
        <v>1</v>
      </c>
      <c r="P55" s="2096" t="str">
        <f t="shared" si="13"/>
        <v>Tidig höst</v>
      </c>
      <c r="Q55" s="2101">
        <f t="shared" si="14"/>
        <v>1</v>
      </c>
      <c r="R55" s="2100">
        <f t="shared" si="15"/>
        <v>1</v>
      </c>
      <c r="S55" s="2096" t="str">
        <f t="shared" si="16"/>
        <v>nej</v>
      </c>
      <c r="T55" s="2102">
        <f t="shared" si="17"/>
        <v>1</v>
      </c>
      <c r="U55" s="2103">
        <f t="shared" si="18"/>
        <v>36.249600000000001</v>
      </c>
      <c r="V55" s="2104">
        <f t="shared" si="19"/>
        <v>0</v>
      </c>
      <c r="W55" s="2100">
        <f t="shared" si="20"/>
        <v>1</v>
      </c>
      <c r="X55" s="2096" t="str">
        <f t="shared" si="21"/>
        <v xml:space="preserve"> </v>
      </c>
      <c r="Y55" s="2096" t="str">
        <f t="shared" ref="Y55:Y63" si="24">IF(X55=" "," ",IF(W55=1,INDEX(Q$87:T$99,MATCH(X55,Q$87:Q$99,0),2),IF(W55=2,INDEX(Q$87:T$99,MATCH(X55,Q$87:Q$99,0),3),IF(W55=3,INDEX(Q$87:T$99,MATCH(X55,Q$87:Q$99,0),4)))))</f>
        <v xml:space="preserve"> </v>
      </c>
      <c r="Z55" s="2096" t="str">
        <f t="shared" si="22"/>
        <v xml:space="preserve"> </v>
      </c>
      <c r="AA55" s="2105" t="str">
        <f t="shared" ref="AA55:AA63" si="25">IF(X55=" "," ",IF(Z55=R$101,INDEX(Q$102:V$137,MATCH(Y55,Q$102:Q$137,0),2),IF(Z55=S$101,INDEX(Q$102:V$137,MATCH(Y55,Q$102:Q$137,0),3),IF(Z55=T$101,INDEX(Q$102:V$137,MATCH(Y55,Q$102:Q$137,0),4),IF(Z55=U$101,INDEX(Q$102:V$137,MATCH(Y55,Q$102:Q$137,0),5),IF(Z55=V$101,INDEX(Q$102:V$137,MATCH(Y55,Q$102:Q$137,0),6)))))))</f>
        <v xml:space="preserve"> </v>
      </c>
      <c r="AB55" s="2106">
        <f t="shared" ref="AB55:AB63" si="26">IF(X55=" ",0,V55*AA55)</f>
        <v>0</v>
      </c>
      <c r="AC55" s="2107">
        <f t="shared" si="23"/>
        <v>36.249600000000001</v>
      </c>
      <c r="AD55" s="2087"/>
    </row>
    <row r="56" spans="1:30">
      <c r="A56" s="969"/>
      <c r="B56" s="972"/>
      <c r="C56" s="978">
        <f>SUM(C50:C55)</f>
        <v>1</v>
      </c>
      <c r="D56" s="969"/>
      <c r="K56" s="2087"/>
      <c r="L56" s="2096">
        <v>3</v>
      </c>
      <c r="M56" s="2096" t="str">
        <f t="shared" si="10"/>
        <v>Höstvete bröd</v>
      </c>
      <c r="N56" s="2099">
        <f t="shared" si="11"/>
        <v>36.249600000000001</v>
      </c>
      <c r="O56" s="2100">
        <f t="shared" si="12"/>
        <v>1</v>
      </c>
      <c r="P56" s="2096" t="str">
        <f t="shared" si="13"/>
        <v>Tidig höst</v>
      </c>
      <c r="Q56" s="2101">
        <f t="shared" si="14"/>
        <v>1</v>
      </c>
      <c r="R56" s="2100">
        <f t="shared" si="15"/>
        <v>1</v>
      </c>
      <c r="S56" s="2096" t="str">
        <f t="shared" si="16"/>
        <v>nej</v>
      </c>
      <c r="T56" s="2102">
        <f t="shared" si="17"/>
        <v>1</v>
      </c>
      <c r="U56" s="2103">
        <f t="shared" si="18"/>
        <v>36.249600000000001</v>
      </c>
      <c r="V56" s="2104">
        <f t="shared" si="19"/>
        <v>0</v>
      </c>
      <c r="W56" s="2100">
        <f t="shared" si="20"/>
        <v>1</v>
      </c>
      <c r="X56" s="2096" t="str">
        <f t="shared" si="21"/>
        <v xml:space="preserve"> </v>
      </c>
      <c r="Y56" s="2096" t="str">
        <f t="shared" si="24"/>
        <v xml:space="preserve"> </v>
      </c>
      <c r="Z56" s="2096" t="str">
        <f t="shared" si="22"/>
        <v xml:space="preserve"> </v>
      </c>
      <c r="AA56" s="2105" t="str">
        <f t="shared" si="25"/>
        <v xml:space="preserve"> </v>
      </c>
      <c r="AB56" s="2106">
        <f t="shared" si="26"/>
        <v>0</v>
      </c>
      <c r="AC56" s="2107">
        <f t="shared" si="23"/>
        <v>36.249600000000001</v>
      </c>
      <c r="AD56" s="2087"/>
    </row>
    <row r="57" spans="1:30">
      <c r="A57" s="969"/>
      <c r="B57" s="969"/>
      <c r="C57" s="969"/>
      <c r="D57" s="969"/>
      <c r="K57" s="2087"/>
      <c r="L57" s="2096">
        <v>4</v>
      </c>
      <c r="M57" s="2096" t="str">
        <f t="shared" si="10"/>
        <v>Foderärt</v>
      </c>
      <c r="N57" s="2099">
        <f t="shared" si="11"/>
        <v>40.052399999999999</v>
      </c>
      <c r="O57" s="2100">
        <f t="shared" si="12"/>
        <v>1</v>
      </c>
      <c r="P57" s="2096" t="str">
        <f t="shared" si="13"/>
        <v>Tidig höst</v>
      </c>
      <c r="Q57" s="2101">
        <f t="shared" si="14"/>
        <v>1</v>
      </c>
      <c r="R57" s="2100">
        <f t="shared" si="15"/>
        <v>1</v>
      </c>
      <c r="S57" s="2096" t="str">
        <f t="shared" si="16"/>
        <v>nej</v>
      </c>
      <c r="T57" s="2102">
        <f>IF(F13=" ",1,(IF(S57="nej",1,IF(R57=1,INDEX(L$95:N$98,MATCH(P57,L$95:L$98,0),2), INDEX(L$95:N$98,MATCH(P57,L$95:L$98,0),3)))))</f>
        <v>1</v>
      </c>
      <c r="U57" s="2103">
        <f t="shared" si="18"/>
        <v>40.052399999999999</v>
      </c>
      <c r="V57" s="2104">
        <f t="shared" si="19"/>
        <v>0</v>
      </c>
      <c r="W57" s="2100">
        <f t="shared" si="20"/>
        <v>1</v>
      </c>
      <c r="X57" s="2096" t="str">
        <f t="shared" si="21"/>
        <v xml:space="preserve"> </v>
      </c>
      <c r="Y57" s="2096" t="str">
        <f t="shared" si="24"/>
        <v xml:space="preserve"> </v>
      </c>
      <c r="Z57" s="2096" t="str">
        <f t="shared" si="22"/>
        <v xml:space="preserve"> </v>
      </c>
      <c r="AA57" s="2105" t="str">
        <f t="shared" si="25"/>
        <v xml:space="preserve"> </v>
      </c>
      <c r="AB57" s="2106">
        <f t="shared" si="26"/>
        <v>0</v>
      </c>
      <c r="AC57" s="2107">
        <f t="shared" si="23"/>
        <v>40.052399999999999</v>
      </c>
      <c r="AD57" s="2087"/>
    </row>
    <row r="58" spans="1:30">
      <c r="A58" s="969"/>
      <c r="B58" s="969"/>
      <c r="C58" s="969"/>
      <c r="D58" s="969"/>
      <c r="K58" s="2087"/>
      <c r="L58" s="2096">
        <v>5</v>
      </c>
      <c r="M58" s="2096" t="str">
        <f t="shared" si="10"/>
        <v>Höstvete bröd</v>
      </c>
      <c r="N58" s="2099">
        <f t="shared" si="11"/>
        <v>36.249600000000001</v>
      </c>
      <c r="O58" s="2100">
        <f t="shared" si="12"/>
        <v>1</v>
      </c>
      <c r="P58" s="2096" t="str">
        <f t="shared" si="13"/>
        <v>Tidig höst</v>
      </c>
      <c r="Q58" s="2101">
        <f t="shared" si="14"/>
        <v>1</v>
      </c>
      <c r="R58" s="2100">
        <f t="shared" si="15"/>
        <v>1</v>
      </c>
      <c r="S58" s="2096" t="str">
        <f t="shared" si="16"/>
        <v>nej</v>
      </c>
      <c r="T58" s="2102">
        <f t="shared" si="17"/>
        <v>1</v>
      </c>
      <c r="U58" s="2103">
        <f t="shared" si="18"/>
        <v>36.249600000000001</v>
      </c>
      <c r="V58" s="2104">
        <f t="shared" si="19"/>
        <v>0</v>
      </c>
      <c r="W58" s="2100">
        <f t="shared" si="20"/>
        <v>1</v>
      </c>
      <c r="X58" s="2096" t="str">
        <f t="shared" si="21"/>
        <v xml:space="preserve"> </v>
      </c>
      <c r="Y58" s="2096" t="str">
        <f t="shared" si="24"/>
        <v xml:space="preserve"> </v>
      </c>
      <c r="Z58" s="2096" t="str">
        <f t="shared" si="22"/>
        <v xml:space="preserve"> </v>
      </c>
      <c r="AA58" s="2105" t="str">
        <f t="shared" si="25"/>
        <v xml:space="preserve"> </v>
      </c>
      <c r="AB58" s="2106">
        <f t="shared" si="26"/>
        <v>0</v>
      </c>
      <c r="AC58" s="2107">
        <f t="shared" si="23"/>
        <v>36.249600000000001</v>
      </c>
      <c r="AD58" s="2087"/>
    </row>
    <row r="59" spans="1:30">
      <c r="A59" s="919"/>
      <c r="B59" s="919"/>
      <c r="C59" s="919"/>
      <c r="D59" s="919"/>
      <c r="E59" s="919"/>
      <c r="F59" s="919"/>
      <c r="G59" s="919"/>
      <c r="H59" s="919"/>
      <c r="I59" s="919"/>
      <c r="K59" s="2087"/>
      <c r="L59" s="2096">
        <v>6</v>
      </c>
      <c r="M59" s="2096" t="str">
        <f t="shared" si="10"/>
        <v>Höstvete bröd</v>
      </c>
      <c r="N59" s="2099">
        <f t="shared" si="11"/>
        <v>36.249600000000001</v>
      </c>
      <c r="O59" s="2100">
        <f t="shared" si="12"/>
        <v>1</v>
      </c>
      <c r="P59" s="2096" t="str">
        <f t="shared" si="13"/>
        <v>Tidig höst</v>
      </c>
      <c r="Q59" s="2101">
        <f t="shared" si="14"/>
        <v>1</v>
      </c>
      <c r="R59" s="2100">
        <f t="shared" si="15"/>
        <v>1</v>
      </c>
      <c r="S59" s="2096" t="str">
        <f t="shared" si="16"/>
        <v>nej</v>
      </c>
      <c r="T59" s="2102">
        <f t="shared" si="17"/>
        <v>1</v>
      </c>
      <c r="U59" s="2103">
        <f t="shared" si="18"/>
        <v>36.249600000000001</v>
      </c>
      <c r="V59" s="2104">
        <f t="shared" si="19"/>
        <v>0</v>
      </c>
      <c r="W59" s="2100">
        <f t="shared" si="20"/>
        <v>1</v>
      </c>
      <c r="X59" s="2096" t="str">
        <f t="shared" si="21"/>
        <v xml:space="preserve"> </v>
      </c>
      <c r="Y59" s="2096" t="str">
        <f t="shared" si="24"/>
        <v xml:space="preserve"> </v>
      </c>
      <c r="Z59" s="2096" t="str">
        <f t="shared" si="22"/>
        <v xml:space="preserve"> </v>
      </c>
      <c r="AA59" s="2105" t="str">
        <f t="shared" si="25"/>
        <v xml:space="preserve"> </v>
      </c>
      <c r="AB59" s="2106">
        <f t="shared" si="26"/>
        <v>0</v>
      </c>
      <c r="AC59" s="2107">
        <f t="shared" si="23"/>
        <v>36.249600000000001</v>
      </c>
      <c r="AD59" s="2087"/>
    </row>
    <row r="60" spans="1:30" ht="15.75">
      <c r="A60" s="919"/>
      <c r="B60" s="920" t="s">
        <v>875</v>
      </c>
      <c r="C60" s="919"/>
      <c r="D60" s="919"/>
      <c r="E60" s="919"/>
      <c r="F60" s="919"/>
      <c r="G60" s="919"/>
      <c r="H60" s="919"/>
      <c r="I60" s="919"/>
      <c r="K60" s="2087"/>
      <c r="L60" s="2096">
        <v>7</v>
      </c>
      <c r="M60" s="2096" t="str">
        <f t="shared" si="10"/>
        <v>Maltkorn</v>
      </c>
      <c r="N60" s="2099">
        <f t="shared" si="11"/>
        <v>35.013200000000005</v>
      </c>
      <c r="O60" s="2100">
        <f t="shared" si="12"/>
        <v>1</v>
      </c>
      <c r="P60" s="2096" t="str">
        <f t="shared" si="13"/>
        <v>Tidig höst</v>
      </c>
      <c r="Q60" s="2101">
        <f t="shared" si="14"/>
        <v>1</v>
      </c>
      <c r="R60" s="2100">
        <f t="shared" si="15"/>
        <v>1</v>
      </c>
      <c r="S60" s="2096" t="str">
        <f t="shared" si="16"/>
        <v>nej</v>
      </c>
      <c r="T60" s="2102">
        <f t="shared" si="17"/>
        <v>1</v>
      </c>
      <c r="U60" s="2103">
        <f t="shared" si="18"/>
        <v>35.013200000000005</v>
      </c>
      <c r="V60" s="2104">
        <f t="shared" si="19"/>
        <v>0</v>
      </c>
      <c r="W60" s="2100">
        <f t="shared" si="20"/>
        <v>1</v>
      </c>
      <c r="X60" s="2096" t="str">
        <f t="shared" si="21"/>
        <v xml:space="preserve"> </v>
      </c>
      <c r="Y60" s="2096" t="str">
        <f t="shared" si="24"/>
        <v xml:space="preserve"> </v>
      </c>
      <c r="Z60" s="2096" t="str">
        <f t="shared" si="22"/>
        <v xml:space="preserve"> </v>
      </c>
      <c r="AA60" s="2105" t="str">
        <f t="shared" si="25"/>
        <v xml:space="preserve"> </v>
      </c>
      <c r="AB60" s="2106">
        <f t="shared" si="26"/>
        <v>0</v>
      </c>
      <c r="AC60" s="2107">
        <f t="shared" si="23"/>
        <v>35.013200000000005</v>
      </c>
      <c r="AD60" s="2087"/>
    </row>
    <row r="61" spans="1:30" ht="13.5" thickBot="1">
      <c r="A61" s="919"/>
      <c r="B61" s="919"/>
      <c r="C61" s="919"/>
      <c r="D61" s="919"/>
      <c r="E61" s="919"/>
      <c r="F61" s="919"/>
      <c r="G61" s="919"/>
      <c r="H61" s="919"/>
      <c r="I61" s="919"/>
      <c r="K61" s="2087"/>
      <c r="L61" s="2096">
        <v>8</v>
      </c>
      <c r="M61" s="2096" t="str">
        <f t="shared" si="10"/>
        <v xml:space="preserve"> </v>
      </c>
      <c r="N61" s="2099" t="str">
        <f t="shared" si="11"/>
        <v xml:space="preserve"> </v>
      </c>
      <c r="O61" s="2100" t="str">
        <f t="shared" si="12"/>
        <v xml:space="preserve"> </v>
      </c>
      <c r="P61" s="2096">
        <f t="shared" si="13"/>
        <v>0</v>
      </c>
      <c r="Q61" s="2101">
        <f t="shared" si="14"/>
        <v>1</v>
      </c>
      <c r="R61" s="2100" t="str">
        <f t="shared" si="15"/>
        <v xml:space="preserve"> </v>
      </c>
      <c r="S61" s="2096" t="str">
        <f t="shared" si="16"/>
        <v xml:space="preserve"> </v>
      </c>
      <c r="T61" s="2102">
        <f t="shared" si="17"/>
        <v>1</v>
      </c>
      <c r="U61" s="2103" t="str">
        <f t="shared" si="18"/>
        <v xml:space="preserve"> </v>
      </c>
      <c r="V61" s="2104">
        <f t="shared" si="19"/>
        <v>0</v>
      </c>
      <c r="W61" s="2100" t="str">
        <f t="shared" si="20"/>
        <v xml:space="preserve"> </v>
      </c>
      <c r="X61" s="2096" t="str">
        <f t="shared" si="21"/>
        <v xml:space="preserve"> </v>
      </c>
      <c r="Y61" s="2096" t="str">
        <f t="shared" si="24"/>
        <v xml:space="preserve"> </v>
      </c>
      <c r="Z61" s="2096" t="str">
        <f t="shared" si="22"/>
        <v xml:space="preserve"> </v>
      </c>
      <c r="AA61" s="2105" t="str">
        <f t="shared" si="25"/>
        <v xml:space="preserve"> </v>
      </c>
      <c r="AB61" s="2106">
        <f t="shared" si="26"/>
        <v>0</v>
      </c>
      <c r="AC61" s="2107" t="str">
        <f t="shared" si="23"/>
        <v xml:space="preserve"> </v>
      </c>
      <c r="AD61" s="2087"/>
    </row>
    <row r="62" spans="1:30" ht="18">
      <c r="A62" s="919"/>
      <c r="B62" s="921" t="s">
        <v>17</v>
      </c>
      <c r="C62" s="922"/>
      <c r="D62" s="922"/>
      <c r="E62" s="922"/>
      <c r="F62" s="922"/>
      <c r="G62" s="922"/>
      <c r="H62" s="923"/>
      <c r="I62" s="919"/>
      <c r="K62" s="2087"/>
      <c r="L62" s="2096">
        <v>9</v>
      </c>
      <c r="M62" s="2096" t="str">
        <f t="shared" si="10"/>
        <v xml:space="preserve"> </v>
      </c>
      <c r="N62" s="2099" t="str">
        <f t="shared" si="11"/>
        <v xml:space="preserve"> </v>
      </c>
      <c r="O62" s="2100" t="str">
        <f t="shared" si="12"/>
        <v xml:space="preserve"> </v>
      </c>
      <c r="P62" s="2096">
        <f t="shared" si="13"/>
        <v>0</v>
      </c>
      <c r="Q62" s="2101">
        <f t="shared" si="14"/>
        <v>1</v>
      </c>
      <c r="R62" s="2100" t="str">
        <f t="shared" si="15"/>
        <v xml:space="preserve"> </v>
      </c>
      <c r="S62" s="2096" t="str">
        <f t="shared" si="16"/>
        <v xml:space="preserve"> </v>
      </c>
      <c r="T62" s="2102">
        <f t="shared" si="17"/>
        <v>1</v>
      </c>
      <c r="U62" s="2103" t="str">
        <f t="shared" si="18"/>
        <v xml:space="preserve"> </v>
      </c>
      <c r="V62" s="2104">
        <f t="shared" si="19"/>
        <v>0</v>
      </c>
      <c r="W62" s="2100" t="str">
        <f t="shared" si="20"/>
        <v xml:space="preserve"> </v>
      </c>
      <c r="X62" s="2096" t="str">
        <f t="shared" si="21"/>
        <v xml:space="preserve"> </v>
      </c>
      <c r="Y62" s="2096" t="str">
        <f t="shared" si="24"/>
        <v xml:space="preserve"> </v>
      </c>
      <c r="Z62" s="2096" t="str">
        <f t="shared" si="22"/>
        <v xml:space="preserve"> </v>
      </c>
      <c r="AA62" s="2105" t="str">
        <f t="shared" si="25"/>
        <v xml:space="preserve"> </v>
      </c>
      <c r="AB62" s="2106">
        <f t="shared" si="26"/>
        <v>0</v>
      </c>
      <c r="AC62" s="2107" t="str">
        <f t="shared" si="23"/>
        <v xml:space="preserve"> </v>
      </c>
      <c r="AD62" s="2087"/>
    </row>
    <row r="63" spans="1:30">
      <c r="A63" s="919"/>
      <c r="B63" s="924"/>
      <c r="C63" s="925" t="s">
        <v>47</v>
      </c>
      <c r="D63" s="925" t="s">
        <v>19</v>
      </c>
      <c r="E63" s="925" t="s">
        <v>20</v>
      </c>
      <c r="F63" s="925" t="s">
        <v>14</v>
      </c>
      <c r="G63" s="925" t="s">
        <v>21</v>
      </c>
      <c r="H63" s="926" t="s">
        <v>22</v>
      </c>
      <c r="I63" s="919"/>
      <c r="K63" s="2087"/>
      <c r="L63" s="2096">
        <v>10</v>
      </c>
      <c r="M63" s="2096" t="str">
        <f t="shared" si="10"/>
        <v xml:space="preserve"> </v>
      </c>
      <c r="N63" s="2099" t="str">
        <f t="shared" si="11"/>
        <v xml:space="preserve"> </v>
      </c>
      <c r="O63" s="2100" t="str">
        <f t="shared" si="12"/>
        <v xml:space="preserve"> </v>
      </c>
      <c r="P63" s="2096">
        <f t="shared" si="13"/>
        <v>0</v>
      </c>
      <c r="Q63" s="2101">
        <f t="shared" si="14"/>
        <v>1</v>
      </c>
      <c r="R63" s="2100" t="str">
        <f t="shared" si="15"/>
        <v xml:space="preserve"> </v>
      </c>
      <c r="S63" s="2096" t="str">
        <f t="shared" si="16"/>
        <v xml:space="preserve"> </v>
      </c>
      <c r="T63" s="2102">
        <f t="shared" si="17"/>
        <v>1</v>
      </c>
      <c r="U63" s="2103" t="str">
        <f t="shared" si="18"/>
        <v xml:space="preserve"> </v>
      </c>
      <c r="V63" s="2104">
        <f t="shared" si="19"/>
        <v>0</v>
      </c>
      <c r="W63" s="2100" t="str">
        <f t="shared" si="20"/>
        <v xml:space="preserve"> </v>
      </c>
      <c r="X63" s="2096" t="str">
        <f t="shared" si="21"/>
        <v xml:space="preserve"> </v>
      </c>
      <c r="Y63" s="2096" t="str">
        <f t="shared" si="24"/>
        <v xml:space="preserve"> </v>
      </c>
      <c r="Z63" s="2096" t="str">
        <f t="shared" si="22"/>
        <v xml:space="preserve"> </v>
      </c>
      <c r="AA63" s="2105" t="str">
        <f t="shared" si="25"/>
        <v xml:space="preserve"> </v>
      </c>
      <c r="AB63" s="2106">
        <f t="shared" si="26"/>
        <v>0</v>
      </c>
      <c r="AC63" s="2107" t="str">
        <f t="shared" si="23"/>
        <v xml:space="preserve"> </v>
      </c>
      <c r="AD63" s="2087"/>
    </row>
    <row r="64" spans="1:30">
      <c r="A64" s="919"/>
      <c r="B64" s="927"/>
      <c r="C64" s="928" t="s">
        <v>48</v>
      </c>
      <c r="D64" s="928" t="s">
        <v>49</v>
      </c>
      <c r="E64" s="928" t="s">
        <v>49</v>
      </c>
      <c r="F64" s="928"/>
      <c r="G64" s="928" t="s">
        <v>23</v>
      </c>
      <c r="H64" s="929" t="s">
        <v>23</v>
      </c>
      <c r="I64" s="919"/>
      <c r="K64" s="2087"/>
      <c r="L64" s="2087"/>
      <c r="M64" s="2108"/>
      <c r="N64" s="2109"/>
      <c r="O64" s="2110"/>
      <c r="P64" s="2108"/>
      <c r="Q64" s="2108"/>
      <c r="R64" s="2108"/>
      <c r="S64" s="2108"/>
      <c r="T64" s="2108"/>
      <c r="U64" s="2108"/>
      <c r="V64" s="2111"/>
      <c r="W64" s="2110"/>
      <c r="X64" s="2108"/>
      <c r="Y64" s="2087"/>
      <c r="Z64" s="2087"/>
      <c r="AA64" s="2087"/>
      <c r="AB64" s="2087"/>
      <c r="AC64" s="2087"/>
      <c r="AD64" s="2087"/>
    </row>
    <row r="65" spans="1:30">
      <c r="A65" s="919"/>
      <c r="B65" s="930" t="s">
        <v>50</v>
      </c>
      <c r="C65" s="931">
        <v>17.399999999999999</v>
      </c>
      <c r="D65" s="932"/>
      <c r="E65" s="933"/>
      <c r="F65" s="933"/>
      <c r="G65" s="933"/>
      <c r="H65" s="934"/>
      <c r="I65" s="919"/>
      <c r="K65" s="2087"/>
      <c r="L65" s="2087"/>
      <c r="M65" s="2108"/>
      <c r="N65" s="2109"/>
      <c r="O65" s="2110"/>
      <c r="P65" s="2108"/>
      <c r="Q65" s="2108"/>
      <c r="R65" s="2108"/>
      <c r="S65" s="2108"/>
      <c r="T65" s="2108"/>
      <c r="U65" s="2108"/>
      <c r="V65" s="2111"/>
      <c r="W65" s="2110"/>
      <c r="X65" s="2108"/>
      <c r="Y65" s="2087"/>
      <c r="Z65" s="2087"/>
      <c r="AA65" s="2087"/>
      <c r="AB65" s="2087"/>
      <c r="AC65" s="2087"/>
      <c r="AD65" s="2087"/>
    </row>
    <row r="66" spans="1:30" ht="15">
      <c r="A66" s="919"/>
      <c r="B66" s="935" t="s">
        <v>51</v>
      </c>
      <c r="C66" s="933"/>
      <c r="D66" s="936">
        <v>53.6</v>
      </c>
      <c r="E66" s="937">
        <v>32</v>
      </c>
      <c r="F66" s="933"/>
      <c r="G66" s="938"/>
      <c r="H66" s="939"/>
      <c r="I66" s="919"/>
      <c r="K66" s="2087"/>
      <c r="L66" s="2089" t="s">
        <v>147</v>
      </c>
      <c r="M66" s="2108"/>
      <c r="N66" s="2109"/>
      <c r="O66" s="2110"/>
      <c r="P66" s="2108"/>
      <c r="Q66" s="2108"/>
      <c r="R66" s="2108"/>
      <c r="S66" s="2108"/>
      <c r="T66" s="2108"/>
      <c r="U66" s="2108"/>
      <c r="V66" s="2111"/>
      <c r="W66" s="2110"/>
      <c r="X66" s="2108"/>
      <c r="Y66" s="2087"/>
      <c r="Z66" s="2087"/>
      <c r="AA66" s="2087"/>
      <c r="AB66" s="2087"/>
      <c r="AC66" s="2087"/>
      <c r="AD66" s="2087"/>
    </row>
    <row r="67" spans="1:30">
      <c r="A67" s="919"/>
      <c r="B67" s="940" t="s">
        <v>52</v>
      </c>
      <c r="C67" s="933"/>
      <c r="D67" s="938"/>
      <c r="E67" s="937"/>
      <c r="F67" s="937">
        <v>17.399999999999999</v>
      </c>
      <c r="G67" s="936"/>
      <c r="H67" s="941"/>
      <c r="I67" s="919"/>
      <c r="K67" s="2087"/>
      <c r="L67" s="2090"/>
      <c r="M67" s="2090" t="s">
        <v>138</v>
      </c>
      <c r="N67" s="2090" t="s">
        <v>811</v>
      </c>
      <c r="O67" s="2090" t="s">
        <v>830</v>
      </c>
      <c r="P67" s="2091" t="s">
        <v>810</v>
      </c>
      <c r="Q67" s="2091"/>
      <c r="R67" s="2090" t="s">
        <v>830</v>
      </c>
      <c r="S67" s="2092" t="s">
        <v>870</v>
      </c>
      <c r="T67" s="2091"/>
      <c r="U67" s="2090" t="s">
        <v>153</v>
      </c>
      <c r="V67" s="2090" t="s">
        <v>837</v>
      </c>
      <c r="W67" s="2090" t="s">
        <v>830</v>
      </c>
      <c r="X67" s="2090" t="s">
        <v>866</v>
      </c>
      <c r="Y67" s="2093" t="s">
        <v>728</v>
      </c>
      <c r="Z67" s="2092" t="s">
        <v>767</v>
      </c>
      <c r="AA67" s="2091"/>
      <c r="AB67" s="2094"/>
      <c r="AC67" s="2090" t="s">
        <v>824</v>
      </c>
      <c r="AD67" s="2087"/>
    </row>
    <row r="68" spans="1:30">
      <c r="A68" s="919"/>
      <c r="B68" s="935" t="s">
        <v>53</v>
      </c>
      <c r="C68" s="933"/>
      <c r="D68" s="936">
        <v>47.5</v>
      </c>
      <c r="E68" s="937">
        <v>34.9</v>
      </c>
      <c r="F68" s="937">
        <v>26.5</v>
      </c>
      <c r="G68" s="936">
        <v>28.9</v>
      </c>
      <c r="H68" s="941">
        <v>19.100000000000001</v>
      </c>
      <c r="I68" s="919"/>
      <c r="K68" s="2087"/>
      <c r="L68" s="2095" t="s">
        <v>137</v>
      </c>
      <c r="M68" s="2095"/>
      <c r="N68" s="2095"/>
      <c r="O68" s="2095" t="s">
        <v>827</v>
      </c>
      <c r="P68" s="2096"/>
      <c r="Q68" s="2096" t="s">
        <v>831</v>
      </c>
      <c r="R68" s="2095" t="s">
        <v>23</v>
      </c>
      <c r="S68" s="2095"/>
      <c r="T68" s="2087" t="s">
        <v>831</v>
      </c>
      <c r="U68" s="2095" t="s">
        <v>871</v>
      </c>
      <c r="V68" s="2095" t="s">
        <v>497</v>
      </c>
      <c r="W68" s="2095" t="s">
        <v>834</v>
      </c>
      <c r="X68" s="2095"/>
      <c r="Y68" s="2095" t="s">
        <v>865</v>
      </c>
      <c r="Z68" s="2087"/>
      <c r="AA68" s="2097" t="s">
        <v>831</v>
      </c>
      <c r="AB68" s="2098" t="s">
        <v>305</v>
      </c>
      <c r="AC68" s="2095"/>
      <c r="AD68" s="2087"/>
    </row>
    <row r="69" spans="1:30">
      <c r="A69" s="919"/>
      <c r="B69" s="935" t="s">
        <v>54</v>
      </c>
      <c r="C69" s="933"/>
      <c r="D69" s="936">
        <v>47.3</v>
      </c>
      <c r="E69" s="937">
        <v>34.700000000000003</v>
      </c>
      <c r="F69" s="937">
        <v>26.3</v>
      </c>
      <c r="G69" s="936">
        <v>28.8</v>
      </c>
      <c r="H69" s="941">
        <v>18.899999999999999</v>
      </c>
      <c r="I69" s="919"/>
      <c r="K69" s="2087"/>
      <c r="L69" s="2096">
        <v>1</v>
      </c>
      <c r="M69" s="2096" t="str">
        <f t="shared" ref="M69:M78" si="27">B29</f>
        <v xml:space="preserve">Höstraps </v>
      </c>
      <c r="N69" s="2099">
        <f t="shared" ref="N69:N78" si="28">C29</f>
        <v>39.535399999999996</v>
      </c>
      <c r="O69" s="2100">
        <f t="shared" ref="O69:O78" si="29">IF(B29=" "," ",INDEX(K$150:T$177,MATCH(B29,K$150:K$177,0),10))</f>
        <v>1</v>
      </c>
      <c r="P69" s="2096" t="str">
        <f t="shared" ref="P69:P78" si="30">IF(D29=" ",IF(O69=1,L$87,IF(O69=2,L$90,0)),D29)</f>
        <v>Tidig höst</v>
      </c>
      <c r="Q69" s="2101">
        <f t="shared" ref="Q69:Q78" si="31">IF(D29=" ",1,(IF(O69=1,INDEX(L$87:O$90,MATCH(D29,L$87:L$90,0),2), INDEX(L$87:O$90,MATCH(D29,L$87:L$90,0),4))))</f>
        <v>1</v>
      </c>
      <c r="R69" s="2100">
        <f t="shared" ref="R69:R78" si="32">IF(B29=" "," ",INDEX(K$150:V$177,MATCH(B29,K$150:K$177,0),12))</f>
        <v>1</v>
      </c>
      <c r="S69" s="2096" t="str">
        <f t="shared" ref="S69:S78" si="33">F29</f>
        <v>nej</v>
      </c>
      <c r="T69" s="2102">
        <f>IF(F29=" ",1,(IF(S69="nej",1,IF(R69=1,INDEX(L$95:N$98,MATCH(P69,L$95:L$98,0),2), INDEX(L$95:N$98,MATCH(P69,L$95:L$98,0),3)))))</f>
        <v>1</v>
      </c>
      <c r="U69" s="2103">
        <f t="shared" ref="U69:U78" si="34">IF(M69=" "," ",N69*Q69*T69)</f>
        <v>39.535399999999996</v>
      </c>
      <c r="V69" s="2104">
        <f t="shared" ref="V69:V78" si="35">IF(H29=" ",0,(INDEX($K$184:$W$195,MATCH(H29,$K$184:$K$195,0),13))*I29)</f>
        <v>0</v>
      </c>
      <c r="W69" s="2100">
        <f t="shared" ref="W69:W78" si="36">IF(B29=" "," ",INDEX(K$150:U$177,MATCH(B29,K$150:K$177,0),11))</f>
        <v>2</v>
      </c>
      <c r="X69" s="2096" t="str">
        <f t="shared" ref="X69:X78" si="37">H29</f>
        <v xml:space="preserve"> </v>
      </c>
      <c r="Y69" s="2096" t="str">
        <f>IF(X69=" "," ",IF(W69=1,INDEX(Q$87:T$99,MATCH(X69,Q$87:Q$99,0),2),IF(W69=2,INDEX(Q$87:T$99,MATCH(X69,Q$87:Q$99,0),3),IF(W69=3,INDEX(Q$87:T$99,MATCH(X69,Q$87:Q$99,0),4)))))</f>
        <v xml:space="preserve"> </v>
      </c>
      <c r="Z69" s="2096" t="str">
        <f t="shared" ref="Z69:Z78" si="38">J29</f>
        <v xml:space="preserve"> </v>
      </c>
      <c r="AA69" s="2105" t="str">
        <f>IF(X69=" "," ",IF(Z69=R$101,INDEX(Q$102:V$137,MATCH(Y69,Q$102:Q$137,0),2),IF(Z69=S$101,INDEX(Q$102:V$174,MATCH(Y69,Q$102:Q$137,0),3),IF(Z69=T$101,INDEX(Q$102:V$137,MATCH(Y69,Q$102:Q$137,0),4),IF(Z69=U$101,INDEX(Q$102:V$137,MATCH(Y69,Q$102:Q$137,0),5),IF(Z69=V$101,INDEX(Q$102:V$137,MATCH(Y69,Q$102:Q$137,0),6)))))))</f>
        <v xml:space="preserve"> </v>
      </c>
      <c r="AB69" s="2106">
        <f>IF(X69=" ",0,V69*AA69)</f>
        <v>0</v>
      </c>
      <c r="AC69" s="2107">
        <f t="shared" ref="AC69:AC78" si="39">IF(M69=" "," ",U69+AB69)</f>
        <v>39.535399999999996</v>
      </c>
      <c r="AD69" s="2087"/>
    </row>
    <row r="70" spans="1:30">
      <c r="A70" s="919"/>
      <c r="B70" s="935" t="s">
        <v>55</v>
      </c>
      <c r="C70" s="933"/>
      <c r="D70" s="936">
        <v>51.5</v>
      </c>
      <c r="E70" s="937">
        <v>37.799999999999997</v>
      </c>
      <c r="F70" s="937">
        <v>28.7</v>
      </c>
      <c r="G70" s="936">
        <v>31.8</v>
      </c>
      <c r="H70" s="941">
        <v>21.3</v>
      </c>
      <c r="I70" s="919"/>
      <c r="K70" s="2087"/>
      <c r="L70" s="2096">
        <v>2</v>
      </c>
      <c r="M70" s="2096" t="str">
        <f t="shared" si="27"/>
        <v>Höstvete bröd</v>
      </c>
      <c r="N70" s="2099">
        <f t="shared" si="28"/>
        <v>36.249600000000001</v>
      </c>
      <c r="O70" s="2100">
        <f t="shared" si="29"/>
        <v>1</v>
      </c>
      <c r="P70" s="2096" t="str">
        <f t="shared" si="30"/>
        <v>Tidig höst</v>
      </c>
      <c r="Q70" s="2101">
        <f t="shared" si="31"/>
        <v>1</v>
      </c>
      <c r="R70" s="2100">
        <f t="shared" si="32"/>
        <v>1</v>
      </c>
      <c r="S70" s="2096" t="str">
        <f t="shared" si="33"/>
        <v>nej</v>
      </c>
      <c r="T70" s="2102">
        <f t="shared" ref="T70:T78" si="40">IF(F30=" ",1,(IF(S70="nej",1,IF(R70=1,INDEX(L$95:N$98,MATCH(P70,L$95:L$98,0),2), INDEX(L$95:N$98,MATCH(P70,L$95:L$98,0),3)))))</f>
        <v>1</v>
      </c>
      <c r="U70" s="2103">
        <f t="shared" si="34"/>
        <v>36.249600000000001</v>
      </c>
      <c r="V70" s="2104">
        <f t="shared" si="35"/>
        <v>0</v>
      </c>
      <c r="W70" s="2100">
        <f t="shared" si="36"/>
        <v>1</v>
      </c>
      <c r="X70" s="2096" t="str">
        <f t="shared" si="37"/>
        <v xml:space="preserve"> </v>
      </c>
      <c r="Y70" s="2096" t="str">
        <f t="shared" ref="Y70:Y78" si="41">IF(X70=" "," ",IF(W70=1,INDEX(Q$87:T$99,MATCH(X70,Q$87:Q$99,0),2),IF(W70=2,INDEX(Q$87:T$99,MATCH(X70,Q$87:Q$99,0),3),IF(W70=3,INDEX(Q$87:T$99,MATCH(X70,Q$87:Q$99,0),4)))))</f>
        <v xml:space="preserve"> </v>
      </c>
      <c r="Z70" s="2096" t="str">
        <f t="shared" si="38"/>
        <v xml:space="preserve"> </v>
      </c>
      <c r="AA70" s="2105" t="str">
        <f>IF(X70=" "," ",IF(Z70=R$101,INDEX(Q$102:V$137,MATCH(Y70,Q$102:Q$137,0),2),IF(Z70=S$101,INDEX(Q$102:V$174,MATCH(Y70,Q$102:Q$137,0),3),IF(Z70=T$101,INDEX(Q$102:V$137,MATCH(Y70,Q$102:Q$137,0),4),IF(Z70=U$101,INDEX(Q$102:V$137,MATCH(Y70,Q$102:Q$137,0),5),IF(Z70=V$101,INDEX(Q$102:V$137,MATCH(Y70,Q$102:Q$137,0),6)))))))</f>
        <v xml:space="preserve"> </v>
      </c>
      <c r="AB70" s="2106">
        <f t="shared" ref="AB70:AB78" si="42">IF(X70=" ",0,V70*AA70)</f>
        <v>0</v>
      </c>
      <c r="AC70" s="2107">
        <f t="shared" si="39"/>
        <v>36.249600000000001</v>
      </c>
      <c r="AD70" s="2087"/>
    </row>
    <row r="71" spans="1:30">
      <c r="A71" s="919"/>
      <c r="B71" s="935" t="s">
        <v>56</v>
      </c>
      <c r="C71" s="933"/>
      <c r="D71" s="936">
        <v>51.1</v>
      </c>
      <c r="E71" s="937">
        <v>37.5</v>
      </c>
      <c r="F71" s="937">
        <v>28.3</v>
      </c>
      <c r="G71" s="936">
        <v>31.6</v>
      </c>
      <c r="H71" s="941">
        <v>21</v>
      </c>
      <c r="I71" s="919"/>
      <c r="K71" s="2087"/>
      <c r="L71" s="2096">
        <v>3</v>
      </c>
      <c r="M71" s="2096" t="str">
        <f t="shared" si="27"/>
        <v>Höstvete bröd</v>
      </c>
      <c r="N71" s="2099">
        <f t="shared" si="28"/>
        <v>36.249600000000001</v>
      </c>
      <c r="O71" s="2100">
        <f t="shared" si="29"/>
        <v>1</v>
      </c>
      <c r="P71" s="2096" t="str">
        <f t="shared" si="30"/>
        <v>Tidig höst</v>
      </c>
      <c r="Q71" s="2101">
        <f t="shared" si="31"/>
        <v>1</v>
      </c>
      <c r="R71" s="2100">
        <f t="shared" si="32"/>
        <v>1</v>
      </c>
      <c r="S71" s="2096" t="str">
        <f t="shared" si="33"/>
        <v>nej</v>
      </c>
      <c r="T71" s="2102">
        <f t="shared" si="40"/>
        <v>1</v>
      </c>
      <c r="U71" s="2103">
        <f t="shared" si="34"/>
        <v>36.249600000000001</v>
      </c>
      <c r="V71" s="2104">
        <f t="shared" si="35"/>
        <v>0</v>
      </c>
      <c r="W71" s="2100">
        <f t="shared" si="36"/>
        <v>1</v>
      </c>
      <c r="X71" s="2096" t="str">
        <f t="shared" si="37"/>
        <v xml:space="preserve"> </v>
      </c>
      <c r="Y71" s="2096" t="str">
        <f t="shared" si="41"/>
        <v xml:space="preserve"> </v>
      </c>
      <c r="Z71" s="2096" t="str">
        <f t="shared" si="38"/>
        <v xml:space="preserve"> </v>
      </c>
      <c r="AA71" s="2105" t="str">
        <f t="shared" ref="AA71:AA78" si="43">IF(X71=" "," ",IF(Z71=R$101,INDEX(Q$102:V$137,MATCH(Y71,Q$102:Q$137,0),2),IF(Z71=S$101,INDEX(Q$102:V$174,MATCH(Y71,Q$102:Q$137,0),3),IF(Z71=T$101,INDEX(Q$102:V$137,MATCH(Y71,Q$102:Q$137,0),4),IF(Z71=U$101,INDEX(Q$102:V$137,MATCH(Y71,Q$102:Q$137,0),5),IF(Z71=V$101,INDEX(Q$102:V$137,MATCH(Y71,Q$102:Q$137,0),6)))))))</f>
        <v xml:space="preserve"> </v>
      </c>
      <c r="AB71" s="2106">
        <f t="shared" si="42"/>
        <v>0</v>
      </c>
      <c r="AC71" s="2107">
        <f t="shared" si="39"/>
        <v>36.249600000000001</v>
      </c>
      <c r="AD71" s="2087"/>
    </row>
    <row r="72" spans="1:30">
      <c r="A72" s="919"/>
      <c r="B72" s="935" t="s">
        <v>337</v>
      </c>
      <c r="C72" s="933"/>
      <c r="D72" s="936">
        <v>60.1</v>
      </c>
      <c r="E72" s="937">
        <v>43.7</v>
      </c>
      <c r="F72" s="937"/>
      <c r="G72" s="936">
        <v>41.7</v>
      </c>
      <c r="H72" s="941">
        <v>30.1</v>
      </c>
      <c r="I72" s="919"/>
      <c r="K72" s="2087"/>
      <c r="L72" s="2096">
        <v>4</v>
      </c>
      <c r="M72" s="2096" t="str">
        <f t="shared" si="27"/>
        <v>Foderärt</v>
      </c>
      <c r="N72" s="2099">
        <f t="shared" si="28"/>
        <v>40.052399999999999</v>
      </c>
      <c r="O72" s="2100">
        <f t="shared" si="29"/>
        <v>1</v>
      </c>
      <c r="P72" s="2096" t="str">
        <f t="shared" si="30"/>
        <v>Tidig höst</v>
      </c>
      <c r="Q72" s="2101">
        <f t="shared" si="31"/>
        <v>1</v>
      </c>
      <c r="R72" s="2100">
        <f t="shared" si="32"/>
        <v>1</v>
      </c>
      <c r="S72" s="2096" t="str">
        <f t="shared" si="33"/>
        <v>nej</v>
      </c>
      <c r="T72" s="2102">
        <f t="shared" si="40"/>
        <v>1</v>
      </c>
      <c r="U72" s="2103">
        <f t="shared" si="34"/>
        <v>40.052399999999999</v>
      </c>
      <c r="V72" s="2104">
        <f t="shared" si="35"/>
        <v>0</v>
      </c>
      <c r="W72" s="2100">
        <f t="shared" si="36"/>
        <v>1</v>
      </c>
      <c r="X72" s="2096" t="str">
        <f t="shared" si="37"/>
        <v xml:space="preserve"> </v>
      </c>
      <c r="Y72" s="2096" t="str">
        <f t="shared" si="41"/>
        <v xml:space="preserve"> </v>
      </c>
      <c r="Z72" s="2096" t="str">
        <f t="shared" si="38"/>
        <v xml:space="preserve"> </v>
      </c>
      <c r="AA72" s="2105" t="str">
        <f t="shared" si="43"/>
        <v xml:space="preserve"> </v>
      </c>
      <c r="AB72" s="2106">
        <f t="shared" si="42"/>
        <v>0</v>
      </c>
      <c r="AC72" s="2107">
        <f t="shared" si="39"/>
        <v>40.052399999999999</v>
      </c>
      <c r="AD72" s="2087"/>
    </row>
    <row r="73" spans="1:30">
      <c r="A73" s="919"/>
      <c r="B73" s="935" t="s">
        <v>171</v>
      </c>
      <c r="C73" s="933"/>
      <c r="D73" s="936">
        <v>46.3</v>
      </c>
      <c r="E73" s="936">
        <v>33.700000000000003</v>
      </c>
      <c r="F73" s="937">
        <v>25.3</v>
      </c>
      <c r="G73" s="936">
        <v>31.7</v>
      </c>
      <c r="H73" s="941">
        <v>22.6</v>
      </c>
      <c r="I73" s="919"/>
      <c r="K73" s="2087"/>
      <c r="L73" s="2096">
        <v>5</v>
      </c>
      <c r="M73" s="2096" t="str">
        <f t="shared" si="27"/>
        <v>Höstvete bröd</v>
      </c>
      <c r="N73" s="2099">
        <f t="shared" si="28"/>
        <v>36.249600000000001</v>
      </c>
      <c r="O73" s="2100">
        <f t="shared" si="29"/>
        <v>1</v>
      </c>
      <c r="P73" s="2096" t="str">
        <f t="shared" si="30"/>
        <v>Tidig höst</v>
      </c>
      <c r="Q73" s="2101">
        <f t="shared" si="31"/>
        <v>1</v>
      </c>
      <c r="R73" s="2100">
        <f t="shared" si="32"/>
        <v>1</v>
      </c>
      <c r="S73" s="2096" t="str">
        <f t="shared" si="33"/>
        <v>nej</v>
      </c>
      <c r="T73" s="2102">
        <f t="shared" si="40"/>
        <v>1</v>
      </c>
      <c r="U73" s="2103">
        <f t="shared" si="34"/>
        <v>36.249600000000001</v>
      </c>
      <c r="V73" s="2104">
        <f t="shared" si="35"/>
        <v>0</v>
      </c>
      <c r="W73" s="2100">
        <f t="shared" si="36"/>
        <v>1</v>
      </c>
      <c r="X73" s="2096" t="str">
        <f t="shared" si="37"/>
        <v xml:space="preserve"> </v>
      </c>
      <c r="Y73" s="2096" t="str">
        <f t="shared" si="41"/>
        <v xml:space="preserve"> </v>
      </c>
      <c r="Z73" s="2096" t="str">
        <f t="shared" si="38"/>
        <v xml:space="preserve"> </v>
      </c>
      <c r="AA73" s="2105" t="str">
        <f t="shared" si="43"/>
        <v xml:space="preserve"> </v>
      </c>
      <c r="AB73" s="2106">
        <f t="shared" si="42"/>
        <v>0</v>
      </c>
      <c r="AC73" s="2107">
        <f t="shared" si="39"/>
        <v>36.249600000000001</v>
      </c>
      <c r="AD73" s="2087"/>
    </row>
    <row r="74" spans="1:30">
      <c r="A74" s="919"/>
      <c r="B74" s="935" t="s">
        <v>170</v>
      </c>
      <c r="C74" s="933"/>
      <c r="D74" s="936">
        <v>52.1</v>
      </c>
      <c r="E74" s="936">
        <v>37.9</v>
      </c>
      <c r="F74" s="937">
        <v>28.4</v>
      </c>
      <c r="G74" s="936">
        <v>32.200000000000003</v>
      </c>
      <c r="H74" s="941">
        <v>21.2</v>
      </c>
      <c r="I74" s="919"/>
      <c r="K74" s="2087"/>
      <c r="L74" s="2096">
        <v>6</v>
      </c>
      <c r="M74" s="2096" t="str">
        <f t="shared" si="27"/>
        <v>Höstvete bröd</v>
      </c>
      <c r="N74" s="2099">
        <f t="shared" si="28"/>
        <v>36.249600000000001</v>
      </c>
      <c r="O74" s="2100">
        <f t="shared" si="29"/>
        <v>1</v>
      </c>
      <c r="P74" s="2096" t="str">
        <f t="shared" si="30"/>
        <v>Tidig höst</v>
      </c>
      <c r="Q74" s="2101">
        <f t="shared" si="31"/>
        <v>1</v>
      </c>
      <c r="R74" s="2100">
        <f t="shared" si="32"/>
        <v>1</v>
      </c>
      <c r="S74" s="2096" t="str">
        <f t="shared" si="33"/>
        <v>nej</v>
      </c>
      <c r="T74" s="2102">
        <f t="shared" si="40"/>
        <v>1</v>
      </c>
      <c r="U74" s="2103">
        <f t="shared" si="34"/>
        <v>36.249600000000001</v>
      </c>
      <c r="V74" s="2104">
        <f t="shared" si="35"/>
        <v>0</v>
      </c>
      <c r="W74" s="2100">
        <f t="shared" si="36"/>
        <v>1</v>
      </c>
      <c r="X74" s="2096" t="str">
        <f t="shared" si="37"/>
        <v xml:space="preserve"> </v>
      </c>
      <c r="Y74" s="2096" t="str">
        <f t="shared" si="41"/>
        <v xml:space="preserve"> </v>
      </c>
      <c r="Z74" s="2096" t="str">
        <f t="shared" si="38"/>
        <v xml:space="preserve"> </v>
      </c>
      <c r="AA74" s="2105" t="str">
        <f t="shared" si="43"/>
        <v xml:space="preserve"> </v>
      </c>
      <c r="AB74" s="2106">
        <f t="shared" si="42"/>
        <v>0</v>
      </c>
      <c r="AC74" s="2107">
        <f t="shared" si="39"/>
        <v>36.249600000000001</v>
      </c>
      <c r="AD74" s="2087"/>
    </row>
    <row r="75" spans="1:30">
      <c r="A75" s="919"/>
      <c r="B75" s="942" t="s">
        <v>57</v>
      </c>
      <c r="C75" s="933"/>
      <c r="D75" s="936">
        <v>56.6</v>
      </c>
      <c r="E75" s="937">
        <v>40.799999999999997</v>
      </c>
      <c r="F75" s="936">
        <v>30.2</v>
      </c>
      <c r="G75" s="936"/>
      <c r="H75" s="941"/>
      <c r="I75" s="919"/>
      <c r="K75" s="2087"/>
      <c r="L75" s="2096">
        <v>7</v>
      </c>
      <c r="M75" s="2096" t="str">
        <f t="shared" si="27"/>
        <v>Maltkorn</v>
      </c>
      <c r="N75" s="2099">
        <f t="shared" si="28"/>
        <v>35.013200000000005</v>
      </c>
      <c r="O75" s="2100">
        <f t="shared" si="29"/>
        <v>1</v>
      </c>
      <c r="P75" s="2096" t="str">
        <f t="shared" si="30"/>
        <v>Tidig höst</v>
      </c>
      <c r="Q75" s="2101">
        <f t="shared" si="31"/>
        <v>1</v>
      </c>
      <c r="R75" s="2100">
        <f t="shared" si="32"/>
        <v>1</v>
      </c>
      <c r="S75" s="2096" t="str">
        <f t="shared" si="33"/>
        <v>nej</v>
      </c>
      <c r="T75" s="2102">
        <f t="shared" si="40"/>
        <v>1</v>
      </c>
      <c r="U75" s="2103">
        <f t="shared" si="34"/>
        <v>35.013200000000005</v>
      </c>
      <c r="V75" s="2104">
        <f t="shared" si="35"/>
        <v>0</v>
      </c>
      <c r="W75" s="2100">
        <f t="shared" si="36"/>
        <v>1</v>
      </c>
      <c r="X75" s="2096" t="str">
        <f t="shared" si="37"/>
        <v xml:space="preserve"> </v>
      </c>
      <c r="Y75" s="2096" t="str">
        <f t="shared" si="41"/>
        <v xml:space="preserve"> </v>
      </c>
      <c r="Z75" s="2096" t="str">
        <f t="shared" si="38"/>
        <v xml:space="preserve"> </v>
      </c>
      <c r="AA75" s="2105" t="str">
        <f t="shared" si="43"/>
        <v xml:space="preserve"> </v>
      </c>
      <c r="AB75" s="2106">
        <f t="shared" si="42"/>
        <v>0</v>
      </c>
      <c r="AC75" s="2107">
        <f t="shared" si="39"/>
        <v>35.013200000000005</v>
      </c>
      <c r="AD75" s="2087"/>
    </row>
    <row r="76" spans="1:30">
      <c r="A76" s="919"/>
      <c r="B76" s="942" t="s">
        <v>25</v>
      </c>
      <c r="C76" s="933"/>
      <c r="D76" s="936">
        <v>50.2</v>
      </c>
      <c r="E76" s="937">
        <v>36.5</v>
      </c>
      <c r="F76" s="936">
        <v>27.4</v>
      </c>
      <c r="G76" s="936"/>
      <c r="H76" s="941"/>
      <c r="I76" s="919"/>
      <c r="K76" s="2087"/>
      <c r="L76" s="2096">
        <v>8</v>
      </c>
      <c r="M76" s="2096" t="str">
        <f t="shared" si="27"/>
        <v xml:space="preserve"> </v>
      </c>
      <c r="N76" s="2099" t="str">
        <f t="shared" si="28"/>
        <v xml:space="preserve"> </v>
      </c>
      <c r="O76" s="2100" t="str">
        <f t="shared" si="29"/>
        <v xml:space="preserve"> </v>
      </c>
      <c r="P76" s="2096">
        <f t="shared" si="30"/>
        <v>0</v>
      </c>
      <c r="Q76" s="2101">
        <f t="shared" si="31"/>
        <v>1</v>
      </c>
      <c r="R76" s="2100" t="str">
        <f t="shared" si="32"/>
        <v xml:space="preserve"> </v>
      </c>
      <c r="S76" s="2096" t="str">
        <f t="shared" si="33"/>
        <v xml:space="preserve"> </v>
      </c>
      <c r="T76" s="2102">
        <f t="shared" si="40"/>
        <v>1</v>
      </c>
      <c r="U76" s="2103" t="str">
        <f t="shared" si="34"/>
        <v xml:space="preserve"> </v>
      </c>
      <c r="V76" s="2104">
        <f t="shared" si="35"/>
        <v>0</v>
      </c>
      <c r="W76" s="2100" t="str">
        <f t="shared" si="36"/>
        <v xml:space="preserve"> </v>
      </c>
      <c r="X76" s="2096" t="str">
        <f t="shared" si="37"/>
        <v xml:space="preserve"> </v>
      </c>
      <c r="Y76" s="2096" t="str">
        <f t="shared" si="41"/>
        <v xml:space="preserve"> </v>
      </c>
      <c r="Z76" s="2096" t="str">
        <f t="shared" si="38"/>
        <v xml:space="preserve"> </v>
      </c>
      <c r="AA76" s="2105" t="str">
        <f t="shared" si="43"/>
        <v xml:space="preserve"> </v>
      </c>
      <c r="AB76" s="2106">
        <f t="shared" si="42"/>
        <v>0</v>
      </c>
      <c r="AC76" s="2107" t="str">
        <f t="shared" si="39"/>
        <v xml:space="preserve"> </v>
      </c>
      <c r="AD76" s="2087"/>
    </row>
    <row r="77" spans="1:30">
      <c r="A77" s="919"/>
      <c r="B77" s="935" t="s">
        <v>873</v>
      </c>
      <c r="C77" s="933"/>
      <c r="D77" s="936">
        <v>53.3</v>
      </c>
      <c r="E77" s="937">
        <v>32.700000000000003</v>
      </c>
      <c r="F77" s="936">
        <v>23</v>
      </c>
      <c r="G77" s="936"/>
      <c r="H77" s="941"/>
      <c r="I77" s="919"/>
      <c r="K77" s="2087"/>
      <c r="L77" s="2096">
        <v>9</v>
      </c>
      <c r="M77" s="2096" t="str">
        <f t="shared" si="27"/>
        <v xml:space="preserve"> </v>
      </c>
      <c r="N77" s="2099" t="str">
        <f t="shared" si="28"/>
        <v xml:space="preserve"> </v>
      </c>
      <c r="O77" s="2100" t="str">
        <f t="shared" si="29"/>
        <v xml:space="preserve"> </v>
      </c>
      <c r="P77" s="2096">
        <f t="shared" si="30"/>
        <v>0</v>
      </c>
      <c r="Q77" s="2101">
        <f t="shared" si="31"/>
        <v>1</v>
      </c>
      <c r="R77" s="2100" t="str">
        <f t="shared" si="32"/>
        <v xml:space="preserve"> </v>
      </c>
      <c r="S77" s="2096" t="str">
        <f t="shared" si="33"/>
        <v xml:space="preserve"> </v>
      </c>
      <c r="T77" s="2102">
        <f t="shared" si="40"/>
        <v>1</v>
      </c>
      <c r="U77" s="2103" t="str">
        <f t="shared" si="34"/>
        <v xml:space="preserve"> </v>
      </c>
      <c r="V77" s="2104">
        <f t="shared" si="35"/>
        <v>0</v>
      </c>
      <c r="W77" s="2100" t="str">
        <f t="shared" si="36"/>
        <v xml:space="preserve"> </v>
      </c>
      <c r="X77" s="2096" t="str">
        <f t="shared" si="37"/>
        <v xml:space="preserve"> </v>
      </c>
      <c r="Y77" s="2096" t="str">
        <f t="shared" si="41"/>
        <v xml:space="preserve"> </v>
      </c>
      <c r="Z77" s="2096" t="str">
        <f t="shared" si="38"/>
        <v xml:space="preserve"> </v>
      </c>
      <c r="AA77" s="2105" t="str">
        <f t="shared" si="43"/>
        <v xml:space="preserve"> </v>
      </c>
      <c r="AB77" s="2106">
        <f t="shared" si="42"/>
        <v>0</v>
      </c>
      <c r="AC77" s="2107" t="str">
        <f t="shared" si="39"/>
        <v xml:space="preserve"> </v>
      </c>
      <c r="AD77" s="2087"/>
    </row>
    <row r="78" spans="1:30">
      <c r="A78" s="919"/>
      <c r="B78" s="935"/>
      <c r="C78" s="943"/>
      <c r="D78" s="936"/>
      <c r="E78" s="937"/>
      <c r="F78" s="936"/>
      <c r="G78" s="943"/>
      <c r="H78" s="944"/>
      <c r="I78" s="919"/>
      <c r="K78" s="2087"/>
      <c r="L78" s="2096">
        <v>10</v>
      </c>
      <c r="M78" s="2096" t="str">
        <f t="shared" si="27"/>
        <v xml:space="preserve"> </v>
      </c>
      <c r="N78" s="2099" t="str">
        <f t="shared" si="28"/>
        <v xml:space="preserve"> </v>
      </c>
      <c r="O78" s="2100" t="str">
        <f t="shared" si="29"/>
        <v xml:space="preserve"> </v>
      </c>
      <c r="P78" s="2096">
        <f t="shared" si="30"/>
        <v>0</v>
      </c>
      <c r="Q78" s="2101">
        <f t="shared" si="31"/>
        <v>1</v>
      </c>
      <c r="R78" s="2100" t="str">
        <f t="shared" si="32"/>
        <v xml:space="preserve"> </v>
      </c>
      <c r="S78" s="2096" t="str">
        <f t="shared" si="33"/>
        <v xml:space="preserve"> </v>
      </c>
      <c r="T78" s="2102">
        <f t="shared" si="40"/>
        <v>1</v>
      </c>
      <c r="U78" s="2103" t="str">
        <f t="shared" si="34"/>
        <v xml:space="preserve"> </v>
      </c>
      <c r="V78" s="2104">
        <f t="shared" si="35"/>
        <v>0</v>
      </c>
      <c r="W78" s="2100" t="str">
        <f t="shared" si="36"/>
        <v xml:space="preserve"> </v>
      </c>
      <c r="X78" s="2096" t="str">
        <f t="shared" si="37"/>
        <v xml:space="preserve"> </v>
      </c>
      <c r="Y78" s="2096" t="str">
        <f t="shared" si="41"/>
        <v xml:space="preserve"> </v>
      </c>
      <c r="Z78" s="2096" t="str">
        <f t="shared" si="38"/>
        <v xml:space="preserve"> </v>
      </c>
      <c r="AA78" s="2105" t="str">
        <f t="shared" si="43"/>
        <v xml:space="preserve"> </v>
      </c>
      <c r="AB78" s="2106">
        <f t="shared" si="42"/>
        <v>0</v>
      </c>
      <c r="AC78" s="2107" t="str">
        <f t="shared" si="39"/>
        <v xml:space="preserve"> </v>
      </c>
      <c r="AD78" s="2087"/>
    </row>
    <row r="79" spans="1:30" ht="13.5" thickBot="1">
      <c r="A79" s="919"/>
      <c r="B79" s="945"/>
      <c r="C79" s="946"/>
      <c r="D79" s="947"/>
      <c r="E79" s="948"/>
      <c r="F79" s="947"/>
      <c r="G79" s="946"/>
      <c r="H79" s="949"/>
      <c r="I79" s="919"/>
      <c r="K79" s="2087"/>
      <c r="L79" s="2087"/>
      <c r="M79" s="2108"/>
      <c r="N79" s="2109"/>
      <c r="O79" s="2087"/>
      <c r="P79" s="2087"/>
      <c r="Q79" s="2087"/>
      <c r="R79" s="2087"/>
      <c r="S79" s="2087"/>
      <c r="T79" s="2087"/>
      <c r="U79" s="2087"/>
      <c r="V79" s="2087"/>
      <c r="W79" s="2087"/>
      <c r="X79" s="2087"/>
      <c r="Y79" s="2087"/>
      <c r="Z79" s="2087"/>
      <c r="AA79" s="2087"/>
      <c r="AB79" s="2087"/>
      <c r="AC79" s="2087"/>
      <c r="AD79" s="2087"/>
    </row>
    <row r="80" spans="1:30" ht="13.5" thickBot="1">
      <c r="A80" s="919"/>
      <c r="B80" s="950"/>
      <c r="C80" s="951"/>
      <c r="D80" s="952"/>
      <c r="E80" s="953"/>
      <c r="F80" s="952"/>
      <c r="G80" s="951"/>
      <c r="H80" s="951"/>
      <c r="I80" s="919"/>
      <c r="L80" s="73"/>
      <c r="M80" s="979"/>
    </row>
    <row r="81" spans="1:23" ht="18">
      <c r="A81" s="919"/>
      <c r="B81" s="954" t="s">
        <v>58</v>
      </c>
      <c r="C81" s="922"/>
      <c r="D81" s="922"/>
      <c r="E81" s="922"/>
      <c r="F81" s="922"/>
      <c r="G81" s="922"/>
      <c r="H81" s="923"/>
      <c r="I81" s="919"/>
    </row>
    <row r="82" spans="1:23">
      <c r="A82" s="919"/>
      <c r="B82" s="924"/>
      <c r="C82" s="925" t="s">
        <v>47</v>
      </c>
      <c r="D82" s="925" t="s">
        <v>19</v>
      </c>
      <c r="E82" s="925" t="s">
        <v>20</v>
      </c>
      <c r="F82" s="925" t="s">
        <v>14</v>
      </c>
      <c r="G82" s="925" t="s">
        <v>21</v>
      </c>
      <c r="H82" s="926" t="s">
        <v>22</v>
      </c>
      <c r="I82" s="919"/>
      <c r="K82" s="1023"/>
      <c r="L82" s="1023"/>
      <c r="M82" s="1023"/>
      <c r="N82" s="1023"/>
      <c r="O82" s="1023"/>
      <c r="P82" s="1023"/>
      <c r="Q82" s="1023"/>
      <c r="R82" s="1023"/>
      <c r="S82" s="1023"/>
      <c r="T82" s="1023"/>
      <c r="U82" s="1023"/>
      <c r="V82" s="1023"/>
      <c r="W82" s="1023"/>
    </row>
    <row r="83" spans="1:23" ht="15.75">
      <c r="A83" s="919"/>
      <c r="B83" s="927"/>
      <c r="C83" s="928" t="s">
        <v>48</v>
      </c>
      <c r="D83" s="928" t="s">
        <v>49</v>
      </c>
      <c r="E83" s="928" t="s">
        <v>49</v>
      </c>
      <c r="F83" s="928"/>
      <c r="G83" s="928" t="s">
        <v>23</v>
      </c>
      <c r="H83" s="929" t="s">
        <v>23</v>
      </c>
      <c r="I83" s="955"/>
      <c r="K83" s="1023"/>
      <c r="L83" s="1024" t="s">
        <v>877</v>
      </c>
      <c r="M83" s="1023"/>
      <c r="N83" s="1023"/>
      <c r="O83" s="1023"/>
      <c r="P83" s="1023"/>
      <c r="Q83" s="1023"/>
      <c r="R83" s="1023"/>
      <c r="S83" s="1023"/>
      <c r="T83" s="1023"/>
      <c r="U83" s="1023"/>
      <c r="V83" s="1023"/>
      <c r="W83" s="1023"/>
    </row>
    <row r="84" spans="1:23">
      <c r="A84" s="919"/>
      <c r="B84" s="930" t="s">
        <v>50</v>
      </c>
      <c r="C84" s="931">
        <v>14.9</v>
      </c>
      <c r="D84" s="932"/>
      <c r="E84" s="933"/>
      <c r="F84" s="933"/>
      <c r="G84" s="933"/>
      <c r="H84" s="934"/>
      <c r="I84" s="919"/>
      <c r="K84" s="1023"/>
      <c r="L84" s="1023"/>
      <c r="M84" s="1023"/>
      <c r="N84" s="1023"/>
      <c r="O84" s="1023"/>
      <c r="P84" s="1023"/>
      <c r="Q84" s="1023"/>
      <c r="R84" s="1023"/>
      <c r="S84" s="1023"/>
      <c r="T84" s="1023"/>
      <c r="U84" s="1023"/>
      <c r="V84" s="1023"/>
      <c r="W84" s="1023"/>
    </row>
    <row r="85" spans="1:23">
      <c r="A85" s="919"/>
      <c r="B85" s="935" t="s">
        <v>51</v>
      </c>
      <c r="C85" s="933"/>
      <c r="D85" s="936">
        <v>47.6</v>
      </c>
      <c r="E85" s="933">
        <v>34</v>
      </c>
      <c r="F85" s="933"/>
      <c r="G85" s="938"/>
      <c r="H85" s="939"/>
      <c r="I85" s="919"/>
      <c r="K85" s="1023"/>
      <c r="L85" s="1025" t="s">
        <v>829</v>
      </c>
      <c r="M85" s="1023"/>
      <c r="N85" s="1023"/>
      <c r="O85" s="1023"/>
      <c r="P85" s="560"/>
      <c r="Q85" s="1026" t="s">
        <v>867</v>
      </c>
      <c r="R85" s="1023"/>
      <c r="S85" s="1023"/>
      <c r="T85" s="1023"/>
      <c r="U85" s="1023"/>
      <c r="V85" s="1023"/>
      <c r="W85" s="1023"/>
    </row>
    <row r="86" spans="1:23">
      <c r="A86" s="919"/>
      <c r="B86" s="940" t="s">
        <v>52</v>
      </c>
      <c r="C86" s="933"/>
      <c r="D86" s="938"/>
      <c r="E86" s="937"/>
      <c r="F86" s="933">
        <v>14.9</v>
      </c>
      <c r="G86" s="938"/>
      <c r="H86" s="939"/>
      <c r="I86" s="919"/>
      <c r="K86" s="1023"/>
      <c r="L86" s="1027"/>
      <c r="M86" s="1027" t="s">
        <v>1280</v>
      </c>
      <c r="N86" s="1027" t="s">
        <v>1281</v>
      </c>
      <c r="O86" s="1027" t="s">
        <v>1282</v>
      </c>
      <c r="P86" s="560"/>
      <c r="Q86" s="1027"/>
      <c r="R86" s="1027" t="s">
        <v>828</v>
      </c>
      <c r="S86" s="1027" t="s">
        <v>353</v>
      </c>
      <c r="T86" s="1027" t="s">
        <v>16</v>
      </c>
      <c r="U86" s="1023"/>
      <c r="V86" s="1023"/>
      <c r="W86" s="1023"/>
    </row>
    <row r="87" spans="1:23">
      <c r="A87" s="919"/>
      <c r="B87" s="935" t="s">
        <v>53</v>
      </c>
      <c r="C87" s="933"/>
      <c r="D87" s="936">
        <v>41.9</v>
      </c>
      <c r="E87" s="937">
        <v>30.8</v>
      </c>
      <c r="F87" s="937">
        <v>23.4</v>
      </c>
      <c r="G87" s="936">
        <v>25.2</v>
      </c>
      <c r="H87" s="941">
        <v>16.5</v>
      </c>
      <c r="I87" s="919"/>
      <c r="K87" s="1023"/>
      <c r="L87" s="1027" t="s">
        <v>786</v>
      </c>
      <c r="M87" s="1028">
        <v>1</v>
      </c>
      <c r="N87" s="1028">
        <v>1</v>
      </c>
      <c r="O87" s="1028">
        <f>AVERAGE(AE167:AE169)</f>
        <v>2.6803464098752672</v>
      </c>
      <c r="P87" s="1029"/>
      <c r="Q87" s="1027" t="str">
        <f>Stallgödseldata!B16</f>
        <v>Svinflyt</v>
      </c>
      <c r="R87" s="1027" t="s">
        <v>839</v>
      </c>
      <c r="S87" s="1027" t="s">
        <v>847</v>
      </c>
      <c r="T87" s="1027" t="s">
        <v>855</v>
      </c>
      <c r="U87" s="1023"/>
      <c r="V87" s="1023"/>
      <c r="W87" s="1023"/>
    </row>
    <row r="88" spans="1:23" ht="13.5" customHeight="1">
      <c r="A88" s="919"/>
      <c r="B88" s="935" t="s">
        <v>54</v>
      </c>
      <c r="C88" s="933"/>
      <c r="D88" s="936">
        <v>38.6</v>
      </c>
      <c r="E88" s="937">
        <v>30.6</v>
      </c>
      <c r="F88" s="937">
        <v>23.2</v>
      </c>
      <c r="G88" s="936">
        <v>25.1</v>
      </c>
      <c r="H88" s="941">
        <v>23.4</v>
      </c>
      <c r="I88" s="952"/>
      <c r="K88" s="1023"/>
      <c r="L88" s="1027" t="s">
        <v>787</v>
      </c>
      <c r="M88" s="1030">
        <f>AVERAGE(AA150:AA166)</f>
        <v>0.75493274811932776</v>
      </c>
      <c r="N88" s="1030">
        <f>AVERAGE(AA150:AA166)</f>
        <v>0.75493274811932776</v>
      </c>
      <c r="O88" s="1028">
        <f>AVERAGE(AF167:AF169)</f>
        <v>1.896077037420022</v>
      </c>
      <c r="P88" s="1029"/>
      <c r="Q88" s="1027" t="str">
        <f>Stallgödseldata!B17</f>
        <v>Nötflyt</v>
      </c>
      <c r="R88" s="1027" t="s">
        <v>840</v>
      </c>
      <c r="S88" s="1027" t="s">
        <v>848</v>
      </c>
      <c r="T88" s="1027" t="s">
        <v>856</v>
      </c>
      <c r="U88" s="1023"/>
      <c r="V88" s="1023"/>
      <c r="W88" s="1023"/>
    </row>
    <row r="89" spans="1:23">
      <c r="A89" s="919"/>
      <c r="B89" s="935" t="s">
        <v>55</v>
      </c>
      <c r="C89" s="933"/>
      <c r="D89" s="936">
        <v>45.6</v>
      </c>
      <c r="E89" s="937">
        <v>33.5</v>
      </c>
      <c r="F89" s="937">
        <v>25.4</v>
      </c>
      <c r="G89" s="936">
        <v>27.9</v>
      </c>
      <c r="H89" s="941">
        <v>18.5</v>
      </c>
      <c r="I89" s="919"/>
      <c r="K89" s="1023"/>
      <c r="L89" s="1027" t="s">
        <v>825</v>
      </c>
      <c r="M89" s="1030">
        <f>AVERAGE(AB150:AB166)</f>
        <v>0.57659263560108165</v>
      </c>
      <c r="N89" s="1030">
        <f>AVERAGE(AC150:AC165)</f>
        <v>0.63966648315543806</v>
      </c>
      <c r="O89" s="1028">
        <v>1.06</v>
      </c>
      <c r="P89" s="1029"/>
      <c r="Q89" s="1027" t="str">
        <f>Stallgödseldata!B18</f>
        <v>Svinfast</v>
      </c>
      <c r="R89" s="1027" t="s">
        <v>841</v>
      </c>
      <c r="S89" s="1027" t="s">
        <v>849</v>
      </c>
      <c r="T89" s="1027" t="s">
        <v>857</v>
      </c>
      <c r="U89" s="1023"/>
      <c r="V89" s="1023"/>
      <c r="W89" s="1023"/>
    </row>
    <row r="90" spans="1:23">
      <c r="A90" s="919"/>
      <c r="B90" s="935" t="s">
        <v>56</v>
      </c>
      <c r="C90" s="933"/>
      <c r="D90" s="936">
        <v>46.4</v>
      </c>
      <c r="E90" s="937">
        <v>33.200000000000003</v>
      </c>
      <c r="F90" s="937">
        <v>25.1</v>
      </c>
      <c r="G90" s="936">
        <v>27.7</v>
      </c>
      <c r="H90" s="941">
        <v>18.3</v>
      </c>
      <c r="I90" s="919"/>
      <c r="K90" s="1023"/>
      <c r="L90" s="1027" t="s">
        <v>826</v>
      </c>
      <c r="M90" s="1030">
        <f>M89</f>
        <v>0.57659263560108165</v>
      </c>
      <c r="N90" s="1030">
        <f>N89</f>
        <v>0.63966648315543806</v>
      </c>
      <c r="O90" s="1028">
        <v>1</v>
      </c>
      <c r="P90" s="1029"/>
      <c r="Q90" s="1027" t="str">
        <f>Stallgödseldata!B19</f>
        <v>Nötfast</v>
      </c>
      <c r="R90" s="1027" t="s">
        <v>842</v>
      </c>
      <c r="S90" s="1027" t="s">
        <v>850</v>
      </c>
      <c r="T90" s="1027" t="s">
        <v>858</v>
      </c>
      <c r="U90" s="1023"/>
      <c r="V90" s="1023"/>
      <c r="W90" s="1023"/>
    </row>
    <row r="91" spans="1:23">
      <c r="A91" s="919"/>
      <c r="B91" s="935" t="s">
        <v>337</v>
      </c>
      <c r="C91" s="933"/>
      <c r="D91" s="936">
        <v>53.6</v>
      </c>
      <c r="E91" s="937">
        <v>39</v>
      </c>
      <c r="F91" s="937">
        <v>29.3</v>
      </c>
      <c r="G91" s="936">
        <v>37.200000000000003</v>
      </c>
      <c r="H91" s="941">
        <v>26.7</v>
      </c>
      <c r="I91" s="919"/>
      <c r="K91" s="1023"/>
      <c r="L91" s="1031"/>
      <c r="M91" s="1032"/>
      <c r="N91" s="1023"/>
      <c r="O91" s="1033"/>
      <c r="P91" s="1029"/>
      <c r="Q91" s="1027" t="str">
        <f>Stallgödseldata!B20</f>
        <v>Svinurin</v>
      </c>
      <c r="R91" s="1027" t="s">
        <v>860</v>
      </c>
      <c r="S91" s="1027" t="s">
        <v>843</v>
      </c>
      <c r="T91" s="1027" t="s">
        <v>859</v>
      </c>
      <c r="U91" s="1023"/>
      <c r="V91" s="1023"/>
      <c r="W91" s="1023"/>
    </row>
    <row r="92" spans="1:23">
      <c r="A92" s="919"/>
      <c r="B92" s="935" t="s">
        <v>171</v>
      </c>
      <c r="C92" s="933"/>
      <c r="D92" s="936">
        <v>40.799999999999997</v>
      </c>
      <c r="E92" s="936">
        <v>29.7</v>
      </c>
      <c r="F92" s="937">
        <v>22.3</v>
      </c>
      <c r="G92" s="936">
        <v>27.8</v>
      </c>
      <c r="H92" s="941">
        <v>19.7</v>
      </c>
      <c r="I92" s="919"/>
      <c r="K92" s="1023"/>
      <c r="L92" s="564" t="s">
        <v>869</v>
      </c>
      <c r="M92" s="560"/>
      <c r="N92" s="560"/>
      <c r="O92" s="560"/>
      <c r="P92" s="560"/>
      <c r="Q92" s="1027" t="str">
        <f>Stallgödseldata!B21</f>
        <v>Nöturin</v>
      </c>
      <c r="R92" s="1027" t="s">
        <v>844</v>
      </c>
      <c r="S92" s="1027" t="s">
        <v>851</v>
      </c>
      <c r="T92" s="1027" t="s">
        <v>861</v>
      </c>
      <c r="U92" s="1023"/>
      <c r="V92" s="1023"/>
      <c r="W92" s="1023"/>
    </row>
    <row r="93" spans="1:23">
      <c r="A93" s="919"/>
      <c r="B93" s="935" t="s">
        <v>170</v>
      </c>
      <c r="C93" s="933"/>
      <c r="D93" s="936">
        <v>46.2</v>
      </c>
      <c r="E93" s="936">
        <v>33.6</v>
      </c>
      <c r="F93" s="937">
        <v>25.2</v>
      </c>
      <c r="G93" s="936">
        <v>28.3</v>
      </c>
      <c r="H93" s="941">
        <v>18.5</v>
      </c>
      <c r="I93" s="919"/>
      <c r="K93" s="1023"/>
      <c r="L93" s="1023"/>
      <c r="M93" s="1023"/>
      <c r="N93" s="1023"/>
      <c r="O93" s="1023"/>
      <c r="P93" s="560"/>
      <c r="Q93" s="1027" t="str">
        <f>Stallgödseldata!B22</f>
        <v>Svindjupströ</v>
      </c>
      <c r="R93" s="1027" t="s">
        <v>845</v>
      </c>
      <c r="S93" s="1027" t="s">
        <v>852</v>
      </c>
      <c r="T93" s="1027" t="s">
        <v>862</v>
      </c>
      <c r="U93" s="1023"/>
      <c r="V93" s="1023"/>
      <c r="W93" s="1023"/>
    </row>
    <row r="94" spans="1:23">
      <c r="A94" s="919"/>
      <c r="B94" s="942" t="s">
        <v>57</v>
      </c>
      <c r="C94" s="933"/>
      <c r="D94" s="936">
        <v>50.4</v>
      </c>
      <c r="E94" s="937">
        <v>36.299999999999997</v>
      </c>
      <c r="F94" s="936">
        <v>26.9</v>
      </c>
      <c r="G94" s="936"/>
      <c r="H94" s="941"/>
      <c r="I94" s="919"/>
      <c r="K94" s="1023"/>
      <c r="L94" s="1027"/>
      <c r="M94" s="1027" t="s">
        <v>1283</v>
      </c>
      <c r="N94" s="1027" t="s">
        <v>1284</v>
      </c>
      <c r="O94" s="1023"/>
      <c r="P94" s="560"/>
      <c r="Q94" s="1027" t="str">
        <f>Stallgödseldata!B23</f>
        <v>Nötdjupströ</v>
      </c>
      <c r="R94" s="1027" t="s">
        <v>846</v>
      </c>
      <c r="S94" s="1027" t="s">
        <v>853</v>
      </c>
      <c r="T94" s="1027" t="s">
        <v>863</v>
      </c>
      <c r="U94" s="1023"/>
      <c r="V94" s="1023"/>
      <c r="W94" s="1023"/>
    </row>
    <row r="95" spans="1:23">
      <c r="A95" s="919"/>
      <c r="B95" s="942" t="s">
        <v>25</v>
      </c>
      <c r="C95" s="933"/>
      <c r="D95" s="936">
        <v>44.4</v>
      </c>
      <c r="E95" s="937">
        <v>32.299999999999997</v>
      </c>
      <c r="F95" s="936">
        <v>24.2</v>
      </c>
      <c r="G95" s="936"/>
      <c r="H95" s="941"/>
      <c r="I95" s="919"/>
      <c r="K95" s="1023"/>
      <c r="L95" s="1027" t="s">
        <v>786</v>
      </c>
      <c r="M95" s="1028">
        <v>1</v>
      </c>
      <c r="N95" s="1028">
        <v>1</v>
      </c>
      <c r="O95" s="1023"/>
      <c r="P95" s="560"/>
      <c r="Q95" s="1027" t="str">
        <f>Stallgödseldata!B24</f>
        <v>Kycklinggödsel</v>
      </c>
      <c r="R95" s="1027" t="s">
        <v>838</v>
      </c>
      <c r="S95" s="1027" t="s">
        <v>854</v>
      </c>
      <c r="T95" s="1027" t="s">
        <v>864</v>
      </c>
      <c r="U95" s="1023"/>
      <c r="V95" s="1023"/>
      <c r="W95" s="1023"/>
    </row>
    <row r="96" spans="1:23">
      <c r="A96" s="919"/>
      <c r="B96" s="935" t="s">
        <v>873</v>
      </c>
      <c r="C96" s="933"/>
      <c r="D96" s="936">
        <v>47.4</v>
      </c>
      <c r="E96" s="937">
        <v>28.7</v>
      </c>
      <c r="F96" s="936">
        <v>20.100000000000001</v>
      </c>
      <c r="G96" s="936"/>
      <c r="H96" s="941"/>
      <c r="I96" s="919"/>
      <c r="K96" s="1023"/>
      <c r="L96" s="1027" t="s">
        <v>787</v>
      </c>
      <c r="M96" s="1028">
        <f>(AVERAGE(AC150:AC163))/(AVERAGE(AA150:AA163))</f>
        <v>0.83966895324840163</v>
      </c>
      <c r="N96" s="1030">
        <f>AVERAGE(AC165:AC166)/AVERAGE(AA165:AA166)</f>
        <v>0.93851201539892481</v>
      </c>
      <c r="O96" s="1023"/>
      <c r="P96" s="1029"/>
      <c r="Q96" s="1027" t="str">
        <f>Stallgödseldata!B25</f>
        <v>Rötslam</v>
      </c>
      <c r="R96" s="1027" t="s">
        <v>935</v>
      </c>
      <c r="S96" s="1027" t="s">
        <v>936</v>
      </c>
      <c r="T96" s="1027" t="s">
        <v>937</v>
      </c>
      <c r="U96" s="1023"/>
      <c r="V96" s="1023"/>
      <c r="W96" s="1023"/>
    </row>
    <row r="97" spans="1:29">
      <c r="A97" s="919"/>
      <c r="B97" s="935"/>
      <c r="C97" s="943"/>
      <c r="D97" s="936"/>
      <c r="E97" s="937"/>
      <c r="F97" s="936"/>
      <c r="G97" s="943"/>
      <c r="H97" s="944"/>
      <c r="I97" s="919"/>
      <c r="K97" s="1023"/>
      <c r="L97" s="1027" t="s">
        <v>825</v>
      </c>
      <c r="M97" s="1028">
        <f>AVERAGE(AD150:AD163)/AVERAGE(AB150:AB163)</f>
        <v>0.75601627026723539</v>
      </c>
      <c r="N97" s="1030">
        <f>AVERAGE(AD165:AD166)/AB165</f>
        <v>0.8790215090720197</v>
      </c>
      <c r="O97" s="1023"/>
      <c r="P97" s="1029"/>
      <c r="Q97" s="1027" t="str">
        <f>Stallgödseldata!B26</f>
        <v>Biogödsel</v>
      </c>
      <c r="R97" s="1027" t="str">
        <f>Q97&amp;"_1"</f>
        <v>Biogödsel_1</v>
      </c>
      <c r="S97" s="1027" t="str">
        <f>Q97&amp;"_2"</f>
        <v>Biogödsel_2</v>
      </c>
      <c r="T97" s="1027" t="str">
        <f>Q97&amp;"_3"</f>
        <v>Biogödsel_3</v>
      </c>
      <c r="U97" s="1023"/>
      <c r="V97" s="1023"/>
      <c r="W97" s="1023"/>
    </row>
    <row r="98" spans="1:29" ht="13.5" thickBot="1">
      <c r="A98" s="919"/>
      <c r="B98" s="945"/>
      <c r="C98" s="946"/>
      <c r="D98" s="947"/>
      <c r="E98" s="948"/>
      <c r="F98" s="947"/>
      <c r="G98" s="946"/>
      <c r="H98" s="949"/>
      <c r="I98" s="919"/>
      <c r="K98" s="1023"/>
      <c r="L98" s="1027" t="s">
        <v>826</v>
      </c>
      <c r="M98" s="1028">
        <v>1</v>
      </c>
      <c r="N98" s="1028">
        <v>1</v>
      </c>
      <c r="O98" s="1023"/>
      <c r="P98" s="1029"/>
      <c r="Q98" s="1027">
        <f>Stallgödseldata!B27</f>
        <v>0</v>
      </c>
      <c r="R98" s="1027" t="str">
        <f>Q98&amp;"_1"</f>
        <v>0_1</v>
      </c>
      <c r="S98" s="1027" t="str">
        <f>Q98&amp;"_2"</f>
        <v>0_2</v>
      </c>
      <c r="T98" s="1027" t="str">
        <f>Q98&amp;"_3"</f>
        <v>0_3</v>
      </c>
      <c r="U98" s="1023"/>
      <c r="V98" s="1023"/>
      <c r="W98" s="1023"/>
    </row>
    <row r="99" spans="1:29" ht="13.5" thickBot="1">
      <c r="A99" s="919"/>
      <c r="B99" s="950"/>
      <c r="C99" s="951"/>
      <c r="D99" s="952"/>
      <c r="E99" s="953"/>
      <c r="F99" s="952"/>
      <c r="G99" s="951"/>
      <c r="H99" s="951"/>
      <c r="I99" s="919"/>
      <c r="K99" s="1023"/>
      <c r="L99" s="1023"/>
      <c r="M99" s="1023"/>
      <c r="N99" s="1023"/>
      <c r="O99" s="1023"/>
      <c r="P99" s="1029"/>
      <c r="Q99" s="1023"/>
      <c r="R99" s="1023"/>
      <c r="S99" s="1023"/>
      <c r="T99" s="1023"/>
      <c r="U99" s="1023"/>
      <c r="V99" s="1023"/>
      <c r="W99" s="1023"/>
    </row>
    <row r="100" spans="1:29" ht="18">
      <c r="A100" s="919"/>
      <c r="B100" s="956" t="s">
        <v>126</v>
      </c>
      <c r="C100" s="957"/>
      <c r="D100" s="957"/>
      <c r="E100" s="957"/>
      <c r="F100" s="957"/>
      <c r="G100" s="957"/>
      <c r="H100" s="957"/>
      <c r="I100" s="919"/>
      <c r="K100" s="1023"/>
      <c r="L100" s="1023"/>
      <c r="M100" s="1023"/>
      <c r="N100" s="1023"/>
      <c r="O100" s="1023"/>
      <c r="P100" s="1029"/>
      <c r="Q100" s="1026" t="s">
        <v>868</v>
      </c>
      <c r="R100" s="560"/>
      <c r="S100" s="560"/>
      <c r="T100" s="560"/>
      <c r="U100" s="560"/>
      <c r="V100" s="560"/>
      <c r="W100" s="1023"/>
    </row>
    <row r="101" spans="1:29">
      <c r="A101" s="919"/>
      <c r="B101" s="958"/>
      <c r="C101" s="925" t="s">
        <v>47</v>
      </c>
      <c r="D101" s="925" t="s">
        <v>19</v>
      </c>
      <c r="E101" s="925" t="s">
        <v>20</v>
      </c>
      <c r="F101" s="925" t="s">
        <v>14</v>
      </c>
      <c r="G101" s="925" t="s">
        <v>21</v>
      </c>
      <c r="H101" s="925" t="s">
        <v>22</v>
      </c>
      <c r="I101" s="919"/>
      <c r="K101" s="1023"/>
      <c r="L101" s="1023"/>
      <c r="M101" s="1023"/>
      <c r="N101" s="1023"/>
      <c r="O101" s="1023"/>
      <c r="P101" s="560"/>
      <c r="Q101" s="1034"/>
      <c r="R101" s="1034" t="s">
        <v>786</v>
      </c>
      <c r="S101" s="1034" t="s">
        <v>787</v>
      </c>
      <c r="T101" s="1034" t="s">
        <v>488</v>
      </c>
      <c r="U101" s="1034" t="s">
        <v>790</v>
      </c>
      <c r="V101" s="1034" t="s">
        <v>788</v>
      </c>
      <c r="W101" s="1023"/>
    </row>
    <row r="102" spans="1:29">
      <c r="A102" s="919"/>
      <c r="B102" s="959"/>
      <c r="C102" s="928" t="s">
        <v>48</v>
      </c>
      <c r="D102" s="928" t="s">
        <v>49</v>
      </c>
      <c r="E102" s="928" t="s">
        <v>49</v>
      </c>
      <c r="F102" s="928"/>
      <c r="G102" s="928" t="s">
        <v>23</v>
      </c>
      <c r="H102" s="928" t="s">
        <v>23</v>
      </c>
      <c r="I102" s="919"/>
      <c r="K102" s="1023"/>
      <c r="L102" s="1023"/>
      <c r="M102" s="1023"/>
      <c r="N102" s="1023"/>
      <c r="O102" s="1023"/>
      <c r="P102" s="560"/>
      <c r="Q102" s="1027" t="s">
        <v>839</v>
      </c>
      <c r="R102" s="1028">
        <v>1</v>
      </c>
      <c r="S102" s="1697">
        <v>0.5</v>
      </c>
      <c r="T102" s="1028">
        <v>0.11</v>
      </c>
      <c r="U102" s="1028">
        <f>T102</f>
        <v>0.11</v>
      </c>
      <c r="V102" s="1028">
        <v>0.28999999999999998</v>
      </c>
      <c r="W102" s="1023"/>
    </row>
    <row r="103" spans="1:29">
      <c r="A103" s="919"/>
      <c r="B103" s="960" t="s">
        <v>50</v>
      </c>
      <c r="C103" s="931">
        <v>18</v>
      </c>
      <c r="D103" s="932"/>
      <c r="E103" s="933"/>
      <c r="F103" s="933"/>
      <c r="G103" s="933"/>
      <c r="H103" s="933"/>
      <c r="I103" s="919"/>
      <c r="K103" s="1023"/>
      <c r="L103" s="1023"/>
      <c r="M103" s="1023"/>
      <c r="N103" s="1023"/>
      <c r="O103" s="1023"/>
      <c r="P103" s="560"/>
      <c r="Q103" s="1027" t="s">
        <v>840</v>
      </c>
      <c r="R103" s="1028">
        <v>1</v>
      </c>
      <c r="S103" s="1028">
        <v>0.5</v>
      </c>
      <c r="T103" s="1028">
        <v>0.11</v>
      </c>
      <c r="U103" s="1028">
        <f t="shared" ref="U103:U111" si="44">T103</f>
        <v>0.11</v>
      </c>
      <c r="V103" s="1028">
        <v>0.44</v>
      </c>
      <c r="W103" s="1023"/>
    </row>
    <row r="104" spans="1:29">
      <c r="A104" s="919"/>
      <c r="B104" s="961" t="s">
        <v>51</v>
      </c>
      <c r="C104" s="933"/>
      <c r="D104" s="936">
        <v>40.700000000000003</v>
      </c>
      <c r="E104" s="933">
        <v>29</v>
      </c>
      <c r="F104" s="933"/>
      <c r="G104" s="938"/>
      <c r="H104" s="938"/>
      <c r="I104" s="919"/>
      <c r="K104" s="1023"/>
      <c r="L104" s="560"/>
      <c r="M104" s="560"/>
      <c r="N104" s="560"/>
      <c r="O104" s="560"/>
      <c r="P104" s="560"/>
      <c r="Q104" s="1027" t="s">
        <v>841</v>
      </c>
      <c r="R104" s="1028">
        <v>1</v>
      </c>
      <c r="S104" s="1028">
        <v>0.5</v>
      </c>
      <c r="T104" s="1028">
        <v>0.5</v>
      </c>
      <c r="U104" s="1028">
        <f t="shared" si="44"/>
        <v>0.5</v>
      </c>
      <c r="V104" s="1028">
        <v>0.5</v>
      </c>
      <c r="W104" s="1023"/>
    </row>
    <row r="105" spans="1:29">
      <c r="A105" s="919"/>
      <c r="B105" s="962" t="s">
        <v>52</v>
      </c>
      <c r="C105" s="933"/>
      <c r="D105" s="938"/>
      <c r="E105" s="937"/>
      <c r="F105" s="933">
        <v>16</v>
      </c>
      <c r="G105" s="938"/>
      <c r="H105" s="938"/>
      <c r="I105" s="919"/>
      <c r="K105" s="1023"/>
      <c r="L105" s="1031"/>
      <c r="M105" s="1035"/>
      <c r="N105" s="1035"/>
      <c r="O105" s="1035"/>
      <c r="P105" s="1035"/>
      <c r="Q105" s="1027" t="s">
        <v>842</v>
      </c>
      <c r="R105" s="1028">
        <v>1</v>
      </c>
      <c r="S105" s="1028">
        <v>0.49</v>
      </c>
      <c r="T105" s="1028">
        <v>0.49</v>
      </c>
      <c r="U105" s="1028">
        <f t="shared" si="44"/>
        <v>0.49</v>
      </c>
      <c r="V105" s="1028">
        <v>0.49</v>
      </c>
      <c r="W105" s="1023"/>
    </row>
    <row r="106" spans="1:29">
      <c r="A106" s="919"/>
      <c r="B106" s="961" t="s">
        <v>53</v>
      </c>
      <c r="C106" s="933"/>
      <c r="D106" s="936">
        <v>35.299999999999997</v>
      </c>
      <c r="E106" s="937">
        <v>24.9</v>
      </c>
      <c r="F106" s="953">
        <v>21.9</v>
      </c>
      <c r="G106" s="936">
        <v>21.5</v>
      </c>
      <c r="H106" s="936">
        <v>15.5</v>
      </c>
      <c r="I106" s="919"/>
      <c r="K106" s="1023"/>
      <c r="L106" s="1031"/>
      <c r="M106" s="1035"/>
      <c r="N106" s="1035"/>
      <c r="O106" s="1035"/>
      <c r="P106" s="1035"/>
      <c r="Q106" s="1027" t="s">
        <v>860</v>
      </c>
      <c r="R106" s="1028">
        <v>1</v>
      </c>
      <c r="S106" s="1028">
        <v>0.5</v>
      </c>
      <c r="T106" s="1028">
        <v>0.02</v>
      </c>
      <c r="U106" s="1028">
        <f t="shared" si="44"/>
        <v>0.02</v>
      </c>
      <c r="V106" s="1028">
        <v>7.0000000000000007E-2</v>
      </c>
      <c r="W106" s="1023"/>
    </row>
    <row r="107" spans="1:29">
      <c r="A107" s="919"/>
      <c r="B107" s="961" t="s">
        <v>54</v>
      </c>
      <c r="C107" s="933"/>
      <c r="D107" s="936">
        <v>35.200000000000003</v>
      </c>
      <c r="E107" s="937">
        <v>26.6</v>
      </c>
      <c r="F107" s="937">
        <v>21.7</v>
      </c>
      <c r="G107" s="936">
        <v>21.4</v>
      </c>
      <c r="H107" s="936">
        <v>15.4</v>
      </c>
      <c r="I107" s="919"/>
      <c r="K107" s="1023"/>
      <c r="L107" s="1031"/>
      <c r="M107" s="1035"/>
      <c r="N107" s="1035"/>
      <c r="O107" s="1035"/>
      <c r="P107" s="1035"/>
      <c r="Q107" s="1027" t="s">
        <v>844</v>
      </c>
      <c r="R107" s="1028">
        <v>1</v>
      </c>
      <c r="S107" s="1028">
        <v>0.5</v>
      </c>
      <c r="T107" s="1028">
        <v>0.02</v>
      </c>
      <c r="U107" s="1028">
        <f t="shared" si="44"/>
        <v>0.02</v>
      </c>
      <c r="V107" s="1028">
        <v>7.0000000000000007E-2</v>
      </c>
      <c r="W107" s="1023"/>
    </row>
    <row r="108" spans="1:29">
      <c r="A108" s="919"/>
      <c r="B108" s="961" t="s">
        <v>55</v>
      </c>
      <c r="C108" s="933"/>
      <c r="D108" s="936">
        <v>38.700000000000003</v>
      </c>
      <c r="E108" s="937">
        <v>26.2</v>
      </c>
      <c r="F108" s="937">
        <v>24</v>
      </c>
      <c r="G108" s="936">
        <v>24.1</v>
      </c>
      <c r="H108" s="936">
        <v>17.5</v>
      </c>
      <c r="I108" s="919"/>
      <c r="K108" s="1023"/>
      <c r="L108" s="1031"/>
      <c r="M108" s="1035"/>
      <c r="N108" s="1035"/>
      <c r="O108" s="1035"/>
      <c r="P108" s="1035"/>
      <c r="Q108" s="1027" t="s">
        <v>845</v>
      </c>
      <c r="R108" s="1028">
        <v>1</v>
      </c>
      <c r="S108" s="1028">
        <v>0.47</v>
      </c>
      <c r="T108" s="1028">
        <v>1.48</v>
      </c>
      <c r="U108" s="1028">
        <f t="shared" si="44"/>
        <v>1.48</v>
      </c>
      <c r="V108" s="1028">
        <v>1.48</v>
      </c>
      <c r="W108" s="1023"/>
      <c r="X108" s="164" t="s">
        <v>828</v>
      </c>
    </row>
    <row r="109" spans="1:29">
      <c r="A109" s="919"/>
      <c r="B109" s="961" t="s">
        <v>56</v>
      </c>
      <c r="C109" s="933"/>
      <c r="D109" s="936">
        <v>38.4</v>
      </c>
      <c r="E109" s="937">
        <v>27.5</v>
      </c>
      <c r="F109" s="937">
        <v>23.7</v>
      </c>
      <c r="G109" s="936">
        <v>23.8</v>
      </c>
      <c r="H109" s="936">
        <v>17.3</v>
      </c>
      <c r="I109" s="919"/>
      <c r="K109" s="1023"/>
      <c r="L109" s="1031"/>
      <c r="M109" s="1035"/>
      <c r="N109" s="1035"/>
      <c r="O109" s="1035"/>
      <c r="P109" s="1035"/>
      <c r="Q109" s="1027" t="s">
        <v>846</v>
      </c>
      <c r="R109" s="1028">
        <v>1</v>
      </c>
      <c r="S109" s="1028">
        <v>0.49</v>
      </c>
      <c r="T109" s="1028">
        <v>1.46</v>
      </c>
      <c r="U109" s="1028">
        <f t="shared" si="44"/>
        <v>1.46</v>
      </c>
      <c r="V109" s="1028">
        <v>1.46</v>
      </c>
      <c r="W109" s="1023"/>
      <c r="X109" s="471" t="s">
        <v>988</v>
      </c>
      <c r="Y109" s="1034" t="s">
        <v>786</v>
      </c>
      <c r="Z109" s="1034" t="s">
        <v>787</v>
      </c>
      <c r="AA109" s="1034" t="s">
        <v>488</v>
      </c>
      <c r="AB109" s="1034" t="s">
        <v>790</v>
      </c>
      <c r="AC109" s="1034" t="s">
        <v>788</v>
      </c>
    </row>
    <row r="110" spans="1:29">
      <c r="A110" s="919"/>
      <c r="B110" s="961" t="s">
        <v>337</v>
      </c>
      <c r="C110" s="933"/>
      <c r="D110" s="936">
        <v>45.9</v>
      </c>
      <c r="E110" s="937">
        <v>34.299999999999997</v>
      </c>
      <c r="F110" s="937"/>
      <c r="G110" s="936">
        <v>32.6</v>
      </c>
      <c r="H110" s="936">
        <v>25.6</v>
      </c>
      <c r="I110" s="919"/>
      <c r="K110" s="1023"/>
      <c r="L110" s="1023"/>
      <c r="M110" s="1023"/>
      <c r="N110" s="1023"/>
      <c r="O110" s="1023"/>
      <c r="P110" s="1023"/>
      <c r="Q110" s="1027" t="s">
        <v>838</v>
      </c>
      <c r="R110" s="1028">
        <v>1</v>
      </c>
      <c r="S110" s="1028">
        <v>0.8</v>
      </c>
      <c r="T110" s="1028">
        <v>0.96</v>
      </c>
      <c r="U110" s="1028">
        <f t="shared" si="44"/>
        <v>0.96</v>
      </c>
      <c r="V110" s="1028">
        <v>0.96</v>
      </c>
      <c r="W110" s="1023"/>
      <c r="X110" s="471">
        <v>1</v>
      </c>
      <c r="Y110" s="477">
        <f>AVERAGE(R102:R103)</f>
        <v>1</v>
      </c>
      <c r="Z110" s="477">
        <f>AVERAGE(S102:S103)</f>
        <v>0.5</v>
      </c>
      <c r="AA110" s="477">
        <f>AVERAGE(T102:T103)</f>
        <v>0.11</v>
      </c>
      <c r="AB110" s="477">
        <f>AVERAGE(U102:U103)</f>
        <v>0.11</v>
      </c>
      <c r="AC110" s="477">
        <f>AVERAGE(V102:V103)</f>
        <v>0.36499999999999999</v>
      </c>
    </row>
    <row r="111" spans="1:29">
      <c r="A111" s="919"/>
      <c r="B111" s="961" t="s">
        <v>171</v>
      </c>
      <c r="C111" s="933"/>
      <c r="D111" s="936">
        <v>34.299999999999997</v>
      </c>
      <c r="E111" s="936">
        <v>25.6</v>
      </c>
      <c r="F111" s="937">
        <v>20.9</v>
      </c>
      <c r="G111" s="936">
        <v>23.9</v>
      </c>
      <c r="H111" s="936">
        <v>18.5</v>
      </c>
      <c r="I111" s="919"/>
      <c r="K111" s="1023"/>
      <c r="L111" s="1023"/>
      <c r="M111" s="1023"/>
      <c r="N111" s="1023"/>
      <c r="O111" s="1023"/>
      <c r="P111" s="1023"/>
      <c r="Q111" s="1609" t="s">
        <v>935</v>
      </c>
      <c r="R111" s="1610">
        <v>1</v>
      </c>
      <c r="S111" s="1664">
        <v>0.5</v>
      </c>
      <c r="T111" s="1664">
        <v>0.5</v>
      </c>
      <c r="U111" s="1028">
        <f t="shared" si="44"/>
        <v>0.5</v>
      </c>
      <c r="V111" s="1664">
        <v>0.5</v>
      </c>
      <c r="W111" s="1665" t="s">
        <v>988</v>
      </c>
      <c r="X111" s="471">
        <v>2</v>
      </c>
      <c r="Y111" s="477">
        <f>AVERAGE(R104:R105)</f>
        <v>1</v>
      </c>
      <c r="Z111" s="477">
        <f>AVERAGE(S104:S105)</f>
        <v>0.495</v>
      </c>
      <c r="AA111" s="477">
        <f>AVERAGE(T104:T105)</f>
        <v>0.495</v>
      </c>
      <c r="AB111" s="477">
        <f>AVERAGE(U104:U105)</f>
        <v>0.495</v>
      </c>
      <c r="AC111" s="477">
        <f>AVERAGE(V104:V105)</f>
        <v>0.495</v>
      </c>
    </row>
    <row r="112" spans="1:29">
      <c r="A112" s="919"/>
      <c r="B112" s="961" t="s">
        <v>170</v>
      </c>
      <c r="C112" s="933"/>
      <c r="D112" s="936">
        <v>39.200000000000003</v>
      </c>
      <c r="E112" s="936">
        <v>29.3</v>
      </c>
      <c r="F112" s="937">
        <v>23.8</v>
      </c>
      <c r="G112" s="936">
        <v>24.4</v>
      </c>
      <c r="H112" s="936">
        <v>17.600000000000001</v>
      </c>
      <c r="I112" s="919"/>
      <c r="K112" s="1023"/>
      <c r="L112" s="1023"/>
      <c r="M112" s="1023"/>
      <c r="N112" s="1023"/>
      <c r="O112" s="1023"/>
      <c r="P112" s="1023"/>
      <c r="Q112" s="473" t="str">
        <f>R97</f>
        <v>Biogödsel_1</v>
      </c>
      <c r="R112" s="1610">
        <v>1</v>
      </c>
      <c r="S112" s="1667">
        <f>INDEX($X$110:$AC$113,MATCH($W112,$X$110:$X$113,0),3)</f>
        <v>0.5</v>
      </c>
      <c r="T112" s="1667">
        <f>INDEX($X110:$AC113,MATCH($W112,$X110:$X113,0),4)</f>
        <v>0.11</v>
      </c>
      <c r="U112" s="1667">
        <f>INDEX($X110:$AC113,MATCH($W112,$X110:$X113,0),5)</f>
        <v>0.11</v>
      </c>
      <c r="V112" s="1667">
        <f>INDEX($X110:$AC113,MATCH($W112,$X110:$X113,0),6)</f>
        <v>0.36499999999999999</v>
      </c>
      <c r="W112" s="1666">
        <f>Stallgödseldata!C26</f>
        <v>1</v>
      </c>
      <c r="X112" s="471">
        <v>3</v>
      </c>
      <c r="Y112" s="477">
        <f>AVERAGE(R106:R107)</f>
        <v>1</v>
      </c>
      <c r="Z112" s="477">
        <f>AVERAGE(S106:S107)</f>
        <v>0.5</v>
      </c>
      <c r="AA112" s="477">
        <f>AVERAGE(T106:T107)</f>
        <v>0.02</v>
      </c>
      <c r="AB112" s="477">
        <f>AVERAGE(U106:U107)</f>
        <v>0.02</v>
      </c>
      <c r="AC112" s="477">
        <f>AVERAGE(V106:V107)</f>
        <v>7.0000000000000007E-2</v>
      </c>
    </row>
    <row r="113" spans="1:29">
      <c r="A113" s="919"/>
      <c r="B113" s="963" t="s">
        <v>57</v>
      </c>
      <c r="C113" s="933"/>
      <c r="D113" s="936">
        <v>43</v>
      </c>
      <c r="E113" s="937">
        <v>31.8</v>
      </c>
      <c r="F113" s="937">
        <v>25.6</v>
      </c>
      <c r="G113" s="936"/>
      <c r="H113" s="936"/>
      <c r="I113" s="919"/>
      <c r="K113" s="560"/>
      <c r="L113" s="1023"/>
      <c r="M113" s="1023"/>
      <c r="N113" s="1023"/>
      <c r="O113" s="1023"/>
      <c r="P113" s="1023"/>
      <c r="Q113" s="473" t="str">
        <f>R98</f>
        <v>0_1</v>
      </c>
      <c r="R113" s="1610">
        <v>1</v>
      </c>
      <c r="S113" s="1667" t="e">
        <f>INDEX($X$110:$AC$113,MATCH($W113,$X$110:$X$113,0),3)</f>
        <v>#N/A</v>
      </c>
      <c r="T113" s="1667" t="e">
        <f>INDEX($X111:$AC114,MATCH($W113,$X111:$X114,0),4)</f>
        <v>#N/A</v>
      </c>
      <c r="U113" s="1667" t="e">
        <f>INDEX($X111:$AC114,MATCH($W113,$X111:$X114,0),5)</f>
        <v>#N/A</v>
      </c>
      <c r="V113" s="1667" t="e">
        <f>INDEX($X111:$AC114,MATCH($W113,$X111:$X114,0),6)</f>
        <v>#N/A</v>
      </c>
      <c r="W113" s="1666">
        <f>Stallgödseldata!C27</f>
        <v>0</v>
      </c>
      <c r="X113" s="1663">
        <v>4</v>
      </c>
      <c r="Y113" s="477">
        <f>AVERAGE(R108:R109)</f>
        <v>1</v>
      </c>
      <c r="Z113" s="477">
        <f>AVERAGE(S108:S109)</f>
        <v>0.48</v>
      </c>
      <c r="AA113" s="477">
        <f>AVERAGE(T108:T109)</f>
        <v>1.47</v>
      </c>
      <c r="AB113" s="477">
        <f>AVERAGE(U108:U109)</f>
        <v>1.47</v>
      </c>
      <c r="AC113" s="477">
        <f>AVERAGE(V108:V109)</f>
        <v>1.47</v>
      </c>
    </row>
    <row r="114" spans="1:29">
      <c r="A114" s="919"/>
      <c r="B114" s="963" t="s">
        <v>25</v>
      </c>
      <c r="C114" s="933"/>
      <c r="D114" s="936">
        <v>37.6</v>
      </c>
      <c r="E114" s="937">
        <v>28.1</v>
      </c>
      <c r="F114" s="936">
        <v>22.8</v>
      </c>
      <c r="G114" s="936"/>
      <c r="H114" s="936"/>
      <c r="I114" s="919"/>
      <c r="K114" s="560"/>
      <c r="L114" s="1023"/>
      <c r="M114" s="1023"/>
      <c r="N114" s="1023"/>
      <c r="O114" s="1023"/>
      <c r="P114" s="1023"/>
      <c r="Q114" s="1027" t="s">
        <v>847</v>
      </c>
      <c r="R114" s="1028">
        <v>0.71</v>
      </c>
      <c r="S114" s="1028">
        <v>0.51</v>
      </c>
      <c r="T114" s="1028">
        <v>0.21</v>
      </c>
      <c r="U114" s="1028">
        <f>T114</f>
        <v>0.21</v>
      </c>
      <c r="V114" s="1028">
        <v>0.28000000000000003</v>
      </c>
      <c r="W114" s="1023"/>
    </row>
    <row r="115" spans="1:29">
      <c r="A115" s="919"/>
      <c r="B115" s="961" t="s">
        <v>873</v>
      </c>
      <c r="C115" s="933"/>
      <c r="D115" s="936">
        <v>40.200000000000003</v>
      </c>
      <c r="E115" s="937">
        <v>26.9</v>
      </c>
      <c r="F115" s="936">
        <v>19</v>
      </c>
      <c r="G115" s="936"/>
      <c r="H115" s="936"/>
      <c r="I115" s="919"/>
      <c r="K115" s="560"/>
      <c r="L115" s="1023"/>
      <c r="M115" s="1023"/>
      <c r="N115" s="1023"/>
      <c r="O115" s="1023"/>
      <c r="P115" s="1023"/>
      <c r="Q115" s="1027" t="s">
        <v>848</v>
      </c>
      <c r="R115" s="1028">
        <v>0.7</v>
      </c>
      <c r="S115" s="1028">
        <v>0.5</v>
      </c>
      <c r="T115" s="1028">
        <v>0.33</v>
      </c>
      <c r="U115" s="1028">
        <f t="shared" ref="U115:U123" si="45">T115</f>
        <v>0.33</v>
      </c>
      <c r="V115" s="1028">
        <v>0.44</v>
      </c>
      <c r="W115" s="1023"/>
    </row>
    <row r="116" spans="1:29">
      <c r="A116" s="919"/>
      <c r="B116" s="961"/>
      <c r="C116" s="943"/>
      <c r="D116" s="936"/>
      <c r="E116" s="937"/>
      <c r="F116" s="936"/>
      <c r="G116" s="943"/>
      <c r="H116" s="943"/>
      <c r="I116" s="919"/>
      <c r="K116" s="560"/>
      <c r="L116" s="1023"/>
      <c r="M116" s="1023"/>
      <c r="N116" s="1023"/>
      <c r="O116" s="1023"/>
      <c r="P116" s="1023"/>
      <c r="Q116" s="1027" t="s">
        <v>849</v>
      </c>
      <c r="R116" s="1028">
        <v>0.7</v>
      </c>
      <c r="S116" s="1028">
        <v>0.5</v>
      </c>
      <c r="T116" s="1028">
        <v>1.48</v>
      </c>
      <c r="U116" s="1028">
        <f t="shared" si="45"/>
        <v>1.48</v>
      </c>
      <c r="V116" s="1028">
        <v>1.48</v>
      </c>
      <c r="W116" s="1023"/>
    </row>
    <row r="117" spans="1:29" ht="13.5" thickBot="1">
      <c r="A117" s="919"/>
      <c r="B117" s="964"/>
      <c r="C117" s="965"/>
      <c r="D117" s="966"/>
      <c r="E117" s="967"/>
      <c r="F117" s="966"/>
      <c r="G117" s="965"/>
      <c r="H117" s="965"/>
      <c r="I117" s="919"/>
      <c r="K117" s="560"/>
      <c r="L117" s="1023"/>
      <c r="M117" s="1023"/>
      <c r="N117" s="1023"/>
      <c r="O117" s="1023"/>
      <c r="P117" s="1023"/>
      <c r="Q117" s="1027" t="s">
        <v>850</v>
      </c>
      <c r="R117" s="1028">
        <v>0.7</v>
      </c>
      <c r="S117" s="1028">
        <v>0.5</v>
      </c>
      <c r="T117" s="1028">
        <v>1.48</v>
      </c>
      <c r="U117" s="1028">
        <f t="shared" si="45"/>
        <v>1.48</v>
      </c>
      <c r="V117" s="1028">
        <v>1.48</v>
      </c>
      <c r="W117" s="1023"/>
    </row>
    <row r="118" spans="1:29" ht="13.5" thickBot="1">
      <c r="A118" s="919"/>
      <c r="B118" s="950"/>
      <c r="C118" s="951"/>
      <c r="D118" s="952"/>
      <c r="E118" s="953"/>
      <c r="F118" s="952"/>
      <c r="G118" s="951"/>
      <c r="H118" s="951"/>
      <c r="I118" s="919"/>
      <c r="K118" s="560"/>
      <c r="L118" s="1023"/>
      <c r="M118" s="1023"/>
      <c r="N118" s="1023"/>
      <c r="O118" s="1023"/>
      <c r="P118" s="1023"/>
      <c r="Q118" s="1027" t="s">
        <v>843</v>
      </c>
      <c r="R118" s="1028">
        <v>0.7</v>
      </c>
      <c r="S118" s="1028">
        <v>0.5</v>
      </c>
      <c r="T118" s="1028">
        <v>0.06</v>
      </c>
      <c r="U118" s="1028">
        <f t="shared" si="45"/>
        <v>0.06</v>
      </c>
      <c r="V118" s="1028">
        <v>7.0000000000000007E-2</v>
      </c>
      <c r="W118" s="1023"/>
    </row>
    <row r="119" spans="1:29" ht="18">
      <c r="A119" s="919"/>
      <c r="B119" s="956" t="s">
        <v>128</v>
      </c>
      <c r="C119" s="957"/>
      <c r="D119" s="957"/>
      <c r="E119" s="957"/>
      <c r="F119" s="957"/>
      <c r="G119" s="957"/>
      <c r="H119" s="957"/>
      <c r="I119" s="919"/>
      <c r="K119" s="560"/>
      <c r="L119" s="1023"/>
      <c r="M119" s="1023"/>
      <c r="N119" s="1023"/>
      <c r="O119" s="1023"/>
      <c r="P119" s="1023"/>
      <c r="Q119" s="1027" t="s">
        <v>851</v>
      </c>
      <c r="R119" s="1028">
        <v>0.7</v>
      </c>
      <c r="S119" s="1028">
        <v>0.5</v>
      </c>
      <c r="T119" s="1028">
        <v>0.06</v>
      </c>
      <c r="U119" s="1028">
        <f t="shared" si="45"/>
        <v>0.06</v>
      </c>
      <c r="V119" s="1028">
        <v>7.0000000000000007E-2</v>
      </c>
      <c r="W119" s="1023"/>
    </row>
    <row r="120" spans="1:29">
      <c r="A120" s="919"/>
      <c r="B120" s="958"/>
      <c r="C120" s="925" t="s">
        <v>47</v>
      </c>
      <c r="D120" s="925" t="s">
        <v>19</v>
      </c>
      <c r="E120" s="925" t="s">
        <v>20</v>
      </c>
      <c r="F120" s="925" t="s">
        <v>14</v>
      </c>
      <c r="G120" s="925" t="s">
        <v>21</v>
      </c>
      <c r="H120" s="925" t="s">
        <v>22</v>
      </c>
      <c r="I120" s="919"/>
      <c r="K120" s="1023"/>
      <c r="L120" s="1023"/>
      <c r="M120" s="1023"/>
      <c r="N120" s="1023"/>
      <c r="O120" s="1023"/>
      <c r="P120" s="1023"/>
      <c r="Q120" s="1027" t="s">
        <v>852</v>
      </c>
      <c r="R120" s="1028">
        <v>0.7</v>
      </c>
      <c r="S120" s="1028">
        <v>0.5</v>
      </c>
      <c r="T120" s="1028">
        <v>4.38</v>
      </c>
      <c r="U120" s="1028">
        <f t="shared" si="45"/>
        <v>4.38</v>
      </c>
      <c r="V120" s="1028">
        <v>4.38</v>
      </c>
      <c r="W120" s="1023"/>
      <c r="X120" s="164" t="s">
        <v>353</v>
      </c>
    </row>
    <row r="121" spans="1:29">
      <c r="A121" s="919"/>
      <c r="B121" s="959"/>
      <c r="C121" s="928" t="s">
        <v>48</v>
      </c>
      <c r="D121" s="928" t="s">
        <v>49</v>
      </c>
      <c r="E121" s="928" t="s">
        <v>49</v>
      </c>
      <c r="F121" s="928"/>
      <c r="G121" s="928" t="s">
        <v>23</v>
      </c>
      <c r="H121" s="928" t="s">
        <v>23</v>
      </c>
      <c r="I121" s="919"/>
      <c r="K121" s="1023"/>
      <c r="L121" s="1023"/>
      <c r="M121" s="1023"/>
      <c r="N121" s="1023"/>
      <c r="O121" s="1023"/>
      <c r="P121" s="1023"/>
      <c r="Q121" s="1027" t="s">
        <v>853</v>
      </c>
      <c r="R121" s="1028">
        <v>0.68</v>
      </c>
      <c r="S121" s="1028">
        <v>0.49</v>
      </c>
      <c r="T121" s="1028">
        <v>4.4000000000000004</v>
      </c>
      <c r="U121" s="1028">
        <f t="shared" si="45"/>
        <v>4.4000000000000004</v>
      </c>
      <c r="V121" s="1028">
        <v>4.4000000000000004</v>
      </c>
      <c r="W121" s="1023"/>
      <c r="X121" s="471" t="s">
        <v>988</v>
      </c>
      <c r="Y121" s="1034" t="s">
        <v>786</v>
      </c>
      <c r="Z121" s="1034" t="s">
        <v>787</v>
      </c>
      <c r="AA121" s="1034" t="s">
        <v>488</v>
      </c>
      <c r="AB121" s="1034" t="s">
        <v>790</v>
      </c>
      <c r="AC121" s="1034" t="s">
        <v>788</v>
      </c>
    </row>
    <row r="122" spans="1:29">
      <c r="A122" s="919"/>
      <c r="B122" s="960" t="s">
        <v>50</v>
      </c>
      <c r="C122" s="931">
        <v>11.6</v>
      </c>
      <c r="D122" s="932"/>
      <c r="E122" s="933"/>
      <c r="F122" s="933"/>
      <c r="G122" s="933"/>
      <c r="H122" s="933"/>
      <c r="I122" s="919"/>
      <c r="K122" s="1023"/>
      <c r="L122" s="1023"/>
      <c r="M122" s="1023"/>
      <c r="N122" s="1023"/>
      <c r="O122" s="1023"/>
      <c r="P122" s="1023"/>
      <c r="Q122" s="1027" t="s">
        <v>854</v>
      </c>
      <c r="R122" s="1028">
        <v>0.7</v>
      </c>
      <c r="S122" s="1028">
        <v>0.8</v>
      </c>
      <c r="T122" s="1028">
        <v>0.25</v>
      </c>
      <c r="U122" s="1028">
        <f t="shared" si="45"/>
        <v>0.25</v>
      </c>
      <c r="V122" s="1028">
        <v>0.25</v>
      </c>
      <c r="W122" s="1023"/>
      <c r="X122" s="471">
        <v>1</v>
      </c>
      <c r="Y122" s="477">
        <f>AVERAGE(R114:R115)</f>
        <v>0.70499999999999996</v>
      </c>
      <c r="Z122" s="477">
        <f>AVERAGE(S114:S115)</f>
        <v>0.505</v>
      </c>
      <c r="AA122" s="477">
        <f>AVERAGE(T114:T115)</f>
        <v>0.27</v>
      </c>
      <c r="AB122" s="477">
        <f>AVERAGE(U114:U115)</f>
        <v>0.27</v>
      </c>
      <c r="AC122" s="477">
        <f>AVERAGE(V114:V115)</f>
        <v>0.36</v>
      </c>
    </row>
    <row r="123" spans="1:29">
      <c r="A123" s="919"/>
      <c r="B123" s="961" t="s">
        <v>51</v>
      </c>
      <c r="C123" s="933"/>
      <c r="D123" s="936">
        <v>31</v>
      </c>
      <c r="E123" s="933">
        <v>22</v>
      </c>
      <c r="F123" s="933"/>
      <c r="G123" s="938"/>
      <c r="H123" s="938"/>
      <c r="I123" s="919"/>
      <c r="K123" s="1023"/>
      <c r="L123" s="1023"/>
      <c r="M123" s="1023"/>
      <c r="N123" s="1023"/>
      <c r="O123" s="1023"/>
      <c r="P123" s="1023"/>
      <c r="Q123" s="1609" t="s">
        <v>936</v>
      </c>
      <c r="R123" s="1610">
        <v>0.7</v>
      </c>
      <c r="S123" s="1664">
        <v>0.5</v>
      </c>
      <c r="T123" s="1664">
        <v>1.48</v>
      </c>
      <c r="U123" s="1028">
        <f t="shared" si="45"/>
        <v>1.48</v>
      </c>
      <c r="V123" s="1664">
        <v>1.48</v>
      </c>
      <c r="W123" s="1665" t="s">
        <v>988</v>
      </c>
      <c r="X123" s="471">
        <v>2</v>
      </c>
      <c r="Y123" s="477">
        <f>AVERAGE(R116:R117)</f>
        <v>0.7</v>
      </c>
      <c r="Z123" s="477">
        <f>AVERAGE(S116:S117)</f>
        <v>0.5</v>
      </c>
      <c r="AA123" s="477">
        <f>AVERAGE(T116:T117)</f>
        <v>1.48</v>
      </c>
      <c r="AB123" s="477">
        <f>AVERAGE(U116:U117)</f>
        <v>1.48</v>
      </c>
      <c r="AC123" s="477">
        <f>AVERAGE(V116:V117)</f>
        <v>1.48</v>
      </c>
    </row>
    <row r="124" spans="1:29">
      <c r="A124" s="919"/>
      <c r="B124" s="962" t="s">
        <v>52</v>
      </c>
      <c r="C124" s="933"/>
      <c r="D124" s="938"/>
      <c r="E124" s="937"/>
      <c r="F124" s="933">
        <v>13</v>
      </c>
      <c r="G124" s="938"/>
      <c r="H124" s="938"/>
      <c r="I124" s="919"/>
      <c r="K124" s="1023"/>
      <c r="L124" s="1023"/>
      <c r="M124" s="1023"/>
      <c r="N124" s="1023"/>
      <c r="O124" s="1023"/>
      <c r="P124" s="1023"/>
      <c r="Q124" s="473" t="str">
        <f>S97</f>
        <v>Biogödsel_2</v>
      </c>
      <c r="R124" s="476">
        <v>0.7</v>
      </c>
      <c r="S124" s="1667">
        <f>INDEX($X$110:$AC$113,MATCH($W124,$X$110:$X$113,0),3)</f>
        <v>0.5</v>
      </c>
      <c r="T124" s="1667">
        <f>INDEX($X122:$AC125,MATCH($W124,$X122:$X125,0),4)</f>
        <v>0.27</v>
      </c>
      <c r="U124" s="1667">
        <f>INDEX($X122:$AC125,MATCH($W124,$X122:$X125,0),5)</f>
        <v>0.27</v>
      </c>
      <c r="V124" s="1667">
        <f>INDEX($X122:$AC125,MATCH($W124,$X122:$X125,0),6)</f>
        <v>0.36</v>
      </c>
      <c r="W124" s="1666">
        <f>Stallgödseldata!C26</f>
        <v>1</v>
      </c>
      <c r="X124" s="471">
        <v>3</v>
      </c>
      <c r="Y124" s="477">
        <f>AVERAGE(R118:R119)</f>
        <v>0.7</v>
      </c>
      <c r="Z124" s="477">
        <f>AVERAGE(S118:S119)</f>
        <v>0.5</v>
      </c>
      <c r="AA124" s="477">
        <f>AVERAGE(T118:T119)</f>
        <v>0.06</v>
      </c>
      <c r="AB124" s="477">
        <f>AVERAGE(U118:U119)</f>
        <v>0.06</v>
      </c>
      <c r="AC124" s="477">
        <f>AVERAGE(V118:V119)</f>
        <v>7.0000000000000007E-2</v>
      </c>
    </row>
    <row r="125" spans="1:29">
      <c r="A125" s="919"/>
      <c r="B125" s="961" t="s">
        <v>53</v>
      </c>
      <c r="C125" s="933"/>
      <c r="D125" s="936">
        <v>27</v>
      </c>
      <c r="E125" s="937">
        <v>23.3</v>
      </c>
      <c r="F125" s="937">
        <v>17</v>
      </c>
      <c r="G125" s="936">
        <v>19.8</v>
      </c>
      <c r="H125" s="936">
        <v>12.6</v>
      </c>
      <c r="I125" s="919"/>
      <c r="K125" s="1023"/>
      <c r="L125" s="1023"/>
      <c r="M125" s="1023"/>
      <c r="N125" s="1023"/>
      <c r="O125" s="1023"/>
      <c r="P125" s="1023"/>
      <c r="Q125" s="473" t="str">
        <f>S98</f>
        <v>0_2</v>
      </c>
      <c r="R125" s="476">
        <v>0.7</v>
      </c>
      <c r="S125" s="1667" t="e">
        <f>INDEX($X$110:$AC$113,MATCH($W125,$X$110:$X$113,0),3)</f>
        <v>#N/A</v>
      </c>
      <c r="T125" s="1667" t="e">
        <f>INDEX($X123:$AC126,MATCH($W125,$X123:$X126,0),4)</f>
        <v>#N/A</v>
      </c>
      <c r="U125" s="1667" t="e">
        <f>INDEX($X123:$AC126,MATCH($W125,$X123:$X126,0),5)</f>
        <v>#N/A</v>
      </c>
      <c r="V125" s="1667" t="e">
        <f>INDEX($X123:$AC126,MATCH($W125,$X123:$X126,0),6)</f>
        <v>#N/A</v>
      </c>
      <c r="W125" s="1666">
        <f>Stallgödseldata!C27</f>
        <v>0</v>
      </c>
      <c r="X125" s="1663">
        <v>4</v>
      </c>
      <c r="Y125" s="477">
        <f>AVERAGE(R120:R121)</f>
        <v>0.69</v>
      </c>
      <c r="Z125" s="477">
        <f>AVERAGE(S120:S121)</f>
        <v>0.495</v>
      </c>
      <c r="AA125" s="477">
        <f>AVERAGE(T120:T121)</f>
        <v>4.3900000000000006</v>
      </c>
      <c r="AB125" s="477">
        <f>AVERAGE(U120:U121)</f>
        <v>4.3900000000000006</v>
      </c>
      <c r="AC125" s="477">
        <f>AVERAGE(V120:V121)</f>
        <v>4.3900000000000006</v>
      </c>
    </row>
    <row r="126" spans="1:29">
      <c r="A126" s="919"/>
      <c r="B126" s="961" t="s">
        <v>54</v>
      </c>
      <c r="C126" s="933"/>
      <c r="D126" s="936">
        <v>26.9</v>
      </c>
      <c r="E126" s="937">
        <v>23.1</v>
      </c>
      <c r="F126" s="937">
        <v>16.899999999999999</v>
      </c>
      <c r="G126" s="936">
        <v>19.7</v>
      </c>
      <c r="H126" s="936">
        <v>12.5</v>
      </c>
      <c r="I126" s="919"/>
      <c r="K126" s="1023"/>
      <c r="L126" s="1023"/>
      <c r="M126" s="1023"/>
      <c r="N126" s="1023"/>
      <c r="O126" s="1023"/>
      <c r="P126" s="1023"/>
      <c r="Q126" s="1027" t="s">
        <v>855</v>
      </c>
      <c r="R126" s="1028">
        <v>0.68</v>
      </c>
      <c r="S126" s="1028">
        <v>0.5</v>
      </c>
      <c r="T126" s="1028">
        <v>0.1</v>
      </c>
      <c r="U126" s="1028">
        <f>T126</f>
        <v>0.1</v>
      </c>
      <c r="V126" s="1028">
        <v>0.12</v>
      </c>
      <c r="W126" s="1023"/>
    </row>
    <row r="127" spans="1:29">
      <c r="A127" s="919"/>
      <c r="B127" s="961" t="s">
        <v>55</v>
      </c>
      <c r="C127" s="933"/>
      <c r="D127" s="936">
        <v>29.3</v>
      </c>
      <c r="E127" s="937">
        <v>23.1</v>
      </c>
      <c r="F127" s="937">
        <v>18.399999999999999</v>
      </c>
      <c r="G127" s="936">
        <v>21.8</v>
      </c>
      <c r="H127" s="936">
        <v>14</v>
      </c>
      <c r="I127" s="919"/>
      <c r="K127" s="1023"/>
      <c r="L127" s="1023"/>
      <c r="M127" s="1023"/>
      <c r="N127" s="1023"/>
      <c r="O127" s="1023"/>
      <c r="P127" s="1023"/>
      <c r="Q127" s="1027" t="s">
        <v>856</v>
      </c>
      <c r="R127" s="1028">
        <v>0.67</v>
      </c>
      <c r="S127" s="1028">
        <v>0.49</v>
      </c>
      <c r="T127" s="1028">
        <v>0.15</v>
      </c>
      <c r="U127" s="1028">
        <f t="shared" ref="U127:U135" si="46">T127</f>
        <v>0.15</v>
      </c>
      <c r="V127" s="1028">
        <v>0.18</v>
      </c>
      <c r="W127" s="1023"/>
    </row>
    <row r="128" spans="1:29">
      <c r="A128" s="919"/>
      <c r="B128" s="961" t="s">
        <v>56</v>
      </c>
      <c r="C128" s="933"/>
      <c r="D128" s="936">
        <v>29.1</v>
      </c>
      <c r="E128" s="937">
        <v>25.2</v>
      </c>
      <c r="F128" s="937">
        <v>18.2</v>
      </c>
      <c r="G128" s="936">
        <v>21.6</v>
      </c>
      <c r="H128" s="936">
        <v>13.8</v>
      </c>
      <c r="I128" s="919"/>
      <c r="Q128" s="1027" t="s">
        <v>857</v>
      </c>
      <c r="R128" s="1028">
        <v>0.67</v>
      </c>
      <c r="S128" s="1028">
        <v>0.49</v>
      </c>
      <c r="T128" s="1028">
        <v>0.68</v>
      </c>
      <c r="U128" s="1028">
        <f t="shared" si="46"/>
        <v>0.68</v>
      </c>
      <c r="V128" s="1028">
        <v>0.68</v>
      </c>
    </row>
    <row r="129" spans="1:29">
      <c r="A129" s="919"/>
      <c r="B129" s="961" t="s">
        <v>337</v>
      </c>
      <c r="C129" s="933"/>
      <c r="D129" s="936">
        <v>34.200000000000003</v>
      </c>
      <c r="E129" s="937">
        <v>29.3</v>
      </c>
      <c r="F129" s="937"/>
      <c r="G129" s="936">
        <v>28.2</v>
      </c>
      <c r="H129" s="936">
        <v>19.5</v>
      </c>
      <c r="I129" s="919"/>
      <c r="Q129" s="1027" t="s">
        <v>858</v>
      </c>
      <c r="R129" s="1028">
        <v>0.67</v>
      </c>
      <c r="S129" s="1028">
        <v>0.49</v>
      </c>
      <c r="T129" s="1028">
        <v>0.68</v>
      </c>
      <c r="U129" s="1028">
        <f t="shared" si="46"/>
        <v>0.68</v>
      </c>
      <c r="V129" s="1028">
        <v>0.68</v>
      </c>
    </row>
    <row r="130" spans="1:29">
      <c r="A130" s="919"/>
      <c r="B130" s="961" t="s">
        <v>171</v>
      </c>
      <c r="C130" s="933"/>
      <c r="D130" s="936">
        <v>26.3</v>
      </c>
      <c r="E130" s="936">
        <v>22.5</v>
      </c>
      <c r="F130" s="937">
        <v>16.3</v>
      </c>
      <c r="G130" s="936">
        <v>21.4</v>
      </c>
      <c r="H130" s="936">
        <v>14.7</v>
      </c>
      <c r="I130" s="919"/>
      <c r="Q130" s="1027" t="s">
        <v>859</v>
      </c>
      <c r="R130" s="1028">
        <v>0.67</v>
      </c>
      <c r="S130" s="1028">
        <v>0.49</v>
      </c>
      <c r="T130" s="1028">
        <v>0.02</v>
      </c>
      <c r="U130" s="1028">
        <f t="shared" si="46"/>
        <v>0.02</v>
      </c>
      <c r="V130" s="1028">
        <v>0.03</v>
      </c>
    </row>
    <row r="131" spans="1:29">
      <c r="A131" s="919"/>
      <c r="B131" s="961" t="s">
        <v>170</v>
      </c>
      <c r="C131" s="933"/>
      <c r="D131" s="936">
        <v>29.7</v>
      </c>
      <c r="E131" s="936">
        <v>25.4</v>
      </c>
      <c r="F131" s="937">
        <v>18.399999999999999</v>
      </c>
      <c r="G131" s="936">
        <v>22.1</v>
      </c>
      <c r="H131" s="936">
        <v>14</v>
      </c>
      <c r="I131" s="919"/>
      <c r="Q131" s="1027" t="s">
        <v>861</v>
      </c>
      <c r="R131" s="1028">
        <v>0.67</v>
      </c>
      <c r="S131" s="1028">
        <v>0.49</v>
      </c>
      <c r="T131" s="1028">
        <v>0.02</v>
      </c>
      <c r="U131" s="1028">
        <f t="shared" si="46"/>
        <v>0.02</v>
      </c>
      <c r="V131" s="1028">
        <v>0.03</v>
      </c>
    </row>
    <row r="132" spans="1:29">
      <c r="A132" s="919"/>
      <c r="B132" s="963" t="s">
        <v>57</v>
      </c>
      <c r="C132" s="933"/>
      <c r="D132" s="936">
        <v>32.200000000000003</v>
      </c>
      <c r="E132" s="937">
        <v>27.5</v>
      </c>
      <c r="F132" s="936">
        <v>19.600000000000001</v>
      </c>
      <c r="G132" s="936"/>
      <c r="H132" s="936"/>
      <c r="I132" s="919"/>
      <c r="Q132" s="1027" t="s">
        <v>862</v>
      </c>
      <c r="R132" s="1028">
        <v>0.64</v>
      </c>
      <c r="S132" s="1028">
        <v>0.46</v>
      </c>
      <c r="T132" s="1028">
        <v>2.0099999999999998</v>
      </c>
      <c r="U132" s="1028">
        <f t="shared" si="46"/>
        <v>2.0099999999999998</v>
      </c>
      <c r="V132" s="1028">
        <v>2.0099999999999998</v>
      </c>
      <c r="X132" s="164" t="s">
        <v>16</v>
      </c>
    </row>
    <row r="133" spans="1:29">
      <c r="A133" s="919"/>
      <c r="B133" s="963" t="s">
        <v>25</v>
      </c>
      <c r="C133" s="933"/>
      <c r="D133" s="936">
        <v>28.5</v>
      </c>
      <c r="E133" s="937">
        <v>24.4</v>
      </c>
      <c r="F133" s="936">
        <v>17.7</v>
      </c>
      <c r="G133" s="936"/>
      <c r="H133" s="936"/>
      <c r="I133" s="919"/>
      <c r="Q133" s="1027" t="s">
        <v>863</v>
      </c>
      <c r="R133" s="1028">
        <v>0.63</v>
      </c>
      <c r="S133" s="1028">
        <v>0.46</v>
      </c>
      <c r="T133" s="1028">
        <v>2.0299999999999998</v>
      </c>
      <c r="U133" s="1028">
        <f t="shared" si="46"/>
        <v>2.0299999999999998</v>
      </c>
      <c r="V133" s="1028">
        <v>2.0299999999999998</v>
      </c>
      <c r="X133" s="471" t="s">
        <v>988</v>
      </c>
      <c r="Y133" s="1034" t="s">
        <v>786</v>
      </c>
      <c r="Z133" s="1034" t="s">
        <v>787</v>
      </c>
      <c r="AA133" s="1034" t="s">
        <v>488</v>
      </c>
      <c r="AB133" s="1034" t="s">
        <v>790</v>
      </c>
      <c r="AC133" s="1034" t="s">
        <v>788</v>
      </c>
    </row>
    <row r="134" spans="1:29">
      <c r="A134" s="919"/>
      <c r="B134" s="961" t="s">
        <v>873</v>
      </c>
      <c r="C134" s="933"/>
      <c r="D134" s="936">
        <v>30.3</v>
      </c>
      <c r="E134" s="937">
        <v>22.3</v>
      </c>
      <c r="F134" s="936">
        <v>15.1</v>
      </c>
      <c r="G134" s="936"/>
      <c r="H134" s="936"/>
      <c r="I134" s="919"/>
      <c r="Q134" s="1027" t="s">
        <v>864</v>
      </c>
      <c r="R134" s="1028">
        <v>0.85</v>
      </c>
      <c r="S134" s="1028">
        <v>0.8</v>
      </c>
      <c r="T134" s="1028">
        <v>0.18</v>
      </c>
      <c r="U134" s="1028">
        <f t="shared" si="46"/>
        <v>0.18</v>
      </c>
      <c r="V134" s="1028">
        <v>0.18</v>
      </c>
      <c r="X134" s="471">
        <v>1</v>
      </c>
      <c r="Y134" s="477">
        <f>AVERAGE(R126:R127)</f>
        <v>0.67500000000000004</v>
      </c>
      <c r="Z134" s="477">
        <f>AVERAGE(S126:S127)</f>
        <v>0.495</v>
      </c>
      <c r="AA134" s="477">
        <f>AVERAGE(T126:T127)</f>
        <v>0.125</v>
      </c>
      <c r="AB134" s="477">
        <f>AVERAGE(U126:U127)</f>
        <v>0.125</v>
      </c>
      <c r="AC134" s="477">
        <f>AVERAGE(V126:V127)</f>
        <v>0.15</v>
      </c>
    </row>
    <row r="135" spans="1:29">
      <c r="A135" s="919"/>
      <c r="B135" s="961"/>
      <c r="C135" s="943"/>
      <c r="D135" s="936"/>
      <c r="E135" s="937"/>
      <c r="F135" s="936"/>
      <c r="G135" s="943"/>
      <c r="H135" s="943"/>
      <c r="I135" s="919"/>
      <c r="Q135" s="1609" t="s">
        <v>937</v>
      </c>
      <c r="R135" s="1610">
        <v>0.67</v>
      </c>
      <c r="S135" s="1664">
        <v>0.49</v>
      </c>
      <c r="T135" s="1664">
        <v>0.68</v>
      </c>
      <c r="U135" s="1028">
        <f t="shared" si="46"/>
        <v>0.68</v>
      </c>
      <c r="V135" s="1664">
        <v>0.68</v>
      </c>
      <c r="W135" s="1665" t="s">
        <v>988</v>
      </c>
      <c r="X135" s="471">
        <v>2</v>
      </c>
      <c r="Y135" s="477">
        <f>AVERAGE(R128:R129)</f>
        <v>0.67</v>
      </c>
      <c r="Z135" s="477">
        <f>AVERAGE(S128:S129)</f>
        <v>0.49</v>
      </c>
      <c r="AA135" s="477">
        <f>AVERAGE(T128:T129)</f>
        <v>0.68</v>
      </c>
      <c r="AB135" s="477">
        <f>AVERAGE(U128:U129)</f>
        <v>0.68</v>
      </c>
      <c r="AC135" s="477">
        <f>AVERAGE(V128:V129)</f>
        <v>0.68</v>
      </c>
    </row>
    <row r="136" spans="1:29" ht="13.5" thickBot="1">
      <c r="A136" s="919"/>
      <c r="B136" s="964"/>
      <c r="C136" s="965"/>
      <c r="D136" s="966"/>
      <c r="E136" s="967"/>
      <c r="F136" s="966"/>
      <c r="G136" s="965"/>
      <c r="H136" s="965"/>
      <c r="I136" s="919"/>
      <c r="Q136" s="473" t="str">
        <f>T97</f>
        <v>Biogödsel_3</v>
      </c>
      <c r="R136" s="477">
        <v>0.68</v>
      </c>
      <c r="S136" s="1667">
        <f>INDEX($X$110:$AC$113,MATCH($W136,$X$110:$X$113,0),3)</f>
        <v>0.5</v>
      </c>
      <c r="T136" s="1667">
        <f>INDEX($X134:$AC137,MATCH($W136,$X134:$X137,0),4)</f>
        <v>0.125</v>
      </c>
      <c r="U136" s="1667">
        <f>INDEX($X134:$AC137,MATCH($W136,$X134:$X137,0),5)</f>
        <v>0.125</v>
      </c>
      <c r="V136" s="1667">
        <f>INDEX($X134:$AC137,MATCH($W136,$X134:$X137,0),6)</f>
        <v>0.15</v>
      </c>
      <c r="W136" s="1666">
        <f>Stallgödseldata!C26</f>
        <v>1</v>
      </c>
      <c r="X136" s="471">
        <v>3</v>
      </c>
      <c r="Y136" s="477">
        <f>AVERAGE(R130:R131)</f>
        <v>0.67</v>
      </c>
      <c r="Z136" s="477">
        <f>AVERAGE(S130:S131)</f>
        <v>0.49</v>
      </c>
      <c r="AA136" s="477">
        <f>AVERAGE(T130:T131)</f>
        <v>0.02</v>
      </c>
      <c r="AB136" s="477">
        <f>AVERAGE(U130:U131)</f>
        <v>0.02</v>
      </c>
      <c r="AC136" s="477">
        <f>AVERAGE(V130:V131)</f>
        <v>0.03</v>
      </c>
    </row>
    <row r="137" spans="1:29" ht="13.5" thickBot="1">
      <c r="A137" s="919"/>
      <c r="B137" s="950"/>
      <c r="C137" s="951"/>
      <c r="D137" s="952"/>
      <c r="E137" s="953"/>
      <c r="F137" s="952"/>
      <c r="G137" s="951"/>
      <c r="H137" s="951"/>
      <c r="I137" s="919"/>
      <c r="Q137" s="473" t="str">
        <f>T98</f>
        <v>0_3</v>
      </c>
      <c r="R137" s="477">
        <v>0.68</v>
      </c>
      <c r="S137" s="1667" t="e">
        <f>INDEX($X$110:$AC$113,MATCH($W137,$X$110:$X$113,0),3)</f>
        <v>#N/A</v>
      </c>
      <c r="T137" s="1667" t="e">
        <f>INDEX($X135:$AC138,MATCH($W137,$X135:$X138,0),4)</f>
        <v>#N/A</v>
      </c>
      <c r="U137" s="1667" t="e">
        <f>INDEX($X135:$AC138,MATCH($W137,$X135:$X138,0),5)</f>
        <v>#N/A</v>
      </c>
      <c r="V137" s="1667" t="e">
        <f>INDEX($X135:$AC138,MATCH($W137,$X135:$X138,0),6)</f>
        <v>#N/A</v>
      </c>
      <c r="W137" s="1666">
        <f>Stallgödseldata!C27</f>
        <v>0</v>
      </c>
      <c r="X137" s="1663">
        <v>4</v>
      </c>
      <c r="Y137" s="477">
        <f>AVERAGE(R132:R133)</f>
        <v>0.63500000000000001</v>
      </c>
      <c r="Z137" s="477">
        <f>AVERAGE(S132:S133)</f>
        <v>0.46</v>
      </c>
      <c r="AA137" s="477">
        <f>AVERAGE(T132:T133)</f>
        <v>2.0199999999999996</v>
      </c>
      <c r="AB137" s="477">
        <f>AVERAGE(U132:U133)</f>
        <v>2.0199999999999996</v>
      </c>
      <c r="AC137" s="477">
        <f>AVERAGE(V132:V133)</f>
        <v>2.0199999999999996</v>
      </c>
    </row>
    <row r="138" spans="1:29" ht="18">
      <c r="A138" s="919"/>
      <c r="B138" s="956" t="s">
        <v>130</v>
      </c>
      <c r="C138" s="957"/>
      <c r="D138" s="957"/>
      <c r="E138" s="957"/>
      <c r="F138" s="957"/>
      <c r="G138" s="957"/>
      <c r="H138" s="957"/>
      <c r="I138" s="919"/>
    </row>
    <row r="139" spans="1:29">
      <c r="A139" s="919"/>
      <c r="B139" s="958"/>
      <c r="C139" s="925" t="s">
        <v>47</v>
      </c>
      <c r="D139" s="925" t="s">
        <v>19</v>
      </c>
      <c r="E139" s="925" t="s">
        <v>20</v>
      </c>
      <c r="F139" s="925" t="s">
        <v>14</v>
      </c>
      <c r="G139" s="925" t="s">
        <v>21</v>
      </c>
      <c r="H139" s="925" t="s">
        <v>22</v>
      </c>
      <c r="I139" s="919"/>
      <c r="S139" s="1667"/>
    </row>
    <row r="140" spans="1:29">
      <c r="A140" s="919"/>
      <c r="B140" s="959"/>
      <c r="C140" s="928" t="s">
        <v>48</v>
      </c>
      <c r="D140" s="928" t="s">
        <v>49</v>
      </c>
      <c r="E140" s="928" t="s">
        <v>49</v>
      </c>
      <c r="F140" s="928"/>
      <c r="G140" s="928" t="s">
        <v>23</v>
      </c>
      <c r="H140" s="928" t="s">
        <v>23</v>
      </c>
      <c r="I140" s="919"/>
    </row>
    <row r="141" spans="1:29">
      <c r="A141" s="919"/>
      <c r="B141" s="960" t="s">
        <v>50</v>
      </c>
      <c r="C141" s="931">
        <v>9</v>
      </c>
      <c r="D141" s="932"/>
      <c r="E141" s="933"/>
      <c r="F141" s="933"/>
      <c r="G141" s="933"/>
      <c r="H141" s="933"/>
      <c r="I141" s="919"/>
    </row>
    <row r="142" spans="1:29">
      <c r="A142" s="919"/>
      <c r="B142" s="961" t="s">
        <v>51</v>
      </c>
      <c r="C142" s="933"/>
      <c r="D142" s="936">
        <v>23</v>
      </c>
      <c r="E142" s="933">
        <v>17.899999999999999</v>
      </c>
      <c r="F142" s="933"/>
      <c r="G142" s="938"/>
      <c r="H142" s="938"/>
      <c r="I142" s="919"/>
    </row>
    <row r="143" spans="1:29">
      <c r="A143" s="919"/>
      <c r="B143" s="962" t="s">
        <v>52</v>
      </c>
      <c r="C143" s="933"/>
      <c r="D143" s="938"/>
      <c r="E143" s="937"/>
      <c r="F143" s="933">
        <v>10</v>
      </c>
      <c r="G143" s="938"/>
      <c r="H143" s="938"/>
      <c r="I143" s="919"/>
    </row>
    <row r="144" spans="1:29">
      <c r="A144" s="919"/>
      <c r="B144" s="961" t="s">
        <v>53</v>
      </c>
      <c r="C144" s="933"/>
      <c r="D144" s="936">
        <v>20.5</v>
      </c>
      <c r="E144" s="937">
        <v>18.600000000000001</v>
      </c>
      <c r="F144" s="937">
        <v>12.9</v>
      </c>
      <c r="G144" s="936">
        <v>16.100000000000001</v>
      </c>
      <c r="H144" s="936">
        <v>9.6999999999999993</v>
      </c>
      <c r="I144" s="919"/>
    </row>
    <row r="145" spans="1:32">
      <c r="A145" s="919"/>
      <c r="B145" s="961" t="s">
        <v>54</v>
      </c>
      <c r="C145" s="933"/>
      <c r="D145" s="936">
        <v>20.399999999999999</v>
      </c>
      <c r="E145" s="937">
        <v>18.5</v>
      </c>
      <c r="F145" s="937">
        <v>12.8</v>
      </c>
      <c r="G145" s="936">
        <v>16.100000000000001</v>
      </c>
      <c r="H145" s="936">
        <v>9.6</v>
      </c>
      <c r="I145" s="919"/>
      <c r="M145" s="2085" t="s">
        <v>811</v>
      </c>
      <c r="N145" s="2086" t="s">
        <v>1001</v>
      </c>
      <c r="O145" s="181"/>
      <c r="P145" s="181"/>
      <c r="Q145" s="181"/>
      <c r="R145" s="181"/>
      <c r="S145" s="182"/>
      <c r="T145" s="2085" t="s">
        <v>830</v>
      </c>
      <c r="U145" s="181"/>
      <c r="V145" s="182"/>
    </row>
    <row r="146" spans="1:32">
      <c r="A146" s="919"/>
      <c r="B146" s="961" t="s">
        <v>55</v>
      </c>
      <c r="C146" s="933"/>
      <c r="D146" s="936">
        <v>22.1</v>
      </c>
      <c r="E146" s="937">
        <v>20.100000000000001</v>
      </c>
      <c r="F146" s="937">
        <v>13.9</v>
      </c>
      <c r="G146" s="936">
        <v>17.600000000000001</v>
      </c>
      <c r="H146" s="936">
        <v>10.7</v>
      </c>
      <c r="I146" s="919"/>
      <c r="M146" s="899" t="s">
        <v>498</v>
      </c>
      <c r="N146" s="899" t="s">
        <v>20</v>
      </c>
      <c r="O146" s="719" t="s">
        <v>499</v>
      </c>
      <c r="P146" s="899" t="s">
        <v>21</v>
      </c>
      <c r="Q146" s="719" t="s">
        <v>22</v>
      </c>
      <c r="R146" s="902" t="s">
        <v>815</v>
      </c>
      <c r="S146" s="2084" t="s">
        <v>816</v>
      </c>
      <c r="T146" s="899" t="s">
        <v>1290</v>
      </c>
      <c r="U146" s="899" t="s">
        <v>1290</v>
      </c>
      <c r="V146" s="899" t="s">
        <v>1287</v>
      </c>
    </row>
    <row r="147" spans="1:32">
      <c r="A147" s="919"/>
      <c r="B147" s="961" t="s">
        <v>56</v>
      </c>
      <c r="C147" s="933"/>
      <c r="D147" s="936">
        <v>22</v>
      </c>
      <c r="E147" s="937">
        <v>20</v>
      </c>
      <c r="F147" s="937">
        <v>13.8</v>
      </c>
      <c r="G147" s="936">
        <v>17.5</v>
      </c>
      <c r="H147" s="936">
        <v>10.6</v>
      </c>
      <c r="I147" s="919"/>
      <c r="M147" s="900"/>
      <c r="N147" s="900"/>
      <c r="O147" s="73"/>
      <c r="P147" s="900" t="s">
        <v>814</v>
      </c>
      <c r="Q147" s="73" t="s">
        <v>814</v>
      </c>
      <c r="R147" s="900" t="s">
        <v>13</v>
      </c>
      <c r="S147" s="73" t="s">
        <v>13</v>
      </c>
      <c r="T147" s="2082" t="s">
        <v>1288</v>
      </c>
      <c r="U147" s="2082" t="s">
        <v>1288</v>
      </c>
      <c r="V147" s="2082" t="s">
        <v>1286</v>
      </c>
      <c r="Z147" s="899" t="s">
        <v>498</v>
      </c>
      <c r="AA147" s="899" t="s">
        <v>20</v>
      </c>
      <c r="AB147" s="899" t="s">
        <v>499</v>
      </c>
      <c r="AC147" s="899" t="s">
        <v>21</v>
      </c>
      <c r="AD147" s="899" t="s">
        <v>22</v>
      </c>
      <c r="AE147" s="902" t="s">
        <v>815</v>
      </c>
      <c r="AF147" s="902" t="s">
        <v>816</v>
      </c>
    </row>
    <row r="148" spans="1:32">
      <c r="A148" s="919"/>
      <c r="B148" s="961" t="s">
        <v>337</v>
      </c>
      <c r="C148" s="933"/>
      <c r="D148" s="936">
        <v>25.7</v>
      </c>
      <c r="E148" s="937">
        <v>23.2</v>
      </c>
      <c r="F148" s="937"/>
      <c r="G148" s="936">
        <v>22.4</v>
      </c>
      <c r="H148" s="936">
        <v>14.7</v>
      </c>
      <c r="I148" s="919"/>
      <c r="M148" s="900"/>
      <c r="N148" s="900"/>
      <c r="P148" s="900"/>
      <c r="R148" s="900"/>
      <c r="T148" s="1705" t="s">
        <v>1289</v>
      </c>
      <c r="U148" s="1705" t="s">
        <v>1289</v>
      </c>
      <c r="V148" s="898"/>
      <c r="Z148" s="900"/>
      <c r="AA148" s="900"/>
      <c r="AB148" s="900"/>
      <c r="AC148" s="900" t="s">
        <v>814</v>
      </c>
      <c r="AD148" s="900" t="s">
        <v>814</v>
      </c>
      <c r="AE148" s="900" t="s">
        <v>13</v>
      </c>
      <c r="AF148" s="900" t="s">
        <v>13</v>
      </c>
    </row>
    <row r="149" spans="1:32">
      <c r="A149" s="919"/>
      <c r="B149" s="961" t="s">
        <v>171</v>
      </c>
      <c r="C149" s="933"/>
      <c r="D149" s="936">
        <v>20</v>
      </c>
      <c r="E149" s="936">
        <v>18.100000000000001</v>
      </c>
      <c r="F149" s="937">
        <v>12.4</v>
      </c>
      <c r="G149" s="936">
        <v>17.3</v>
      </c>
      <c r="H149" s="936">
        <v>11.2</v>
      </c>
      <c r="I149" s="919"/>
      <c r="K149" s="164" t="s">
        <v>138</v>
      </c>
      <c r="M149" s="898"/>
      <c r="N149" s="898"/>
      <c r="O149" s="174"/>
      <c r="P149" s="898"/>
      <c r="Q149" s="174"/>
      <c r="R149" s="898"/>
      <c r="S149" s="174"/>
      <c r="T149" s="471" t="s">
        <v>827</v>
      </c>
      <c r="U149" s="471" t="s">
        <v>834</v>
      </c>
      <c r="V149" s="471" t="s">
        <v>870</v>
      </c>
      <c r="Z149" s="900"/>
      <c r="AA149" s="900"/>
      <c r="AB149" s="900"/>
      <c r="AC149" s="900"/>
      <c r="AD149" s="900"/>
      <c r="AE149" s="900"/>
      <c r="AF149" s="900"/>
    </row>
    <row r="150" spans="1:32">
      <c r="A150" s="919"/>
      <c r="B150" s="961" t="s">
        <v>170</v>
      </c>
      <c r="C150" s="933"/>
      <c r="D150" s="936">
        <v>22.4</v>
      </c>
      <c r="E150" s="936">
        <v>20.3</v>
      </c>
      <c r="F150" s="937">
        <v>13.9</v>
      </c>
      <c r="G150" s="936">
        <v>17.899999999999999</v>
      </c>
      <c r="H150" s="936">
        <v>10.8</v>
      </c>
      <c r="I150" s="919"/>
      <c r="K150" s="478" t="str">
        <f>'Tekniskt underlag'!A5</f>
        <v>Höstvete bröd</v>
      </c>
      <c r="L150" s="182"/>
      <c r="M150" s="901">
        <f t="shared" ref="M150:Q153" si="47">(D$68*($C$50+$C$55))+(D$87*$C$51)+(D$106*$C$52)+(D$125*$C$53)+(D$144*$C$54)</f>
        <v>36.249600000000001</v>
      </c>
      <c r="N150" s="901">
        <f t="shared" si="47"/>
        <v>26.996600000000001</v>
      </c>
      <c r="O150" s="901">
        <f t="shared" si="47"/>
        <v>21.518599999999999</v>
      </c>
      <c r="P150" s="901">
        <f t="shared" si="47"/>
        <v>22.702199999999998</v>
      </c>
      <c r="Q150" s="901">
        <f t="shared" si="47"/>
        <v>15.345599999999999</v>
      </c>
      <c r="R150" s="473" t="s">
        <v>817</v>
      </c>
      <c r="S150" s="473" t="s">
        <v>817</v>
      </c>
      <c r="T150" s="471">
        <v>1</v>
      </c>
      <c r="U150" s="471">
        <v>1</v>
      </c>
      <c r="V150" s="471">
        <v>1</v>
      </c>
      <c r="X150" s="473" t="str">
        <f t="shared" ref="X150:X169" si="48">K150</f>
        <v>Höstvete bröd</v>
      </c>
      <c r="Y150" s="473"/>
      <c r="Z150" s="476">
        <v>1</v>
      </c>
      <c r="AA150" s="476">
        <f t="shared" ref="AA150:AA166" si="49">N150/M150</f>
        <v>0.74474201094632764</v>
      </c>
      <c r="AB150" s="476">
        <f t="shared" ref="AB150:AB166" si="50">O150/M150</f>
        <v>0.5936231020480226</v>
      </c>
      <c r="AC150" s="476">
        <f t="shared" ref="AC150:AC166" si="51">P150/M150</f>
        <v>0.62627449682203384</v>
      </c>
      <c r="AD150" s="476">
        <f t="shared" ref="AD150:AD166" si="52">Q150/M150</f>
        <v>0.42333156779661013</v>
      </c>
      <c r="AE150" s="473"/>
      <c r="AF150" s="473"/>
    </row>
    <row r="151" spans="1:32">
      <c r="A151" s="919"/>
      <c r="B151" s="963" t="s">
        <v>57</v>
      </c>
      <c r="C151" s="933"/>
      <c r="D151" s="936">
        <v>24.2</v>
      </c>
      <c r="E151" s="937">
        <v>21.9</v>
      </c>
      <c r="F151" s="936">
        <v>14.8</v>
      </c>
      <c r="G151" s="936"/>
      <c r="H151" s="936"/>
      <c r="I151" s="919"/>
      <c r="K151" s="478" t="str">
        <f>'Tekniskt underlag'!A6</f>
        <v>Höstvete, foder</v>
      </c>
      <c r="L151" s="182"/>
      <c r="M151" s="901">
        <f t="shared" si="47"/>
        <v>36.249600000000001</v>
      </c>
      <c r="N151" s="901">
        <f t="shared" si="47"/>
        <v>26.996600000000001</v>
      </c>
      <c r="O151" s="901">
        <f t="shared" si="47"/>
        <v>21.518599999999999</v>
      </c>
      <c r="P151" s="901">
        <f t="shared" si="47"/>
        <v>22.702199999999998</v>
      </c>
      <c r="Q151" s="901">
        <f t="shared" si="47"/>
        <v>15.345599999999999</v>
      </c>
      <c r="R151" s="473" t="s">
        <v>817</v>
      </c>
      <c r="S151" s="473" t="s">
        <v>817</v>
      </c>
      <c r="T151" s="471">
        <v>1</v>
      </c>
      <c r="U151" s="471">
        <v>1</v>
      </c>
      <c r="V151" s="471">
        <v>1</v>
      </c>
      <c r="X151" s="473" t="str">
        <f t="shared" si="48"/>
        <v>Höstvete, foder</v>
      </c>
      <c r="Y151" s="473"/>
      <c r="Z151" s="476">
        <v>1</v>
      </c>
      <c r="AA151" s="476">
        <f t="shared" si="49"/>
        <v>0.74474201094632764</v>
      </c>
      <c r="AB151" s="476">
        <f t="shared" si="50"/>
        <v>0.5936231020480226</v>
      </c>
      <c r="AC151" s="476">
        <f t="shared" si="51"/>
        <v>0.62627449682203384</v>
      </c>
      <c r="AD151" s="476">
        <f t="shared" si="52"/>
        <v>0.42333156779661013</v>
      </c>
      <c r="AE151" s="473"/>
      <c r="AF151" s="473"/>
    </row>
    <row r="152" spans="1:32">
      <c r="A152" s="919"/>
      <c r="B152" s="963" t="s">
        <v>25</v>
      </c>
      <c r="C152" s="933"/>
      <c r="D152" s="936">
        <v>21.6</v>
      </c>
      <c r="E152" s="937">
        <v>19.5</v>
      </c>
      <c r="F152" s="936">
        <v>13.4</v>
      </c>
      <c r="G152" s="936"/>
      <c r="H152" s="936"/>
      <c r="I152" s="919"/>
      <c r="K152" s="478" t="str">
        <f>'Tekniskt underlag'!A7</f>
        <v>Råg, hybrid</v>
      </c>
      <c r="L152" s="182"/>
      <c r="M152" s="901">
        <f t="shared" si="47"/>
        <v>36.249600000000001</v>
      </c>
      <c r="N152" s="901">
        <f t="shared" si="47"/>
        <v>26.996600000000001</v>
      </c>
      <c r="O152" s="901">
        <f t="shared" si="47"/>
        <v>21.518599999999999</v>
      </c>
      <c r="P152" s="901">
        <f t="shared" si="47"/>
        <v>22.702199999999998</v>
      </c>
      <c r="Q152" s="901">
        <f t="shared" si="47"/>
        <v>15.345599999999999</v>
      </c>
      <c r="R152" s="473" t="s">
        <v>817</v>
      </c>
      <c r="S152" s="473" t="s">
        <v>817</v>
      </c>
      <c r="T152" s="471">
        <v>1</v>
      </c>
      <c r="U152" s="471">
        <v>1</v>
      </c>
      <c r="V152" s="471">
        <v>1</v>
      </c>
      <c r="X152" s="473" t="str">
        <f t="shared" si="48"/>
        <v>Råg, hybrid</v>
      </c>
      <c r="Y152" s="473"/>
      <c r="Z152" s="476">
        <v>1</v>
      </c>
      <c r="AA152" s="476">
        <f t="shared" si="49"/>
        <v>0.74474201094632764</v>
      </c>
      <c r="AB152" s="476">
        <f t="shared" si="50"/>
        <v>0.5936231020480226</v>
      </c>
      <c r="AC152" s="476">
        <f t="shared" si="51"/>
        <v>0.62627449682203384</v>
      </c>
      <c r="AD152" s="476">
        <f t="shared" si="52"/>
        <v>0.42333156779661013</v>
      </c>
      <c r="AE152" s="473"/>
      <c r="AF152" s="473"/>
    </row>
    <row r="153" spans="1:32">
      <c r="A153" s="919"/>
      <c r="B153" s="961" t="s">
        <v>873</v>
      </c>
      <c r="C153" s="933"/>
      <c r="D153" s="936">
        <v>24</v>
      </c>
      <c r="E153" s="937">
        <v>18.100000000000001</v>
      </c>
      <c r="F153" s="936">
        <v>11.5</v>
      </c>
      <c r="G153" s="936"/>
      <c r="H153" s="936"/>
      <c r="I153" s="919"/>
      <c r="K153" s="478" t="str">
        <f>'Tekniskt underlag'!A8</f>
        <v>Rågvete</v>
      </c>
      <c r="L153" s="182"/>
      <c r="M153" s="901">
        <f t="shared" si="47"/>
        <v>36.249600000000001</v>
      </c>
      <c r="N153" s="901">
        <f t="shared" si="47"/>
        <v>26.996600000000001</v>
      </c>
      <c r="O153" s="901">
        <f t="shared" si="47"/>
        <v>21.518599999999999</v>
      </c>
      <c r="P153" s="901">
        <f t="shared" si="47"/>
        <v>22.702199999999998</v>
      </c>
      <c r="Q153" s="901">
        <f t="shared" si="47"/>
        <v>15.345599999999999</v>
      </c>
      <c r="R153" s="473" t="s">
        <v>817</v>
      </c>
      <c r="S153" s="473" t="s">
        <v>817</v>
      </c>
      <c r="T153" s="471">
        <v>1</v>
      </c>
      <c r="U153" s="471">
        <v>1</v>
      </c>
      <c r="V153" s="471">
        <v>1</v>
      </c>
      <c r="X153" s="473" t="str">
        <f t="shared" si="48"/>
        <v>Rågvete</v>
      </c>
      <c r="Y153" s="473"/>
      <c r="Z153" s="476">
        <v>1</v>
      </c>
      <c r="AA153" s="476">
        <f t="shared" si="49"/>
        <v>0.74474201094632764</v>
      </c>
      <c r="AB153" s="476">
        <f t="shared" si="50"/>
        <v>0.5936231020480226</v>
      </c>
      <c r="AC153" s="476">
        <f t="shared" si="51"/>
        <v>0.62627449682203384</v>
      </c>
      <c r="AD153" s="476">
        <f t="shared" si="52"/>
        <v>0.42333156779661013</v>
      </c>
      <c r="AE153" s="473"/>
      <c r="AF153" s="473"/>
    </row>
    <row r="154" spans="1:32">
      <c r="A154" s="919"/>
      <c r="B154" s="961"/>
      <c r="C154" s="943"/>
      <c r="D154" s="936"/>
      <c r="E154" s="937"/>
      <c r="F154" s="936"/>
      <c r="G154" s="943"/>
      <c r="H154" s="943"/>
      <c r="I154" s="919"/>
      <c r="K154" s="478" t="str">
        <f>'Tekniskt underlag'!A9</f>
        <v>Höstkorn</v>
      </c>
      <c r="L154" s="182"/>
      <c r="M154" s="901">
        <f>(D68*($C$50+$C$55))+(D87*$C$51)+(D106*$C$52)+(D125*$C$53)+(D144*$C$54)</f>
        <v>36.249600000000001</v>
      </c>
      <c r="N154" s="901">
        <f>(E68*($C$50+$C$55))+(E87*$C$51)+(E106*$C$52)+(E125*$C$53)+(E144*$C$54)</f>
        <v>26.996600000000001</v>
      </c>
      <c r="O154" s="901">
        <f>(F68*($C$50+$C$55))+(F87*$C$51)+(F106*$C$52)+(F125*$C$53)+(F144*$C$54)</f>
        <v>21.518599999999999</v>
      </c>
      <c r="P154" s="901">
        <f>(G68*($C$50+$C$55))+(G87*$C$51)+(G106*$C$52)+(G125*$C$53)+(G144*$C$54)</f>
        <v>22.702199999999998</v>
      </c>
      <c r="Q154" s="901">
        <f>(H68*($C$50+$C$55))+(H87*$C$51)+(H106*$C$52)+(H125*$C$53)+(H144*$C$54)</f>
        <v>15.345599999999999</v>
      </c>
      <c r="R154" s="473" t="s">
        <v>817</v>
      </c>
      <c r="S154" s="473" t="s">
        <v>817</v>
      </c>
      <c r="T154" s="471">
        <v>1</v>
      </c>
      <c r="U154" s="471">
        <v>1</v>
      </c>
      <c r="V154" s="471">
        <v>1</v>
      </c>
      <c r="X154" s="473" t="str">
        <f t="shared" si="48"/>
        <v>Höstkorn</v>
      </c>
      <c r="Y154" s="473"/>
      <c r="Z154" s="476">
        <v>1</v>
      </c>
      <c r="AA154" s="476">
        <f t="shared" si="49"/>
        <v>0.74474201094632764</v>
      </c>
      <c r="AB154" s="476">
        <f t="shared" si="50"/>
        <v>0.5936231020480226</v>
      </c>
      <c r="AC154" s="476">
        <f t="shared" si="51"/>
        <v>0.62627449682203384</v>
      </c>
      <c r="AD154" s="476">
        <f t="shared" si="52"/>
        <v>0.42333156779661013</v>
      </c>
      <c r="AE154" s="473"/>
      <c r="AF154" s="473"/>
    </row>
    <row r="155" spans="1:32" ht="13.5" thickBot="1">
      <c r="A155" s="919"/>
      <c r="B155" s="968"/>
      <c r="C155" s="965"/>
      <c r="D155" s="965"/>
      <c r="E155" s="965"/>
      <c r="F155" s="965"/>
      <c r="G155" s="965"/>
      <c r="H155" s="965"/>
      <c r="I155" s="919"/>
      <c r="K155" s="478" t="str">
        <f>'Tekniskt underlag'!A10</f>
        <v>Vårkorn, foder</v>
      </c>
      <c r="L155" s="182"/>
      <c r="M155" s="901">
        <f>($D$69*($C$50+$C$55))+($D$88*$C$51)+($D$107*$C$52)+($D$126*$C$53)+($D$145*$C$54)</f>
        <v>35.013200000000005</v>
      </c>
      <c r="N155" s="901">
        <f t="shared" ref="N155:Q157" si="53">(E$69*($C$50+$C$55))+(E$88*$C$51)+(E$107*$C$52)+(E$126*$C$53)+(E$145*$C$54)</f>
        <v>27.537600000000001</v>
      </c>
      <c r="O155" s="901">
        <f t="shared" si="53"/>
        <v>21.340599999999998</v>
      </c>
      <c r="P155" s="901">
        <f t="shared" si="53"/>
        <v>22.6022</v>
      </c>
      <c r="Q155" s="901">
        <f t="shared" si="53"/>
        <v>17.72</v>
      </c>
      <c r="R155" s="473" t="s">
        <v>817</v>
      </c>
      <c r="S155" s="473" t="s">
        <v>817</v>
      </c>
      <c r="T155" s="471">
        <v>1</v>
      </c>
      <c r="U155" s="471">
        <v>1</v>
      </c>
      <c r="V155" s="471">
        <v>1</v>
      </c>
      <c r="X155" s="473" t="str">
        <f t="shared" si="48"/>
        <v>Vårkorn, foder</v>
      </c>
      <c r="Y155" s="473"/>
      <c r="Z155" s="476">
        <v>1</v>
      </c>
      <c r="AA155" s="476">
        <f t="shared" si="49"/>
        <v>0.7864919516068225</v>
      </c>
      <c r="AB155" s="476">
        <f t="shared" si="50"/>
        <v>0.60950155941187878</v>
      </c>
      <c r="AC155" s="476">
        <f t="shared" si="51"/>
        <v>0.64553368443901149</v>
      </c>
      <c r="AD155" s="476">
        <f t="shared" si="52"/>
        <v>0.50609484423017592</v>
      </c>
      <c r="AE155" s="473"/>
      <c r="AF155" s="473"/>
    </row>
    <row r="156" spans="1:32">
      <c r="A156" s="919"/>
      <c r="B156" s="919"/>
      <c r="C156" s="919"/>
      <c r="D156" s="919"/>
      <c r="E156" s="919"/>
      <c r="F156" s="919"/>
      <c r="G156" s="919"/>
      <c r="H156" s="919"/>
      <c r="I156" s="919"/>
      <c r="K156" s="478" t="str">
        <f>'Tekniskt underlag'!A11</f>
        <v>Maltkorn</v>
      </c>
      <c r="L156" s="182"/>
      <c r="M156" s="901">
        <f>(D$69*($C$50+$C$55))+(D$88*$C$51)+(D$107*$C$52)+(D$126*$C$53)+(D$145*$C$54)</f>
        <v>35.013200000000005</v>
      </c>
      <c r="N156" s="901">
        <f t="shared" si="53"/>
        <v>27.537600000000001</v>
      </c>
      <c r="O156" s="901">
        <f t="shared" si="53"/>
        <v>21.340599999999998</v>
      </c>
      <c r="P156" s="901">
        <f t="shared" si="53"/>
        <v>22.6022</v>
      </c>
      <c r="Q156" s="901">
        <f t="shared" si="53"/>
        <v>17.72</v>
      </c>
      <c r="R156" s="473" t="s">
        <v>817</v>
      </c>
      <c r="S156" s="473" t="s">
        <v>817</v>
      </c>
      <c r="T156" s="471">
        <v>1</v>
      </c>
      <c r="U156" s="471">
        <v>1</v>
      </c>
      <c r="V156" s="471">
        <v>1</v>
      </c>
      <c r="X156" s="473" t="str">
        <f t="shared" si="48"/>
        <v>Maltkorn</v>
      </c>
      <c r="Y156" s="473"/>
      <c r="Z156" s="476">
        <v>1</v>
      </c>
      <c r="AA156" s="476">
        <f t="shared" si="49"/>
        <v>0.7864919516068225</v>
      </c>
      <c r="AB156" s="476">
        <f t="shared" si="50"/>
        <v>0.60950155941187878</v>
      </c>
      <c r="AC156" s="476">
        <f t="shared" si="51"/>
        <v>0.64553368443901149</v>
      </c>
      <c r="AD156" s="476">
        <f t="shared" si="52"/>
        <v>0.50609484423017592</v>
      </c>
      <c r="AE156" s="473"/>
      <c r="AF156" s="473"/>
    </row>
    <row r="157" spans="1:32">
      <c r="A157" s="919"/>
      <c r="B157" s="919"/>
      <c r="C157" s="919"/>
      <c r="D157" s="919"/>
      <c r="E157" s="919"/>
      <c r="F157" s="919"/>
      <c r="G157" s="919"/>
      <c r="H157" s="919"/>
      <c r="I157" s="919"/>
      <c r="K157" s="478" t="str">
        <f>'Tekniskt underlag'!A12</f>
        <v>Vårvete</v>
      </c>
      <c r="L157" s="182"/>
      <c r="M157" s="901">
        <f>(D$69*($C$50+$C$55))+(D$88*$C$51)+(D$107*$C$52)+(D$126*$C$53)+(D$145*$C$54)</f>
        <v>35.013200000000005</v>
      </c>
      <c r="N157" s="901">
        <f t="shared" si="53"/>
        <v>27.537600000000001</v>
      </c>
      <c r="O157" s="901">
        <f t="shared" si="53"/>
        <v>21.340599999999998</v>
      </c>
      <c r="P157" s="901">
        <f t="shared" si="53"/>
        <v>22.6022</v>
      </c>
      <c r="Q157" s="901">
        <f t="shared" si="53"/>
        <v>17.72</v>
      </c>
      <c r="R157" s="473" t="s">
        <v>817</v>
      </c>
      <c r="S157" s="473" t="s">
        <v>817</v>
      </c>
      <c r="T157" s="471">
        <v>1</v>
      </c>
      <c r="U157" s="471">
        <v>1</v>
      </c>
      <c r="V157" s="471">
        <v>1</v>
      </c>
      <c r="X157" s="473" t="str">
        <f t="shared" si="48"/>
        <v>Vårvete</v>
      </c>
      <c r="Y157" s="473"/>
      <c r="Z157" s="476">
        <v>1</v>
      </c>
      <c r="AA157" s="476">
        <f t="shared" si="49"/>
        <v>0.7864919516068225</v>
      </c>
      <c r="AB157" s="476">
        <f t="shared" si="50"/>
        <v>0.60950155941187878</v>
      </c>
      <c r="AC157" s="476">
        <f t="shared" si="51"/>
        <v>0.64553368443901149</v>
      </c>
      <c r="AD157" s="476">
        <f t="shared" si="52"/>
        <v>0.50609484423017592</v>
      </c>
      <c r="AE157" s="473"/>
      <c r="AF157" s="473"/>
    </row>
    <row r="158" spans="1:32">
      <c r="A158" s="919"/>
      <c r="B158" s="919"/>
      <c r="C158" s="919"/>
      <c r="D158" s="919"/>
      <c r="E158" s="919"/>
      <c r="F158" s="919"/>
      <c r="G158" s="919"/>
      <c r="H158" s="919"/>
      <c r="I158" s="919"/>
      <c r="K158" s="478" t="str">
        <f>'Tekniskt underlag'!A13</f>
        <v>Havre</v>
      </c>
      <c r="L158" s="182"/>
      <c r="M158" s="901">
        <f t="shared" ref="M158:Q160" si="54">(D69*($C$50+$C$55))+(D88*$C$51)+(D107*$C$52)+(D126*$C$53)+(D145*$C$54)</f>
        <v>35.013200000000005</v>
      </c>
      <c r="N158" s="901">
        <f t="shared" si="54"/>
        <v>27.537600000000001</v>
      </c>
      <c r="O158" s="901">
        <f t="shared" si="54"/>
        <v>21.340599999999998</v>
      </c>
      <c r="P158" s="901">
        <f t="shared" si="54"/>
        <v>22.6022</v>
      </c>
      <c r="Q158" s="901">
        <f t="shared" si="54"/>
        <v>17.72</v>
      </c>
      <c r="R158" s="473" t="s">
        <v>817</v>
      </c>
      <c r="S158" s="473" t="s">
        <v>817</v>
      </c>
      <c r="T158" s="471">
        <v>1</v>
      </c>
      <c r="U158" s="471">
        <v>1</v>
      </c>
      <c r="V158" s="471">
        <v>1</v>
      </c>
      <c r="X158" s="473" t="str">
        <f t="shared" si="48"/>
        <v>Havre</v>
      </c>
      <c r="Y158" s="473"/>
      <c r="Z158" s="476">
        <v>1</v>
      </c>
      <c r="AA158" s="476">
        <f t="shared" si="49"/>
        <v>0.7864919516068225</v>
      </c>
      <c r="AB158" s="476">
        <f t="shared" si="50"/>
        <v>0.60950155941187878</v>
      </c>
      <c r="AC158" s="476">
        <f t="shared" si="51"/>
        <v>0.64553368443901149</v>
      </c>
      <c r="AD158" s="476">
        <f t="shared" si="52"/>
        <v>0.50609484423017592</v>
      </c>
      <c r="AE158" s="473"/>
      <c r="AF158" s="473"/>
    </row>
    <row r="159" spans="1:32">
      <c r="K159" s="478" t="str">
        <f>'Tekniskt underlag'!A14</f>
        <v xml:space="preserve">Höstraps </v>
      </c>
      <c r="L159" s="182"/>
      <c r="M159" s="901">
        <f>(D$70*($C$50+$C$55))+($D89*$C$51)+(D$108*$C$52)+(D$127*$C$53)+(D$146*$C$54)</f>
        <v>39.535399999999996</v>
      </c>
      <c r="N159" s="901">
        <f t="shared" si="54"/>
        <v>28.5198</v>
      </c>
      <c r="O159" s="901">
        <f t="shared" si="54"/>
        <v>23.4328</v>
      </c>
      <c r="P159" s="901">
        <f t="shared" si="54"/>
        <v>25.2164</v>
      </c>
      <c r="Q159" s="901">
        <f t="shared" si="54"/>
        <v>17.220799999999997</v>
      </c>
      <c r="R159" s="473" t="s">
        <v>817</v>
      </c>
      <c r="S159" s="473" t="s">
        <v>817</v>
      </c>
      <c r="T159" s="471">
        <v>1</v>
      </c>
      <c r="U159" s="471">
        <v>2</v>
      </c>
      <c r="V159" s="471">
        <v>1</v>
      </c>
      <c r="X159" s="473" t="str">
        <f t="shared" si="48"/>
        <v xml:space="preserve">Höstraps </v>
      </c>
      <c r="Y159" s="473"/>
      <c r="Z159" s="476">
        <v>1</v>
      </c>
      <c r="AA159" s="476">
        <f t="shared" si="49"/>
        <v>0.72137375617800759</v>
      </c>
      <c r="AB159" s="476">
        <f t="shared" si="50"/>
        <v>0.59270425997966392</v>
      </c>
      <c r="AC159" s="476">
        <f t="shared" si="51"/>
        <v>0.63781825907920509</v>
      </c>
      <c r="AD159" s="476">
        <f t="shared" si="52"/>
        <v>0.43557925302387224</v>
      </c>
      <c r="AE159" s="473"/>
      <c r="AF159" s="473"/>
    </row>
    <row r="160" spans="1:32">
      <c r="K160" s="478" t="str">
        <f>'Tekniskt underlag'!A15</f>
        <v>Vårraps</v>
      </c>
      <c r="L160" s="182"/>
      <c r="M160" s="901">
        <f>(D$71*($C$50+$C$55))+(D$90*$C$51)+(D$109*$C$52)+(D$128*$C$53)+(D$147*$C$54)</f>
        <v>39.6432</v>
      </c>
      <c r="N160" s="901">
        <f t="shared" si="54"/>
        <v>29.3718</v>
      </c>
      <c r="O160" s="901">
        <f t="shared" si="54"/>
        <v>23.151200000000003</v>
      </c>
      <c r="P160" s="901">
        <f t="shared" si="54"/>
        <v>24.977400000000003</v>
      </c>
      <c r="Q160" s="901">
        <f t="shared" si="54"/>
        <v>17.017200000000003</v>
      </c>
      <c r="R160" s="473" t="s">
        <v>817</v>
      </c>
      <c r="S160" s="473" t="s">
        <v>817</v>
      </c>
      <c r="T160" s="471">
        <v>1</v>
      </c>
      <c r="U160" s="471">
        <v>1</v>
      </c>
      <c r="V160" s="471">
        <v>1</v>
      </c>
      <c r="X160" s="473" t="str">
        <f t="shared" si="48"/>
        <v>Vårraps</v>
      </c>
      <c r="Y160" s="473"/>
      <c r="Z160" s="476">
        <v>1</v>
      </c>
      <c r="AA160" s="476">
        <f t="shared" si="49"/>
        <v>0.74090386245308149</v>
      </c>
      <c r="AB160" s="476">
        <f t="shared" si="50"/>
        <v>0.58398918351697149</v>
      </c>
      <c r="AC160" s="476">
        <f t="shared" si="51"/>
        <v>0.63005509141542571</v>
      </c>
      <c r="AD160" s="476">
        <f t="shared" si="52"/>
        <v>0.42925899019251734</v>
      </c>
      <c r="AE160" s="473"/>
      <c r="AF160" s="473"/>
    </row>
    <row r="161" spans="9:32">
      <c r="K161" s="478" t="str">
        <f>'Tekniskt underlag'!A16</f>
        <v>Oljelin</v>
      </c>
      <c r="L161" s="182"/>
      <c r="M161" s="901">
        <f>(D$71*($C$50+$C$55))+(D$90*$C$51)+(D$109*$C$52)+(D$128*$C$53)+(D$147*$C$54)</f>
        <v>39.6432</v>
      </c>
      <c r="N161" s="901">
        <f>(E$71*($C$50+$C$55))+(E$90*$C$51)+(E$109*$C$52)+(E$128*$C$53)+(E$147*$C$54)</f>
        <v>29.3718</v>
      </c>
      <c r="O161" s="901">
        <f>(F$71*($C$50+$C$55))+(F$90*$C$51)+(F$109*$C$52)+(F$128*$C$53)+(F$147*$C$54)</f>
        <v>23.151200000000003</v>
      </c>
      <c r="P161" s="901">
        <f>(G$71*($C$50+$C$55))+(G$90*$C$51)+(G$109*$C$52)+(G$128*$C$53)+(G$147*$C$54)</f>
        <v>24.977400000000003</v>
      </c>
      <c r="Q161" s="901">
        <f>(H$71*($C$50+$C$55))+(H$90*$C$51)+(H$109*$C$52)+(H$128*$C$53)+(H$147*$C$54)</f>
        <v>17.017200000000003</v>
      </c>
      <c r="R161" s="473" t="s">
        <v>817</v>
      </c>
      <c r="S161" s="473" t="s">
        <v>817</v>
      </c>
      <c r="T161" s="471">
        <v>1</v>
      </c>
      <c r="U161" s="471">
        <v>1</v>
      </c>
      <c r="V161" s="471">
        <v>1</v>
      </c>
      <c r="X161" s="473" t="str">
        <f t="shared" si="48"/>
        <v>Oljelin</v>
      </c>
      <c r="Y161" s="473"/>
      <c r="Z161" s="476">
        <v>1</v>
      </c>
      <c r="AA161" s="476">
        <f t="shared" ref="AA161" si="55">N161/M161</f>
        <v>0.74090386245308149</v>
      </c>
      <c r="AB161" s="476">
        <f t="shared" ref="AB161" si="56">O161/M161</f>
        <v>0.58398918351697149</v>
      </c>
      <c r="AC161" s="476">
        <f t="shared" ref="AC161" si="57">P161/M161</f>
        <v>0.63005509141542571</v>
      </c>
      <c r="AD161" s="476">
        <f t="shared" ref="AD161" si="58">Q161/M161</f>
        <v>0.42925899019251734</v>
      </c>
      <c r="AE161" s="473"/>
      <c r="AF161" s="473"/>
    </row>
    <row r="162" spans="9:32">
      <c r="K162" s="478" t="str">
        <f>'Tekniskt underlag'!A17</f>
        <v>Foderärt</v>
      </c>
      <c r="L162" s="182"/>
      <c r="M162" s="901">
        <f>(D$74*($C$50+$C$55))+(D$93*$C$51)+(D$112*$C$52)+(D$131*$C$53)+(D$150*$C$54)</f>
        <v>40.052399999999999</v>
      </c>
      <c r="N162" s="901">
        <f>(E74*($C$50+$C$55))+(E93*$C$51)+(E112*$C$52)+(E131*$C$53)+(E150*$C$54)</f>
        <v>30.273800000000001</v>
      </c>
      <c r="O162" s="901">
        <f>(F74*($C$50+$C$55))+(F93*$C$51)+(F112*$C$52)+(F131*$C$53)+(F150*$C$54)</f>
        <v>23.273200000000003</v>
      </c>
      <c r="P162" s="901">
        <f>(G74*($C$50+$C$55))+(G93*$C$51)+(G112*$C$52)+(G131*$C$53)+(G150*$C$54)</f>
        <v>25.555399999999999</v>
      </c>
      <c r="Q162" s="901">
        <f>(H74*($C$50+$C$55))+(H93*$C$51)+(H112*$C$52)+(H131*$C$53)+(H150*$C$54)</f>
        <v>17.2562</v>
      </c>
      <c r="R162" s="473" t="s">
        <v>817</v>
      </c>
      <c r="S162" s="473" t="s">
        <v>817</v>
      </c>
      <c r="T162" s="471">
        <v>1</v>
      </c>
      <c r="U162" s="471">
        <v>1</v>
      </c>
      <c r="V162" s="471">
        <v>1</v>
      </c>
      <c r="X162" s="473" t="str">
        <f t="shared" si="48"/>
        <v>Foderärt</v>
      </c>
      <c r="Y162" s="473"/>
      <c r="Z162" s="476">
        <v>1</v>
      </c>
      <c r="AA162" s="476">
        <f t="shared" si="49"/>
        <v>0.75585483017247412</v>
      </c>
      <c r="AB162" s="476">
        <f t="shared" si="50"/>
        <v>0.58106879987216753</v>
      </c>
      <c r="AC162" s="476">
        <f t="shared" si="51"/>
        <v>0.63804915560615594</v>
      </c>
      <c r="AD162" s="476">
        <f t="shared" si="52"/>
        <v>0.43084059881555165</v>
      </c>
      <c r="AE162" s="473"/>
      <c r="AF162" s="473"/>
    </row>
    <row r="163" spans="9:32">
      <c r="K163" s="478" t="str">
        <f>'Tekniskt underlag'!A18</f>
        <v>Konservärter</v>
      </c>
      <c r="L163" s="182"/>
      <c r="M163" s="901">
        <f>M162*1.08</f>
        <v>43.256592000000005</v>
      </c>
      <c r="N163" s="901">
        <f>N162*1.08</f>
        <v>32.695704000000006</v>
      </c>
      <c r="O163" s="901">
        <f>O162*1.08</f>
        <v>25.135056000000006</v>
      </c>
      <c r="P163" s="901">
        <f>P162*1.08</f>
        <v>27.599831999999999</v>
      </c>
      <c r="Q163" s="901">
        <f>Q162*1.08</f>
        <v>18.636696000000001</v>
      </c>
      <c r="R163" s="473" t="s">
        <v>817</v>
      </c>
      <c r="S163" s="473" t="s">
        <v>817</v>
      </c>
      <c r="T163" s="471">
        <v>1</v>
      </c>
      <c r="U163" s="471">
        <v>1</v>
      </c>
      <c r="V163" s="471">
        <v>1</v>
      </c>
      <c r="X163" s="473" t="str">
        <f t="shared" si="48"/>
        <v>Konservärter</v>
      </c>
      <c r="Y163" s="473"/>
      <c r="Z163" s="476">
        <v>1</v>
      </c>
      <c r="AA163" s="476">
        <f t="shared" si="49"/>
        <v>0.75585483017247412</v>
      </c>
      <c r="AB163" s="476">
        <f t="shared" si="50"/>
        <v>0.58106879987216753</v>
      </c>
      <c r="AC163" s="476">
        <f t="shared" si="51"/>
        <v>0.63804915560615583</v>
      </c>
      <c r="AD163" s="476">
        <f t="shared" si="52"/>
        <v>0.43084059881555159</v>
      </c>
      <c r="AE163" s="473"/>
      <c r="AF163" s="473"/>
    </row>
    <row r="164" spans="9:32">
      <c r="K164" s="478" t="str">
        <f>'Tekniskt underlag'!A19</f>
        <v>Åkerbönor</v>
      </c>
      <c r="L164" s="182"/>
      <c r="M164" s="901">
        <f t="shared" ref="M164" si="59">(D$74*($C$50+$C$55))+(D$93*$C$51)+(D$112*$C$52)+(D$131*$C$53)+(D$150*$C$54)</f>
        <v>40.052399999999999</v>
      </c>
      <c r="N164" s="901">
        <f t="shared" ref="N164" si="60">(E$74*($C$50+$C$55))+(E$93*$C$51)+(E$112*$C$52)+(E$131*$C$53)+(E$150*$C$54)</f>
        <v>30.273800000000001</v>
      </c>
      <c r="O164" s="901">
        <f t="shared" ref="O164" si="61">(F$74*($C$50+$C$55))+(F$93*$C$51)+(F$112*$C$52)+(F$131*$C$53)+(F$150*$C$54)</f>
        <v>23.273200000000003</v>
      </c>
      <c r="P164" s="901">
        <f t="shared" ref="P164" si="62">(G$74*($C$50+$C$55))+(G$93*$C$51)+(G$112*$C$52)+(G$131*$C$53)+(G$150*$C$54)</f>
        <v>25.555399999999999</v>
      </c>
      <c r="Q164" s="901">
        <f t="shared" ref="Q164" si="63">(H$74*($C$50+$C$55))+(H$93*$C$51)+(H$112*$C$52)+(H$131*$C$53)+(H$150*$C$54)</f>
        <v>17.2562</v>
      </c>
      <c r="R164" s="473" t="s">
        <v>817</v>
      </c>
      <c r="S164" s="473" t="s">
        <v>817</v>
      </c>
      <c r="T164" s="471">
        <v>1</v>
      </c>
      <c r="U164" s="471">
        <v>1</v>
      </c>
      <c r="V164" s="471">
        <v>1</v>
      </c>
      <c r="X164" s="473" t="str">
        <f t="shared" si="48"/>
        <v>Åkerbönor</v>
      </c>
      <c r="Y164" s="473"/>
      <c r="Z164" s="476">
        <v>1</v>
      </c>
      <c r="AA164" s="476">
        <f t="shared" ref="AA164" si="64">N164/M164</f>
        <v>0.75585483017247412</v>
      </c>
      <c r="AB164" s="476">
        <f t="shared" ref="AB164" si="65">O164/M164</f>
        <v>0.58106879987216753</v>
      </c>
      <c r="AC164" s="476">
        <f t="shared" ref="AC164" si="66">P164/M164</f>
        <v>0.63804915560615594</v>
      </c>
      <c r="AD164" s="476">
        <f t="shared" ref="AD164" si="67">Q164/M164</f>
        <v>0.43084059881555165</v>
      </c>
      <c r="AE164" s="473"/>
      <c r="AF164" s="473"/>
    </row>
    <row r="165" spans="9:32">
      <c r="K165" s="478" t="str">
        <f>'Tekniskt underlag'!A20</f>
        <v>Sockerbetor</v>
      </c>
      <c r="L165" s="182"/>
      <c r="M165" s="901">
        <f>(D73*($C$50+$C$55))+(D92*$C$51)+(D111*$C$52)+(D130*$C$53)+(D149*$C$54)</f>
        <v>35.272999999999996</v>
      </c>
      <c r="N165" s="901">
        <f>(E73*($C$50+$C$55))+(E92*$C$51)+(E111*$C$52)+(E130*$C$53)+(E149*$C$54)</f>
        <v>26.661000000000001</v>
      </c>
      <c r="O165" s="901">
        <f>(F73*($C$50+$C$55))+(F92*$C$51)+(F111*$C$52)+(F130*$C$53)+(F149*$C$54)</f>
        <v>20.542000000000002</v>
      </c>
      <c r="P165" s="901">
        <f>(G73*($C$50+$C$55))+(G92*$C$51)+(G111*$C$52)+(G130*$C$53)+(G149*$C$54)</f>
        <v>25.011399999999998</v>
      </c>
      <c r="Q165" s="901">
        <f>(H73*($C$50+$C$55))+(H92*$C$51)+(H111*$C$52)+(H130*$C$53)+(H149*$C$54)</f>
        <v>18.2364</v>
      </c>
      <c r="R165" s="473" t="s">
        <v>817</v>
      </c>
      <c r="S165" s="473" t="s">
        <v>817</v>
      </c>
      <c r="T165" s="471">
        <v>1</v>
      </c>
      <c r="U165" s="471">
        <v>1</v>
      </c>
      <c r="V165" s="471">
        <v>2</v>
      </c>
      <c r="X165" s="473" t="str">
        <f t="shared" si="48"/>
        <v>Sockerbetor</v>
      </c>
      <c r="Y165" s="473"/>
      <c r="Z165" s="476">
        <v>1</v>
      </c>
      <c r="AA165" s="476">
        <f t="shared" si="49"/>
        <v>0.75584724860374808</v>
      </c>
      <c r="AB165" s="476">
        <f t="shared" si="50"/>
        <v>0.58237178578516158</v>
      </c>
      <c r="AC165" s="476">
        <f t="shared" si="51"/>
        <v>0.7090805998922689</v>
      </c>
      <c r="AD165" s="476">
        <f t="shared" si="52"/>
        <v>0.51700734272673154</v>
      </c>
      <c r="AE165" s="473"/>
      <c r="AF165" s="473"/>
    </row>
    <row r="166" spans="9:32">
      <c r="K166" s="478" t="str">
        <f>'Tekniskt underlag'!A21</f>
        <v>Matpotatis (parti)*</v>
      </c>
      <c r="L166" s="182"/>
      <c r="M166" s="901">
        <f>(D72*($C$50+$C$55))+(D91*$C$51)+(D110*$C$52)+(D129*$C$53)+(D148*$C$54)</f>
        <v>46.563000000000002</v>
      </c>
      <c r="N166" s="901">
        <f>(E72*($C$50+$C$55))+(E91*$C$51)+(E110*$C$52)+(E131*$C$53)+(E150*$C$54)</f>
        <v>34.344200000000001</v>
      </c>
      <c r="O166" s="901">
        <f>(F72*($C$50+$C$55))+(F91*$C$51)+(F110*$C$52)+(F131*$C$53)+(F150*$C$54)</f>
        <v>14.420199999999999</v>
      </c>
      <c r="P166" s="901">
        <f>(G72*($C$50+$C$55))+(G91*$C$51)+(G110*$C$52)+(G131*$C$53)+(G150*$C$54)</f>
        <v>32.246000000000002</v>
      </c>
      <c r="Q166" s="901">
        <f>(H72*($C$50+$C$55))+(H91*$C$51)+(H110*$C$52)+(H131*$C$53)+(H150*$C$54)</f>
        <v>23.599400000000003</v>
      </c>
      <c r="R166" s="473" t="s">
        <v>817</v>
      </c>
      <c r="S166" s="473" t="s">
        <v>817</v>
      </c>
      <c r="T166" s="471">
        <v>1</v>
      </c>
      <c r="U166" s="471">
        <v>1</v>
      </c>
      <c r="V166" s="471">
        <v>2</v>
      </c>
      <c r="X166" s="473" t="str">
        <f t="shared" si="48"/>
        <v>Matpotatis (parti)*</v>
      </c>
      <c r="Y166" s="473"/>
      <c r="Z166" s="476">
        <v>1</v>
      </c>
      <c r="AA166" s="476">
        <f t="shared" si="49"/>
        <v>0.73758563666430421</v>
      </c>
      <c r="AB166" s="476">
        <f t="shared" si="50"/>
        <v>0.3096922449154908</v>
      </c>
      <c r="AC166" s="476">
        <f t="shared" si="51"/>
        <v>0.69252410712368195</v>
      </c>
      <c r="AD166" s="476">
        <f t="shared" si="52"/>
        <v>0.50682730923694785</v>
      </c>
      <c r="AE166" s="473"/>
      <c r="AF166" s="473"/>
    </row>
    <row r="167" spans="9:32">
      <c r="K167" s="478" t="str">
        <f>'Tekniskt underlag'!A22</f>
        <v>Slåttervall, ensilage</v>
      </c>
      <c r="L167" s="182"/>
      <c r="M167" s="901">
        <f>(C$65*($C$50+$C$55))+(C$84*$C$51)+(C$103*$C$52)+(C$122*$C$53)+(C$141*$C$54)</f>
        <v>15.472999999999999</v>
      </c>
      <c r="N167" s="473" t="s">
        <v>817</v>
      </c>
      <c r="O167" s="473" t="s">
        <v>817</v>
      </c>
      <c r="P167" s="473" t="s">
        <v>817</v>
      </c>
      <c r="Q167" s="473" t="s">
        <v>817</v>
      </c>
      <c r="R167" s="901">
        <f t="shared" ref="R167:S168" si="68">(D$66*($C$50+$C$55))+(D$85*$C$51)+(D$104*$C$52)+(D$123*$C$53)+(D$142*$C$54)</f>
        <v>41.473000000000006</v>
      </c>
      <c r="S167" s="901">
        <f t="shared" si="68"/>
        <v>29.337999999999997</v>
      </c>
      <c r="T167" s="471">
        <v>2</v>
      </c>
      <c r="U167" s="471">
        <v>3</v>
      </c>
      <c r="V167" s="471"/>
      <c r="X167" s="473" t="str">
        <f t="shared" si="48"/>
        <v>Slåttervall, ensilage</v>
      </c>
      <c r="Y167" s="473"/>
      <c r="Z167" s="476">
        <v>1</v>
      </c>
      <c r="AA167" s="476"/>
      <c r="AB167" s="476">
        <v>1.06</v>
      </c>
      <c r="AC167" s="476"/>
      <c r="AD167" s="476"/>
      <c r="AE167" s="476">
        <f>R167/M167</f>
        <v>2.6803464098752672</v>
      </c>
      <c r="AF167" s="476">
        <f>S167/M167</f>
        <v>1.896077037420022</v>
      </c>
    </row>
    <row r="168" spans="9:32">
      <c r="K168" s="478" t="str">
        <f>'Tekniskt underlag'!A23</f>
        <v>Helsädesensilage</v>
      </c>
      <c r="L168" s="182"/>
      <c r="M168" s="901">
        <f>(C$65*($C$50+$C$55))+(C$84*$C$51)+(C$103*$C$52)+(C$122*$C$53)+(C$141*$C$54)</f>
        <v>15.472999999999999</v>
      </c>
      <c r="N168" s="473" t="s">
        <v>817</v>
      </c>
      <c r="O168" s="473" t="s">
        <v>817</v>
      </c>
      <c r="P168" s="473" t="s">
        <v>817</v>
      </c>
      <c r="Q168" s="473" t="s">
        <v>817</v>
      </c>
      <c r="R168" s="901">
        <f t="shared" si="68"/>
        <v>41.473000000000006</v>
      </c>
      <c r="S168" s="901">
        <f t="shared" si="68"/>
        <v>29.337999999999997</v>
      </c>
      <c r="T168" s="471">
        <v>2</v>
      </c>
      <c r="U168" s="471">
        <v>3</v>
      </c>
      <c r="V168" s="471"/>
      <c r="X168" s="473" t="str">
        <f t="shared" si="48"/>
        <v>Helsädesensilage</v>
      </c>
      <c r="Y168" s="473"/>
      <c r="Z168" s="476">
        <v>1</v>
      </c>
      <c r="AA168" s="476"/>
      <c r="AB168" s="476">
        <v>1.06</v>
      </c>
      <c r="AC168" s="476"/>
      <c r="AD168" s="476"/>
      <c r="AE168" s="476">
        <f>R168/M168</f>
        <v>2.6803464098752672</v>
      </c>
      <c r="AF168" s="476">
        <f>S168/M168</f>
        <v>1.896077037420022</v>
      </c>
    </row>
    <row r="169" spans="9:32">
      <c r="K169" s="478" t="str">
        <f>'Tekniskt underlag'!A24</f>
        <v>Fodermajs</v>
      </c>
      <c r="L169" s="182"/>
      <c r="M169" s="901">
        <f>(D$75*($C$50+$C$55))+(D$94*$C$51)+(D$113*$C$52)+(D$132*$C$53)+(D$151*$C$54)</f>
        <v>43.733200000000004</v>
      </c>
      <c r="N169" s="901">
        <f t="shared" ref="N169" si="69">(E$75*($C$50+$C$55))+(E$94*$C$51)+(E$113*$C$52)+(E$132*$C$53)+(E$151*$C$54)</f>
        <v>32.771000000000001</v>
      </c>
      <c r="O169" s="901">
        <f t="shared" ref="O169" si="70">(F$75*($C$50+$C$55))+(F$94*$C$51)+(F$113*$C$52)+(F$132*$C$53)+(F$151*$C$54)</f>
        <v>24.905800000000003</v>
      </c>
      <c r="P169" s="901">
        <f t="shared" ref="P169" si="71">(G$75*($C$50+$C$55))+(G$94*$C$51)+(G$113*$C$52)+(G$132*$C$53)+(G$151*$C$54)</f>
        <v>0</v>
      </c>
      <c r="Q169" s="901">
        <f t="shared" ref="Q169" si="72">(H$75*($C$50+$C$55))+(H$94*$C$51)+(H$113*$C$52)+(H$132*$C$53)+(H$151*$C$54)</f>
        <v>0</v>
      </c>
      <c r="R169" s="473" t="s">
        <v>817</v>
      </c>
      <c r="S169" s="473" t="s">
        <v>817</v>
      </c>
      <c r="T169" s="471">
        <v>2</v>
      </c>
      <c r="U169" s="471">
        <v>3</v>
      </c>
      <c r="V169" s="471"/>
      <c r="X169" s="473" t="str">
        <f t="shared" si="48"/>
        <v>Fodermajs</v>
      </c>
      <c r="Y169" s="473"/>
      <c r="Z169" s="476">
        <v>1</v>
      </c>
      <c r="AA169" s="476">
        <f t="shared" ref="AA169:AA177" si="73">N169/M169</f>
        <v>0.74933917481455736</v>
      </c>
      <c r="AB169" s="476"/>
      <c r="AC169" s="476"/>
      <c r="AD169" s="476"/>
      <c r="AE169" s="476"/>
      <c r="AF169" s="476"/>
    </row>
    <row r="170" spans="9:32">
      <c r="K170" s="478">
        <f>'Tekniskt underlag'!A25</f>
        <v>0</v>
      </c>
      <c r="L170" s="182"/>
      <c r="M170" s="806"/>
      <c r="N170" s="695"/>
      <c r="O170" s="695"/>
      <c r="P170" s="695"/>
      <c r="Q170" s="695"/>
      <c r="R170" s="806"/>
      <c r="S170" s="806"/>
      <c r="T170" s="484"/>
      <c r="U170" s="484"/>
      <c r="V170" s="484"/>
      <c r="X170" s="473"/>
      <c r="Y170" s="473"/>
      <c r="Z170" s="476"/>
      <c r="AA170" s="476"/>
      <c r="AB170" s="476"/>
      <c r="AC170" s="476"/>
      <c r="AD170" s="476"/>
      <c r="AE170" s="476"/>
      <c r="AF170" s="476"/>
    </row>
    <row r="171" spans="9:32">
      <c r="K171" s="478" t="str">
        <f>'Tekniskt underlag'!A26</f>
        <v>Gröngödsling</v>
      </c>
      <c r="L171" s="182"/>
      <c r="M171" s="901">
        <f t="shared" ref="M171" si="74">(C$65*($C$50+$C$55))+(C$84*$C$51)+(C$103*$C$52)+(C$122*$C$53)+(C$141*$C$54)</f>
        <v>15.472999999999999</v>
      </c>
      <c r="N171" s="473" t="s">
        <v>817</v>
      </c>
      <c r="O171" s="473" t="s">
        <v>817</v>
      </c>
      <c r="P171" s="473" t="s">
        <v>817</v>
      </c>
      <c r="Q171" s="473" t="s">
        <v>817</v>
      </c>
      <c r="R171" s="901">
        <f t="shared" ref="R171:R172" si="75">(D$66*($C$50+$C$55))+(D$85*$C$51)+(D$104*$C$52)+(D$123*$C$53)+(D$142*$C$54)</f>
        <v>41.473000000000006</v>
      </c>
      <c r="S171" s="901">
        <f t="shared" ref="S171:S172" si="76">(E$66*($C$50+$C$55))+(E$85*$C$51)+(E$104*$C$52)+(E$123*$C$53)+(E$142*$C$54)</f>
        <v>29.337999999999997</v>
      </c>
      <c r="T171" s="471">
        <v>2</v>
      </c>
      <c r="U171" s="471">
        <v>3</v>
      </c>
      <c r="V171" s="471">
        <v>2</v>
      </c>
      <c r="X171" s="473" t="str">
        <f t="shared" ref="X171:X177" si="77">K171</f>
        <v>Gröngödsling</v>
      </c>
      <c r="Y171" s="473"/>
      <c r="Z171" s="476">
        <v>1</v>
      </c>
      <c r="AA171" s="476"/>
      <c r="AB171" s="476">
        <v>1.06</v>
      </c>
      <c r="AC171" s="476"/>
      <c r="AD171" s="476"/>
      <c r="AE171" s="476">
        <f>R171/M171</f>
        <v>2.6803464098752672</v>
      </c>
      <c r="AF171" s="476">
        <f>S171/M171</f>
        <v>1.896077037420022</v>
      </c>
    </row>
    <row r="172" spans="9:32">
      <c r="K172" s="407" t="str">
        <f>'Tekniskt underlag'!A27</f>
        <v>Fröodling</v>
      </c>
      <c r="L172" s="2083"/>
      <c r="M172" s="901">
        <f>(C$65*($C$50+$C$55))+(C$84*$C$51)+(C$103*$C$52)+(C$122*$C$53)+(C$141*$C$54)</f>
        <v>15.472999999999999</v>
      </c>
      <c r="N172" s="473" t="s">
        <v>817</v>
      </c>
      <c r="O172" s="473" t="s">
        <v>817</v>
      </c>
      <c r="P172" s="473" t="s">
        <v>817</v>
      </c>
      <c r="Q172" s="473" t="s">
        <v>817</v>
      </c>
      <c r="R172" s="901">
        <f t="shared" si="75"/>
        <v>41.473000000000006</v>
      </c>
      <c r="S172" s="901">
        <f t="shared" si="76"/>
        <v>29.337999999999997</v>
      </c>
      <c r="T172" s="471">
        <v>3</v>
      </c>
      <c r="U172" s="471">
        <v>3</v>
      </c>
      <c r="V172" s="471"/>
      <c r="X172" s="473" t="str">
        <f t="shared" si="77"/>
        <v>Fröodling</v>
      </c>
      <c r="Y172" s="473"/>
      <c r="Z172" s="476">
        <v>1</v>
      </c>
      <c r="AA172" s="476" t="e">
        <f t="shared" si="73"/>
        <v>#VALUE!</v>
      </c>
      <c r="AB172" s="476" t="e">
        <f>O172/M172</f>
        <v>#VALUE!</v>
      </c>
      <c r="AC172" s="476" t="e">
        <f>P172/M172</f>
        <v>#VALUE!</v>
      </c>
      <c r="AD172" s="476" t="e">
        <f>Q172/M172</f>
        <v>#VALUE!</v>
      </c>
      <c r="AE172" s="473"/>
      <c r="AF172" s="473"/>
    </row>
    <row r="173" spans="9:32" ht="15.75">
      <c r="I173" s="2154"/>
      <c r="K173" s="478">
        <f>'Tekniskt underlag'!A28</f>
        <v>0</v>
      </c>
      <c r="L173" s="182"/>
      <c r="M173" s="2155"/>
      <c r="N173" s="2156"/>
      <c r="O173" s="2156"/>
      <c r="P173" s="2156"/>
      <c r="Q173" s="2156"/>
      <c r="R173" s="695"/>
      <c r="S173" s="695"/>
      <c r="T173" s="484">
        <v>1</v>
      </c>
      <c r="U173" s="484">
        <v>1</v>
      </c>
      <c r="V173" s="484">
        <v>1</v>
      </c>
      <c r="X173" s="473">
        <f t="shared" si="77"/>
        <v>0</v>
      </c>
      <c r="Y173" s="473"/>
      <c r="Z173" s="476">
        <v>1</v>
      </c>
      <c r="AA173" s="476" t="e">
        <f t="shared" si="73"/>
        <v>#DIV/0!</v>
      </c>
      <c r="AB173" s="476" t="e">
        <f t="shared" ref="AB173:AB177" si="78">O173/M173</f>
        <v>#DIV/0!</v>
      </c>
      <c r="AC173" s="476" t="e">
        <f t="shared" ref="AC173:AC177" si="79">P173/M173</f>
        <v>#DIV/0!</v>
      </c>
      <c r="AD173" s="476" t="e">
        <f t="shared" ref="AD173:AD177" si="80">Q173/M173</f>
        <v>#DIV/0!</v>
      </c>
      <c r="AE173" s="473"/>
      <c r="AF173" s="473"/>
    </row>
    <row r="174" spans="9:32">
      <c r="K174" s="478">
        <f>'Tekniskt underlag'!A29</f>
        <v>0</v>
      </c>
      <c r="L174" s="182"/>
      <c r="M174" s="901">
        <f>($D$69*($C$50+$C$55))+($D$88*$C$51)+($D$107*$C$52)+($D$126*$C$53)+($D$145*$C$54)</f>
        <v>35.013200000000005</v>
      </c>
      <c r="N174" s="901">
        <f t="shared" ref="N174" si="81">(E$69*($C$50+$C$55))+(E$88*$C$51)+(E$107*$C$52)+(E$126*$C$53)+(E$145*$C$54)</f>
        <v>27.537600000000001</v>
      </c>
      <c r="O174" s="901">
        <f t="shared" ref="O174" si="82">(F$69*($C$50+$C$55))+(F$88*$C$51)+(F$107*$C$52)+(F$126*$C$53)+(F$145*$C$54)</f>
        <v>21.340599999999998</v>
      </c>
      <c r="P174" s="901">
        <f t="shared" ref="P174" si="83">(G$69*($C$50+$C$55))+(G$88*$C$51)+(G$107*$C$52)+(G$126*$C$53)+(G$145*$C$54)</f>
        <v>22.6022</v>
      </c>
      <c r="Q174" s="901">
        <f t="shared" ref="Q174" si="84">(H$69*($C$50+$C$55))+(H$88*$C$51)+(H$107*$C$52)+(H$126*$C$53)+(H$145*$C$54)</f>
        <v>17.72</v>
      </c>
      <c r="R174" s="473" t="s">
        <v>817</v>
      </c>
      <c r="S174" s="473" t="s">
        <v>817</v>
      </c>
      <c r="T174" s="695">
        <v>1</v>
      </c>
      <c r="U174" s="695">
        <v>1</v>
      </c>
      <c r="V174" s="695">
        <v>1</v>
      </c>
      <c r="X174" s="473">
        <f t="shared" si="77"/>
        <v>0</v>
      </c>
      <c r="Y174" s="182"/>
      <c r="Z174" s="476">
        <v>1</v>
      </c>
      <c r="AA174" s="476">
        <f t="shared" si="73"/>
        <v>0.7864919516068225</v>
      </c>
      <c r="AB174" s="476">
        <f t="shared" si="78"/>
        <v>0.60950155941187878</v>
      </c>
      <c r="AC174" s="476">
        <f t="shared" si="79"/>
        <v>0.64553368443901149</v>
      </c>
      <c r="AD174" s="476">
        <f t="shared" si="80"/>
        <v>0.50609484423017592</v>
      </c>
      <c r="AE174" s="473"/>
      <c r="AF174" s="473"/>
    </row>
    <row r="175" spans="9:32">
      <c r="K175" s="478">
        <f>'Tekniskt underlag'!A30</f>
        <v>0</v>
      </c>
      <c r="L175" s="182"/>
      <c r="M175" s="1022"/>
      <c r="N175" s="695"/>
      <c r="O175" s="695"/>
      <c r="P175" s="695"/>
      <c r="Q175" s="695"/>
      <c r="R175" s="695"/>
      <c r="S175" s="695"/>
      <c r="T175" s="695"/>
      <c r="U175" s="695"/>
      <c r="V175" s="695"/>
      <c r="X175" s="473">
        <f t="shared" si="77"/>
        <v>0</v>
      </c>
      <c r="Y175" s="473"/>
      <c r="Z175" s="476">
        <v>1</v>
      </c>
      <c r="AA175" s="476" t="e">
        <f t="shared" si="73"/>
        <v>#DIV/0!</v>
      </c>
      <c r="AB175" s="476" t="e">
        <f t="shared" si="78"/>
        <v>#DIV/0!</v>
      </c>
      <c r="AC175" s="476" t="e">
        <f t="shared" si="79"/>
        <v>#DIV/0!</v>
      </c>
      <c r="AD175" s="476" t="e">
        <f t="shared" si="80"/>
        <v>#DIV/0!</v>
      </c>
      <c r="AE175" s="473"/>
      <c r="AF175" s="473"/>
    </row>
    <row r="176" spans="9:32">
      <c r="K176" s="478">
        <f>'Tekniskt underlag'!A31</f>
        <v>0</v>
      </c>
      <c r="L176" s="182"/>
      <c r="M176" s="1022"/>
      <c r="N176" s="695"/>
      <c r="O176" s="695"/>
      <c r="P176" s="695"/>
      <c r="Q176" s="695"/>
      <c r="R176" s="695"/>
      <c r="S176" s="695"/>
      <c r="T176" s="695"/>
      <c r="U176" s="695"/>
      <c r="V176" s="695"/>
      <c r="X176" s="473">
        <f t="shared" si="77"/>
        <v>0</v>
      </c>
      <c r="Y176" s="473"/>
      <c r="Z176" s="476">
        <v>1</v>
      </c>
      <c r="AA176" s="476" t="e">
        <f t="shared" si="73"/>
        <v>#DIV/0!</v>
      </c>
      <c r="AB176" s="476" t="e">
        <f t="shared" si="78"/>
        <v>#DIV/0!</v>
      </c>
      <c r="AC176" s="476" t="e">
        <f t="shared" si="79"/>
        <v>#DIV/0!</v>
      </c>
      <c r="AD176" s="476" t="e">
        <f t="shared" si="80"/>
        <v>#DIV/0!</v>
      </c>
      <c r="AE176" s="473"/>
      <c r="AF176" s="473"/>
    </row>
    <row r="177" spans="11:32">
      <c r="K177" s="478">
        <f>'Tekniskt underlag'!A32</f>
        <v>0</v>
      </c>
      <c r="L177" s="182"/>
      <c r="M177" s="1022"/>
      <c r="N177" s="695"/>
      <c r="O177" s="695"/>
      <c r="P177" s="695"/>
      <c r="Q177" s="695"/>
      <c r="R177" s="695"/>
      <c r="S177" s="695"/>
      <c r="T177" s="695"/>
      <c r="U177" s="695"/>
      <c r="V177" s="695"/>
      <c r="X177" s="473">
        <f t="shared" si="77"/>
        <v>0</v>
      </c>
      <c r="Y177" s="473"/>
      <c r="Z177" s="476">
        <v>1</v>
      </c>
      <c r="AA177" s="476" t="e">
        <f t="shared" si="73"/>
        <v>#DIV/0!</v>
      </c>
      <c r="AB177" s="476" t="e">
        <f t="shared" si="78"/>
        <v>#DIV/0!</v>
      </c>
      <c r="AC177" s="476" t="e">
        <f t="shared" si="79"/>
        <v>#DIV/0!</v>
      </c>
      <c r="AD177" s="476" t="e">
        <f t="shared" si="80"/>
        <v>#DIV/0!</v>
      </c>
      <c r="AE177" s="473"/>
      <c r="AF177" s="473"/>
    </row>
    <row r="181" spans="11:32">
      <c r="K181" s="164" t="s">
        <v>728</v>
      </c>
      <c r="M181" t="s">
        <v>786</v>
      </c>
      <c r="R181" t="s">
        <v>819</v>
      </c>
      <c r="W181" s="899" t="s">
        <v>822</v>
      </c>
      <c r="Y181" t="s">
        <v>835</v>
      </c>
    </row>
    <row r="182" spans="11:32">
      <c r="M182" s="471" t="s">
        <v>495</v>
      </c>
      <c r="N182" s="471" t="s">
        <v>124</v>
      </c>
      <c r="O182" s="471" t="s">
        <v>431</v>
      </c>
      <c r="P182" s="471" t="s">
        <v>432</v>
      </c>
      <c r="Q182" s="471" t="s">
        <v>433</v>
      </c>
      <c r="R182" s="471" t="s">
        <v>495</v>
      </c>
      <c r="S182" s="471" t="s">
        <v>124</v>
      </c>
      <c r="T182" s="471" t="s">
        <v>431</v>
      </c>
      <c r="U182" s="471" t="s">
        <v>432</v>
      </c>
      <c r="V182" s="470" t="s">
        <v>433</v>
      </c>
      <c r="W182" s="905" t="s">
        <v>821</v>
      </c>
      <c r="Y182">
        <v>12</v>
      </c>
    </row>
    <row r="183" spans="11:32">
      <c r="M183" s="471">
        <v>41.9</v>
      </c>
      <c r="N183" s="471">
        <v>36.700000000000003</v>
      </c>
      <c r="O183" s="471">
        <v>30.5</v>
      </c>
      <c r="P183" s="471">
        <v>23.7</v>
      </c>
      <c r="Q183" s="471">
        <v>18.100000000000001</v>
      </c>
      <c r="W183" s="898" t="s">
        <v>761</v>
      </c>
      <c r="Y183" s="803" t="s">
        <v>786</v>
      </c>
      <c r="Z183" s="803" t="s">
        <v>787</v>
      </c>
      <c r="AA183" s="803" t="s">
        <v>488</v>
      </c>
      <c r="AB183" s="803" t="s">
        <v>790</v>
      </c>
      <c r="AC183" s="803" t="s">
        <v>788</v>
      </c>
      <c r="AE183" s="803" t="s">
        <v>786</v>
      </c>
      <c r="AF183" s="803" t="s">
        <v>787</v>
      </c>
    </row>
    <row r="184" spans="11:32">
      <c r="K184" s="473" t="str">
        <f>Stallgödseldata!B16</f>
        <v>Svinflyt</v>
      </c>
      <c r="L184" s="473" t="s">
        <v>818</v>
      </c>
      <c r="M184" s="471">
        <v>53.1</v>
      </c>
      <c r="N184" s="471">
        <v>47.1</v>
      </c>
      <c r="O184" s="471">
        <v>40.200000000000003</v>
      </c>
      <c r="P184" s="471">
        <v>30.4</v>
      </c>
      <c r="Q184" s="471">
        <v>22.9</v>
      </c>
      <c r="R184" s="1140">
        <f t="shared" ref="R184:V191" si="85">(M184-M$183)/20</f>
        <v>0.56000000000000016</v>
      </c>
      <c r="S184" s="1140">
        <f t="shared" si="85"/>
        <v>0.51999999999999991</v>
      </c>
      <c r="T184" s="1140">
        <f t="shared" si="85"/>
        <v>0.48500000000000015</v>
      </c>
      <c r="U184" s="1140">
        <f t="shared" si="85"/>
        <v>0.33499999999999996</v>
      </c>
      <c r="V184" s="1140">
        <f t="shared" si="85"/>
        <v>0.23999999999999985</v>
      </c>
      <c r="W184" s="1669">
        <f t="shared" ref="W184:W193" si="86">(R184*(C$50+C$55))+(S184*C$51)+(T184*C$52)+(U184*C$53)+(V184*C$54)</f>
        <v>0.46709000000000001</v>
      </c>
      <c r="X184" s="473" t="str">
        <f>Stallgödseldata!B16</f>
        <v>Svinflyt</v>
      </c>
      <c r="Y184">
        <v>20.9</v>
      </c>
      <c r="Z184">
        <v>20.3</v>
      </c>
      <c r="AA184">
        <v>12.5</v>
      </c>
      <c r="AB184">
        <v>12.5</v>
      </c>
      <c r="AC184">
        <v>12.5</v>
      </c>
      <c r="AE184">
        <f t="shared" ref="AE184:AE192" si="87">Y184-$Y$182</f>
        <v>8.8999999999999986</v>
      </c>
      <c r="AF184">
        <f t="shared" ref="AF184:AF192" si="88">Z184-$Y$182</f>
        <v>8.3000000000000007</v>
      </c>
    </row>
    <row r="185" spans="11:32">
      <c r="K185" s="473" t="str">
        <f>Stallgödseldata!B17</f>
        <v>Nötflyt</v>
      </c>
      <c r="L185" s="473" t="s">
        <v>818</v>
      </c>
      <c r="M185" s="471">
        <v>50.9</v>
      </c>
      <c r="N185" s="471">
        <v>45.1</v>
      </c>
      <c r="O185" s="471">
        <v>38.299999999999997</v>
      </c>
      <c r="P185" s="471">
        <v>29.1</v>
      </c>
      <c r="Q185" s="471">
        <v>22</v>
      </c>
      <c r="R185" s="1140">
        <f t="shared" si="85"/>
        <v>0.45</v>
      </c>
      <c r="S185" s="1140">
        <f t="shared" si="85"/>
        <v>0.41999999999999993</v>
      </c>
      <c r="T185" s="1140">
        <f t="shared" si="85"/>
        <v>0.38999999999999985</v>
      </c>
      <c r="U185" s="1140">
        <f t="shared" si="85"/>
        <v>0.27000000000000013</v>
      </c>
      <c r="V185" s="1140">
        <f t="shared" si="85"/>
        <v>0.19499999999999992</v>
      </c>
      <c r="W185" s="1669">
        <f t="shared" si="86"/>
        <v>0.37637999999999994</v>
      </c>
      <c r="X185" s="473" t="str">
        <f>Stallgödseldata!B17</f>
        <v>Nötflyt</v>
      </c>
      <c r="Y185">
        <v>37.700000000000003</v>
      </c>
      <c r="Z185">
        <v>38.700000000000003</v>
      </c>
      <c r="AA185">
        <v>32.200000000000003</v>
      </c>
      <c r="AB185">
        <v>32.200000000000003</v>
      </c>
      <c r="AC185">
        <v>32.200000000000003</v>
      </c>
      <c r="AE185">
        <f t="shared" si="87"/>
        <v>25.700000000000003</v>
      </c>
      <c r="AF185">
        <f t="shared" si="88"/>
        <v>26.700000000000003</v>
      </c>
    </row>
    <row r="186" spans="11:32">
      <c r="K186" s="473" t="str">
        <f>Stallgödseldata!B18</f>
        <v>Svinfast</v>
      </c>
      <c r="L186" s="473" t="s">
        <v>818</v>
      </c>
      <c r="M186" s="471">
        <v>52.1</v>
      </c>
      <c r="N186" s="471">
        <v>46.2</v>
      </c>
      <c r="O186" s="471">
        <v>39.299999999999997</v>
      </c>
      <c r="P186" s="471">
        <v>29.8</v>
      </c>
      <c r="Q186" s="471">
        <v>22.5</v>
      </c>
      <c r="R186" s="1140">
        <f t="shared" si="85"/>
        <v>0.51000000000000012</v>
      </c>
      <c r="S186" s="1140">
        <f t="shared" si="85"/>
        <v>0.47499999999999998</v>
      </c>
      <c r="T186" s="1140">
        <f t="shared" si="85"/>
        <v>0.43999999999999984</v>
      </c>
      <c r="U186" s="1140">
        <f t="shared" si="85"/>
        <v>0.30500000000000005</v>
      </c>
      <c r="V186" s="1140">
        <f t="shared" si="85"/>
        <v>0.21999999999999992</v>
      </c>
      <c r="W186" s="1669">
        <f t="shared" si="86"/>
        <v>0.42520999999999992</v>
      </c>
      <c r="X186" s="473" t="str">
        <f>Stallgödseldata!B18</f>
        <v>Svinfast</v>
      </c>
      <c r="Y186">
        <v>20</v>
      </c>
      <c r="Z186">
        <v>19.600000000000001</v>
      </c>
      <c r="AA186">
        <v>15.2</v>
      </c>
      <c r="AB186">
        <v>15.2</v>
      </c>
      <c r="AC186">
        <v>15.2</v>
      </c>
      <c r="AE186">
        <f t="shared" si="87"/>
        <v>8</v>
      </c>
      <c r="AF186">
        <f t="shared" si="88"/>
        <v>7.6000000000000014</v>
      </c>
    </row>
    <row r="187" spans="11:32">
      <c r="K187" s="473" t="str">
        <f>Stallgödseldata!B19</f>
        <v>Nötfast</v>
      </c>
      <c r="L187" s="473" t="s">
        <v>818</v>
      </c>
      <c r="M187" s="471">
        <v>48.8</v>
      </c>
      <c r="N187" s="471">
        <v>43.1</v>
      </c>
      <c r="O187" s="471">
        <v>36.5</v>
      </c>
      <c r="P187" s="471">
        <v>27.8</v>
      </c>
      <c r="Q187" s="471">
        <v>21.1</v>
      </c>
      <c r="R187" s="1140">
        <f t="shared" si="85"/>
        <v>0.34499999999999992</v>
      </c>
      <c r="S187" s="1140">
        <f t="shared" si="85"/>
        <v>0.31999999999999995</v>
      </c>
      <c r="T187" s="1140">
        <f t="shared" si="85"/>
        <v>0.3</v>
      </c>
      <c r="U187" s="1140">
        <f t="shared" si="85"/>
        <v>0.20500000000000007</v>
      </c>
      <c r="V187" s="1140">
        <f t="shared" si="85"/>
        <v>0.15</v>
      </c>
      <c r="W187" s="1669">
        <f t="shared" si="86"/>
        <v>0.2878</v>
      </c>
      <c r="X187" s="473" t="str">
        <f>Stallgödseldata!B19</f>
        <v>Nötfast</v>
      </c>
      <c r="Y187">
        <v>17.399999999999999</v>
      </c>
      <c r="Z187">
        <v>17.100000000000001</v>
      </c>
      <c r="AA187">
        <v>14.2</v>
      </c>
      <c r="AB187">
        <v>14.2</v>
      </c>
      <c r="AC187">
        <v>14.2</v>
      </c>
      <c r="AE187">
        <f t="shared" si="87"/>
        <v>5.3999999999999986</v>
      </c>
      <c r="AF187">
        <f t="shared" si="88"/>
        <v>5.1000000000000014</v>
      </c>
    </row>
    <row r="188" spans="11:32">
      <c r="K188" s="473" t="str">
        <f>Stallgödseldata!B20</f>
        <v>Svinurin</v>
      </c>
      <c r="L188" s="473" t="s">
        <v>818</v>
      </c>
      <c r="M188" s="471">
        <v>47.2</v>
      </c>
      <c r="N188" s="471">
        <v>41.6</v>
      </c>
      <c r="O188" s="471">
        <v>35.1</v>
      </c>
      <c r="P188" s="471">
        <v>26.8</v>
      </c>
      <c r="Q188" s="471">
        <v>20.399999999999999</v>
      </c>
      <c r="R188" s="1140">
        <f t="shared" si="85"/>
        <v>0.26500000000000024</v>
      </c>
      <c r="S188" s="1140">
        <f t="shared" si="85"/>
        <v>0.24499999999999994</v>
      </c>
      <c r="T188" s="1140">
        <f t="shared" si="85"/>
        <v>0.23000000000000007</v>
      </c>
      <c r="U188" s="1140">
        <f t="shared" si="85"/>
        <v>0.15500000000000008</v>
      </c>
      <c r="V188" s="1140">
        <f t="shared" si="85"/>
        <v>0.11499999999999985</v>
      </c>
      <c r="W188" s="1669">
        <f t="shared" si="86"/>
        <v>0.22007000000000004</v>
      </c>
      <c r="X188" s="473" t="str">
        <f>Stallgödseldata!B20</f>
        <v>Svinurin</v>
      </c>
      <c r="Y188">
        <v>16.2</v>
      </c>
      <c r="Z188">
        <v>15.9</v>
      </c>
      <c r="AA188">
        <v>12</v>
      </c>
      <c r="AB188">
        <v>12</v>
      </c>
      <c r="AC188">
        <v>12</v>
      </c>
      <c r="AE188">
        <f t="shared" si="87"/>
        <v>4.1999999999999993</v>
      </c>
      <c r="AF188">
        <f t="shared" si="88"/>
        <v>3.9000000000000004</v>
      </c>
    </row>
    <row r="189" spans="11:32">
      <c r="K189" s="473" t="str">
        <f>Stallgödseldata!B21</f>
        <v>Nöturin</v>
      </c>
      <c r="L189" s="473" t="s">
        <v>818</v>
      </c>
      <c r="M189" s="471">
        <v>53.4</v>
      </c>
      <c r="N189" s="471">
        <v>47.4</v>
      </c>
      <c r="O189" s="471">
        <v>40.5</v>
      </c>
      <c r="P189" s="471">
        <v>30.6</v>
      </c>
      <c r="Q189" s="471">
        <v>23.1</v>
      </c>
      <c r="R189" s="1140">
        <f t="shared" si="85"/>
        <v>0.57499999999999996</v>
      </c>
      <c r="S189" s="1140">
        <f t="shared" si="85"/>
        <v>0.53499999999999981</v>
      </c>
      <c r="T189" s="1140">
        <f t="shared" si="85"/>
        <v>0.5</v>
      </c>
      <c r="U189" s="1140">
        <f t="shared" si="85"/>
        <v>0.34500000000000008</v>
      </c>
      <c r="V189" s="1140">
        <f t="shared" si="85"/>
        <v>0.25</v>
      </c>
      <c r="W189" s="1669">
        <f t="shared" si="86"/>
        <v>0.48098999999999997</v>
      </c>
      <c r="X189" s="473" t="str">
        <f>Stallgödseldata!B21</f>
        <v>Nöturin</v>
      </c>
      <c r="Y189">
        <v>21.1</v>
      </c>
      <c r="Z189">
        <v>20.5</v>
      </c>
      <c r="AA189">
        <v>12.1</v>
      </c>
      <c r="AB189">
        <v>12.1</v>
      </c>
      <c r="AC189">
        <v>12.1</v>
      </c>
      <c r="AE189">
        <f t="shared" si="87"/>
        <v>9.1000000000000014</v>
      </c>
      <c r="AF189">
        <f t="shared" si="88"/>
        <v>8.5</v>
      </c>
    </row>
    <row r="190" spans="11:32">
      <c r="K190" s="473" t="str">
        <f>Stallgödseldata!B22</f>
        <v>Svindjupströ</v>
      </c>
      <c r="L190" s="473" t="s">
        <v>818</v>
      </c>
      <c r="M190" s="471">
        <v>44</v>
      </c>
      <c r="N190" s="471">
        <v>38.6</v>
      </c>
      <c r="O190" s="471">
        <v>32.299999999999997</v>
      </c>
      <c r="P190" s="471">
        <v>24.9</v>
      </c>
      <c r="Q190" s="471">
        <v>19</v>
      </c>
      <c r="R190" s="1140">
        <f t="shared" si="85"/>
        <v>0.10500000000000007</v>
      </c>
      <c r="S190" s="1140">
        <f t="shared" si="85"/>
        <v>9.4999999999999932E-2</v>
      </c>
      <c r="T190" s="1140">
        <f t="shared" si="85"/>
        <v>8.9999999999999858E-2</v>
      </c>
      <c r="U190" s="1140">
        <f t="shared" si="85"/>
        <v>5.9999999999999963E-2</v>
      </c>
      <c r="V190" s="1140">
        <f t="shared" si="85"/>
        <v>4.4999999999999929E-2</v>
      </c>
      <c r="W190" s="1669">
        <f t="shared" si="86"/>
        <v>8.5709999999999897E-2</v>
      </c>
      <c r="X190" s="473" t="str">
        <f>Stallgödseldata!B22</f>
        <v>Svindjupströ</v>
      </c>
      <c r="Y190">
        <v>13.6</v>
      </c>
      <c r="Z190">
        <v>13.5</v>
      </c>
      <c r="AA190">
        <v>14</v>
      </c>
      <c r="AB190">
        <v>14</v>
      </c>
      <c r="AC190">
        <v>14</v>
      </c>
      <c r="AE190">
        <f t="shared" si="87"/>
        <v>1.5999999999999996</v>
      </c>
      <c r="AF190">
        <f t="shared" si="88"/>
        <v>1.5</v>
      </c>
    </row>
    <row r="191" spans="11:32">
      <c r="K191" s="473" t="str">
        <f>Stallgödseldata!B23</f>
        <v>Nötdjupströ</v>
      </c>
      <c r="L191" s="473" t="s">
        <v>818</v>
      </c>
      <c r="M191" s="471">
        <v>44.5</v>
      </c>
      <c r="N191" s="471">
        <v>39.1</v>
      </c>
      <c r="O191" s="471">
        <v>32.799999999999997</v>
      </c>
      <c r="P191" s="471">
        <v>25.2</v>
      </c>
      <c r="Q191" s="471">
        <v>19.2</v>
      </c>
      <c r="R191" s="1140">
        <f t="shared" si="85"/>
        <v>0.13000000000000006</v>
      </c>
      <c r="S191" s="1140">
        <f t="shared" si="85"/>
        <v>0.11999999999999993</v>
      </c>
      <c r="T191" s="1140">
        <f t="shared" si="85"/>
        <v>0.11499999999999985</v>
      </c>
      <c r="U191" s="1140">
        <f t="shared" si="85"/>
        <v>7.4999999999999997E-2</v>
      </c>
      <c r="V191" s="1140">
        <f t="shared" si="85"/>
        <v>5.4999999999999896E-2</v>
      </c>
      <c r="W191" s="1669">
        <f t="shared" si="86"/>
        <v>0.10850999999999993</v>
      </c>
      <c r="X191" s="473" t="str">
        <f>Stallgödseldata!B23</f>
        <v>Nötdjupströ</v>
      </c>
      <c r="Y191">
        <v>14</v>
      </c>
      <c r="Z191">
        <v>13.9</v>
      </c>
      <c r="AA191">
        <v>14.5</v>
      </c>
      <c r="AB191">
        <v>14.5</v>
      </c>
      <c r="AC191">
        <v>14.5</v>
      </c>
      <c r="AE191">
        <f t="shared" si="87"/>
        <v>2</v>
      </c>
      <c r="AF191">
        <f t="shared" si="88"/>
        <v>1.9000000000000004</v>
      </c>
    </row>
    <row r="192" spans="11:32">
      <c r="K192" s="473" t="str">
        <f>Stallgödseldata!B24</f>
        <v>Kycklinggödsel</v>
      </c>
      <c r="L192" s="473" t="s">
        <v>820</v>
      </c>
      <c r="M192" s="471">
        <v>73.5</v>
      </c>
      <c r="N192" s="901">
        <v>65.869230769230739</v>
      </c>
      <c r="O192" s="901">
        <v>58.453846153846108</v>
      </c>
      <c r="P192" s="901">
        <v>41.930769230769222</v>
      </c>
      <c r="Q192" s="901">
        <v>31.469230769230741</v>
      </c>
      <c r="R192" s="1140">
        <f>(M192-M$183)/10</f>
        <v>3.16</v>
      </c>
      <c r="S192" s="1140">
        <f>(N192-N$183)/10</f>
        <v>2.9169230769230738</v>
      </c>
      <c r="T192" s="1140">
        <f>(O192-O$183)/10</f>
        <v>2.7953846153846107</v>
      </c>
      <c r="U192" s="1140">
        <f>(P192-P$183)/10</f>
        <v>1.8230769230769224</v>
      </c>
      <c r="V192" s="1140">
        <f>(Q192-Q$183)/10</f>
        <v>1.336923076923074</v>
      </c>
      <c r="W192" s="1669">
        <f t="shared" si="86"/>
        <v>2.6376276923076896</v>
      </c>
      <c r="X192" s="473" t="str">
        <f>Stallgödseldata!B24</f>
        <v>Kycklinggödsel</v>
      </c>
      <c r="Y192">
        <v>37</v>
      </c>
      <c r="Z192">
        <v>35.5</v>
      </c>
      <c r="AA192">
        <v>17</v>
      </c>
      <c r="AB192">
        <v>17</v>
      </c>
      <c r="AC192">
        <v>17</v>
      </c>
      <c r="AE192">
        <f t="shared" si="87"/>
        <v>25</v>
      </c>
      <c r="AF192">
        <f t="shared" si="88"/>
        <v>23.5</v>
      </c>
    </row>
    <row r="193" spans="11:32">
      <c r="K193" s="473" t="str">
        <f>Stallgödseldata!B25</f>
        <v>Rötslam</v>
      </c>
      <c r="L193" s="473" t="s">
        <v>818</v>
      </c>
      <c r="M193" s="471">
        <v>52.1</v>
      </c>
      <c r="N193" s="471">
        <v>46.2</v>
      </c>
      <c r="O193" s="471">
        <v>39.299999999999997</v>
      </c>
      <c r="P193" s="471">
        <v>29.8</v>
      </c>
      <c r="Q193" s="471">
        <v>22.5</v>
      </c>
      <c r="R193" s="1140">
        <f>(M193-M$183)/20</f>
        <v>0.51000000000000012</v>
      </c>
      <c r="S193" s="1140">
        <f>(N193-N$183)/20</f>
        <v>0.47499999999999998</v>
      </c>
      <c r="T193" s="1140">
        <f>(O193-O$183)/20</f>
        <v>0.43999999999999984</v>
      </c>
      <c r="U193" s="1140">
        <f>(P193-P$183)/20</f>
        <v>0.30500000000000005</v>
      </c>
      <c r="V193" s="1140">
        <f>(Q193-Q$183)/20</f>
        <v>0.21999999999999992</v>
      </c>
      <c r="W193" s="1669">
        <f t="shared" si="86"/>
        <v>0.42520999999999992</v>
      </c>
      <c r="X193" s="473" t="str">
        <f>Stallgödseldata!B25</f>
        <v>Rötslam</v>
      </c>
      <c r="Y193">
        <v>1</v>
      </c>
    </row>
    <row r="194" spans="11:32">
      <c r="K194" s="473" t="str">
        <f>Stallgödseldata!B26</f>
        <v>Biogödsel</v>
      </c>
      <c r="L194" s="473"/>
      <c r="M194" s="906"/>
      <c r="N194" s="906"/>
      <c r="O194" s="906"/>
      <c r="P194" s="906"/>
      <c r="Q194" s="906"/>
      <c r="R194" s="1140">
        <f t="shared" ref="R194:V195" si="89">M194-M$183</f>
        <v>-41.9</v>
      </c>
      <c r="S194" s="1140">
        <f t="shared" si="89"/>
        <v>-36.700000000000003</v>
      </c>
      <c r="T194" s="1140">
        <f t="shared" si="89"/>
        <v>-30.5</v>
      </c>
      <c r="U194" s="1140">
        <f t="shared" si="89"/>
        <v>-23.7</v>
      </c>
      <c r="V194" s="1140">
        <f t="shared" si="89"/>
        <v>-18.100000000000001</v>
      </c>
      <c r="W194" s="1668">
        <f>INDEX(V198:W201,MATCH(W112,V198:V201,0),2)</f>
        <v>0.42173499999999997</v>
      </c>
      <c r="X194" s="473" t="str">
        <f>Stallgödseldata!B26</f>
        <v>Biogödsel</v>
      </c>
      <c r="Y194">
        <v>1</v>
      </c>
    </row>
    <row r="195" spans="11:32">
      <c r="K195" s="473">
        <f>Stallgödseldata!B27</f>
        <v>0</v>
      </c>
      <c r="L195" s="473"/>
      <c r="M195" s="906"/>
      <c r="N195" s="906"/>
      <c r="O195" s="906"/>
      <c r="P195" s="906"/>
      <c r="Q195" s="906"/>
      <c r="R195" s="1140">
        <f t="shared" si="89"/>
        <v>-41.9</v>
      </c>
      <c r="S195" s="1140">
        <f t="shared" si="89"/>
        <v>-36.700000000000003</v>
      </c>
      <c r="T195" s="1140">
        <f t="shared" si="89"/>
        <v>-30.5</v>
      </c>
      <c r="U195" s="1140">
        <f t="shared" si="89"/>
        <v>-23.7</v>
      </c>
      <c r="V195" s="1140">
        <f t="shared" si="89"/>
        <v>-18.100000000000001</v>
      </c>
      <c r="W195" s="1668" t="e">
        <f>INDEX(V198:W201,MATCH(W113,V198:V201,0),2)</f>
        <v>#N/A</v>
      </c>
      <c r="X195" s="473">
        <f>Stallgödseldata!B27</f>
        <v>0</v>
      </c>
      <c r="Y195">
        <v>1</v>
      </c>
    </row>
    <row r="196" spans="11:32">
      <c r="AF196" t="s">
        <v>836</v>
      </c>
    </row>
    <row r="197" spans="11:32">
      <c r="V197" s="471"/>
      <c r="W197" s="1034"/>
      <c r="AF197" s="803" t="s">
        <v>786</v>
      </c>
    </row>
    <row r="198" spans="11:32">
      <c r="V198" s="471">
        <v>1</v>
      </c>
      <c r="W198" s="903">
        <f>AVERAGE(W184:W185)</f>
        <v>0.42173499999999997</v>
      </c>
      <c r="AE198" s="473" t="s">
        <v>484</v>
      </c>
      <c r="AF198" s="662">
        <v>1</v>
      </c>
    </row>
    <row r="199" spans="11:32">
      <c r="V199" s="471">
        <v>2</v>
      </c>
      <c r="W199" s="903">
        <f>AVERAGE(W186:W187)</f>
        <v>0.35650499999999996</v>
      </c>
      <c r="AE199" s="473" t="s">
        <v>485</v>
      </c>
      <c r="AF199" s="662">
        <v>1</v>
      </c>
    </row>
    <row r="200" spans="11:32">
      <c r="V200" s="471">
        <v>3</v>
      </c>
      <c r="W200" s="903">
        <f>AVERAGE(W188:W189)</f>
        <v>0.35053000000000001</v>
      </c>
      <c r="AE200" s="473" t="s">
        <v>489</v>
      </c>
      <c r="AF200" s="662">
        <v>1</v>
      </c>
    </row>
    <row r="201" spans="11:32">
      <c r="V201" s="1663">
        <v>4</v>
      </c>
      <c r="W201" s="903">
        <f>AVERAGE(W190:W191)</f>
        <v>9.7109999999999919E-2</v>
      </c>
      <c r="AE201" s="473" t="s">
        <v>491</v>
      </c>
      <c r="AF201" s="662">
        <v>1</v>
      </c>
    </row>
    <row r="202" spans="11:32">
      <c r="AE202" s="473" t="s">
        <v>490</v>
      </c>
      <c r="AF202" s="662">
        <v>1</v>
      </c>
    </row>
    <row r="203" spans="11:32">
      <c r="W203" s="904"/>
      <c r="AE203" s="473" t="s">
        <v>718</v>
      </c>
      <c r="AF203" s="662">
        <v>1</v>
      </c>
    </row>
    <row r="204" spans="11:32">
      <c r="AE204" s="473" t="s">
        <v>493</v>
      </c>
      <c r="AF204" s="662">
        <v>1</v>
      </c>
    </row>
    <row r="205" spans="11:32">
      <c r="AE205" s="473" t="s">
        <v>492</v>
      </c>
      <c r="AF205" s="662">
        <v>1</v>
      </c>
    </row>
    <row r="206" spans="11:32">
      <c r="AE206" s="473" t="s">
        <v>486</v>
      </c>
      <c r="AF206" s="662">
        <v>1</v>
      </c>
    </row>
    <row r="210" spans="26:26">
      <c r="Z210" s="74"/>
    </row>
    <row r="211" spans="26:26">
      <c r="Z211" s="74"/>
    </row>
  </sheetData>
  <sheetProtection sheet="1" objects="1" scenarios="1"/>
  <protectedRanges>
    <protectedRange sqref="M170:V170" name="Område2"/>
    <protectedRange sqref="M173:V173 M175:V177 T174:V174" name="Område1"/>
  </protectedRanges>
  <pageMargins left="0.7" right="0.7" top="0.75" bottom="0.75" header="0.3" footer="0.3"/>
  <pageSetup paperSize="9" orientation="portrait"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8">
    <tabColor rgb="FFFFFF00"/>
  </sheetPr>
  <dimension ref="A1:AK206"/>
  <sheetViews>
    <sheetView showZeros="0" topLeftCell="A11" zoomScale="80" zoomScaleNormal="80" workbookViewId="0">
      <selection activeCell="J24" sqref="J24"/>
    </sheetView>
  </sheetViews>
  <sheetFormatPr defaultColWidth="11.5703125" defaultRowHeight="12.75"/>
  <cols>
    <col min="2" max="2" width="20.5703125" customWidth="1"/>
    <col min="3" max="3" width="11.5703125" customWidth="1"/>
    <col min="4" max="4" width="16.140625" customWidth="1"/>
    <col min="5" max="11" width="11.5703125" customWidth="1"/>
    <col min="12" max="13" width="16.42578125" customWidth="1"/>
    <col min="14" max="14" width="7.28515625" customWidth="1"/>
    <col min="15" max="15" width="9.7109375" customWidth="1"/>
    <col min="16" max="16" width="33.42578125" customWidth="1"/>
    <col min="17" max="17" width="13" customWidth="1"/>
    <col min="18" max="23" width="11.5703125" customWidth="1"/>
    <col min="24" max="24" width="32.85546875" customWidth="1"/>
    <col min="25" max="25" width="12.5703125" style="20" customWidth="1"/>
    <col min="26" max="26" width="12.85546875" style="20" customWidth="1"/>
    <col min="27" max="28" width="11.5703125" style="20"/>
    <col min="259" max="279" width="11.5703125" customWidth="1"/>
    <col min="280" max="280" width="24.140625" customWidth="1"/>
    <col min="281" max="281" width="16.5703125" customWidth="1"/>
    <col min="515" max="535" width="11.5703125" customWidth="1"/>
    <col min="536" max="536" width="24.140625" customWidth="1"/>
    <col min="537" max="537" width="16.5703125" customWidth="1"/>
    <col min="771" max="791" width="11.5703125" customWidth="1"/>
    <col min="792" max="792" width="24.140625" customWidth="1"/>
    <col min="793" max="793" width="16.5703125" customWidth="1"/>
    <col min="1027" max="1047" width="11.5703125" customWidth="1"/>
    <col min="1048" max="1048" width="24.140625" customWidth="1"/>
    <col min="1049" max="1049" width="16.5703125" customWidth="1"/>
    <col min="1283" max="1303" width="11.5703125" customWidth="1"/>
    <col min="1304" max="1304" width="24.140625" customWidth="1"/>
    <col min="1305" max="1305" width="16.5703125" customWidth="1"/>
    <col min="1539" max="1559" width="11.5703125" customWidth="1"/>
    <col min="1560" max="1560" width="24.140625" customWidth="1"/>
    <col min="1561" max="1561" width="16.5703125" customWidth="1"/>
    <col min="1795" max="1815" width="11.5703125" customWidth="1"/>
    <col min="1816" max="1816" width="24.140625" customWidth="1"/>
    <col min="1817" max="1817" width="16.5703125" customWidth="1"/>
    <col min="2051" max="2071" width="11.5703125" customWidth="1"/>
    <col min="2072" max="2072" width="24.140625" customWidth="1"/>
    <col min="2073" max="2073" width="16.5703125" customWidth="1"/>
    <col min="2307" max="2327" width="11.5703125" customWidth="1"/>
    <col min="2328" max="2328" width="24.140625" customWidth="1"/>
    <col min="2329" max="2329" width="16.5703125" customWidth="1"/>
    <col min="2563" max="2583" width="11.5703125" customWidth="1"/>
    <col min="2584" max="2584" width="24.140625" customWidth="1"/>
    <col min="2585" max="2585" width="16.5703125" customWidth="1"/>
    <col min="2819" max="2839" width="11.5703125" customWidth="1"/>
    <col min="2840" max="2840" width="24.140625" customWidth="1"/>
    <col min="2841" max="2841" width="16.5703125" customWidth="1"/>
    <col min="3075" max="3095" width="11.5703125" customWidth="1"/>
    <col min="3096" max="3096" width="24.140625" customWidth="1"/>
    <col min="3097" max="3097" width="16.5703125" customWidth="1"/>
    <col min="3331" max="3351" width="11.5703125" customWidth="1"/>
    <col min="3352" max="3352" width="24.140625" customWidth="1"/>
    <col min="3353" max="3353" width="16.5703125" customWidth="1"/>
    <col min="3587" max="3607" width="11.5703125" customWidth="1"/>
    <col min="3608" max="3608" width="24.140625" customWidth="1"/>
    <col min="3609" max="3609" width="16.5703125" customWidth="1"/>
    <col min="3843" max="3863" width="11.5703125" customWidth="1"/>
    <col min="3864" max="3864" width="24.140625" customWidth="1"/>
    <col min="3865" max="3865" width="16.5703125" customWidth="1"/>
    <col min="4099" max="4119" width="11.5703125" customWidth="1"/>
    <col min="4120" max="4120" width="24.140625" customWidth="1"/>
    <col min="4121" max="4121" width="16.5703125" customWidth="1"/>
    <col min="4355" max="4375" width="11.5703125" customWidth="1"/>
    <col min="4376" max="4376" width="24.140625" customWidth="1"/>
    <col min="4377" max="4377" width="16.5703125" customWidth="1"/>
    <col min="4611" max="4631" width="11.5703125" customWidth="1"/>
    <col min="4632" max="4632" width="24.140625" customWidth="1"/>
    <col min="4633" max="4633" width="16.5703125" customWidth="1"/>
    <col min="4867" max="4887" width="11.5703125" customWidth="1"/>
    <col min="4888" max="4888" width="24.140625" customWidth="1"/>
    <col min="4889" max="4889" width="16.5703125" customWidth="1"/>
    <col min="5123" max="5143" width="11.5703125" customWidth="1"/>
    <col min="5144" max="5144" width="24.140625" customWidth="1"/>
    <col min="5145" max="5145" width="16.5703125" customWidth="1"/>
    <col min="5379" max="5399" width="11.5703125" customWidth="1"/>
    <col min="5400" max="5400" width="24.140625" customWidth="1"/>
    <col min="5401" max="5401" width="16.5703125" customWidth="1"/>
    <col min="5635" max="5655" width="11.5703125" customWidth="1"/>
    <col min="5656" max="5656" width="24.140625" customWidth="1"/>
    <col min="5657" max="5657" width="16.5703125" customWidth="1"/>
    <col min="5891" max="5911" width="11.5703125" customWidth="1"/>
    <col min="5912" max="5912" width="24.140625" customWidth="1"/>
    <col min="5913" max="5913" width="16.5703125" customWidth="1"/>
    <col min="6147" max="6167" width="11.5703125" customWidth="1"/>
    <col min="6168" max="6168" width="24.140625" customWidth="1"/>
    <col min="6169" max="6169" width="16.5703125" customWidth="1"/>
    <col min="6403" max="6423" width="11.5703125" customWidth="1"/>
    <col min="6424" max="6424" width="24.140625" customWidth="1"/>
    <col min="6425" max="6425" width="16.5703125" customWidth="1"/>
    <col min="6659" max="6679" width="11.5703125" customWidth="1"/>
    <col min="6680" max="6680" width="24.140625" customWidth="1"/>
    <col min="6681" max="6681" width="16.5703125" customWidth="1"/>
    <col min="6915" max="6935" width="11.5703125" customWidth="1"/>
    <col min="6936" max="6936" width="24.140625" customWidth="1"/>
    <col min="6937" max="6937" width="16.5703125" customWidth="1"/>
    <col min="7171" max="7191" width="11.5703125" customWidth="1"/>
    <col min="7192" max="7192" width="24.140625" customWidth="1"/>
    <col min="7193" max="7193" width="16.5703125" customWidth="1"/>
    <col min="7427" max="7447" width="11.5703125" customWidth="1"/>
    <col min="7448" max="7448" width="24.140625" customWidth="1"/>
    <col min="7449" max="7449" width="16.5703125" customWidth="1"/>
    <col min="7683" max="7703" width="11.5703125" customWidth="1"/>
    <col min="7704" max="7704" width="24.140625" customWidth="1"/>
    <col min="7705" max="7705" width="16.5703125" customWidth="1"/>
    <col min="7939" max="7959" width="11.5703125" customWidth="1"/>
    <col min="7960" max="7960" width="24.140625" customWidth="1"/>
    <col min="7961" max="7961" width="16.5703125" customWidth="1"/>
    <col min="8195" max="8215" width="11.5703125" customWidth="1"/>
    <col min="8216" max="8216" width="24.140625" customWidth="1"/>
    <col min="8217" max="8217" width="16.5703125" customWidth="1"/>
    <col min="8451" max="8471" width="11.5703125" customWidth="1"/>
    <col min="8472" max="8472" width="24.140625" customWidth="1"/>
    <col min="8473" max="8473" width="16.5703125" customWidth="1"/>
    <col min="8707" max="8727" width="11.5703125" customWidth="1"/>
    <col min="8728" max="8728" width="24.140625" customWidth="1"/>
    <col min="8729" max="8729" width="16.5703125" customWidth="1"/>
    <col min="8963" max="8983" width="11.5703125" customWidth="1"/>
    <col min="8984" max="8984" width="24.140625" customWidth="1"/>
    <col min="8985" max="8985" width="16.5703125" customWidth="1"/>
    <col min="9219" max="9239" width="11.5703125" customWidth="1"/>
    <col min="9240" max="9240" width="24.140625" customWidth="1"/>
    <col min="9241" max="9241" width="16.5703125" customWidth="1"/>
    <col min="9475" max="9495" width="11.5703125" customWidth="1"/>
    <col min="9496" max="9496" width="24.140625" customWidth="1"/>
    <col min="9497" max="9497" width="16.5703125" customWidth="1"/>
    <col min="9731" max="9751" width="11.5703125" customWidth="1"/>
    <col min="9752" max="9752" width="24.140625" customWidth="1"/>
    <col min="9753" max="9753" width="16.5703125" customWidth="1"/>
    <col min="9987" max="10007" width="11.5703125" customWidth="1"/>
    <col min="10008" max="10008" width="24.140625" customWidth="1"/>
    <col min="10009" max="10009" width="16.5703125" customWidth="1"/>
    <col min="10243" max="10263" width="11.5703125" customWidth="1"/>
    <col min="10264" max="10264" width="24.140625" customWidth="1"/>
    <col min="10265" max="10265" width="16.5703125" customWidth="1"/>
    <col min="10499" max="10519" width="11.5703125" customWidth="1"/>
    <col min="10520" max="10520" width="24.140625" customWidth="1"/>
    <col min="10521" max="10521" width="16.5703125" customWidth="1"/>
    <col min="10755" max="10775" width="11.5703125" customWidth="1"/>
    <col min="10776" max="10776" width="24.140625" customWidth="1"/>
    <col min="10777" max="10777" width="16.5703125" customWidth="1"/>
    <col min="11011" max="11031" width="11.5703125" customWidth="1"/>
    <col min="11032" max="11032" width="24.140625" customWidth="1"/>
    <col min="11033" max="11033" width="16.5703125" customWidth="1"/>
    <col min="11267" max="11287" width="11.5703125" customWidth="1"/>
    <col min="11288" max="11288" width="24.140625" customWidth="1"/>
    <col min="11289" max="11289" width="16.5703125" customWidth="1"/>
    <col min="11523" max="11543" width="11.5703125" customWidth="1"/>
    <col min="11544" max="11544" width="24.140625" customWidth="1"/>
    <col min="11545" max="11545" width="16.5703125" customWidth="1"/>
    <col min="11779" max="11799" width="11.5703125" customWidth="1"/>
    <col min="11800" max="11800" width="24.140625" customWidth="1"/>
    <col min="11801" max="11801" width="16.5703125" customWidth="1"/>
    <col min="12035" max="12055" width="11.5703125" customWidth="1"/>
    <col min="12056" max="12056" width="24.140625" customWidth="1"/>
    <col min="12057" max="12057" width="16.5703125" customWidth="1"/>
    <col min="12291" max="12311" width="11.5703125" customWidth="1"/>
    <col min="12312" max="12312" width="24.140625" customWidth="1"/>
    <col min="12313" max="12313" width="16.5703125" customWidth="1"/>
    <col min="12547" max="12567" width="11.5703125" customWidth="1"/>
    <col min="12568" max="12568" width="24.140625" customWidth="1"/>
    <col min="12569" max="12569" width="16.5703125" customWidth="1"/>
    <col min="12803" max="12823" width="11.5703125" customWidth="1"/>
    <col min="12824" max="12824" width="24.140625" customWidth="1"/>
    <col min="12825" max="12825" width="16.5703125" customWidth="1"/>
    <col min="13059" max="13079" width="11.5703125" customWidth="1"/>
    <col min="13080" max="13080" width="24.140625" customWidth="1"/>
    <col min="13081" max="13081" width="16.5703125" customWidth="1"/>
    <col min="13315" max="13335" width="11.5703125" customWidth="1"/>
    <col min="13336" max="13336" width="24.140625" customWidth="1"/>
    <col min="13337" max="13337" width="16.5703125" customWidth="1"/>
    <col min="13571" max="13591" width="11.5703125" customWidth="1"/>
    <col min="13592" max="13592" width="24.140625" customWidth="1"/>
    <col min="13593" max="13593" width="16.5703125" customWidth="1"/>
    <col min="13827" max="13847" width="11.5703125" customWidth="1"/>
    <col min="13848" max="13848" width="24.140625" customWidth="1"/>
    <col min="13849" max="13849" width="16.5703125" customWidth="1"/>
    <col min="14083" max="14103" width="11.5703125" customWidth="1"/>
    <col min="14104" max="14104" width="24.140625" customWidth="1"/>
    <col min="14105" max="14105" width="16.5703125" customWidth="1"/>
    <col min="14339" max="14359" width="11.5703125" customWidth="1"/>
    <col min="14360" max="14360" width="24.140625" customWidth="1"/>
    <col min="14361" max="14361" width="16.5703125" customWidth="1"/>
    <col min="14595" max="14615" width="11.5703125" customWidth="1"/>
    <col min="14616" max="14616" width="24.140625" customWidth="1"/>
    <col min="14617" max="14617" width="16.5703125" customWidth="1"/>
    <col min="14851" max="14871" width="11.5703125" customWidth="1"/>
    <col min="14872" max="14872" width="24.140625" customWidth="1"/>
    <col min="14873" max="14873" width="16.5703125" customWidth="1"/>
    <col min="15107" max="15127" width="11.5703125" customWidth="1"/>
    <col min="15128" max="15128" width="24.140625" customWidth="1"/>
    <col min="15129" max="15129" width="16.5703125" customWidth="1"/>
    <col min="15363" max="15383" width="11.5703125" customWidth="1"/>
    <col min="15384" max="15384" width="24.140625" customWidth="1"/>
    <col min="15385" max="15385" width="16.5703125" customWidth="1"/>
    <col min="15619" max="15639" width="11.5703125" customWidth="1"/>
    <col min="15640" max="15640" width="24.140625" customWidth="1"/>
    <col min="15641" max="15641" width="16.5703125" customWidth="1"/>
    <col min="15875" max="15895" width="11.5703125" customWidth="1"/>
    <col min="15896" max="15896" width="24.140625" customWidth="1"/>
    <col min="15897" max="15897" width="16.5703125" customWidth="1"/>
    <col min="16131" max="16151" width="11.5703125" customWidth="1"/>
    <col min="16152" max="16152" width="24.140625" customWidth="1"/>
    <col min="16153" max="16153" width="16.5703125" customWidth="1"/>
  </cols>
  <sheetData>
    <row r="1" spans="1:24" ht="23.25">
      <c r="A1" s="709" t="s">
        <v>915</v>
      </c>
      <c r="B1" s="486"/>
      <c r="C1" s="486"/>
      <c r="D1" s="486"/>
      <c r="E1" s="449" t="s">
        <v>115</v>
      </c>
      <c r="F1" s="450" t="s">
        <v>116</v>
      </c>
      <c r="G1" s="486"/>
      <c r="H1" s="486"/>
      <c r="I1" s="486"/>
      <c r="J1" s="486"/>
      <c r="K1" s="486"/>
      <c r="L1" s="486"/>
      <c r="M1" s="486"/>
      <c r="N1" s="486"/>
      <c r="O1" s="486"/>
      <c r="P1" s="486"/>
      <c r="Q1" s="486"/>
      <c r="R1" s="486"/>
      <c r="S1" s="486"/>
      <c r="T1" s="486"/>
      <c r="U1" s="1578"/>
      <c r="V1" s="1578"/>
      <c r="W1" s="486"/>
      <c r="X1" s="486"/>
    </row>
    <row r="2" spans="1:24" ht="13.5" thickBot="1">
      <c r="A2" s="1618"/>
      <c r="B2" s="486"/>
      <c r="C2" s="486"/>
      <c r="D2" s="486"/>
      <c r="E2" s="486"/>
      <c r="F2" s="486"/>
      <c r="G2" s="486"/>
      <c r="H2" s="486"/>
      <c r="I2" s="486"/>
      <c r="J2" s="486"/>
      <c r="K2" s="486"/>
      <c r="L2" s="486"/>
      <c r="M2" s="486"/>
      <c r="N2" s="486"/>
      <c r="O2" s="486"/>
      <c r="P2" s="486"/>
      <c r="Q2" s="486"/>
      <c r="R2" s="486"/>
      <c r="S2" s="486"/>
      <c r="T2" s="486"/>
      <c r="U2" s="1578"/>
      <c r="V2" s="1578"/>
      <c r="W2" s="486"/>
      <c r="X2" s="486"/>
    </row>
    <row r="3" spans="1:24">
      <c r="A3" s="667"/>
      <c r="B3" s="668"/>
      <c r="C3" s="668"/>
      <c r="D3" s="668"/>
      <c r="E3" s="668"/>
      <c r="F3" s="668"/>
      <c r="G3" s="668"/>
      <c r="H3" s="1042"/>
      <c r="I3" s="1042"/>
      <c r="J3" s="668"/>
      <c r="K3" s="1038"/>
      <c r="L3" s="1047"/>
      <c r="M3" s="1047"/>
      <c r="N3" s="486"/>
      <c r="O3" s="684"/>
      <c r="P3" s="685"/>
      <c r="Q3" s="686"/>
      <c r="R3" s="686"/>
      <c r="S3" s="686"/>
      <c r="T3" s="687"/>
      <c r="U3" s="486"/>
      <c r="V3" s="486"/>
      <c r="W3" s="486"/>
      <c r="X3" s="486"/>
    </row>
    <row r="4" spans="1:24" ht="15.75">
      <c r="A4" s="1039" t="s">
        <v>880</v>
      </c>
      <c r="B4" s="1043"/>
      <c r="C4" s="1043"/>
      <c r="D4" s="1043"/>
      <c r="E4" s="1043"/>
      <c r="F4" s="1043"/>
      <c r="G4" s="1043"/>
      <c r="H4" s="1043"/>
      <c r="I4" s="1043"/>
      <c r="J4" s="1044"/>
      <c r="K4" s="1040"/>
      <c r="L4" s="1047"/>
      <c r="M4" s="1047"/>
      <c r="N4" s="486"/>
      <c r="O4" s="688"/>
      <c r="P4" s="682" t="s">
        <v>135</v>
      </c>
      <c r="Q4" s="680"/>
      <c r="R4" s="683"/>
      <c r="S4" s="683"/>
      <c r="T4" s="689"/>
      <c r="U4" s="486"/>
      <c r="V4" s="486"/>
      <c r="W4" s="486"/>
      <c r="X4" s="486"/>
    </row>
    <row r="5" spans="1:24" ht="15.75">
      <c r="A5" s="1039" t="s">
        <v>944</v>
      </c>
      <c r="B5" s="1043"/>
      <c r="C5" s="1043"/>
      <c r="D5" s="1043"/>
      <c r="E5" s="1043"/>
      <c r="F5" s="1043"/>
      <c r="G5" s="1043"/>
      <c r="H5" s="1043"/>
      <c r="I5" s="1043"/>
      <c r="J5" s="1044"/>
      <c r="K5" s="1040"/>
      <c r="L5" s="1047"/>
      <c r="M5" s="1047"/>
      <c r="N5" s="486"/>
      <c r="O5" s="690"/>
      <c r="P5" s="681"/>
      <c r="Q5" s="683"/>
      <c r="R5" s="683"/>
      <c r="S5" s="683"/>
      <c r="T5" s="689"/>
      <c r="U5" s="486"/>
      <c r="V5" s="486"/>
      <c r="W5" s="486"/>
      <c r="X5" s="486"/>
    </row>
    <row r="6" spans="1:24" ht="15.75">
      <c r="A6" s="1039" t="s">
        <v>996</v>
      </c>
      <c r="B6" s="669"/>
      <c r="C6" s="669"/>
      <c r="D6" s="669"/>
      <c r="E6" s="669"/>
      <c r="F6" s="669"/>
      <c r="G6" s="526" t="s">
        <v>882</v>
      </c>
      <c r="H6" s="526"/>
      <c r="I6" s="526"/>
      <c r="J6" s="1044"/>
      <c r="K6" s="1040"/>
      <c r="L6" s="1047"/>
      <c r="M6" s="1047"/>
      <c r="N6" s="486"/>
      <c r="O6" s="690"/>
      <c r="P6" s="683" t="s">
        <v>923</v>
      </c>
      <c r="Q6" s="683"/>
      <c r="R6" s="683"/>
      <c r="S6" s="683"/>
      <c r="T6" s="689"/>
      <c r="U6" s="486"/>
      <c r="V6" s="486"/>
      <c r="W6" s="486"/>
      <c r="X6" s="486"/>
    </row>
    <row r="7" spans="1:24">
      <c r="A7" s="1039" t="s">
        <v>942</v>
      </c>
      <c r="B7" s="669"/>
      <c r="C7" s="669"/>
      <c r="D7" s="669"/>
      <c r="E7" s="669"/>
      <c r="F7" s="669"/>
      <c r="G7" s="526" t="s">
        <v>991</v>
      </c>
      <c r="H7" s="526"/>
      <c r="I7" s="526"/>
      <c r="J7" s="669"/>
      <c r="K7" s="1040"/>
      <c r="L7" s="1047"/>
      <c r="M7" s="1047"/>
      <c r="N7" s="486"/>
      <c r="O7" s="690"/>
      <c r="P7" s="711"/>
      <c r="Q7" s="712" t="s">
        <v>133</v>
      </c>
      <c r="R7" s="712" t="s">
        <v>147</v>
      </c>
      <c r="S7" s="712" t="s">
        <v>8</v>
      </c>
      <c r="T7" s="689"/>
      <c r="U7" s="486"/>
      <c r="V7" s="486"/>
      <c r="W7" s="486"/>
      <c r="X7" s="486"/>
    </row>
    <row r="8" spans="1:24">
      <c r="A8" s="1039" t="s">
        <v>990</v>
      </c>
      <c r="B8" s="669"/>
      <c r="C8" s="669"/>
      <c r="D8" s="669"/>
      <c r="E8" s="669"/>
      <c r="F8" s="669"/>
      <c r="G8" s="669"/>
      <c r="H8" s="1043"/>
      <c r="I8" s="1043"/>
      <c r="J8" s="1043"/>
      <c r="K8" s="1040"/>
      <c r="L8" s="486"/>
      <c r="M8" s="486"/>
      <c r="N8" s="486"/>
      <c r="O8" s="690"/>
      <c r="P8" s="1217" t="s">
        <v>917</v>
      </c>
      <c r="Q8" s="1214">
        <f>IF(D21=0," ",F35*V32)</f>
        <v>451.48929599999991</v>
      </c>
      <c r="R8" s="1214">
        <f>IF(D35=0," ",F53*V32)</f>
        <v>451.48929599999991</v>
      </c>
      <c r="S8" s="1214">
        <f>IF(D22=0," ",R8-Q8)</f>
        <v>0</v>
      </c>
      <c r="T8" s="689"/>
      <c r="U8" s="486"/>
      <c r="V8" s="486"/>
      <c r="W8" s="486"/>
      <c r="X8" s="486"/>
    </row>
    <row r="9" spans="1:24">
      <c r="A9" s="1039" t="s">
        <v>999</v>
      </c>
      <c r="B9" s="669"/>
      <c r="C9" s="669"/>
      <c r="D9" s="669"/>
      <c r="E9" s="669"/>
      <c r="F9" s="669"/>
      <c r="G9" s="669"/>
      <c r="H9" s="1043"/>
      <c r="I9" s="1043"/>
      <c r="J9" s="1043"/>
      <c r="K9" s="1040"/>
      <c r="L9" s="486"/>
      <c r="M9" s="486"/>
      <c r="N9" s="486"/>
      <c r="O9" s="690"/>
      <c r="P9" s="1217" t="s">
        <v>263</v>
      </c>
      <c r="Q9" s="1216">
        <f>IF(D21=0," ",V30*V31)</f>
        <v>210</v>
      </c>
      <c r="R9" s="1214">
        <f>IF(D21=0," ",((V30+Miljösammanfattning!I47)*V31))</f>
        <v>210</v>
      </c>
      <c r="S9" s="1214">
        <f>IF(D24=0," ",R9-Q9)</f>
        <v>0</v>
      </c>
      <c r="T9" s="689"/>
      <c r="U9" s="486"/>
      <c r="V9" s="486"/>
      <c r="W9" s="486"/>
      <c r="X9" s="486"/>
    </row>
    <row r="10" spans="1:24">
      <c r="A10" s="1039" t="s">
        <v>1000</v>
      </c>
      <c r="B10" s="1043"/>
      <c r="C10" s="1043"/>
      <c r="D10" s="1043"/>
      <c r="E10" s="1043"/>
      <c r="F10" s="1043"/>
      <c r="G10" s="1043"/>
      <c r="H10" s="1043"/>
      <c r="I10" s="1043"/>
      <c r="J10" s="1043"/>
      <c r="K10" s="1040"/>
      <c r="L10" s="486"/>
      <c r="M10" s="486"/>
      <c r="N10" s="486"/>
      <c r="O10" s="690"/>
      <c r="P10" s="1217" t="s">
        <v>918</v>
      </c>
      <c r="Q10" s="1215">
        <f>G36</f>
        <v>130.25002548979589</v>
      </c>
      <c r="R10" s="1214">
        <f>G54</f>
        <v>130.25002548979589</v>
      </c>
      <c r="S10" s="1214">
        <f>IF(D23=0," ",R10-Q10)</f>
        <v>0</v>
      </c>
      <c r="T10" s="689"/>
      <c r="U10" s="486"/>
      <c r="V10" s="486"/>
      <c r="W10" s="486"/>
      <c r="X10" s="486"/>
    </row>
    <row r="11" spans="1:24">
      <c r="A11" s="1039" t="s">
        <v>997</v>
      </c>
      <c r="B11" s="669"/>
      <c r="C11" s="669"/>
      <c r="D11" s="669"/>
      <c r="E11" s="669"/>
      <c r="F11" s="669"/>
      <c r="G11" s="669"/>
      <c r="H11" s="1043"/>
      <c r="I11" s="1043"/>
      <c r="J11" s="1043"/>
      <c r="K11" s="1040"/>
      <c r="L11" s="486"/>
      <c r="M11" s="486"/>
      <c r="N11" s="486"/>
      <c r="O11" s="690"/>
      <c r="P11" s="1217" t="s">
        <v>941</v>
      </c>
      <c r="Q11" s="1216">
        <f>IF(D21=0," ",V29)</f>
        <v>240</v>
      </c>
      <c r="R11" s="1216">
        <f>IF(D21=0," ",V29)</f>
        <v>240</v>
      </c>
      <c r="S11" s="1214">
        <f>IF(D25=0," ",R11-Q11)</f>
        <v>0</v>
      </c>
      <c r="T11" s="689"/>
      <c r="U11" s="486"/>
      <c r="V11" s="486"/>
      <c r="W11" s="486"/>
      <c r="X11" s="486"/>
    </row>
    <row r="12" spans="1:24">
      <c r="A12" s="1039" t="s">
        <v>998</v>
      </c>
      <c r="B12" s="669"/>
      <c r="C12" s="669"/>
      <c r="D12" s="669"/>
      <c r="E12" s="669"/>
      <c r="F12" s="669"/>
      <c r="G12" s="669"/>
      <c r="H12" s="1043"/>
      <c r="I12" s="1043"/>
      <c r="J12" s="1043"/>
      <c r="K12" s="1040"/>
      <c r="L12" s="486"/>
      <c r="M12" s="486"/>
      <c r="N12" s="486"/>
      <c r="O12" s="690"/>
      <c r="P12" s="1217" t="s">
        <v>916</v>
      </c>
      <c r="Q12" s="1214">
        <f>E36+L36+ F35*(V27*V35/28*V33)</f>
        <v>1106.1410466677551</v>
      </c>
      <c r="R12" s="1214">
        <f>E54+L54+ F53*(V27*V35/28*V33)</f>
        <v>1106.1410466677551</v>
      </c>
      <c r="S12" s="1214">
        <f>IF(D21=0," ",R12-Q12)</f>
        <v>0</v>
      </c>
      <c r="T12" s="689"/>
      <c r="U12" s="486"/>
      <c r="V12" s="486"/>
      <c r="W12" s="486"/>
      <c r="X12" s="486"/>
    </row>
    <row r="13" spans="1:24">
      <c r="A13" s="1690"/>
      <c r="B13" s="669"/>
      <c r="C13" s="669"/>
      <c r="D13" s="669"/>
      <c r="E13" s="669"/>
      <c r="F13" s="669"/>
      <c r="G13" s="669"/>
      <c r="H13" s="1043"/>
      <c r="I13" s="1043"/>
      <c r="J13" s="1043"/>
      <c r="K13" s="1040"/>
      <c r="L13" s="486"/>
      <c r="M13" s="486"/>
      <c r="N13" s="486"/>
      <c r="O13" s="690"/>
      <c r="P13" s="1217" t="s">
        <v>943</v>
      </c>
      <c r="Q13" s="1214">
        <f>IF(D21=0," ",V40)</f>
        <v>-58.261773116359592</v>
      </c>
      <c r="R13" s="1214">
        <f>IF(D21=0," ",V41)</f>
        <v>-58.261773116359592</v>
      </c>
      <c r="S13" s="1214">
        <f>IF(D26=0," ",R13-Q13)</f>
        <v>0</v>
      </c>
      <c r="T13" s="689"/>
      <c r="U13" s="486"/>
      <c r="V13" s="486"/>
      <c r="W13" s="486"/>
      <c r="X13" s="486"/>
    </row>
    <row r="14" spans="1:24">
      <c r="A14" s="670"/>
      <c r="B14" s="671"/>
      <c r="C14" s="671"/>
      <c r="D14" s="671"/>
      <c r="E14" s="671"/>
      <c r="F14" s="671"/>
      <c r="G14" s="671"/>
      <c r="H14" s="1046"/>
      <c r="I14" s="1046"/>
      <c r="J14" s="1046"/>
      <c r="K14" s="1041"/>
      <c r="L14" s="486"/>
      <c r="M14" s="486"/>
      <c r="N14" s="486"/>
      <c r="O14" s="690"/>
      <c r="P14" s="713"/>
      <c r="Q14" s="1214">
        <f>SUM(Q8:Q13)</f>
        <v>2079.6185950411914</v>
      </c>
      <c r="R14" s="1214">
        <f t="shared" ref="R14:S14" si="0">SUM(R8:R13)</f>
        <v>2079.6185950411914</v>
      </c>
      <c r="S14" s="1214">
        <f t="shared" si="0"/>
        <v>0</v>
      </c>
      <c r="T14" s="689"/>
      <c r="U14" s="486"/>
      <c r="V14" s="486"/>
      <c r="W14" s="486"/>
      <c r="X14" s="486"/>
    </row>
    <row r="15" spans="1:24">
      <c r="A15" s="486"/>
      <c r="B15" s="486"/>
      <c r="C15" s="486"/>
      <c r="D15" s="486"/>
      <c r="E15" s="486"/>
      <c r="F15" s="486"/>
      <c r="G15" s="486"/>
      <c r="H15" s="486"/>
      <c r="I15" s="486"/>
      <c r="J15" s="486"/>
      <c r="K15" s="486"/>
      <c r="L15" s="486"/>
      <c r="M15" s="486"/>
      <c r="N15" s="486"/>
      <c r="O15" s="688"/>
      <c r="P15" s="683"/>
      <c r="Q15" s="683"/>
      <c r="R15" s="683"/>
      <c r="S15" s="683"/>
      <c r="T15" s="689"/>
      <c r="U15" s="486"/>
      <c r="V15" s="486"/>
      <c r="W15" s="486"/>
      <c r="X15" s="486"/>
    </row>
    <row r="16" spans="1:24">
      <c r="A16" s="486"/>
      <c r="B16" s="486"/>
      <c r="C16" s="486"/>
      <c r="D16" s="486"/>
      <c r="E16" s="486"/>
      <c r="F16" s="486"/>
      <c r="G16" s="486"/>
      <c r="H16" s="486"/>
      <c r="I16" s="486"/>
      <c r="J16" s="486"/>
      <c r="K16" s="486"/>
      <c r="L16" s="486"/>
      <c r="M16" s="486"/>
      <c r="N16" s="486"/>
      <c r="O16" s="688"/>
      <c r="P16" s="683"/>
      <c r="Q16" s="683"/>
      <c r="R16" s="683"/>
      <c r="S16" s="683"/>
      <c r="T16" s="689"/>
      <c r="U16" s="486"/>
      <c r="V16" s="486"/>
      <c r="W16" s="486"/>
      <c r="X16" s="486"/>
    </row>
    <row r="17" spans="1:24" ht="13.5" thickBot="1">
      <c r="A17" s="486"/>
      <c r="B17" s="486"/>
      <c r="C17" s="486"/>
      <c r="D17" s="486"/>
      <c r="E17" s="486"/>
      <c r="F17" s="486"/>
      <c r="G17" s="486"/>
      <c r="H17" s="486"/>
      <c r="I17" s="486"/>
      <c r="J17" s="486"/>
      <c r="K17" s="486"/>
      <c r="L17" s="486"/>
      <c r="M17" s="486"/>
      <c r="N17" s="486"/>
      <c r="O17" s="691"/>
      <c r="P17" s="692"/>
      <c r="Q17" s="692"/>
      <c r="R17" s="692"/>
      <c r="S17" s="692"/>
      <c r="T17" s="693"/>
      <c r="U17" s="486"/>
      <c r="V17" s="486"/>
      <c r="W17" s="486"/>
      <c r="X17" s="486"/>
    </row>
    <row r="18" spans="1:24">
      <c r="A18" s="528"/>
      <c r="B18" s="529"/>
      <c r="C18" s="529"/>
      <c r="D18" s="529"/>
      <c r="E18" s="529"/>
      <c r="F18" s="529"/>
      <c r="G18" s="529"/>
      <c r="H18" s="529"/>
      <c r="I18" s="529"/>
      <c r="J18" s="529"/>
      <c r="K18" s="529"/>
      <c r="L18" s="529"/>
      <c r="M18" s="530"/>
      <c r="N18" s="486"/>
      <c r="O18" s="486"/>
      <c r="P18" s="486"/>
      <c r="Q18" s="486"/>
      <c r="R18" s="486"/>
      <c r="S18" s="486"/>
      <c r="T18" s="486"/>
      <c r="U18" s="486"/>
      <c r="V18" s="486"/>
      <c r="W18" s="486"/>
      <c r="X18" s="486"/>
    </row>
    <row r="19" spans="1:24">
      <c r="A19" s="525"/>
      <c r="B19" s="526"/>
      <c r="C19" s="526"/>
      <c r="D19" s="526"/>
      <c r="E19" s="526"/>
      <c r="F19" s="526"/>
      <c r="G19" s="526"/>
      <c r="H19" s="526"/>
      <c r="I19" s="526"/>
      <c r="J19" s="526"/>
      <c r="K19" s="526"/>
      <c r="L19" s="526"/>
      <c r="M19" s="483"/>
      <c r="N19" s="486"/>
      <c r="O19" s="486"/>
      <c r="P19" s="486"/>
      <c r="Q19" s="486"/>
      <c r="R19" s="486"/>
      <c r="S19" s="486"/>
      <c r="T19" s="486"/>
      <c r="U19" s="486"/>
      <c r="V19" s="486"/>
      <c r="W19" s="486"/>
      <c r="X19" s="486"/>
    </row>
    <row r="20" spans="1:24" ht="13.5" thickBot="1">
      <c r="A20" s="525"/>
      <c r="B20" s="526"/>
      <c r="C20" s="526"/>
      <c r="D20" s="526"/>
      <c r="E20" s="526"/>
      <c r="F20" s="526"/>
      <c r="G20" s="526"/>
      <c r="H20" s="526"/>
      <c r="I20" s="526"/>
      <c r="J20" s="526"/>
      <c r="K20" s="526"/>
      <c r="L20" s="526"/>
      <c r="M20" s="483"/>
      <c r="N20" s="486"/>
      <c r="O20" s="486"/>
      <c r="P20" s="486"/>
      <c r="Q20" s="486"/>
      <c r="R20" s="486"/>
      <c r="S20" s="486"/>
      <c r="T20" s="486"/>
      <c r="U20" s="486"/>
      <c r="V20" s="486"/>
      <c r="W20" s="486"/>
      <c r="X20" s="486"/>
    </row>
    <row r="21" spans="1:24">
      <c r="A21" s="525"/>
      <c r="B21" s="674" t="s">
        <v>133</v>
      </c>
      <c r="C21" s="694" t="s">
        <v>301</v>
      </c>
      <c r="D21" s="696">
        <f>Kostnader!E6</f>
        <v>7</v>
      </c>
      <c r="E21" s="526"/>
      <c r="F21" s="526"/>
      <c r="G21" s="526"/>
      <c r="H21" s="526"/>
      <c r="I21" s="526"/>
      <c r="J21" s="526"/>
      <c r="K21" s="526"/>
      <c r="L21" s="526"/>
      <c r="M21" s="483"/>
      <c r="N21" s="486"/>
      <c r="O21" s="1586"/>
      <c r="P21" s="1131"/>
      <c r="Q21" s="1131"/>
      <c r="R21" s="1131"/>
      <c r="S21" s="1131"/>
      <c r="T21" s="1131"/>
      <c r="U21" s="1131"/>
      <c r="V21" s="1131"/>
      <c r="W21" s="1131"/>
      <c r="X21" s="1132"/>
    </row>
    <row r="22" spans="1:24" ht="15.75">
      <c r="A22" s="525"/>
      <c r="B22" s="699"/>
      <c r="C22" s="699"/>
      <c r="D22" s="1647" t="s">
        <v>560</v>
      </c>
      <c r="E22" s="698" t="s">
        <v>570</v>
      </c>
      <c r="F22" s="699" t="s">
        <v>726</v>
      </c>
      <c r="G22" s="699" t="s">
        <v>924</v>
      </c>
      <c r="H22" s="700" t="s">
        <v>728</v>
      </c>
      <c r="I22" s="810"/>
      <c r="J22" s="810"/>
      <c r="K22" s="810"/>
      <c r="L22" s="1648"/>
      <c r="M22" s="483"/>
      <c r="N22" s="486"/>
      <c r="O22" s="1587"/>
      <c r="P22" s="1588" t="s">
        <v>738</v>
      </c>
      <c r="Q22" s="1134"/>
      <c r="R22" s="1134"/>
      <c r="S22" s="1134"/>
      <c r="T22" s="1134"/>
      <c r="U22" s="1134"/>
      <c r="V22" s="1134"/>
      <c r="W22" s="1134"/>
      <c r="X22" s="1135"/>
    </row>
    <row r="23" spans="1:24">
      <c r="A23" s="525"/>
      <c r="B23" s="885" t="s">
        <v>138</v>
      </c>
      <c r="C23" s="885" t="s">
        <v>139</v>
      </c>
      <c r="D23" s="1649" t="s">
        <v>569</v>
      </c>
      <c r="E23" s="1650" t="s">
        <v>572</v>
      </c>
      <c r="F23" s="885" t="s">
        <v>727</v>
      </c>
      <c r="G23" s="885" t="s">
        <v>727</v>
      </c>
      <c r="H23" s="1103" t="s">
        <v>769</v>
      </c>
      <c r="I23" s="1103" t="s">
        <v>320</v>
      </c>
      <c r="J23" s="1103" t="s">
        <v>494</v>
      </c>
      <c r="K23" s="1103" t="s">
        <v>741</v>
      </c>
      <c r="L23" s="1103" t="s">
        <v>727</v>
      </c>
      <c r="M23" s="483"/>
      <c r="N23" s="486"/>
      <c r="O23" s="1133"/>
      <c r="P23" s="1589"/>
      <c r="Q23" s="1134"/>
      <c r="R23" s="1134"/>
      <c r="S23" s="1134"/>
      <c r="T23" s="1134"/>
      <c r="U23" s="1134"/>
      <c r="V23" s="1134"/>
      <c r="W23" s="1134"/>
      <c r="X23" s="1135"/>
    </row>
    <row r="24" spans="1:24">
      <c r="A24" s="525"/>
      <c r="B24" s="1104" t="str">
        <f>Kostnader!B11</f>
        <v xml:space="preserve">Höstraps </v>
      </c>
      <c r="C24" s="1105">
        <f>Kostnader!C11</f>
        <v>3500</v>
      </c>
      <c r="D24" s="1106">
        <f>IF(B24=" "," ",IF(Mullberäkning!F25="Ja",INDEX(P$30:R$57,MATCH(B24,P$30:P$57,0),2),INDEX(P$30:R$57,MATCH(B24,P$30:P$57,0),3)))</f>
        <v>0.02</v>
      </c>
      <c r="E24" s="1107">
        <f t="shared" ref="E24:E33" si="1">IF(C24=" "," ",C24*D24)</f>
        <v>70</v>
      </c>
      <c r="F24" s="1107">
        <f>IF(B24=" "," ",INDEX('Tekniskt underlag'!A$5:K$32,MATCH(Växthusgaser!B24,'Tekniskt underlag'!A$5:A$32,0),11))</f>
        <v>218.47502399999996</v>
      </c>
      <c r="G24" s="1107">
        <f>Utlakning!L10</f>
        <v>39.535399999999996</v>
      </c>
      <c r="H24" s="520">
        <f>IF(Huvudinmatning!M14=" "," ",Huvudinmatning!M14)</f>
        <v>0</v>
      </c>
      <c r="I24" s="1108">
        <f>IF(H24=" "," ",Huvudinmatning!N14)</f>
        <v>0</v>
      </c>
      <c r="J24" s="1108">
        <f t="shared" ref="J24:J33" si="2">IF(H24=" "," ",INDEX(T$45:V$56,MATCH(H24,T$45:T$56,0),2))</f>
        <v>0</v>
      </c>
      <c r="K24" s="1108">
        <f t="shared" ref="K24:K33" si="3">IF(H24=" "," ",INDEX(T$45:V$56,MATCH(H24,T$45:T$56,0),3))</f>
        <v>0</v>
      </c>
      <c r="L24" s="1108">
        <f t="shared" ref="L24:L33" si="4">I24*K24</f>
        <v>0</v>
      </c>
      <c r="M24" s="483"/>
      <c r="N24" s="486"/>
      <c r="O24" s="1133"/>
      <c r="P24" s="1590" t="s">
        <v>615</v>
      </c>
      <c r="Q24" s="1134"/>
      <c r="R24" s="1134"/>
      <c r="S24" s="1134"/>
      <c r="T24" s="1590" t="s">
        <v>602</v>
      </c>
      <c r="U24" s="1134"/>
      <c r="V24" s="1134"/>
      <c r="W24" s="1134"/>
      <c r="X24" s="1135"/>
    </row>
    <row r="25" spans="1:24">
      <c r="A25" s="525"/>
      <c r="B25" s="1104" t="str">
        <f>Kostnader!B12</f>
        <v>Höstvete bröd</v>
      </c>
      <c r="C25" s="1105">
        <f>Kostnader!C12</f>
        <v>8000</v>
      </c>
      <c r="D25" s="1106">
        <f>IF(B25=" "," ",IF(Mullberäkning!F26="Ja",INDEX(P$30:R$57,MATCH(B25,P$30:P$57,0),2),INDEX(P$30:R$57,MATCH(B25,P$30:P$57,0),3)))</f>
        <v>1.2E-2</v>
      </c>
      <c r="E25" s="1107">
        <f t="shared" si="1"/>
        <v>96</v>
      </c>
      <c r="F25" s="1107">
        <f>IF(B25=" "," ",INDEX('Tekniskt underlag'!A$5:K$32,MATCH(Växthusgaser!B25,'Tekniskt underlag'!A$5:A$32,0),11))</f>
        <v>185</v>
      </c>
      <c r="G25" s="1107">
        <f>Utlakning!L11</f>
        <v>36.249600000000001</v>
      </c>
      <c r="H25" s="520">
        <f>IF(Huvudinmatning!M15=" "," ",Huvudinmatning!M15)</f>
        <v>0</v>
      </c>
      <c r="I25" s="1108">
        <f>IF(H25=" "," ",Huvudinmatning!N15)</f>
        <v>0</v>
      </c>
      <c r="J25" s="1108">
        <f t="shared" si="2"/>
        <v>0</v>
      </c>
      <c r="K25" s="1108">
        <f t="shared" si="3"/>
        <v>0</v>
      </c>
      <c r="L25" s="1108">
        <f t="shared" si="4"/>
        <v>0</v>
      </c>
      <c r="M25" s="483"/>
      <c r="N25" s="486"/>
      <c r="O25" s="1133"/>
      <c r="P25" s="1134" t="s">
        <v>616</v>
      </c>
      <c r="Q25" s="1134"/>
      <c r="R25" s="1134"/>
      <c r="S25" s="1134"/>
      <c r="T25" s="1577" t="s">
        <v>604</v>
      </c>
      <c r="U25" s="1577"/>
      <c r="V25" s="1579">
        <v>0.01</v>
      </c>
      <c r="W25" s="1577"/>
      <c r="X25" s="1135"/>
    </row>
    <row r="26" spans="1:24">
      <c r="A26" s="525"/>
      <c r="B26" s="1104" t="str">
        <f>Kostnader!B13</f>
        <v>Höstvete bröd</v>
      </c>
      <c r="C26" s="1105">
        <f>Kostnader!C13</f>
        <v>8000</v>
      </c>
      <c r="D26" s="1106">
        <f>IF(B26=" "," ",IF(Mullberäkning!F27="Ja",INDEX(P$30:R$57,MATCH(B26,P$30:P$57,0),2),INDEX(P$30:R$57,MATCH(B26,P$30:P$57,0),3)))</f>
        <v>1.2E-2</v>
      </c>
      <c r="E26" s="1107">
        <f t="shared" si="1"/>
        <v>96</v>
      </c>
      <c r="F26" s="1107">
        <f>IF(B26=" "," ",INDEX('Tekniskt underlag'!A$5:K$32,MATCH(Växthusgaser!B26,'Tekniskt underlag'!A$5:A$32,0),11))</f>
        <v>185</v>
      </c>
      <c r="G26" s="1107">
        <f>Utlakning!L12</f>
        <v>36.249600000000001</v>
      </c>
      <c r="H26" s="520">
        <f>IF(Huvudinmatning!M16=" "," ",Huvudinmatning!M16)</f>
        <v>0</v>
      </c>
      <c r="I26" s="1108">
        <f>IF(H26=" "," ",Huvudinmatning!N16)</f>
        <v>0</v>
      </c>
      <c r="J26" s="1108">
        <f t="shared" si="2"/>
        <v>0</v>
      </c>
      <c r="K26" s="1108">
        <f t="shared" si="3"/>
        <v>0</v>
      </c>
      <c r="L26" s="1108">
        <f t="shared" si="4"/>
        <v>0</v>
      </c>
      <c r="M26" s="483"/>
      <c r="N26" s="486"/>
      <c r="O26" s="1133"/>
      <c r="P26" s="1134" t="s">
        <v>729</v>
      </c>
      <c r="Q26" s="1134"/>
      <c r="R26" s="1134"/>
      <c r="S26" s="1134"/>
      <c r="T26" s="1577" t="s">
        <v>606</v>
      </c>
      <c r="U26" s="1577"/>
      <c r="V26" s="1579">
        <v>0.01</v>
      </c>
      <c r="W26" s="1577"/>
      <c r="X26" s="1135"/>
    </row>
    <row r="27" spans="1:24">
      <c r="A27" s="525"/>
      <c r="B27" s="1104" t="str">
        <f>Kostnader!B14</f>
        <v>Foderärt</v>
      </c>
      <c r="C27" s="1105">
        <f>Kostnader!C14</f>
        <v>4000</v>
      </c>
      <c r="D27" s="1106">
        <f>IF(B27=" "," ",IF(Mullberäkning!F28="Ja",INDEX(P$30:R$57,MATCH(B27,P$30:P$57,0),2),INDEX(P$30:R$57,MATCH(B27,P$30:P$57,0),3)))</f>
        <v>0.02</v>
      </c>
      <c r="E27" s="1107">
        <f t="shared" si="1"/>
        <v>80</v>
      </c>
      <c r="F27" s="1107">
        <f>IF(B27=" "," ",INDEX('Tekniskt underlag'!A$5:K$32,MATCH(Växthusgaser!B27,'Tekniskt underlag'!A$5:A$32,0),11))</f>
        <v>0</v>
      </c>
      <c r="G27" s="1107">
        <f>Utlakning!L13</f>
        <v>40.052399999999999</v>
      </c>
      <c r="H27" s="520">
        <f>IF(Huvudinmatning!M17=" "," ",Huvudinmatning!M17)</f>
        <v>0</v>
      </c>
      <c r="I27" s="1108">
        <f>IF(H27=" "," ",Huvudinmatning!N17)</f>
        <v>0</v>
      </c>
      <c r="J27" s="1108">
        <f t="shared" si="2"/>
        <v>0</v>
      </c>
      <c r="K27" s="1108">
        <f t="shared" si="3"/>
        <v>0</v>
      </c>
      <c r="L27" s="1108">
        <f t="shared" si="4"/>
        <v>0</v>
      </c>
      <c r="M27" s="483"/>
      <c r="N27" s="486"/>
      <c r="O27" s="1133"/>
      <c r="P27" s="1134" t="s">
        <v>730</v>
      </c>
      <c r="Q27" s="1134"/>
      <c r="R27" s="1134"/>
      <c r="S27" s="1134"/>
      <c r="T27" s="1577" t="s">
        <v>608</v>
      </c>
      <c r="U27" s="1577"/>
      <c r="V27" s="1579">
        <v>0.01</v>
      </c>
      <c r="W27" s="1577"/>
      <c r="X27" s="1135"/>
    </row>
    <row r="28" spans="1:24">
      <c r="A28" s="525"/>
      <c r="B28" s="1104" t="str">
        <f>Kostnader!B15</f>
        <v>Höstvete bröd</v>
      </c>
      <c r="C28" s="1105">
        <f>Kostnader!C15</f>
        <v>8000</v>
      </c>
      <c r="D28" s="1106">
        <f>IF(B28=" "," ",IF(Mullberäkning!F29="Ja",INDEX(P$30:R$57,MATCH(B28,P$30:P$57,0),2),INDEX(P$30:R$57,MATCH(B28,P$30:P$57,0),3)))</f>
        <v>1.2E-2</v>
      </c>
      <c r="E28" s="1107">
        <f t="shared" si="1"/>
        <v>96</v>
      </c>
      <c r="F28" s="1107">
        <f>IF(B28=" "," ",INDEX('Tekniskt underlag'!A$5:K$32,MATCH(Växthusgaser!B28,'Tekniskt underlag'!A$5:A$32,0),11))</f>
        <v>185</v>
      </c>
      <c r="G28" s="1107">
        <f>Utlakning!L14</f>
        <v>36.249600000000001</v>
      </c>
      <c r="H28" s="520">
        <f>IF(Huvudinmatning!M18=" "," ",Huvudinmatning!M18)</f>
        <v>0</v>
      </c>
      <c r="I28" s="1108">
        <f>IF(H28=" "," ",Huvudinmatning!N18)</f>
        <v>0</v>
      </c>
      <c r="J28" s="1108">
        <f t="shared" si="2"/>
        <v>0</v>
      </c>
      <c r="K28" s="1108">
        <f t="shared" si="3"/>
        <v>0</v>
      </c>
      <c r="L28" s="1108">
        <f t="shared" si="4"/>
        <v>0</v>
      </c>
      <c r="M28" s="483"/>
      <c r="N28" s="486"/>
      <c r="O28" s="1133"/>
      <c r="P28" s="1134" t="s">
        <v>620</v>
      </c>
      <c r="Q28" s="1134"/>
      <c r="R28" s="1134"/>
      <c r="S28" s="1134"/>
      <c r="T28" s="2112" t="s">
        <v>924</v>
      </c>
      <c r="U28" s="1561"/>
      <c r="V28" s="1577">
        <v>7.4999999999999997E-3</v>
      </c>
      <c r="W28" s="1577"/>
      <c r="X28" s="1135"/>
    </row>
    <row r="29" spans="1:24" ht="15.75">
      <c r="A29" s="525"/>
      <c r="B29" s="1104" t="str">
        <f>Kostnader!B16</f>
        <v>Höstvete bröd</v>
      </c>
      <c r="C29" s="1105">
        <f>Kostnader!C16</f>
        <v>8000</v>
      </c>
      <c r="D29" s="1106">
        <f>IF(B29=" "," ",IF(Mullberäkning!F30="Ja",INDEX(P$30:R$57,MATCH(B29,P$30:P$57,0),2),INDEX(P$30:R$57,MATCH(B29,P$30:P$57,0),3)))</f>
        <v>1.2E-2</v>
      </c>
      <c r="E29" s="1107">
        <f t="shared" si="1"/>
        <v>96</v>
      </c>
      <c r="F29" s="1107">
        <f>IF(B29=" "," ",INDEX('Tekniskt underlag'!A$5:K$32,MATCH(Växthusgaser!B29,'Tekniskt underlag'!A$5:A$32,0),11))</f>
        <v>185</v>
      </c>
      <c r="G29" s="1107">
        <f>Utlakning!L15</f>
        <v>36.249600000000001</v>
      </c>
      <c r="H29" s="520">
        <f>IF(Huvudinmatning!M19=" "," ",Huvudinmatning!M19)</f>
        <v>0</v>
      </c>
      <c r="I29" s="1108">
        <f>IF(H29=" "," ",Huvudinmatning!N19)</f>
        <v>0</v>
      </c>
      <c r="J29" s="1108">
        <f t="shared" si="2"/>
        <v>0</v>
      </c>
      <c r="K29" s="1108">
        <f t="shared" si="3"/>
        <v>0</v>
      </c>
      <c r="L29" s="1108">
        <f t="shared" si="4"/>
        <v>0</v>
      </c>
      <c r="M29" s="483"/>
      <c r="N29" s="486"/>
      <c r="O29" s="1133"/>
      <c r="P29" s="1577"/>
      <c r="Q29" s="1591" t="s">
        <v>622</v>
      </c>
      <c r="R29" s="1591" t="s">
        <v>623</v>
      </c>
      <c r="S29" s="1134"/>
      <c r="T29" s="1577" t="s">
        <v>734</v>
      </c>
      <c r="U29" s="1577"/>
      <c r="V29" s="1579">
        <v>240</v>
      </c>
      <c r="W29" s="1577" t="s">
        <v>611</v>
      </c>
      <c r="X29" s="1135"/>
    </row>
    <row r="30" spans="1:24">
      <c r="A30" s="525"/>
      <c r="B30" s="1104" t="str">
        <f>Kostnader!B17</f>
        <v>Maltkorn</v>
      </c>
      <c r="C30" s="1105">
        <f>Kostnader!C17</f>
        <v>5500</v>
      </c>
      <c r="D30" s="1106">
        <f>IF(B30=" "," ",IF(Mullberäkning!F31="Ja",INDEX(P$30:R$57,MATCH(B30,P$30:P$57,0),2),INDEX(P$30:R$57,MATCH(B30,P$30:P$57,0),3)))</f>
        <v>1.2E-2</v>
      </c>
      <c r="E30" s="1107">
        <f t="shared" si="1"/>
        <v>66</v>
      </c>
      <c r="F30" s="1107">
        <f>IF(B30=" "," ",INDEX('Tekniskt underlag'!A$5:K$32,MATCH(Växthusgaser!B30,'Tekniskt underlag'!A$5:A$32,0),11))</f>
        <v>95</v>
      </c>
      <c r="G30" s="1107">
        <f>Utlakning!L16</f>
        <v>35.013200000000005</v>
      </c>
      <c r="H30" s="520">
        <f>IF(Huvudinmatning!M20=" "," ",Huvudinmatning!M20)</f>
        <v>0</v>
      </c>
      <c r="I30" s="1108">
        <f>IF(H30=" "," ",Huvudinmatning!N20)</f>
        <v>0</v>
      </c>
      <c r="J30" s="1108">
        <f t="shared" si="2"/>
        <v>0</v>
      </c>
      <c r="K30" s="1108">
        <f t="shared" si="3"/>
        <v>0</v>
      </c>
      <c r="L30" s="1108">
        <f t="shared" si="4"/>
        <v>0</v>
      </c>
      <c r="M30" s="483"/>
      <c r="N30" s="486"/>
      <c r="O30" s="1133"/>
      <c r="P30" s="1577" t="str">
        <f>'Tekniskt underlag'!A5</f>
        <v>Höstvete bröd</v>
      </c>
      <c r="Q30" s="1577">
        <v>1.2E-2</v>
      </c>
      <c r="R30" s="1577">
        <v>7.0000000000000001E-3</v>
      </c>
      <c r="S30" s="1134"/>
      <c r="T30" s="2113" t="s">
        <v>735</v>
      </c>
      <c r="U30" s="2113"/>
      <c r="V30" s="1579">
        <v>70</v>
      </c>
      <c r="W30" s="1577" t="s">
        <v>11</v>
      </c>
      <c r="X30" s="1135"/>
    </row>
    <row r="31" spans="1:24">
      <c r="A31" s="525"/>
      <c r="B31" s="1104" t="str">
        <f>Kostnader!B18</f>
        <v xml:space="preserve"> </v>
      </c>
      <c r="C31" s="1105" t="str">
        <f>Kostnader!C18</f>
        <v xml:space="preserve"> </v>
      </c>
      <c r="D31" s="1106" t="str">
        <f>IF(B31=" "," ",IF(Mullberäkning!F32="Ja",INDEX(P$30:R$57,MATCH(B31,P$30:P$57,0),2),INDEX(P$30:R$57,MATCH(B31,P$30:P$57,0),3)))</f>
        <v xml:space="preserve"> </v>
      </c>
      <c r="E31" s="1107" t="str">
        <f t="shared" si="1"/>
        <v xml:space="preserve"> </v>
      </c>
      <c r="F31" s="1107" t="str">
        <f>IF(B31=" "," ",INDEX('Tekniskt underlag'!A$5:K$32,MATCH(Växthusgaser!B31,'Tekniskt underlag'!A$5:A$32,0),11))</f>
        <v xml:space="preserve"> </v>
      </c>
      <c r="G31" s="1107" t="str">
        <f>Utlakning!L17</f>
        <v xml:space="preserve"> </v>
      </c>
      <c r="H31" s="520">
        <f>IF(Huvudinmatning!M21=" "," ",Huvudinmatning!M21)</f>
        <v>0</v>
      </c>
      <c r="I31" s="1108">
        <f>IF(H31=" "," ",Huvudinmatning!N21)</f>
        <v>0</v>
      </c>
      <c r="J31" s="1108">
        <f t="shared" si="2"/>
        <v>0</v>
      </c>
      <c r="K31" s="1108">
        <f t="shared" si="3"/>
        <v>0</v>
      </c>
      <c r="L31" s="1108">
        <f t="shared" si="4"/>
        <v>0</v>
      </c>
      <c r="M31" s="483"/>
      <c r="N31" s="486"/>
      <c r="O31" s="1133"/>
      <c r="P31" s="1577" t="str">
        <f>'Tekniskt underlag'!A6</f>
        <v>Höstvete, foder</v>
      </c>
      <c r="Q31" s="1577">
        <v>1.2E-2</v>
      </c>
      <c r="R31" s="1577">
        <v>7.0000000000000001E-3</v>
      </c>
      <c r="S31" s="1134"/>
      <c r="T31" s="2112"/>
      <c r="U31" s="2114"/>
      <c r="V31" s="2115">
        <v>3</v>
      </c>
      <c r="W31" s="1577" t="s">
        <v>736</v>
      </c>
      <c r="X31" s="1135"/>
    </row>
    <row r="32" spans="1:24">
      <c r="A32" s="525"/>
      <c r="B32" s="1104" t="str">
        <f>Kostnader!B19</f>
        <v xml:space="preserve"> </v>
      </c>
      <c r="C32" s="1105" t="str">
        <f>Kostnader!C19</f>
        <v xml:space="preserve"> </v>
      </c>
      <c r="D32" s="1106" t="str">
        <f>IF(B32=" "," ",IF(Mullberäkning!F33="Ja",INDEX(P$30:R$57,MATCH(B32,P$30:P$57,0),2),INDEX(P$30:R$57,MATCH(B32,P$30:P$57,0),3)))</f>
        <v xml:space="preserve"> </v>
      </c>
      <c r="E32" s="1107" t="str">
        <f t="shared" si="1"/>
        <v xml:space="preserve"> </v>
      </c>
      <c r="F32" s="1107" t="str">
        <f>IF(B32=" "," ",INDEX('Tekniskt underlag'!A$5:K$32,MATCH(Växthusgaser!B32,'Tekniskt underlag'!A$5:A$32,0),11))</f>
        <v xml:space="preserve"> </v>
      </c>
      <c r="G32" s="1107" t="str">
        <f>Utlakning!L18</f>
        <v xml:space="preserve"> </v>
      </c>
      <c r="H32" s="520">
        <f>IF(Huvudinmatning!M22=" "," ",Huvudinmatning!M22)</f>
        <v>0</v>
      </c>
      <c r="I32" s="1108">
        <f>IF(H32=" "," ",Huvudinmatning!N22)</f>
        <v>0</v>
      </c>
      <c r="J32" s="1108">
        <f t="shared" si="2"/>
        <v>0</v>
      </c>
      <c r="K32" s="1108">
        <f t="shared" si="3"/>
        <v>0</v>
      </c>
      <c r="L32" s="1108">
        <f t="shared" si="4"/>
        <v>0</v>
      </c>
      <c r="M32" s="483"/>
      <c r="N32" s="486"/>
      <c r="O32" s="1133"/>
      <c r="P32" s="1577" t="str">
        <f>'Tekniskt underlag'!A7</f>
        <v>Råg, hybrid</v>
      </c>
      <c r="Q32" s="1577">
        <v>1.2E-2</v>
      </c>
      <c r="R32" s="1577">
        <v>7.0000000000000001E-3</v>
      </c>
      <c r="S32" s="1134"/>
      <c r="T32" s="1460" t="s">
        <v>613</v>
      </c>
      <c r="U32" s="1460"/>
      <c r="V32" s="2116">
        <v>3</v>
      </c>
      <c r="W32" s="1577" t="s">
        <v>614</v>
      </c>
      <c r="X32" s="1135"/>
    </row>
    <row r="33" spans="1:27">
      <c r="A33" s="525"/>
      <c r="B33" s="1104" t="str">
        <f>Kostnader!B20</f>
        <v xml:space="preserve"> </v>
      </c>
      <c r="C33" s="1105" t="str">
        <f>Kostnader!C20</f>
        <v xml:space="preserve"> </v>
      </c>
      <c r="D33" s="1106" t="str">
        <f>IF(B33=" "," ",IF(Mullberäkning!F34="Ja",INDEX(P$30:R$57,MATCH(B33,P$30:P$57,0),2),INDEX(P$30:R$57,MATCH(B33,P$30:P$57,0),3)))</f>
        <v xml:space="preserve"> </v>
      </c>
      <c r="E33" s="1107" t="str">
        <f t="shared" si="1"/>
        <v xml:space="preserve"> </v>
      </c>
      <c r="F33" s="1107" t="str">
        <f>IF(B33=" "," ",INDEX('Tekniskt underlag'!A$5:K$32,MATCH(Växthusgaser!B33,'Tekniskt underlag'!A$5:A$32,0),11))</f>
        <v xml:space="preserve"> </v>
      </c>
      <c r="G33" s="1107" t="str">
        <f>Utlakning!L19</f>
        <v xml:space="preserve"> </v>
      </c>
      <c r="H33" s="520">
        <f>IF(Huvudinmatning!M23=" "," ",Huvudinmatning!M23)</f>
        <v>0</v>
      </c>
      <c r="I33" s="1108">
        <f>IF(H33=" "," ",Huvudinmatning!N23)</f>
        <v>0</v>
      </c>
      <c r="J33" s="1108">
        <f t="shared" si="2"/>
        <v>0</v>
      </c>
      <c r="K33" s="1108">
        <f t="shared" si="3"/>
        <v>0</v>
      </c>
      <c r="L33" s="1108">
        <f t="shared" si="4"/>
        <v>0</v>
      </c>
      <c r="M33" s="527"/>
      <c r="N33" s="486"/>
      <c r="O33" s="1133"/>
      <c r="P33" s="1577" t="str">
        <f>'Tekniskt underlag'!A8</f>
        <v>Rågvete</v>
      </c>
      <c r="Q33" s="1577">
        <v>1.2E-2</v>
      </c>
      <c r="R33" s="1577">
        <v>7.0000000000000001E-3</v>
      </c>
      <c r="S33" s="1134"/>
      <c r="T33" s="1577" t="s">
        <v>739</v>
      </c>
      <c r="U33" s="1577"/>
      <c r="V33" s="1577">
        <v>298</v>
      </c>
      <c r="W33" s="1577"/>
      <c r="X33" s="1135"/>
      <c r="AA33" s="20" t="s">
        <v>327</v>
      </c>
    </row>
    <row r="34" spans="1:27">
      <c r="A34" s="525"/>
      <c r="B34" s="704"/>
      <c r="C34" s="705"/>
      <c r="D34" s="706" t="s">
        <v>153</v>
      </c>
      <c r="E34" s="1107">
        <f>SUM(E24:E33)</f>
        <v>600</v>
      </c>
      <c r="F34" s="1107">
        <f>SUM(F24:F33)</f>
        <v>1053.4750239999998</v>
      </c>
      <c r="G34" s="1107">
        <f>SUM(G24:G33)</f>
        <v>259.59939999999995</v>
      </c>
      <c r="H34" s="526"/>
      <c r="I34" s="481"/>
      <c r="J34" s="481"/>
      <c r="K34" s="481"/>
      <c r="L34" s="1108">
        <f>SUM(L24:L33)</f>
        <v>0</v>
      </c>
      <c r="M34" s="527"/>
      <c r="N34" s="486"/>
      <c r="O34" s="1133"/>
      <c r="P34" s="1577" t="str">
        <f>'Tekniskt underlag'!A9</f>
        <v>Höstkorn</v>
      </c>
      <c r="Q34" s="1577">
        <v>1.2E-2</v>
      </c>
      <c r="R34" s="1577">
        <v>7.0000000000000001E-3</v>
      </c>
      <c r="S34" s="1134"/>
      <c r="T34" s="2112" t="s">
        <v>919</v>
      </c>
      <c r="U34" s="1561"/>
      <c r="V34" s="1577">
        <v>44</v>
      </c>
      <c r="W34" s="1577"/>
      <c r="X34" s="1135"/>
    </row>
    <row r="35" spans="1:27">
      <c r="A35" s="525"/>
      <c r="B35" s="704"/>
      <c r="C35" s="705"/>
      <c r="D35" s="706" t="s">
        <v>731</v>
      </c>
      <c r="E35" s="1107">
        <f>IF(D21=0, " ",E34/D21)</f>
        <v>85.714285714285708</v>
      </c>
      <c r="F35" s="1107">
        <f>IF(D21=0," ",F34/D21)</f>
        <v>150.49643199999997</v>
      </c>
      <c r="G35" s="1107">
        <f>IF(D21=0," ",G34/D21)</f>
        <v>37.085628571428565</v>
      </c>
      <c r="H35" s="526"/>
      <c r="I35" s="481"/>
      <c r="J35" s="481"/>
      <c r="K35" s="481"/>
      <c r="L35" s="1108">
        <f>IF(D21=0," ",L34/D21)</f>
        <v>0</v>
      </c>
      <c r="M35" s="527"/>
      <c r="N35" s="486"/>
      <c r="O35" s="1133"/>
      <c r="P35" s="1577" t="str">
        <f>'Tekniskt underlag'!A10</f>
        <v>Vårkorn, foder</v>
      </c>
      <c r="Q35" s="1577">
        <v>1.2E-2</v>
      </c>
      <c r="R35" s="1577">
        <v>7.0000000000000001E-3</v>
      </c>
      <c r="S35" s="1134"/>
      <c r="T35" s="2112" t="s">
        <v>920</v>
      </c>
      <c r="U35" s="1561"/>
      <c r="V35" s="1577">
        <v>44</v>
      </c>
      <c r="W35" s="1577"/>
      <c r="X35" s="1135"/>
    </row>
    <row r="36" spans="1:27">
      <c r="A36" s="525"/>
      <c r="B36" s="526"/>
      <c r="C36" s="705"/>
      <c r="D36" s="707" t="s">
        <v>733</v>
      </c>
      <c r="E36" s="1107">
        <f>IF(D21=0," ",E35*V25*44/28*V33)</f>
        <v>401.38775510204079</v>
      </c>
      <c r="F36" s="1107">
        <f>IF(D21=0," ",F35*(V32+V26*44/28*V33))</f>
        <v>1156.2425875657141</v>
      </c>
      <c r="G36" s="1107">
        <f>G35*V28*V35/28*V33</f>
        <v>130.25002548979589</v>
      </c>
      <c r="H36" s="526"/>
      <c r="I36" s="481"/>
      <c r="J36" s="481"/>
      <c r="K36" s="481"/>
      <c r="L36" s="1107">
        <f>IF(D21=0," ",L35*(V27*44/28*310))</f>
        <v>0</v>
      </c>
      <c r="M36" s="527"/>
      <c r="N36" s="486"/>
      <c r="O36" s="1133"/>
      <c r="P36" s="1577" t="str">
        <f>'Tekniskt underlag'!A11</f>
        <v>Maltkorn</v>
      </c>
      <c r="Q36" s="1577">
        <v>1.2E-2</v>
      </c>
      <c r="R36" s="1577">
        <v>7.0000000000000001E-3</v>
      </c>
      <c r="S36" s="1134"/>
      <c r="T36" s="1134"/>
      <c r="U36" s="1134"/>
      <c r="V36" s="1134"/>
      <c r="W36" s="1134"/>
      <c r="X36" s="1135"/>
    </row>
    <row r="37" spans="1:27">
      <c r="A37" s="525"/>
      <c r="B37" s="526"/>
      <c r="C37" s="705"/>
      <c r="D37" s="707"/>
      <c r="E37" s="708"/>
      <c r="F37" s="708"/>
      <c r="G37" s="526"/>
      <c r="H37" s="526"/>
      <c r="I37" s="481"/>
      <c r="J37" s="481"/>
      <c r="K37" s="481"/>
      <c r="L37" s="708"/>
      <c r="M37" s="483"/>
      <c r="N37" s="486"/>
      <c r="O37" s="1133"/>
      <c r="P37" s="1577" t="str">
        <f>'Tekniskt underlag'!A12</f>
        <v>Vårvete</v>
      </c>
      <c r="Q37" s="1577">
        <v>1.2E-2</v>
      </c>
      <c r="R37" s="1577">
        <v>7.0000000000000001E-3</v>
      </c>
      <c r="S37" s="1134"/>
      <c r="T37" s="1590" t="s">
        <v>737</v>
      </c>
      <c r="U37" s="1134"/>
      <c r="V37" s="1134"/>
      <c r="W37" s="1134"/>
      <c r="X37" s="1135"/>
    </row>
    <row r="38" spans="1:27">
      <c r="A38" s="525"/>
      <c r="B38" s="704"/>
      <c r="C38" s="704"/>
      <c r="D38" s="526"/>
      <c r="E38" s="526"/>
      <c r="F38" s="526"/>
      <c r="G38" s="526"/>
      <c r="H38" s="526"/>
      <c r="I38" s="526"/>
      <c r="J38" s="526"/>
      <c r="K38" s="526"/>
      <c r="L38" s="526"/>
      <c r="M38" s="483"/>
      <c r="N38" s="486"/>
      <c r="O38" s="1133"/>
      <c r="P38" s="1577" t="str">
        <f>'Tekniskt underlag'!A13</f>
        <v>Havre</v>
      </c>
      <c r="Q38" s="1577">
        <v>1.2E-2</v>
      </c>
      <c r="R38" s="1577">
        <v>7.0000000000000001E-3</v>
      </c>
      <c r="S38" s="1134"/>
      <c r="T38" s="2117"/>
      <c r="U38" s="2117" t="s">
        <v>38</v>
      </c>
      <c r="V38" s="2117" t="s">
        <v>921</v>
      </c>
      <c r="W38" s="1134"/>
      <c r="X38" s="1135"/>
    </row>
    <row r="39" spans="1:27">
      <c r="A39" s="525"/>
      <c r="B39" s="674" t="s">
        <v>147</v>
      </c>
      <c r="C39" s="694" t="s">
        <v>301</v>
      </c>
      <c r="D39" s="696">
        <f>Kostnader!E25</f>
        <v>7</v>
      </c>
      <c r="E39" s="526"/>
      <c r="F39" s="526"/>
      <c r="G39" s="526"/>
      <c r="H39" s="526"/>
      <c r="I39" s="526"/>
      <c r="J39" s="526"/>
      <c r="K39" s="526"/>
      <c r="L39" s="526"/>
      <c r="M39" s="483"/>
      <c r="N39" s="486"/>
      <c r="O39" s="1133"/>
      <c r="P39" s="1577" t="str">
        <f>'Tekniskt underlag'!A14</f>
        <v xml:space="preserve">Höstraps </v>
      </c>
      <c r="Q39" s="1577">
        <v>0.02</v>
      </c>
      <c r="R39" s="1577">
        <v>1.2E-2</v>
      </c>
      <c r="S39" s="1134"/>
      <c r="T39" s="2118"/>
      <c r="U39" s="2118" t="s">
        <v>318</v>
      </c>
      <c r="V39" s="2118" t="s">
        <v>922</v>
      </c>
      <c r="W39" s="1134"/>
      <c r="X39" s="1135"/>
    </row>
    <row r="40" spans="1:27">
      <c r="A40" s="525"/>
      <c r="B40" s="699"/>
      <c r="C40" s="699"/>
      <c r="D40" s="1647" t="s">
        <v>560</v>
      </c>
      <c r="E40" s="698" t="s">
        <v>570</v>
      </c>
      <c r="F40" s="699" t="s">
        <v>726</v>
      </c>
      <c r="G40" s="699" t="s">
        <v>924</v>
      </c>
      <c r="H40" s="700" t="s">
        <v>728</v>
      </c>
      <c r="I40" s="810"/>
      <c r="J40" s="810"/>
      <c r="K40" s="810"/>
      <c r="L40" s="1648"/>
      <c r="M40" s="483"/>
      <c r="N40" s="486"/>
      <c r="O40" s="1133"/>
      <c r="P40" s="1577" t="str">
        <f>'Tekniskt underlag'!A15</f>
        <v>Vårraps</v>
      </c>
      <c r="Q40" s="1577">
        <v>0.02</v>
      </c>
      <c r="R40" s="1577">
        <v>1.2E-2</v>
      </c>
      <c r="S40" s="1134"/>
      <c r="T40" s="1577" t="s">
        <v>133</v>
      </c>
      <c r="U40" s="2119">
        <f>+Mull_ICBM!AM15</f>
        <v>15.889574486279889</v>
      </c>
      <c r="V40" s="2120">
        <f>-(U40*V34/12)</f>
        <v>-58.261773116359592</v>
      </c>
      <c r="W40" s="1134"/>
      <c r="X40" s="1135"/>
    </row>
    <row r="41" spans="1:27">
      <c r="A41" s="525"/>
      <c r="B41" s="885" t="s">
        <v>138</v>
      </c>
      <c r="C41" s="885" t="s">
        <v>139</v>
      </c>
      <c r="D41" s="1649" t="s">
        <v>569</v>
      </c>
      <c r="E41" s="1650" t="s">
        <v>572</v>
      </c>
      <c r="F41" s="885" t="s">
        <v>727</v>
      </c>
      <c r="G41" s="885" t="s">
        <v>727</v>
      </c>
      <c r="H41" s="1103" t="s">
        <v>769</v>
      </c>
      <c r="I41" s="1103" t="s">
        <v>320</v>
      </c>
      <c r="J41" s="1103" t="s">
        <v>494</v>
      </c>
      <c r="K41" s="1103" t="s">
        <v>741</v>
      </c>
      <c r="L41" s="1103" t="s">
        <v>727</v>
      </c>
      <c r="M41" s="483"/>
      <c r="N41" s="486"/>
      <c r="O41" s="1133"/>
      <c r="P41" s="1577" t="str">
        <f>'Tekniskt underlag'!A16</f>
        <v>Oljelin</v>
      </c>
      <c r="Q41" s="1577">
        <v>0.02</v>
      </c>
      <c r="R41" s="1577">
        <v>1.2E-2</v>
      </c>
      <c r="S41" s="1134"/>
      <c r="T41" s="1577" t="s">
        <v>147</v>
      </c>
      <c r="U41" s="2119">
        <f>+Mull_ICBM!AM16</f>
        <v>15.889574486279889</v>
      </c>
      <c r="V41" s="2120">
        <f>-(U41*V34/12)</f>
        <v>-58.261773116359592</v>
      </c>
      <c r="W41" s="1134"/>
      <c r="X41" s="1135"/>
    </row>
    <row r="42" spans="1:27">
      <c r="A42" s="525"/>
      <c r="B42" s="1104" t="str">
        <f>Kostnader!B31</f>
        <v xml:space="preserve">Höstraps </v>
      </c>
      <c r="C42" s="1104">
        <f>Kostnader!C31</f>
        <v>3500</v>
      </c>
      <c r="D42" s="1106">
        <f>IF(B42=" "," ",IF(Mullberäkning!F48="Ja",INDEX(P$30:R$57,MATCH(B42,P$30:P$57,0),2),INDEX(P$30:R$57,MATCH(B42,P$30:P$57,0),3)))</f>
        <v>0.02</v>
      </c>
      <c r="E42" s="1107">
        <f t="shared" ref="E42:E51" si="5">IF(C42=" "," ",C42*D42)</f>
        <v>70</v>
      </c>
      <c r="F42" s="1107">
        <f>IF(B42=" "," ",INDEX('Tekniskt underlag'!A$5:K$32,MATCH(Växthusgaser!B42,'Tekniskt underlag'!A$5:A$32,0),11))</f>
        <v>218.47502399999996</v>
      </c>
      <c r="G42" s="1107">
        <f>Utlakning!L29</f>
        <v>39.535399999999996</v>
      </c>
      <c r="H42" s="520">
        <f>IF(Huvudinmatning!R33=" "," ",Huvudinmatning!R33)</f>
        <v>0</v>
      </c>
      <c r="I42" s="1108">
        <f>IF(H42=" "," ",Huvudinmatning!S33)</f>
        <v>0</v>
      </c>
      <c r="J42" s="1108">
        <f t="shared" ref="J42:J51" si="6">IF(H42=" "," ",INDEX(T$45:V$56,MATCH(H42,T$45:T$56,0),2))</f>
        <v>0</v>
      </c>
      <c r="K42" s="1108">
        <f t="shared" ref="K42:K51" si="7">IF(H42=" "," ",INDEX(T$45:V$56,MATCH(H42,T$45:T$56,0),3))</f>
        <v>0</v>
      </c>
      <c r="L42" s="1108">
        <f t="shared" ref="L42:L51" si="8">I42*K42</f>
        <v>0</v>
      </c>
      <c r="M42" s="483"/>
      <c r="N42" s="486"/>
      <c r="O42" s="1133"/>
      <c r="P42" s="1577" t="str">
        <f>'Tekniskt underlag'!A17</f>
        <v>Foderärt</v>
      </c>
      <c r="Q42" s="1577">
        <v>0.02</v>
      </c>
      <c r="R42" s="1577">
        <v>0.02</v>
      </c>
      <c r="S42" s="1134"/>
      <c r="T42" s="1134"/>
      <c r="U42" s="1134"/>
      <c r="V42" s="1134"/>
      <c r="W42" s="1134"/>
      <c r="X42" s="1135"/>
    </row>
    <row r="43" spans="1:27">
      <c r="A43" s="525"/>
      <c r="B43" s="1104" t="str">
        <f>Kostnader!B32</f>
        <v>Höstvete bröd</v>
      </c>
      <c r="C43" s="1104">
        <f>Kostnader!C32</f>
        <v>8000</v>
      </c>
      <c r="D43" s="1106">
        <f>IF(B43=" "," ",IF(Mullberäkning!F49="Ja",INDEX(P$30:R$57,MATCH(B43,P$30:P$57,0),2),INDEX(P$30:R$57,MATCH(B43,P$30:P$57,0),3)))</f>
        <v>1.2E-2</v>
      </c>
      <c r="E43" s="1107">
        <f t="shared" si="5"/>
        <v>96</v>
      </c>
      <c r="F43" s="1107">
        <f>IF(B43=" "," ",INDEX('Tekniskt underlag'!A$5:K$32,MATCH(Växthusgaser!B43,'Tekniskt underlag'!A$5:A$32,0),11))</f>
        <v>185</v>
      </c>
      <c r="G43" s="1107">
        <f>Utlakning!L30</f>
        <v>36.249600000000001</v>
      </c>
      <c r="H43" s="520">
        <f>IF(Huvudinmatning!R34=" "," ",Huvudinmatning!R34)</f>
        <v>0</v>
      </c>
      <c r="I43" s="1108">
        <f>IF(H43=" "," ",Huvudinmatning!S34)</f>
        <v>0</v>
      </c>
      <c r="J43" s="1108">
        <f t="shared" si="6"/>
        <v>0</v>
      </c>
      <c r="K43" s="1108">
        <f t="shared" si="7"/>
        <v>0</v>
      </c>
      <c r="L43" s="1108">
        <f t="shared" si="8"/>
        <v>0</v>
      </c>
      <c r="M43" s="483"/>
      <c r="N43" s="486"/>
      <c r="O43" s="1133"/>
      <c r="P43" s="1577" t="str">
        <f>'Tekniskt underlag'!A18</f>
        <v>Konservärter</v>
      </c>
      <c r="Q43" s="1577">
        <v>0.02</v>
      </c>
      <c r="R43" s="1577">
        <v>0.02</v>
      </c>
      <c r="S43" s="1134"/>
      <c r="T43" s="1590" t="s">
        <v>732</v>
      </c>
      <c r="U43" s="1134"/>
      <c r="V43" s="1134"/>
      <c r="W43" s="1134"/>
      <c r="X43" s="1135"/>
    </row>
    <row r="44" spans="1:27">
      <c r="A44" s="525"/>
      <c r="B44" s="1104" t="str">
        <f>Kostnader!B33</f>
        <v>Höstvete bröd</v>
      </c>
      <c r="C44" s="1104">
        <f>Kostnader!C33</f>
        <v>8000</v>
      </c>
      <c r="D44" s="1106">
        <f>IF(B44=" "," ",IF(Mullberäkning!F50="Ja",INDEX(P$30:R$57,MATCH(B44,P$30:P$57,0),2),INDEX(P$30:R$57,MATCH(B44,P$30:P$57,0),3)))</f>
        <v>1.2E-2</v>
      </c>
      <c r="E44" s="1107">
        <f t="shared" si="5"/>
        <v>96</v>
      </c>
      <c r="F44" s="1107">
        <f>IF(B44=" "," ",INDEX('Tekniskt underlag'!A$5:K$32,MATCH(Växthusgaser!B44,'Tekniskt underlag'!A$5:A$32,0),11))</f>
        <v>185</v>
      </c>
      <c r="G44" s="1107">
        <f>Utlakning!L31</f>
        <v>36.249600000000001</v>
      </c>
      <c r="H44" s="520">
        <f>IF(Huvudinmatning!R35=" "," ",Huvudinmatning!R35)</f>
        <v>0</v>
      </c>
      <c r="I44" s="1108">
        <f>IF(H44=" "," ",Huvudinmatning!S35)</f>
        <v>0</v>
      </c>
      <c r="J44" s="1108">
        <f t="shared" si="6"/>
        <v>0</v>
      </c>
      <c r="K44" s="1108">
        <f t="shared" si="7"/>
        <v>0</v>
      </c>
      <c r="L44" s="1108">
        <f t="shared" si="8"/>
        <v>0</v>
      </c>
      <c r="M44" s="483"/>
      <c r="N44" s="486"/>
      <c r="O44" s="1133"/>
      <c r="P44" s="1577" t="str">
        <f>'Tekniskt underlag'!A19</f>
        <v>Åkerbönor</v>
      </c>
      <c r="Q44" s="1577">
        <v>0.02</v>
      </c>
      <c r="R44" s="1577">
        <v>0.02</v>
      </c>
      <c r="S44" s="1134"/>
      <c r="T44" s="1577"/>
      <c r="U44" s="1592" t="s">
        <v>719</v>
      </c>
      <c r="V44" s="1593" t="s">
        <v>720</v>
      </c>
      <c r="W44" s="1134"/>
      <c r="X44" s="1135"/>
    </row>
    <row r="45" spans="1:27">
      <c r="A45" s="525"/>
      <c r="B45" s="1104" t="str">
        <f>Kostnader!B34</f>
        <v>Foderärt</v>
      </c>
      <c r="C45" s="1104">
        <f>Kostnader!C34</f>
        <v>4000</v>
      </c>
      <c r="D45" s="1106">
        <f>IF(B45=" "," ",IF(Mullberäkning!F51="Ja",INDEX(P$30:R$57,MATCH(B45,P$30:P$57,0),2),INDEX(P$30:R$57,MATCH(B45,P$30:P$57,0),3)))</f>
        <v>0.02</v>
      </c>
      <c r="E45" s="1107">
        <f t="shared" si="5"/>
        <v>80</v>
      </c>
      <c r="F45" s="1107">
        <f>IF(B45=" "," ",INDEX('Tekniskt underlag'!A$5:K$32,MATCH(Växthusgaser!B45,'Tekniskt underlag'!A$5:A$32,0),11))</f>
        <v>0</v>
      </c>
      <c r="G45" s="1107">
        <f>Utlakning!L32</f>
        <v>40.052399999999999</v>
      </c>
      <c r="H45" s="520">
        <f>IF(Huvudinmatning!R36=" "," ",Huvudinmatning!R36)</f>
        <v>0</v>
      </c>
      <c r="I45" s="1108">
        <f>IF(H45=" "," ",Huvudinmatning!S36)</f>
        <v>0</v>
      </c>
      <c r="J45" s="1108">
        <f t="shared" si="6"/>
        <v>0</v>
      </c>
      <c r="K45" s="1108">
        <f t="shared" si="7"/>
        <v>0</v>
      </c>
      <c r="L45" s="1108">
        <f t="shared" si="8"/>
        <v>0</v>
      </c>
      <c r="M45" s="483"/>
      <c r="N45" s="486"/>
      <c r="O45" s="1133"/>
      <c r="P45" s="1577" t="str">
        <f>'Tekniskt underlag'!A20</f>
        <v>Sockerbetor</v>
      </c>
      <c r="Q45" s="1577">
        <v>1.5E-3</v>
      </c>
      <c r="R45" s="1577">
        <v>6.9999999999999999E-4</v>
      </c>
      <c r="S45" s="1134"/>
      <c r="T45" s="1577" t="str">
        <f>Stallgödseldata!B16</f>
        <v>Svinflyt</v>
      </c>
      <c r="U45" s="1593">
        <f>Stallgödseldata!D16</f>
        <v>5.8</v>
      </c>
      <c r="V45" s="1593">
        <f>Stallgödseldata!E16</f>
        <v>3.3</v>
      </c>
      <c r="W45" s="1134"/>
      <c r="X45" s="1135"/>
    </row>
    <row r="46" spans="1:27">
      <c r="A46" s="525"/>
      <c r="B46" s="1104" t="str">
        <f>Kostnader!B35</f>
        <v>Höstvete bröd</v>
      </c>
      <c r="C46" s="1104">
        <f>Kostnader!C35</f>
        <v>8000</v>
      </c>
      <c r="D46" s="1106">
        <f>IF(B46=" "," ",IF(Mullberäkning!F52="Ja",INDEX(P$30:R$57,MATCH(B46,P$30:P$57,0),2),INDEX(P$30:R$57,MATCH(B46,P$30:P$57,0),3)))</f>
        <v>1.2E-2</v>
      </c>
      <c r="E46" s="1107">
        <f t="shared" si="5"/>
        <v>96</v>
      </c>
      <c r="F46" s="1107">
        <f>IF(B46=" "," ",INDEX('Tekniskt underlag'!A$5:K$32,MATCH(Växthusgaser!B46,'Tekniskt underlag'!A$5:A$32,0),11))</f>
        <v>185</v>
      </c>
      <c r="G46" s="1107">
        <f>Utlakning!L33</f>
        <v>36.249600000000001</v>
      </c>
      <c r="H46" s="520">
        <f>IF(Huvudinmatning!R37=" "," ",Huvudinmatning!R37)</f>
        <v>0</v>
      </c>
      <c r="I46" s="1108">
        <f>IF(H46=" "," ",Huvudinmatning!S37)</f>
        <v>0</v>
      </c>
      <c r="J46" s="1108">
        <f t="shared" si="6"/>
        <v>0</v>
      </c>
      <c r="K46" s="1108">
        <f t="shared" si="7"/>
        <v>0</v>
      </c>
      <c r="L46" s="1108">
        <f t="shared" si="8"/>
        <v>0</v>
      </c>
      <c r="M46" s="483"/>
      <c r="N46" s="486"/>
      <c r="O46" s="1133"/>
      <c r="P46" s="1577" t="str">
        <f>'Tekniskt underlag'!A21</f>
        <v>Matpotatis (parti)*</v>
      </c>
      <c r="Q46" s="1577">
        <v>1E-3</v>
      </c>
      <c r="R46" s="1577">
        <v>1E-3</v>
      </c>
      <c r="S46" s="1134"/>
      <c r="T46" s="1577" t="str">
        <f>Stallgödseldata!B17</f>
        <v>Nötflyt</v>
      </c>
      <c r="U46" s="1593">
        <f>Stallgödseldata!D17</f>
        <v>8.3000000000000007</v>
      </c>
      <c r="V46" s="1593">
        <f>Stallgödseldata!E17</f>
        <v>3.6</v>
      </c>
      <c r="W46" s="1134"/>
      <c r="X46" s="1135"/>
    </row>
    <row r="47" spans="1:27">
      <c r="A47" s="525"/>
      <c r="B47" s="1104" t="str">
        <f>Kostnader!B36</f>
        <v>Höstvete bröd</v>
      </c>
      <c r="C47" s="1104">
        <f>Kostnader!C36</f>
        <v>8000</v>
      </c>
      <c r="D47" s="1106">
        <f>IF(B47=" "," ",IF(Mullberäkning!F53="Ja",INDEX(P$30:R$57,MATCH(B47,P$30:P$57,0),2),INDEX(P$30:R$57,MATCH(B47,P$30:P$57,0),3)))</f>
        <v>1.2E-2</v>
      </c>
      <c r="E47" s="1107">
        <f t="shared" si="5"/>
        <v>96</v>
      </c>
      <c r="F47" s="1107">
        <f>IF(B47=" "," ",INDEX('Tekniskt underlag'!A$5:K$32,MATCH(Växthusgaser!B47,'Tekniskt underlag'!A$5:A$32,0),11))</f>
        <v>185</v>
      </c>
      <c r="G47" s="1107">
        <f>Utlakning!L34</f>
        <v>36.249600000000001</v>
      </c>
      <c r="H47" s="520">
        <f>IF(Huvudinmatning!R38=" "," ",Huvudinmatning!R38)</f>
        <v>0</v>
      </c>
      <c r="I47" s="1108">
        <f>IF(H47=" "," ",Huvudinmatning!S38)</f>
        <v>0</v>
      </c>
      <c r="J47" s="1108">
        <f t="shared" si="6"/>
        <v>0</v>
      </c>
      <c r="K47" s="1108">
        <f t="shared" si="7"/>
        <v>0</v>
      </c>
      <c r="L47" s="1108">
        <f t="shared" si="8"/>
        <v>0</v>
      </c>
      <c r="M47" s="483"/>
      <c r="N47" s="486"/>
      <c r="O47" s="1133"/>
      <c r="P47" s="1577" t="str">
        <f>'Tekniskt underlag'!A22</f>
        <v>Slåttervall, ensilage</v>
      </c>
      <c r="Q47" s="1577">
        <v>1.7000000000000001E-2</v>
      </c>
      <c r="R47" s="1577">
        <v>1.7000000000000001E-2</v>
      </c>
      <c r="S47" s="1134"/>
      <c r="T47" s="1577" t="str">
        <f>Stallgödseldata!B18</f>
        <v>Svinfast</v>
      </c>
      <c r="U47" s="1593">
        <f>Stallgödseldata!D18</f>
        <v>24</v>
      </c>
      <c r="V47" s="1593">
        <f>Stallgödseldata!E18</f>
        <v>6.6</v>
      </c>
      <c r="W47" s="1134"/>
      <c r="X47" s="1135"/>
    </row>
    <row r="48" spans="1:27">
      <c r="A48" s="525"/>
      <c r="B48" s="1104" t="str">
        <f>Kostnader!B37</f>
        <v>Maltkorn</v>
      </c>
      <c r="C48" s="1104">
        <f>Kostnader!C37</f>
        <v>5500</v>
      </c>
      <c r="D48" s="1106">
        <f>IF(B48=" "," ",IF(Mullberäkning!F54="Ja",INDEX(P$30:R$57,MATCH(B48,P$30:P$57,0),2),INDEX(P$30:R$57,MATCH(B48,P$30:P$57,0),3)))</f>
        <v>1.2E-2</v>
      </c>
      <c r="E48" s="1107">
        <f t="shared" si="5"/>
        <v>66</v>
      </c>
      <c r="F48" s="1107">
        <f>IF(B48=" "," ",INDEX('Tekniskt underlag'!A$5:K$32,MATCH(Växthusgaser!B48,'Tekniskt underlag'!A$5:A$32,0),11))</f>
        <v>95</v>
      </c>
      <c r="G48" s="1107">
        <f>Utlakning!L35</f>
        <v>35.013200000000005</v>
      </c>
      <c r="H48" s="520">
        <f>IF(Huvudinmatning!R39=" "," ",Huvudinmatning!R39)</f>
        <v>0</v>
      </c>
      <c r="I48" s="1108">
        <f>IF(H48=" "," ",Huvudinmatning!S39)</f>
        <v>0</v>
      </c>
      <c r="J48" s="1108">
        <f t="shared" si="6"/>
        <v>0</v>
      </c>
      <c r="K48" s="1108">
        <f t="shared" si="7"/>
        <v>0</v>
      </c>
      <c r="L48" s="1108">
        <f t="shared" si="8"/>
        <v>0</v>
      </c>
      <c r="M48" s="483"/>
      <c r="N48" s="486"/>
      <c r="O48" s="1133"/>
      <c r="P48" s="1577" t="str">
        <f>'Tekniskt underlag'!A23</f>
        <v>Helsädesensilage</v>
      </c>
      <c r="Q48" s="1577">
        <v>1.7000000000000001E-2</v>
      </c>
      <c r="R48" s="1577">
        <v>1.7000000000000001E-2</v>
      </c>
      <c r="S48" s="1134"/>
      <c r="T48" s="1577" t="str">
        <f>Stallgödseldata!B19</f>
        <v>Nötfast</v>
      </c>
      <c r="U48" s="1593">
        <f>Stallgödseldata!D19</f>
        <v>20</v>
      </c>
      <c r="V48" s="1593">
        <f>Stallgödseldata!E19</f>
        <v>5.7</v>
      </c>
      <c r="W48" s="1134"/>
      <c r="X48" s="1135"/>
    </row>
    <row r="49" spans="1:24">
      <c r="A49" s="525"/>
      <c r="B49" s="1104" t="str">
        <f>Kostnader!B38</f>
        <v xml:space="preserve"> </v>
      </c>
      <c r="C49" s="1104" t="str">
        <f>Kostnader!C38</f>
        <v xml:space="preserve"> </v>
      </c>
      <c r="D49" s="1106" t="str">
        <f>IF(B49=" "," ",IF(Mullberäkning!F55="Ja",INDEX(P$30:R$57,MATCH(B49,P$30:P$57,0),2),INDEX(P$30:R$57,MATCH(B49,P$30:P$57,0),3)))</f>
        <v xml:space="preserve"> </v>
      </c>
      <c r="E49" s="1107" t="str">
        <f t="shared" si="5"/>
        <v xml:space="preserve"> </v>
      </c>
      <c r="F49" s="1107" t="str">
        <f>IF(B49=" "," ",INDEX('Tekniskt underlag'!A$5:K$32,MATCH(Växthusgaser!B49,'Tekniskt underlag'!A$5:A$32,0),11))</f>
        <v xml:space="preserve"> </v>
      </c>
      <c r="G49" s="1107" t="str">
        <f>Utlakning!L36</f>
        <v xml:space="preserve"> </v>
      </c>
      <c r="H49" s="520">
        <f>IF(Huvudinmatning!R40=" "," ",Huvudinmatning!R40)</f>
        <v>0</v>
      </c>
      <c r="I49" s="1108">
        <f>IF(H49=" "," ",Huvudinmatning!S40)</f>
        <v>0</v>
      </c>
      <c r="J49" s="1108">
        <f t="shared" si="6"/>
        <v>0</v>
      </c>
      <c r="K49" s="1108">
        <f t="shared" si="7"/>
        <v>0</v>
      </c>
      <c r="L49" s="1108">
        <f t="shared" si="8"/>
        <v>0</v>
      </c>
      <c r="M49" s="483"/>
      <c r="N49" s="486"/>
      <c r="O49" s="1133"/>
      <c r="P49" s="1577" t="str">
        <f>'Tekniskt underlag'!A24</f>
        <v>Fodermajs</v>
      </c>
      <c r="Q49" s="1577">
        <v>1.7000000000000001E-2</v>
      </c>
      <c r="R49" s="1577">
        <v>1.7000000000000001E-2</v>
      </c>
      <c r="S49" s="1134"/>
      <c r="T49" s="1577" t="str">
        <f>Stallgödseldata!B20</f>
        <v>Svinurin</v>
      </c>
      <c r="U49" s="1593">
        <f>Stallgödseldata!D20</f>
        <v>1.5</v>
      </c>
      <c r="V49" s="1593">
        <f>Stallgödseldata!E20</f>
        <v>1.8</v>
      </c>
      <c r="W49" s="1134"/>
      <c r="X49" s="1135"/>
    </row>
    <row r="50" spans="1:24">
      <c r="A50" s="525"/>
      <c r="B50" s="1104" t="str">
        <f>Kostnader!B39</f>
        <v xml:space="preserve"> </v>
      </c>
      <c r="C50" s="1104" t="str">
        <f>Kostnader!C39</f>
        <v xml:space="preserve"> </v>
      </c>
      <c r="D50" s="1106" t="str">
        <f>IF(B50=" "," ",IF(Mullberäkning!F56="Ja",INDEX(P$30:R$57,MATCH(B50,P$30:P$57,0),2),INDEX(P$30:R$57,MATCH(B50,P$30:P$57,0),3)))</f>
        <v xml:space="preserve"> </v>
      </c>
      <c r="E50" s="1107" t="str">
        <f t="shared" si="5"/>
        <v xml:space="preserve"> </v>
      </c>
      <c r="F50" s="1107" t="str">
        <f>IF(B50=" "," ",INDEX('Tekniskt underlag'!A$5:K$32,MATCH(Växthusgaser!B50,'Tekniskt underlag'!A$5:A$32,0),11))</f>
        <v xml:space="preserve"> </v>
      </c>
      <c r="G50" s="1107" t="str">
        <f>Utlakning!L37</f>
        <v xml:space="preserve"> </v>
      </c>
      <c r="H50" s="520">
        <f>IF(Huvudinmatning!R41=" "," ",Huvudinmatning!R41)</f>
        <v>0</v>
      </c>
      <c r="I50" s="1108">
        <f>IF(H50=" "," ",Huvudinmatning!S41)</f>
        <v>0</v>
      </c>
      <c r="J50" s="1108">
        <f t="shared" si="6"/>
        <v>0</v>
      </c>
      <c r="K50" s="1108">
        <f t="shared" si="7"/>
        <v>0</v>
      </c>
      <c r="L50" s="1108">
        <f t="shared" si="8"/>
        <v>0</v>
      </c>
      <c r="M50" s="527"/>
      <c r="N50" s="486"/>
      <c r="O50" s="1133"/>
      <c r="P50" s="1577">
        <f>'Tekniskt underlag'!A25</f>
        <v>0</v>
      </c>
      <c r="Q50" s="695"/>
      <c r="R50" s="695"/>
      <c r="S50" s="1134"/>
      <c r="T50" s="1577" t="str">
        <f>Stallgödseldata!B21</f>
        <v>Nöturin</v>
      </c>
      <c r="U50" s="1593">
        <f>Stallgödseldata!D21</f>
        <v>1.3</v>
      </c>
      <c r="V50" s="1593">
        <f>Stallgödseldata!E21</f>
        <v>2.9</v>
      </c>
      <c r="W50" s="1134"/>
      <c r="X50" s="1135"/>
    </row>
    <row r="51" spans="1:24">
      <c r="A51" s="525"/>
      <c r="B51" s="1104" t="str">
        <f>Kostnader!B40</f>
        <v xml:space="preserve"> </v>
      </c>
      <c r="C51" s="1104" t="str">
        <f>Kostnader!C40</f>
        <v xml:space="preserve"> </v>
      </c>
      <c r="D51" s="1106" t="str">
        <f>IF(B51=" "," ",IF(Mullberäkning!F57="Ja",INDEX(P$30:R$57,MATCH(B51,P$30:P$57,0),2),INDEX(P$30:R$57,MATCH(B51,P$30:P$57,0),3)))</f>
        <v xml:space="preserve"> </v>
      </c>
      <c r="E51" s="1107" t="str">
        <f t="shared" si="5"/>
        <v xml:space="preserve"> </v>
      </c>
      <c r="F51" s="1107" t="str">
        <f>IF(B51=" "," ",INDEX('Tekniskt underlag'!A$5:K$32,MATCH(Växthusgaser!B51,'Tekniskt underlag'!A$5:A$32,0),11))</f>
        <v xml:space="preserve"> </v>
      </c>
      <c r="G51" s="1107" t="str">
        <f>Utlakning!L38</f>
        <v xml:space="preserve"> </v>
      </c>
      <c r="H51" s="520">
        <f>IF(Huvudinmatning!R42=" "," ",Huvudinmatning!R42)</f>
        <v>0</v>
      </c>
      <c r="I51" s="1108">
        <f>IF(H51=" "," ",Huvudinmatning!S42)</f>
        <v>0</v>
      </c>
      <c r="J51" s="1108">
        <f t="shared" si="6"/>
        <v>0</v>
      </c>
      <c r="K51" s="1108">
        <f t="shared" si="7"/>
        <v>0</v>
      </c>
      <c r="L51" s="1108">
        <f t="shared" si="8"/>
        <v>0</v>
      </c>
      <c r="M51" s="527"/>
      <c r="N51" s="486"/>
      <c r="O51" s="1133"/>
      <c r="P51" s="1577" t="str">
        <f>'Tekniskt underlag'!A26</f>
        <v>Gröngödsling</v>
      </c>
      <c r="Q51" s="1440">
        <v>1.7000000000000001E-2</v>
      </c>
      <c r="R51" s="1440">
        <v>1.7000000000000001E-2</v>
      </c>
      <c r="S51" s="1134"/>
      <c r="T51" s="1577" t="str">
        <f>Stallgödseldata!B22</f>
        <v>Svindjupströ</v>
      </c>
      <c r="U51" s="1593">
        <f>Stallgödseldata!D22</f>
        <v>30</v>
      </c>
      <c r="V51" s="1593">
        <f>Stallgödseldata!E22</f>
        <v>4.8</v>
      </c>
      <c r="W51" s="1134"/>
      <c r="X51" s="1135"/>
    </row>
    <row r="52" spans="1:24">
      <c r="A52" s="525"/>
      <c r="B52" s="704"/>
      <c r="C52" s="705"/>
      <c r="D52" s="706" t="s">
        <v>153</v>
      </c>
      <c r="E52" s="1107">
        <f>SUM(E42:E51)</f>
        <v>600</v>
      </c>
      <c r="F52" s="1107">
        <f>SUM(F42:F51)</f>
        <v>1053.4750239999998</v>
      </c>
      <c r="G52" s="1107">
        <f>SUM(G42:G51)</f>
        <v>259.59939999999995</v>
      </c>
      <c r="H52" s="526"/>
      <c r="I52" s="481"/>
      <c r="J52" s="481"/>
      <c r="K52" s="481"/>
      <c r="L52" s="1108">
        <f>SUM(L42:L51)</f>
        <v>0</v>
      </c>
      <c r="M52" s="527"/>
      <c r="N52" s="486"/>
      <c r="O52" s="1133"/>
      <c r="P52" s="1577" t="str">
        <f>'Tekniskt underlag'!A27</f>
        <v>Fröodling</v>
      </c>
      <c r="Q52" s="1577">
        <v>0.17</v>
      </c>
      <c r="R52" s="1577">
        <v>0.08</v>
      </c>
      <c r="S52" s="1134"/>
      <c r="T52" s="1577" t="str">
        <f>Stallgödseldata!B23</f>
        <v>Nötdjupströ</v>
      </c>
      <c r="U52" s="1593">
        <f>Stallgödseldata!D23</f>
        <v>27.3</v>
      </c>
      <c r="V52" s="1593">
        <f>Stallgödseldata!E23</f>
        <v>5.4</v>
      </c>
      <c r="W52" s="1134"/>
      <c r="X52" s="1135"/>
    </row>
    <row r="53" spans="1:24">
      <c r="A53" s="525"/>
      <c r="B53" s="704"/>
      <c r="C53" s="705"/>
      <c r="D53" s="706" t="s">
        <v>731</v>
      </c>
      <c r="E53" s="1107">
        <f>IF(D39=0," ",E52/D39)</f>
        <v>85.714285714285708</v>
      </c>
      <c r="F53" s="1107">
        <f>IF(D39=0," ",F52/D39)</f>
        <v>150.49643199999997</v>
      </c>
      <c r="G53" s="1107">
        <f>IF(D39=0," ",G52/D39)</f>
        <v>37.085628571428565</v>
      </c>
      <c r="H53" s="526"/>
      <c r="I53" s="481"/>
      <c r="J53" s="481"/>
      <c r="K53" s="481"/>
      <c r="L53" s="1108">
        <f>IF(D39=0," ",L52/D39)</f>
        <v>0</v>
      </c>
      <c r="M53" s="527"/>
      <c r="N53" s="486"/>
      <c r="O53" s="1133"/>
      <c r="P53" s="1577">
        <f>'Tekniskt underlag'!A28</f>
        <v>0</v>
      </c>
      <c r="Q53" s="2153"/>
      <c r="R53" s="2153"/>
      <c r="S53" s="1134"/>
      <c r="T53" s="1577" t="str">
        <f>Stallgödseldata!B24</f>
        <v>Kycklinggödsel</v>
      </c>
      <c r="U53" s="1593">
        <f>Stallgödseldata!D24</f>
        <v>70</v>
      </c>
      <c r="V53" s="1593">
        <f>Stallgödseldata!E24</f>
        <v>32.9</v>
      </c>
      <c r="W53" s="1134"/>
      <c r="X53" s="1135"/>
    </row>
    <row r="54" spans="1:24">
      <c r="A54" s="525"/>
      <c r="B54" s="526"/>
      <c r="C54" s="705"/>
      <c r="D54" s="707" t="s">
        <v>733</v>
      </c>
      <c r="E54" s="1107">
        <f>IF(D39=0," ",E53*V25*44/28*V33)</f>
        <v>401.38775510204079</v>
      </c>
      <c r="F54" s="1107">
        <f>IF(D39=0," ",F53*(V32+V26*44/28*V33))</f>
        <v>1156.2425875657141</v>
      </c>
      <c r="G54" s="1107">
        <f>G53*V28*V35/28*V33</f>
        <v>130.25002548979589</v>
      </c>
      <c r="H54" s="526"/>
      <c r="I54" s="481"/>
      <c r="J54" s="481"/>
      <c r="K54" s="481"/>
      <c r="L54" s="1107">
        <f>IF(D39=0," ",L53*(V27*44/28*310))</f>
        <v>0</v>
      </c>
      <c r="M54" s="527"/>
      <c r="N54" s="486"/>
      <c r="O54" s="1133"/>
      <c r="P54" s="1577">
        <f>'Tekniskt underlag'!A29</f>
        <v>0</v>
      </c>
      <c r="Q54" s="695"/>
      <c r="R54" s="695"/>
      <c r="S54" s="1134"/>
      <c r="T54" s="1577" t="str">
        <f>Stallgödseldata!B25</f>
        <v>Rötslam</v>
      </c>
      <c r="U54" s="1593">
        <f>Stallgödseldata!D25</f>
        <v>27</v>
      </c>
      <c r="V54" s="1593">
        <f>Stallgödseldata!E25</f>
        <v>6</v>
      </c>
      <c r="W54" s="1134"/>
      <c r="X54" s="1135"/>
    </row>
    <row r="55" spans="1:24">
      <c r="A55" s="525"/>
      <c r="B55" s="526"/>
      <c r="C55" s="526"/>
      <c r="D55" s="526"/>
      <c r="E55" s="526"/>
      <c r="F55" s="526"/>
      <c r="G55" s="526"/>
      <c r="H55" s="526"/>
      <c r="I55" s="526"/>
      <c r="J55" s="526"/>
      <c r="K55" s="526"/>
      <c r="L55" s="526"/>
      <c r="M55" s="527"/>
      <c r="N55" s="486"/>
      <c r="O55" s="1133"/>
      <c r="P55" s="1577">
        <f>'Tekniskt underlag'!A30</f>
        <v>0</v>
      </c>
      <c r="Q55" s="695"/>
      <c r="R55" s="695"/>
      <c r="S55" s="1134"/>
      <c r="T55" s="1577" t="str">
        <f>Stallgödseldata!B26</f>
        <v>Biogödsel</v>
      </c>
      <c r="U55" s="1593">
        <f>Stallgödseldata!D26</f>
        <v>4</v>
      </c>
      <c r="V55" s="1593">
        <f>Stallgödseldata!E26</f>
        <v>5</v>
      </c>
      <c r="W55" s="1134"/>
      <c r="X55" s="1135"/>
    </row>
    <row r="56" spans="1:24">
      <c r="A56" s="525"/>
      <c r="B56" s="526"/>
      <c r="C56" s="526"/>
      <c r="D56" s="526"/>
      <c r="E56" s="526"/>
      <c r="F56" s="526"/>
      <c r="G56" s="526"/>
      <c r="H56" s="526"/>
      <c r="I56" s="526"/>
      <c r="J56" s="526"/>
      <c r="K56" s="526"/>
      <c r="L56" s="526"/>
      <c r="M56" s="527"/>
      <c r="O56" s="1133"/>
      <c r="P56" s="1577">
        <f>'Tekniskt underlag'!A31</f>
        <v>0</v>
      </c>
      <c r="Q56" s="695"/>
      <c r="R56" s="695"/>
      <c r="S56" s="1134"/>
      <c r="T56" s="1577">
        <f>Stallgödseldata!B27</f>
        <v>0</v>
      </c>
      <c r="U56" s="1593">
        <f>Stallgödseldata!D27</f>
        <v>0</v>
      </c>
      <c r="V56" s="1593">
        <f>Stallgödseldata!E27</f>
        <v>0</v>
      </c>
      <c r="W56" s="1134"/>
      <c r="X56" s="1135"/>
    </row>
    <row r="57" spans="1:24">
      <c r="A57" s="525"/>
      <c r="B57" s="526"/>
      <c r="C57" s="526"/>
      <c r="D57" s="526"/>
      <c r="E57" s="526"/>
      <c r="F57" s="526"/>
      <c r="G57" s="526"/>
      <c r="H57" s="526"/>
      <c r="I57" s="526"/>
      <c r="J57" s="526"/>
      <c r="K57" s="526"/>
      <c r="L57" s="526"/>
      <c r="M57" s="527"/>
      <c r="O57" s="1133"/>
      <c r="P57" s="1577">
        <f>'Tekniskt underlag'!A32</f>
        <v>0</v>
      </c>
      <c r="Q57" s="695"/>
      <c r="R57" s="695"/>
      <c r="S57" s="1134"/>
      <c r="T57" s="1134"/>
      <c r="U57" s="1134"/>
      <c r="V57" s="1582"/>
      <c r="W57" s="1134"/>
      <c r="X57" s="1135"/>
    </row>
    <row r="58" spans="1:24" ht="13.5" thickBot="1">
      <c r="A58" s="561"/>
      <c r="B58" s="562"/>
      <c r="C58" s="562"/>
      <c r="D58" s="562"/>
      <c r="E58" s="562"/>
      <c r="F58" s="562"/>
      <c r="G58" s="562"/>
      <c r="H58" s="562"/>
      <c r="I58" s="562"/>
      <c r="J58" s="562"/>
      <c r="K58" s="562"/>
      <c r="L58" s="562"/>
      <c r="M58" s="563"/>
      <c r="O58" s="1583"/>
      <c r="P58" s="1584"/>
      <c r="Q58" s="1584"/>
      <c r="R58" s="1584"/>
      <c r="S58" s="1584"/>
      <c r="T58" s="1584"/>
      <c r="U58" s="1584"/>
      <c r="V58" s="1584"/>
      <c r="W58" s="1584"/>
      <c r="X58" s="1585"/>
    </row>
    <row r="66" spans="2:24" ht="15.75">
      <c r="B66" s="666"/>
      <c r="C66" s="666"/>
      <c r="D66" s="666"/>
      <c r="E66" s="20"/>
      <c r="F66" s="20"/>
    </row>
    <row r="67" spans="2:24" ht="15.75">
      <c r="B67" s="666"/>
      <c r="C67" s="666"/>
      <c r="D67" s="666"/>
      <c r="E67" s="20"/>
      <c r="F67" s="20"/>
    </row>
    <row r="68" spans="2:24">
      <c r="B68" s="20"/>
      <c r="C68" s="20"/>
      <c r="D68" s="20"/>
      <c r="E68" s="20"/>
      <c r="F68" s="20"/>
      <c r="G68" s="20"/>
      <c r="H68" s="20"/>
      <c r="I68" s="20"/>
      <c r="J68" s="20"/>
      <c r="U68" s="74"/>
      <c r="V68" s="74"/>
      <c r="W68" s="74"/>
      <c r="X68" s="73"/>
    </row>
    <row r="69" spans="2:24">
      <c r="B69" s="20"/>
      <c r="C69" s="20"/>
      <c r="D69" s="20"/>
      <c r="E69" s="20"/>
      <c r="F69" s="20"/>
      <c r="G69" s="20"/>
      <c r="H69" s="20"/>
      <c r="I69" s="20"/>
      <c r="J69" s="20"/>
      <c r="U69" s="74"/>
      <c r="V69" s="74"/>
      <c r="W69" s="74"/>
      <c r="X69" s="73"/>
    </row>
    <row r="70" spans="2:24">
      <c r="B70" s="20"/>
      <c r="C70" s="20"/>
      <c r="D70" s="20"/>
      <c r="E70" s="20"/>
      <c r="F70" s="20"/>
      <c r="G70" s="20"/>
      <c r="H70" s="20"/>
      <c r="I70" s="20"/>
      <c r="J70" s="20"/>
      <c r="U70" s="74"/>
      <c r="V70" s="74"/>
      <c r="W70" s="74"/>
      <c r="X70" s="73"/>
    </row>
    <row r="88" spans="2:30" hidden="1"/>
    <row r="89" spans="2:30" hidden="1"/>
    <row r="90" spans="2:30" hidden="1"/>
    <row r="91" spans="2:30" ht="13.5" hidden="1" thickBot="1">
      <c r="B91" s="20"/>
      <c r="C91" s="20"/>
      <c r="D91" s="20"/>
      <c r="E91" s="20"/>
      <c r="F91" s="20"/>
      <c r="G91" s="20"/>
      <c r="H91" s="20"/>
      <c r="I91" s="20"/>
      <c r="J91" s="20"/>
      <c r="T91" s="74"/>
      <c r="U91" s="74"/>
      <c r="V91" s="74"/>
      <c r="W91" s="74"/>
      <c r="X91" s="73"/>
    </row>
    <row r="92" spans="2:30" hidden="1">
      <c r="O92" s="533"/>
      <c r="P92" s="534"/>
      <c r="Q92" s="534"/>
      <c r="R92" s="534"/>
      <c r="S92" s="534"/>
      <c r="T92" s="534"/>
      <c r="U92" s="534"/>
      <c r="V92" s="534"/>
      <c r="W92" s="534"/>
      <c r="X92" s="535"/>
      <c r="Z92" s="2129" t="s">
        <v>696</v>
      </c>
      <c r="AA92" s="2130"/>
      <c r="AB92" s="2131"/>
      <c r="AC92" s="558" t="s">
        <v>697</v>
      </c>
      <c r="AD92" s="559" t="s">
        <v>698</v>
      </c>
    </row>
    <row r="93" spans="2:30" ht="15.75" hidden="1">
      <c r="O93" s="536"/>
      <c r="P93" s="537" t="s">
        <v>705</v>
      </c>
      <c r="Q93" s="538"/>
      <c r="R93" s="538"/>
      <c r="S93" s="538"/>
      <c r="T93" s="538"/>
      <c r="U93" s="538"/>
      <c r="V93" s="538"/>
      <c r="W93" s="538"/>
      <c r="X93" s="539"/>
      <c r="Z93" s="2132" t="s">
        <v>699</v>
      </c>
      <c r="AA93" s="74"/>
      <c r="AB93" s="74"/>
      <c r="AC93" s="650">
        <f>+L131</f>
        <v>263.05714285714288</v>
      </c>
      <c r="AD93" s="651">
        <f>+L150</f>
        <v>263.05714285714288</v>
      </c>
    </row>
    <row r="94" spans="2:30" ht="13.5" hidden="1" thickBot="1">
      <c r="O94" s="536"/>
      <c r="P94" s="3006"/>
      <c r="Q94" s="3006"/>
      <c r="R94" s="538"/>
      <c r="S94" s="538"/>
      <c r="T94" s="538"/>
      <c r="U94" s="538"/>
      <c r="V94" s="538"/>
      <c r="W94" s="538"/>
      <c r="X94" s="539"/>
      <c r="Z94" s="2132" t="s">
        <v>700</v>
      </c>
      <c r="AA94" s="74"/>
      <c r="AB94" s="74"/>
      <c r="AC94" s="652">
        <f>+O131+S131</f>
        <v>719.67346938775518</v>
      </c>
      <c r="AD94" s="651">
        <f>+O150+S150+O151</f>
        <v>719.67346938775518</v>
      </c>
    </row>
    <row r="95" spans="2:30" hidden="1">
      <c r="B95" s="528"/>
      <c r="C95" s="529"/>
      <c r="D95" s="529"/>
      <c r="E95" s="529"/>
      <c r="F95" s="529"/>
      <c r="G95" s="529"/>
      <c r="H95" s="529"/>
      <c r="I95" s="529"/>
      <c r="J95" s="529"/>
      <c r="K95" s="529"/>
      <c r="L95" s="530"/>
      <c r="M95" s="526"/>
      <c r="O95" s="536"/>
      <c r="P95" s="540"/>
      <c r="Q95" s="540"/>
      <c r="R95" s="538"/>
      <c r="S95" s="538"/>
      <c r="T95" s="541" t="s">
        <v>706</v>
      </c>
      <c r="U95" s="542"/>
      <c r="V95" s="543" t="s">
        <v>707</v>
      </c>
      <c r="W95" s="544"/>
      <c r="X95" s="539"/>
      <c r="Z95" s="2132" t="s">
        <v>608</v>
      </c>
      <c r="AA95" s="74"/>
      <c r="AB95" s="74"/>
      <c r="AC95" s="650">
        <f>+P131</f>
        <v>0</v>
      </c>
      <c r="AD95" s="651">
        <f>+P150+P151</f>
        <v>0</v>
      </c>
    </row>
    <row r="96" spans="2:30" hidden="1">
      <c r="B96" s="531" t="s">
        <v>682</v>
      </c>
      <c r="C96" s="526"/>
      <c r="D96" s="526"/>
      <c r="E96" s="526" t="s">
        <v>683</v>
      </c>
      <c r="F96" s="526"/>
      <c r="G96" s="526"/>
      <c r="H96" s="526"/>
      <c r="I96" s="532"/>
      <c r="J96" s="526"/>
      <c r="K96" s="526"/>
      <c r="L96" s="527"/>
      <c r="M96" s="526"/>
      <c r="O96" s="545"/>
      <c r="P96" s="546"/>
      <c r="Q96" s="546"/>
      <c r="R96" s="538"/>
      <c r="S96" s="538"/>
      <c r="T96" s="547" t="s">
        <v>697</v>
      </c>
      <c r="U96" s="547" t="s">
        <v>698</v>
      </c>
      <c r="V96" s="547" t="s">
        <v>697</v>
      </c>
      <c r="W96" s="547" t="s">
        <v>698</v>
      </c>
      <c r="X96" s="539"/>
      <c r="Z96" s="2132" t="s">
        <v>263</v>
      </c>
      <c r="AA96" s="74"/>
      <c r="AB96" s="74"/>
      <c r="AC96" s="653">
        <f>+S112+T131</f>
        <v>210</v>
      </c>
      <c r="AD96" s="651">
        <f>+S112+T150</f>
        <v>210</v>
      </c>
    </row>
    <row r="97" spans="2:33" hidden="1">
      <c r="B97" s="525"/>
      <c r="C97" s="526"/>
      <c r="D97" s="526"/>
      <c r="E97" s="526"/>
      <c r="F97" s="526"/>
      <c r="G97" s="526"/>
      <c r="H97" s="526"/>
      <c r="I97" s="532"/>
      <c r="J97" s="526"/>
      <c r="K97" s="526"/>
      <c r="L97" s="527"/>
      <c r="M97" s="526"/>
      <c r="O97" s="548" t="s">
        <v>708</v>
      </c>
      <c r="P97" s="549" t="s">
        <v>709</v>
      </c>
      <c r="Q97" s="550"/>
      <c r="R97" s="551"/>
      <c r="S97" s="544"/>
      <c r="T97" s="552">
        <f>+AC100-AC98</f>
        <v>1432.7306122448981</v>
      </c>
      <c r="U97" s="552">
        <f>+AD100-AD98</f>
        <v>1432.7306122448981</v>
      </c>
      <c r="V97" s="553" t="e">
        <f>+T97/J130</f>
        <v>#VALUE!</v>
      </c>
      <c r="W97" s="553" t="e">
        <f>+U97/J149</f>
        <v>#VALUE!</v>
      </c>
      <c r="X97" s="539"/>
      <c r="Z97" s="2132" t="s">
        <v>701</v>
      </c>
      <c r="AA97" s="74"/>
      <c r="AB97" s="74"/>
      <c r="AC97" s="652">
        <f>+S111-210</f>
        <v>240</v>
      </c>
      <c r="AD97" s="651">
        <f>+S111-210</f>
        <v>240</v>
      </c>
    </row>
    <row r="98" spans="2:33" hidden="1">
      <c r="B98" s="525" t="s">
        <v>684</v>
      </c>
      <c r="C98" s="526"/>
      <c r="D98" s="526"/>
      <c r="E98" s="526"/>
      <c r="F98" s="526"/>
      <c r="G98" s="526"/>
      <c r="H98" s="526"/>
      <c r="I98" s="532"/>
      <c r="J98" s="526"/>
      <c r="K98" s="526"/>
      <c r="L98" s="527"/>
      <c r="M98" s="526"/>
      <c r="O98" s="554" t="s">
        <v>710</v>
      </c>
      <c r="P98" s="549" t="s">
        <v>711</v>
      </c>
      <c r="Q98" s="550"/>
      <c r="R98" s="551"/>
      <c r="S98" s="544"/>
      <c r="T98" s="552">
        <f>AC100</f>
        <v>1287.3748789748456</v>
      </c>
      <c r="U98" s="552">
        <f>AD100</f>
        <v>1287.3748789748456</v>
      </c>
      <c r="V98" s="553" t="e">
        <f>+T98/J130</f>
        <v>#VALUE!</v>
      </c>
      <c r="W98" s="553" t="e">
        <f>+U98/J149</f>
        <v>#VALUE!</v>
      </c>
      <c r="X98" s="539"/>
      <c r="Z98" s="2132" t="s">
        <v>702</v>
      </c>
      <c r="AA98" s="74"/>
      <c r="AB98" s="74"/>
      <c r="AC98" s="652">
        <f>+R131</f>
        <v>-145.35573327005241</v>
      </c>
      <c r="AD98" s="651">
        <f>+R150</f>
        <v>-145.35573327005241</v>
      </c>
    </row>
    <row r="99" spans="2:33" ht="16.7" hidden="1" customHeight="1">
      <c r="B99" s="525" t="s">
        <v>685</v>
      </c>
      <c r="C99" s="526"/>
      <c r="D99" s="526"/>
      <c r="E99" s="526"/>
      <c r="F99" s="526"/>
      <c r="G99" s="526"/>
      <c r="H99" s="526"/>
      <c r="I99" s="532"/>
      <c r="J99" s="526"/>
      <c r="K99" s="526"/>
      <c r="L99" s="527"/>
      <c r="M99" s="526"/>
      <c r="O99" s="554" t="s">
        <v>712</v>
      </c>
      <c r="P99" s="549" t="s">
        <v>713</v>
      </c>
      <c r="Q99" s="550"/>
      <c r="R99" s="551"/>
      <c r="S99" s="544"/>
      <c r="T99" s="552">
        <f>+Q174</f>
        <v>1287.3748789748456</v>
      </c>
      <c r="U99" s="552">
        <f>+R174</f>
        <v>1287.3748789748456</v>
      </c>
      <c r="V99" s="553" t="e">
        <f>+T99/J130</f>
        <v>#VALUE!</v>
      </c>
      <c r="W99" s="553" t="e">
        <f>+U99/J149</f>
        <v>#VALUE!</v>
      </c>
      <c r="X99" s="539"/>
      <c r="Z99" s="2132" t="s">
        <v>703</v>
      </c>
      <c r="AA99" s="74"/>
      <c r="AB99" s="74"/>
      <c r="AC99" s="652">
        <f>+Q131</f>
        <v>0</v>
      </c>
      <c r="AD99" s="651">
        <f>+Q150+H155+I155+L155</f>
        <v>0</v>
      </c>
    </row>
    <row r="100" spans="2:33" hidden="1">
      <c r="B100" s="525"/>
      <c r="C100" s="526"/>
      <c r="D100" s="526"/>
      <c r="E100" s="526"/>
      <c r="F100" s="526"/>
      <c r="G100" s="526"/>
      <c r="H100" s="526"/>
      <c r="I100" s="532"/>
      <c r="J100" s="526"/>
      <c r="K100" s="526"/>
      <c r="L100" s="527"/>
      <c r="M100" s="526"/>
      <c r="O100" s="554" t="s">
        <v>714</v>
      </c>
      <c r="P100" s="549" t="s">
        <v>715</v>
      </c>
      <c r="Q100" s="550"/>
      <c r="R100" s="551"/>
      <c r="S100" s="544"/>
      <c r="T100" s="552">
        <f>+T98</f>
        <v>1287.3748789748456</v>
      </c>
      <c r="U100" s="552" t="e">
        <f>AD100+K179</f>
        <v>#VALUE!</v>
      </c>
      <c r="V100" s="553" t="e">
        <f>+T100/J130</f>
        <v>#VALUE!</v>
      </c>
      <c r="W100" s="553" t="e">
        <f>+U100/J149</f>
        <v>#VALUE!</v>
      </c>
      <c r="X100" s="539"/>
      <c r="Z100" s="2133" t="s">
        <v>153</v>
      </c>
      <c r="AA100" s="157"/>
      <c r="AB100" s="157"/>
      <c r="AC100" s="654">
        <f>SUM(AC93:AC99)</f>
        <v>1287.3748789748456</v>
      </c>
      <c r="AD100" s="655">
        <f>SUM(AD93:AD99)</f>
        <v>1287.3748789748456</v>
      </c>
    </row>
    <row r="101" spans="2:33" ht="13.5" hidden="1" thickBot="1">
      <c r="B101" s="525"/>
      <c r="C101" s="526" t="s">
        <v>686</v>
      </c>
      <c r="D101" s="526"/>
      <c r="E101" s="526"/>
      <c r="F101" s="526"/>
      <c r="G101" s="526"/>
      <c r="H101" s="526"/>
      <c r="I101" s="526"/>
      <c r="J101" s="526"/>
      <c r="K101" s="526"/>
      <c r="L101" s="527"/>
      <c r="M101" s="526"/>
      <c r="O101" s="555"/>
      <c r="P101" s="556"/>
      <c r="Q101" s="556"/>
      <c r="R101" s="556"/>
      <c r="S101" s="556"/>
      <c r="T101" s="556"/>
      <c r="U101" s="556"/>
      <c r="V101" s="556"/>
      <c r="W101" s="556"/>
      <c r="X101" s="557"/>
      <c r="Z101" s="2134"/>
      <c r="AA101" s="2135"/>
      <c r="AB101" s="2135" t="s">
        <v>704</v>
      </c>
      <c r="AC101" s="656"/>
      <c r="AD101" s="657">
        <v>663.78841196013354</v>
      </c>
    </row>
    <row r="102" spans="2:33" hidden="1">
      <c r="B102" s="525"/>
      <c r="C102" s="526" t="s">
        <v>687</v>
      </c>
      <c r="D102" s="526"/>
      <c r="E102" s="526"/>
      <c r="F102" s="526"/>
      <c r="G102" s="526"/>
      <c r="H102" s="526"/>
      <c r="I102" s="526"/>
      <c r="J102" s="526"/>
      <c r="K102" s="526"/>
      <c r="L102" s="527"/>
      <c r="M102" s="526"/>
      <c r="O102" s="565"/>
      <c r="P102" s="565"/>
    </row>
    <row r="103" spans="2:33" hidden="1">
      <c r="B103" s="525"/>
      <c r="C103" s="526" t="s">
        <v>688</v>
      </c>
      <c r="D103" s="526"/>
      <c r="E103" s="526"/>
      <c r="F103" s="526"/>
      <c r="G103" s="526"/>
      <c r="H103" s="526"/>
      <c r="I103" s="526"/>
      <c r="J103" s="526"/>
      <c r="K103" s="526"/>
      <c r="L103" s="527"/>
      <c r="M103" s="526"/>
      <c r="O103" s="565"/>
      <c r="P103" s="565"/>
      <c r="U103" t="s">
        <v>601</v>
      </c>
      <c r="X103" s="566" t="s">
        <v>615</v>
      </c>
    </row>
    <row r="104" spans="2:33" hidden="1">
      <c r="B104" s="525"/>
      <c r="C104" s="526" t="s">
        <v>689</v>
      </c>
      <c r="D104" s="526"/>
      <c r="E104" s="526"/>
      <c r="F104" s="526"/>
      <c r="G104" s="526"/>
      <c r="H104" s="526"/>
      <c r="I104" s="526"/>
      <c r="J104" s="526"/>
      <c r="K104" s="526"/>
      <c r="L104" s="527"/>
      <c r="M104" s="526"/>
      <c r="O104" s="74"/>
      <c r="P104" s="74"/>
      <c r="X104" s="567" t="s">
        <v>616</v>
      </c>
      <c r="AD104" t="s">
        <v>617</v>
      </c>
    </row>
    <row r="105" spans="2:33" hidden="1">
      <c r="B105" s="525"/>
      <c r="C105" s="526"/>
      <c r="D105" s="526"/>
      <c r="E105" s="526"/>
      <c r="F105" s="526"/>
      <c r="G105" s="526"/>
      <c r="H105" s="526"/>
      <c r="I105" s="526"/>
      <c r="J105" s="526"/>
      <c r="K105" s="526"/>
      <c r="L105" s="527"/>
      <c r="M105" s="526"/>
      <c r="O105" s="565"/>
      <c r="P105" s="565"/>
      <c r="X105" s="567" t="s">
        <v>618</v>
      </c>
      <c r="AD105" t="s">
        <v>619</v>
      </c>
    </row>
    <row r="106" spans="2:33" hidden="1">
      <c r="B106" s="525"/>
      <c r="C106" s="526"/>
      <c r="D106" s="526"/>
      <c r="E106" s="526"/>
      <c r="F106" s="526"/>
      <c r="G106" s="526"/>
      <c r="H106" s="526"/>
      <c r="I106" s="526"/>
      <c r="J106" s="526"/>
      <c r="K106" s="526"/>
      <c r="L106" s="527"/>
      <c r="M106" s="526"/>
      <c r="O106" s="565"/>
      <c r="P106" s="565"/>
      <c r="X106" s="567" t="s">
        <v>620</v>
      </c>
      <c r="AD106" t="s">
        <v>621</v>
      </c>
    </row>
    <row r="107" spans="2:33" ht="15.75" hidden="1">
      <c r="B107" s="525"/>
      <c r="C107" s="526"/>
      <c r="D107" s="526"/>
      <c r="E107" s="526"/>
      <c r="F107" s="526"/>
      <c r="G107" s="526"/>
      <c r="H107" s="526"/>
      <c r="I107" s="526"/>
      <c r="J107" s="526"/>
      <c r="K107" s="526"/>
      <c r="L107" s="527"/>
      <c r="M107" s="526"/>
      <c r="Q107" s="164" t="s">
        <v>602</v>
      </c>
      <c r="U107" s="164" t="s">
        <v>603</v>
      </c>
      <c r="X107" s="568"/>
      <c r="Y107" s="2136" t="s">
        <v>622</v>
      </c>
      <c r="Z107" s="2136" t="s">
        <v>623</v>
      </c>
      <c r="AE107" t="s">
        <v>624</v>
      </c>
      <c r="AG107" t="s">
        <v>625</v>
      </c>
    </row>
    <row r="108" spans="2:33" ht="15.75" hidden="1">
      <c r="B108" s="525" t="s">
        <v>690</v>
      </c>
      <c r="C108" s="526"/>
      <c r="D108" s="526"/>
      <c r="E108" s="526"/>
      <c r="F108" s="526"/>
      <c r="G108" s="526"/>
      <c r="H108" s="526"/>
      <c r="I108" s="532"/>
      <c r="J108" s="526"/>
      <c r="K108" s="526"/>
      <c r="L108" s="527"/>
      <c r="M108" s="526"/>
      <c r="Q108" t="s">
        <v>604</v>
      </c>
      <c r="S108" s="569">
        <v>0.01</v>
      </c>
      <c r="U108" t="s">
        <v>605</v>
      </c>
      <c r="V108" s="91">
        <v>0.5</v>
      </c>
      <c r="X108" s="570" t="s">
        <v>336</v>
      </c>
      <c r="Y108" s="2137">
        <v>1.2E-2</v>
      </c>
      <c r="Z108" s="2137">
        <v>7.0000000000000001E-3</v>
      </c>
      <c r="AC108" s="164" t="s">
        <v>626</v>
      </c>
      <c r="AE108">
        <v>18</v>
      </c>
      <c r="AG108">
        <v>18</v>
      </c>
    </row>
    <row r="109" spans="2:33" ht="15.75" hidden="1">
      <c r="B109" s="525" t="s">
        <v>691</v>
      </c>
      <c r="C109" s="526"/>
      <c r="D109" s="526"/>
      <c r="E109" s="526"/>
      <c r="F109" s="526"/>
      <c r="G109" s="526"/>
      <c r="H109" s="526"/>
      <c r="I109" s="532"/>
      <c r="J109" s="526"/>
      <c r="K109" s="526"/>
      <c r="L109" s="527"/>
      <c r="M109" s="526"/>
      <c r="Q109" t="s">
        <v>606</v>
      </c>
      <c r="S109" s="569">
        <v>0.01</v>
      </c>
      <c r="U109" t="s">
        <v>607</v>
      </c>
      <c r="V109">
        <f>+V108/10*3</f>
        <v>0.15000000000000002</v>
      </c>
      <c r="X109" s="570" t="s">
        <v>627</v>
      </c>
      <c r="Y109" s="2137">
        <v>0.02</v>
      </c>
      <c r="Z109" s="2137">
        <v>1.2E-2</v>
      </c>
      <c r="AC109" t="s">
        <v>628</v>
      </c>
    </row>
    <row r="110" spans="2:33" ht="15.75" hidden="1">
      <c r="B110" s="525" t="s">
        <v>692</v>
      </c>
      <c r="C110" s="526"/>
      <c r="D110" s="526"/>
      <c r="E110" s="526"/>
      <c r="F110" s="526"/>
      <c r="G110" s="526"/>
      <c r="H110" s="526"/>
      <c r="I110" s="532"/>
      <c r="J110" s="526"/>
      <c r="K110" s="526"/>
      <c r="L110" s="527"/>
      <c r="M110" s="526"/>
      <c r="Q110" t="s">
        <v>608</v>
      </c>
      <c r="S110" s="569">
        <v>0.01</v>
      </c>
      <c r="U110" t="s">
        <v>609</v>
      </c>
      <c r="V110">
        <f>+V108*3.6</f>
        <v>1.8</v>
      </c>
      <c r="X110" s="570" t="s">
        <v>337</v>
      </c>
      <c r="Y110" s="2137">
        <v>0.01</v>
      </c>
      <c r="Z110" s="2137"/>
      <c r="AC110" t="s">
        <v>629</v>
      </c>
      <c r="AE110">
        <v>-3.2</v>
      </c>
      <c r="AG110">
        <v>-2.2999999999999998</v>
      </c>
    </row>
    <row r="111" spans="2:33" ht="15.75" hidden="1">
      <c r="B111" s="525" t="s">
        <v>693</v>
      </c>
      <c r="C111" s="526"/>
      <c r="D111" s="526"/>
      <c r="E111" s="526"/>
      <c r="F111" s="526"/>
      <c r="G111" s="526"/>
      <c r="H111" s="526" t="s">
        <v>694</v>
      </c>
      <c r="I111" s="532"/>
      <c r="J111" s="526"/>
      <c r="K111" s="526"/>
      <c r="L111" s="527"/>
      <c r="M111" s="526"/>
      <c r="Q111" t="s">
        <v>610</v>
      </c>
      <c r="S111" s="569">
        <v>450</v>
      </c>
      <c r="T111" t="s">
        <v>611</v>
      </c>
      <c r="X111" s="570" t="s">
        <v>630</v>
      </c>
      <c r="Y111" s="2137">
        <v>3.5000000000000003E-2</v>
      </c>
      <c r="Z111" s="2137"/>
      <c r="AC111" t="s">
        <v>631</v>
      </c>
      <c r="AE111">
        <v>10.6</v>
      </c>
      <c r="AG111">
        <v>7.1</v>
      </c>
    </row>
    <row r="112" spans="2:33" ht="15.75" hidden="1">
      <c r="B112" s="525"/>
      <c r="C112" s="526"/>
      <c r="D112" s="526"/>
      <c r="E112" s="526"/>
      <c r="F112" s="526"/>
      <c r="G112" s="526"/>
      <c r="H112" s="526"/>
      <c r="I112" s="532"/>
      <c r="J112" s="526"/>
      <c r="K112" s="526"/>
      <c r="L112" s="527"/>
      <c r="M112" s="526"/>
      <c r="Q112" t="s">
        <v>612</v>
      </c>
      <c r="S112" s="569">
        <v>210</v>
      </c>
      <c r="X112" s="570" t="s">
        <v>171</v>
      </c>
      <c r="Y112" s="2137">
        <v>1.4999999999999999E-2</v>
      </c>
      <c r="Z112" s="2137">
        <v>7.0000000000000001E-3</v>
      </c>
      <c r="AC112" t="s">
        <v>632</v>
      </c>
    </row>
    <row r="113" spans="2:35" ht="15.75" hidden="1">
      <c r="B113" s="525" t="s">
        <v>695</v>
      </c>
      <c r="C113" s="526"/>
      <c r="D113" s="526"/>
      <c r="E113" s="526"/>
      <c r="F113" s="526"/>
      <c r="G113" s="526"/>
      <c r="H113" s="526"/>
      <c r="I113" s="532"/>
      <c r="J113" s="526"/>
      <c r="K113" s="526"/>
      <c r="L113" s="527"/>
      <c r="M113" s="526"/>
      <c r="Q113" t="s">
        <v>613</v>
      </c>
      <c r="S113" s="91">
        <v>3</v>
      </c>
      <c r="T113" t="s">
        <v>614</v>
      </c>
      <c r="X113" s="570" t="s">
        <v>633</v>
      </c>
      <c r="Y113" s="2137">
        <v>0.02</v>
      </c>
      <c r="Z113" s="2137"/>
      <c r="AC113" t="s">
        <v>307</v>
      </c>
      <c r="AE113" s="571">
        <f>SUM(AE109:AE112)</f>
        <v>7.3999999999999995</v>
      </c>
      <c r="AG113" s="572">
        <f>SUM(AG109:AG112)</f>
        <v>4.8</v>
      </c>
    </row>
    <row r="114" spans="2:35" ht="16.5" hidden="1" thickBot="1">
      <c r="B114" s="561"/>
      <c r="C114" s="562"/>
      <c r="D114" s="562"/>
      <c r="E114" s="562"/>
      <c r="F114" s="562"/>
      <c r="G114" s="562"/>
      <c r="H114" s="562"/>
      <c r="I114" s="562"/>
      <c r="J114" s="562"/>
      <c r="K114" s="562"/>
      <c r="L114" s="563"/>
      <c r="M114" s="526"/>
      <c r="X114" s="570" t="s">
        <v>634</v>
      </c>
      <c r="Y114" s="2137">
        <v>1.3000000000000001E-2</v>
      </c>
      <c r="Z114" s="2137"/>
      <c r="AC114" t="s">
        <v>635</v>
      </c>
    </row>
    <row r="115" spans="2:35" ht="15.75" hidden="1">
      <c r="B115" s="25"/>
      <c r="C115" s="104"/>
      <c r="D115" s="104"/>
      <c r="E115" s="104"/>
      <c r="F115" s="104"/>
      <c r="G115" s="104"/>
      <c r="H115" s="105"/>
      <c r="I115" s="104"/>
      <c r="J115" s="105"/>
      <c r="K115" s="573"/>
      <c r="L115" s="105"/>
      <c r="M115" s="105"/>
      <c r="N115" s="105"/>
      <c r="O115" s="105"/>
      <c r="P115" s="104"/>
      <c r="Q115" s="105"/>
      <c r="R115" s="664"/>
      <c r="S115" s="664"/>
      <c r="T115" s="104"/>
      <c r="U115" s="105"/>
      <c r="X115" s="570" t="s">
        <v>636</v>
      </c>
      <c r="Y115" s="2137">
        <v>2.4E-2</v>
      </c>
      <c r="Z115" s="2137"/>
      <c r="AC115" t="s">
        <v>637</v>
      </c>
      <c r="AD115" s="91">
        <v>60</v>
      </c>
      <c r="AE115">
        <f>-AD115*2*V110*4*0.001-AD115*2*V110*8*0.001</f>
        <v>-2.5920000000000001</v>
      </c>
      <c r="AG115">
        <f>-AD115*2*V110*1.2*0.001-AD115*2*V110*12*0.001</f>
        <v>-2.8512</v>
      </c>
    </row>
    <row r="116" spans="2:35" ht="15.75" hidden="1">
      <c r="B116" s="25"/>
      <c r="C116" s="104"/>
      <c r="D116" s="104"/>
      <c r="E116" s="104"/>
      <c r="F116" s="104" t="s">
        <v>559</v>
      </c>
      <c r="G116" s="104"/>
      <c r="H116" s="104"/>
      <c r="I116" s="104"/>
      <c r="J116" s="105"/>
      <c r="K116" s="574" t="s">
        <v>560</v>
      </c>
      <c r="L116" s="105"/>
      <c r="M116" s="105"/>
      <c r="N116" s="105" t="s">
        <v>561</v>
      </c>
      <c r="O116" s="104" t="s">
        <v>562</v>
      </c>
      <c r="P116" s="106" t="s">
        <v>338</v>
      </c>
      <c r="Q116" s="104" t="s">
        <v>563</v>
      </c>
      <c r="R116" s="106"/>
      <c r="S116" s="106" t="s">
        <v>564</v>
      </c>
      <c r="T116" s="104"/>
      <c r="U116" s="105"/>
      <c r="X116" s="570" t="s">
        <v>638</v>
      </c>
      <c r="Y116" s="2137">
        <v>0.01</v>
      </c>
      <c r="Z116" s="2137"/>
      <c r="AC116" t="s">
        <v>639</v>
      </c>
      <c r="AE116">
        <f>+AE113+AE115</f>
        <v>4.8079999999999998</v>
      </c>
      <c r="AG116">
        <f>+AG113+AG115</f>
        <v>1.9487999999999999</v>
      </c>
    </row>
    <row r="117" spans="2:35" ht="15.75" hidden="1">
      <c r="B117" s="25"/>
      <c r="C117" s="471" t="s">
        <v>301</v>
      </c>
      <c r="D117" s="575">
        <f>Kostnader!E6</f>
        <v>7</v>
      </c>
      <c r="E117" s="104"/>
      <c r="F117" s="104" t="s">
        <v>565</v>
      </c>
      <c r="G117" s="471" t="s">
        <v>140</v>
      </c>
      <c r="H117" s="104" t="s">
        <v>566</v>
      </c>
      <c r="I117" s="104" t="s">
        <v>567</v>
      </c>
      <c r="J117" s="104" t="s">
        <v>568</v>
      </c>
      <c r="K117" s="576" t="s">
        <v>569</v>
      </c>
      <c r="L117" s="104" t="s">
        <v>570</v>
      </c>
      <c r="M117" s="104"/>
      <c r="N117" s="104" t="s">
        <v>320</v>
      </c>
      <c r="O117" s="104" t="s">
        <v>258</v>
      </c>
      <c r="P117" s="104"/>
      <c r="Q117" s="104" t="s">
        <v>571</v>
      </c>
      <c r="R117" s="105"/>
      <c r="S117" s="104"/>
      <c r="T117" s="104"/>
      <c r="U117" s="104"/>
      <c r="X117" s="570" t="s">
        <v>640</v>
      </c>
      <c r="Y117" s="2137">
        <v>1.7000000000000001E-2</v>
      </c>
      <c r="Z117" s="2137"/>
      <c r="AC117" t="s">
        <v>641</v>
      </c>
      <c r="AE117" s="64">
        <f>+AE116*F149</f>
        <v>0</v>
      </c>
      <c r="AG117" s="64">
        <f>+AG116*F150*0.8</f>
        <v>0</v>
      </c>
    </row>
    <row r="118" spans="2:35" ht="15.75" hidden="1">
      <c r="B118" s="25"/>
      <c r="C118" s="649" t="s">
        <v>138</v>
      </c>
      <c r="D118" s="473" t="s">
        <v>139</v>
      </c>
      <c r="E118" s="104"/>
      <c r="F118" s="104"/>
      <c r="G118" s="577"/>
      <c r="H118" s="104"/>
      <c r="I118" s="104"/>
      <c r="J118" s="578" t="s">
        <v>139</v>
      </c>
      <c r="K118" s="579"/>
      <c r="L118" s="578" t="s">
        <v>572</v>
      </c>
      <c r="M118" s="578"/>
      <c r="N118" s="578"/>
      <c r="O118" s="104"/>
      <c r="P118" s="104"/>
      <c r="Q118" s="104" t="s">
        <v>573</v>
      </c>
      <c r="R118" s="104"/>
      <c r="S118" s="104"/>
      <c r="T118" s="104"/>
      <c r="U118" s="104" t="s">
        <v>574</v>
      </c>
      <c r="X118" s="570" t="s">
        <v>642</v>
      </c>
      <c r="Y118" s="2138"/>
      <c r="Z118" s="2138"/>
      <c r="AC118" t="s">
        <v>643</v>
      </c>
    </row>
    <row r="119" spans="2:35" ht="47.25" hidden="1">
      <c r="B119" s="25"/>
      <c r="C119" s="575" t="str">
        <f>Kostnader!B11</f>
        <v xml:space="preserve">Höstraps </v>
      </c>
      <c r="D119" s="575">
        <f>Kostnader!C11</f>
        <v>3500</v>
      </c>
      <c r="E119" s="575" t="str">
        <f>Kostnader!G11</f>
        <v xml:space="preserve"> </v>
      </c>
      <c r="F119" s="581"/>
      <c r="G119" s="582">
        <f>Huvudinmatning!D14</f>
        <v>4.0999999999999996</v>
      </c>
      <c r="H119" s="583"/>
      <c r="I119" s="584"/>
      <c r="J119" s="524">
        <f t="shared" ref="J119:J128" si="9">IF(H119=0,D119,D119*H119*I119)</f>
        <v>3500</v>
      </c>
      <c r="K119" s="585">
        <v>1.2E-2</v>
      </c>
      <c r="L119" s="586">
        <f>IF(J119=" "," ",J119*K119)+Y129</f>
        <v>42</v>
      </c>
      <c r="M119" s="586"/>
      <c r="N119" s="524">
        <f>Mullberäkning!T25</f>
        <v>0</v>
      </c>
      <c r="O119" s="587">
        <v>100</v>
      </c>
      <c r="P119" s="584">
        <v>0</v>
      </c>
      <c r="Q119" s="584"/>
      <c r="R119" s="524"/>
      <c r="S119" s="588"/>
      <c r="T119" s="104"/>
      <c r="U119" s="107" t="s">
        <v>575</v>
      </c>
      <c r="W119" s="589">
        <v>1</v>
      </c>
      <c r="X119" s="570" t="s">
        <v>644</v>
      </c>
      <c r="Y119" s="2138" t="s">
        <v>645</v>
      </c>
      <c r="Z119" s="2138"/>
      <c r="AE119">
        <v>-1.1000000000000001</v>
      </c>
      <c r="AG119">
        <v>-1.1000000000000001</v>
      </c>
    </row>
    <row r="120" spans="2:35" ht="15" hidden="1">
      <c r="B120" s="25"/>
      <c r="C120" s="575" t="str">
        <f>Kostnader!B12</f>
        <v>Höstvete bröd</v>
      </c>
      <c r="D120" s="575">
        <f>Kostnader!C12</f>
        <v>8000</v>
      </c>
      <c r="E120" s="575" t="str">
        <f>Kostnader!G12</f>
        <v xml:space="preserve"> </v>
      </c>
      <c r="F120" s="581"/>
      <c r="G120" s="582">
        <f>Huvudinmatning!D15</f>
        <v>1.47</v>
      </c>
      <c r="H120" s="583"/>
      <c r="I120" s="590"/>
      <c r="J120" s="524">
        <f t="shared" si="9"/>
        <v>8000</v>
      </c>
      <c r="K120" s="585">
        <v>1.2E-2</v>
      </c>
      <c r="L120" s="586">
        <f t="shared" ref="L120:L128" si="10">IF(J120=" "," ",J120*K120)</f>
        <v>96</v>
      </c>
      <c r="M120" s="586"/>
      <c r="N120" s="524">
        <f>Mullberäkning!T26</f>
        <v>0</v>
      </c>
      <c r="O120" s="587">
        <v>100</v>
      </c>
      <c r="P120" s="590"/>
      <c r="Q120" s="584"/>
      <c r="R120" s="524"/>
      <c r="S120" s="588"/>
      <c r="T120" s="104"/>
      <c r="U120" s="591" t="s">
        <v>576</v>
      </c>
      <c r="W120" s="589">
        <v>1</v>
      </c>
      <c r="AC120" t="s">
        <v>646</v>
      </c>
      <c r="AE120" s="64">
        <f>+AE116+AE119</f>
        <v>3.7079999999999997</v>
      </c>
      <c r="AG120" s="100">
        <f>+AG116+AG119</f>
        <v>0.84879999999999978</v>
      </c>
    </row>
    <row r="121" spans="2:35" ht="15" hidden="1">
      <c r="B121" s="592" t="s">
        <v>133</v>
      </c>
      <c r="C121" s="575" t="str">
        <f>Kostnader!B13</f>
        <v>Höstvete bröd</v>
      </c>
      <c r="D121" s="575">
        <f>Kostnader!C13</f>
        <v>8000</v>
      </c>
      <c r="E121" s="575" t="str">
        <f>Kostnader!G13</f>
        <v xml:space="preserve"> </v>
      </c>
      <c r="F121" s="581"/>
      <c r="G121" s="582">
        <f>Huvudinmatning!D16</f>
        <v>1.47</v>
      </c>
      <c r="H121" s="583"/>
      <c r="I121" s="590"/>
      <c r="J121" s="524">
        <f t="shared" si="9"/>
        <v>8000</v>
      </c>
      <c r="K121" s="585">
        <v>1.2E-2</v>
      </c>
      <c r="L121" s="586">
        <f t="shared" si="10"/>
        <v>96</v>
      </c>
      <c r="M121" s="586"/>
      <c r="N121" s="524">
        <f>Mullberäkning!T27</f>
        <v>0</v>
      </c>
      <c r="O121" s="587">
        <v>170</v>
      </c>
      <c r="P121" s="584"/>
      <c r="Q121" s="584"/>
      <c r="R121" s="524"/>
      <c r="S121" s="588"/>
      <c r="T121" s="104"/>
      <c r="U121" s="104"/>
      <c r="AC121" t="s">
        <v>647</v>
      </c>
      <c r="AE121" s="64">
        <f>+AE120*F149</f>
        <v>0</v>
      </c>
      <c r="AG121" s="97">
        <f>+AG120*F150*0.8</f>
        <v>0</v>
      </c>
      <c r="AH121" t="s">
        <v>641</v>
      </c>
      <c r="AI121" s="97">
        <f>+AE121+AG121</f>
        <v>0</v>
      </c>
    </row>
    <row r="122" spans="2:35" ht="15" hidden="1">
      <c r="B122" s="592"/>
      <c r="C122" s="575" t="str">
        <f>Kostnader!B14</f>
        <v>Foderärt</v>
      </c>
      <c r="D122" s="575">
        <f>Kostnader!C14</f>
        <v>4000</v>
      </c>
      <c r="E122" s="575" t="str">
        <f>Kostnader!G14</f>
        <v xml:space="preserve"> </v>
      </c>
      <c r="F122" s="581"/>
      <c r="G122" s="582">
        <f>Huvudinmatning!D17</f>
        <v>1.83</v>
      </c>
      <c r="H122" s="583"/>
      <c r="I122" s="590"/>
      <c r="J122" s="524">
        <f t="shared" si="9"/>
        <v>4000</v>
      </c>
      <c r="K122" s="585">
        <v>1.2E-2</v>
      </c>
      <c r="L122" s="586">
        <f t="shared" si="10"/>
        <v>48</v>
      </c>
      <c r="M122" s="586"/>
      <c r="N122" s="524">
        <f>Mullberäkning!T28</f>
        <v>0</v>
      </c>
      <c r="O122" s="587">
        <v>100</v>
      </c>
      <c r="P122" s="584"/>
      <c r="Q122" s="584"/>
      <c r="R122" s="524"/>
      <c r="S122" s="588"/>
      <c r="T122" s="104"/>
      <c r="U122" s="104"/>
      <c r="AH122" t="s">
        <v>648</v>
      </c>
      <c r="AI122" s="97">
        <f>+AI121/3.6</f>
        <v>0</v>
      </c>
    </row>
    <row r="123" spans="2:35" ht="15" hidden="1">
      <c r="B123" s="592"/>
      <c r="C123" s="575" t="str">
        <f>Kostnader!B15</f>
        <v>Höstvete bröd</v>
      </c>
      <c r="D123" s="575">
        <f>Kostnader!C15</f>
        <v>8000</v>
      </c>
      <c r="E123" s="575" t="str">
        <f>Kostnader!G15</f>
        <v xml:space="preserve"> </v>
      </c>
      <c r="F123" s="581"/>
      <c r="G123" s="582">
        <f>Huvudinmatning!D18</f>
        <v>1.47</v>
      </c>
      <c r="H123" s="583"/>
      <c r="I123" s="584"/>
      <c r="J123" s="524">
        <f t="shared" si="9"/>
        <v>8000</v>
      </c>
      <c r="K123" s="585">
        <v>1.2E-2</v>
      </c>
      <c r="L123" s="586">
        <f t="shared" si="10"/>
        <v>96</v>
      </c>
      <c r="M123" s="586"/>
      <c r="N123" s="524">
        <f>Mullberäkning!T29</f>
        <v>0</v>
      </c>
      <c r="O123" s="587">
        <v>170</v>
      </c>
      <c r="P123" s="584"/>
      <c r="Q123" s="584"/>
      <c r="R123" s="524"/>
      <c r="S123" s="588"/>
      <c r="T123" s="104"/>
      <c r="U123" s="104"/>
      <c r="AC123" t="s">
        <v>649</v>
      </c>
    </row>
    <row r="124" spans="2:35" ht="15" hidden="1">
      <c r="B124" s="592"/>
      <c r="C124" s="575" t="str">
        <f>Kostnader!B16</f>
        <v>Höstvete bröd</v>
      </c>
      <c r="D124" s="575">
        <f>Kostnader!C16</f>
        <v>8000</v>
      </c>
      <c r="E124" s="575" t="str">
        <f>Kostnader!G16</f>
        <v xml:space="preserve"> </v>
      </c>
      <c r="F124" s="581"/>
      <c r="G124" s="582">
        <f>Huvudinmatning!D19</f>
        <v>1.47</v>
      </c>
      <c r="H124" s="583"/>
      <c r="I124" s="584"/>
      <c r="J124" s="524">
        <f t="shared" si="9"/>
        <v>8000</v>
      </c>
      <c r="K124" s="585"/>
      <c r="L124" s="586">
        <f t="shared" si="10"/>
        <v>0</v>
      </c>
      <c r="M124" s="586"/>
      <c r="N124" s="524">
        <f>Mullberäkning!T30</f>
        <v>0</v>
      </c>
      <c r="O124" s="587"/>
      <c r="P124" s="584"/>
      <c r="Q124" s="584"/>
      <c r="R124" s="524"/>
      <c r="S124" s="588"/>
      <c r="T124" s="104"/>
      <c r="U124" s="104"/>
      <c r="X124" s="164" t="s">
        <v>650</v>
      </c>
      <c r="AC124" t="s">
        <v>651</v>
      </c>
      <c r="AE124">
        <v>450</v>
      </c>
      <c r="AG124">
        <v>450</v>
      </c>
    </row>
    <row r="125" spans="2:35" ht="15" hidden="1">
      <c r="B125" s="592"/>
      <c r="C125" s="575" t="str">
        <f>Kostnader!B17</f>
        <v>Maltkorn</v>
      </c>
      <c r="D125" s="575">
        <f>Kostnader!C17</f>
        <v>5500</v>
      </c>
      <c r="E125" s="575" t="str">
        <f>Kostnader!G17</f>
        <v xml:space="preserve"> </v>
      </c>
      <c r="F125" s="581"/>
      <c r="G125" s="582">
        <f>Huvudinmatning!D20</f>
        <v>1.62</v>
      </c>
      <c r="H125" s="583"/>
      <c r="I125" s="584"/>
      <c r="J125" s="524">
        <f t="shared" si="9"/>
        <v>5500</v>
      </c>
      <c r="K125" s="585"/>
      <c r="L125" s="586">
        <f t="shared" si="10"/>
        <v>0</v>
      </c>
      <c r="M125" s="586"/>
      <c r="N125" s="524">
        <f>Mullberäkning!T31</f>
        <v>0</v>
      </c>
      <c r="O125" s="584"/>
      <c r="P125" s="584"/>
      <c r="Q125" s="584"/>
      <c r="R125" s="524"/>
      <c r="S125" s="588"/>
      <c r="T125" s="104"/>
      <c r="U125" s="104"/>
      <c r="X125" s="164" t="s">
        <v>652</v>
      </c>
      <c r="AC125" t="s">
        <v>653</v>
      </c>
      <c r="AE125">
        <v>150</v>
      </c>
      <c r="AG125">
        <v>100</v>
      </c>
    </row>
    <row r="126" spans="2:35" ht="15" hidden="1">
      <c r="B126" s="592"/>
      <c r="C126" s="575" t="str">
        <f>Kostnader!B18</f>
        <v xml:space="preserve"> </v>
      </c>
      <c r="D126" s="575" t="str">
        <f>Kostnader!C18</f>
        <v xml:space="preserve"> </v>
      </c>
      <c r="E126" s="575" t="str">
        <f>Kostnader!G18</f>
        <v xml:space="preserve"> </v>
      </c>
      <c r="F126" s="581"/>
      <c r="G126" s="582" t="str">
        <f>Huvudinmatning!D21</f>
        <v xml:space="preserve"> </v>
      </c>
      <c r="H126" s="583"/>
      <c r="I126" s="584"/>
      <c r="J126" s="524" t="str">
        <f t="shared" si="9"/>
        <v xml:space="preserve"> </v>
      </c>
      <c r="K126" s="593"/>
      <c r="L126" s="586" t="str">
        <f t="shared" si="10"/>
        <v xml:space="preserve"> </v>
      </c>
      <c r="M126" s="586"/>
      <c r="N126" s="524">
        <f>Mullberäkning!T32</f>
        <v>0</v>
      </c>
      <c r="O126" s="584"/>
      <c r="P126" s="584"/>
      <c r="Q126" s="584"/>
      <c r="R126" s="524"/>
      <c r="S126" s="588"/>
      <c r="T126" s="104"/>
      <c r="U126" s="104"/>
      <c r="X126" t="s">
        <v>654</v>
      </c>
      <c r="Y126" s="594">
        <v>0</v>
      </c>
      <c r="AC126" t="s">
        <v>655</v>
      </c>
      <c r="AE126">
        <v>75</v>
      </c>
      <c r="AG126">
        <v>30</v>
      </c>
    </row>
    <row r="127" spans="2:35" ht="15" hidden="1">
      <c r="B127" s="592"/>
      <c r="C127" s="575" t="str">
        <f>Kostnader!B19</f>
        <v xml:space="preserve"> </v>
      </c>
      <c r="D127" s="575" t="str">
        <f>Kostnader!C19</f>
        <v xml:space="preserve"> </v>
      </c>
      <c r="E127" s="575" t="str">
        <f>Kostnader!G19</f>
        <v xml:space="preserve"> </v>
      </c>
      <c r="F127" s="581"/>
      <c r="G127" s="582" t="str">
        <f>Huvudinmatning!D22</f>
        <v xml:space="preserve"> </v>
      </c>
      <c r="H127" s="583"/>
      <c r="I127" s="584"/>
      <c r="J127" s="524" t="str">
        <f t="shared" si="9"/>
        <v xml:space="preserve"> </v>
      </c>
      <c r="K127" s="585"/>
      <c r="L127" s="586" t="str">
        <f t="shared" si="10"/>
        <v xml:space="preserve"> </v>
      </c>
      <c r="M127" s="586"/>
      <c r="N127" s="524">
        <f>Mullberäkning!T33</f>
        <v>0</v>
      </c>
      <c r="O127" s="584"/>
      <c r="P127" s="584"/>
      <c r="Q127" s="584"/>
      <c r="R127" s="524"/>
      <c r="S127" s="588" t="s">
        <v>149</v>
      </c>
      <c r="T127" s="104" t="s">
        <v>198</v>
      </c>
      <c r="U127" s="104"/>
      <c r="X127" t="s">
        <v>656</v>
      </c>
      <c r="Y127" s="594">
        <f>+Y126*0.02</f>
        <v>0</v>
      </c>
      <c r="AC127" t="s">
        <v>657</v>
      </c>
      <c r="AE127">
        <v>225</v>
      </c>
      <c r="AG127">
        <v>320</v>
      </c>
    </row>
    <row r="128" spans="2:35" ht="15" hidden="1">
      <c r="B128" s="592"/>
      <c r="C128" s="575" t="str">
        <f>Kostnader!B20</f>
        <v xml:space="preserve"> </v>
      </c>
      <c r="D128" s="575" t="str">
        <f>Kostnader!C20</f>
        <v xml:space="preserve"> </v>
      </c>
      <c r="E128" s="575" t="str">
        <f>Kostnader!G20</f>
        <v xml:space="preserve"> </v>
      </c>
      <c r="F128" s="581"/>
      <c r="G128" s="582" t="str">
        <f>Huvudinmatning!D23</f>
        <v xml:space="preserve"> </v>
      </c>
      <c r="H128" s="583"/>
      <c r="I128" s="584"/>
      <c r="J128" s="524" t="str">
        <f t="shared" si="9"/>
        <v xml:space="preserve"> </v>
      </c>
      <c r="K128" s="595"/>
      <c r="L128" s="586" t="str">
        <f t="shared" si="10"/>
        <v xml:space="preserve"> </v>
      </c>
      <c r="M128" s="586"/>
      <c r="N128" s="524">
        <f>Mullberäkning!T34</f>
        <v>0</v>
      </c>
      <c r="O128" s="584"/>
      <c r="P128" s="584"/>
      <c r="Q128" s="584"/>
      <c r="R128" s="64" t="s">
        <v>577</v>
      </c>
      <c r="S128" s="588" t="s">
        <v>463</v>
      </c>
      <c r="T128" s="104" t="s">
        <v>251</v>
      </c>
      <c r="U128" s="104"/>
      <c r="X128" t="s">
        <v>658</v>
      </c>
      <c r="Y128" s="599">
        <f>+Y126*0.01</f>
        <v>0</v>
      </c>
      <c r="AC128" t="s">
        <v>659</v>
      </c>
      <c r="AE128">
        <v>450</v>
      </c>
      <c r="AG128">
        <v>640</v>
      </c>
    </row>
    <row r="129" spans="2:37" ht="15" hidden="1">
      <c r="B129" s="592"/>
      <c r="C129" s="580"/>
      <c r="D129" s="596" t="s">
        <v>578</v>
      </c>
      <c r="E129" s="104"/>
      <c r="F129" s="586">
        <f>SUM(F119:F128)</f>
        <v>0</v>
      </c>
      <c r="G129" s="104"/>
      <c r="H129" s="104"/>
      <c r="I129" s="524" t="s">
        <v>579</v>
      </c>
      <c r="J129" s="586" t="e">
        <f>IF(G119=0,0,J119)+IF(G120=0,0,J120)+IF(G121=0,0,J121)+IF(G122=0,0,J122)+IF(G123=0,0,J123)+IF(G124=0,0,J124)+IF(G125=0,0,J125)+IF(G126=0,0,J126)+IF(G127=0,0,J127)+IF(G128=0,0,J128)</f>
        <v>#VALUE!</v>
      </c>
      <c r="K129" s="597" t="s">
        <v>580</v>
      </c>
      <c r="L129" s="586">
        <f>SUM(L119:L128)</f>
        <v>378</v>
      </c>
      <c r="M129" s="586"/>
      <c r="N129" s="572"/>
      <c r="O129" s="572">
        <f>SUM(O119:O128)</f>
        <v>640</v>
      </c>
      <c r="P129" s="572">
        <f>SUM(P119:P128)</f>
        <v>0</v>
      </c>
      <c r="Q129" s="572">
        <f>SUM(Q119:Q128)</f>
        <v>0</v>
      </c>
      <c r="R129" s="524" t="s">
        <v>581</v>
      </c>
      <c r="S129" s="572"/>
      <c r="T129" s="598"/>
      <c r="U129" s="104"/>
      <c r="X129" t="s">
        <v>660</v>
      </c>
      <c r="Y129" s="2139">
        <f>+Y127+Y128</f>
        <v>0</v>
      </c>
      <c r="Z129" s="599"/>
      <c r="AC129" t="s">
        <v>661</v>
      </c>
      <c r="AE129" s="64">
        <f>+F149</f>
        <v>0</v>
      </c>
      <c r="AF129" t="s">
        <v>662</v>
      </c>
      <c r="AG129" s="64">
        <f>+F150*0.8</f>
        <v>0</v>
      </c>
    </row>
    <row r="130" spans="2:37" ht="15" hidden="1">
      <c r="B130" s="592"/>
      <c r="C130" s="580"/>
      <c r="D130" s="25" t="s">
        <v>582</v>
      </c>
      <c r="E130" s="104"/>
      <c r="F130" s="524"/>
      <c r="G130" s="104"/>
      <c r="H130" s="104"/>
      <c r="I130" s="524" t="s">
        <v>319</v>
      </c>
      <c r="J130" s="586" t="e">
        <f>J129/D117</f>
        <v>#VALUE!</v>
      </c>
      <c r="K130" s="597" t="s">
        <v>583</v>
      </c>
      <c r="L130" s="586">
        <f>+L129/D117</f>
        <v>54</v>
      </c>
      <c r="M130" s="586"/>
      <c r="N130" s="524"/>
      <c r="O130" s="586">
        <f>+O129/D117</f>
        <v>91.428571428571431</v>
      </c>
      <c r="P130" s="524">
        <f>+P129/D117</f>
        <v>0</v>
      </c>
      <c r="Q130" s="524">
        <f>+Q129/D117</f>
        <v>0</v>
      </c>
      <c r="R130" s="586">
        <f>Mullberäkning!AF6</f>
        <v>34.993355481727626</v>
      </c>
      <c r="S130" s="586"/>
      <c r="T130" s="104"/>
      <c r="U130" s="104"/>
      <c r="Z130" s="599"/>
      <c r="AC130" s="164" t="s">
        <v>663</v>
      </c>
      <c r="AI130" s="64"/>
    </row>
    <row r="131" spans="2:37" ht="15" hidden="1">
      <c r="B131" s="592"/>
      <c r="C131" s="580"/>
      <c r="G131" s="25" t="s">
        <v>584</v>
      </c>
      <c r="H131" s="104"/>
      <c r="I131" s="524"/>
      <c r="J131" s="586"/>
      <c r="K131" s="597"/>
      <c r="L131" s="586">
        <f>+L130*S108*44/28*310</f>
        <v>263.05714285714288</v>
      </c>
      <c r="M131" s="586"/>
      <c r="N131" s="524"/>
      <c r="O131" s="586">
        <f>+O130*($S$113+S109*44/28*310)</f>
        <v>719.67346938775518</v>
      </c>
      <c r="P131" s="586">
        <f>+P130*($S$110*44/28*310)</f>
        <v>0</v>
      </c>
      <c r="Q131" s="600">
        <f>+Q130</f>
        <v>0</v>
      </c>
      <c r="R131" s="601">
        <f>-(R130*44/12+R130*0.1*0.01*44/28*310)</f>
        <v>-145.35573327005241</v>
      </c>
      <c r="S131" s="586">
        <f>-(1-W119)*O131</f>
        <v>0</v>
      </c>
      <c r="T131" s="104">
        <f>-(1-W120)*210</f>
        <v>0</v>
      </c>
      <c r="U131" s="104"/>
      <c r="Y131" s="2139"/>
      <c r="Z131" s="148"/>
      <c r="AC131" t="s">
        <v>664</v>
      </c>
    </row>
    <row r="132" spans="2:37" ht="15" hidden="1">
      <c r="B132" s="592"/>
      <c r="C132" s="580"/>
      <c r="D132" s="25"/>
      <c r="E132" s="104"/>
      <c r="F132" s="524"/>
      <c r="G132" s="104"/>
      <c r="H132" s="104"/>
      <c r="I132" s="524"/>
      <c r="J132" s="586"/>
      <c r="K132" s="597"/>
      <c r="L132" s="586"/>
      <c r="M132" s="586"/>
      <c r="N132" s="524"/>
      <c r="O132" s="586"/>
      <c r="P132" s="524"/>
      <c r="Q132" s="156"/>
      <c r="R132" s="524"/>
      <c r="S132" s="586"/>
      <c r="T132" s="104"/>
      <c r="U132" s="104"/>
      <c r="Y132" s="2139"/>
      <c r="Z132" s="2140"/>
      <c r="AC132" t="s">
        <v>665</v>
      </c>
      <c r="AE132" s="26">
        <f>+F149*AE128*0.001/0.05*0.001</f>
        <v>0</v>
      </c>
      <c r="AG132" s="602">
        <f>+F150*0.8*AG128*0.001/0.05*0.001</f>
        <v>0</v>
      </c>
      <c r="AH132" t="s">
        <v>153</v>
      </c>
      <c r="AI132" s="99">
        <f>+AE132+AG132</f>
        <v>0</v>
      </c>
    </row>
    <row r="133" spans="2:37" hidden="1">
      <c r="B133" s="469"/>
      <c r="C133" s="104"/>
      <c r="E133" s="104"/>
      <c r="F133" s="104"/>
      <c r="G133" s="25"/>
      <c r="H133" s="104"/>
      <c r="I133" s="524"/>
      <c r="J133" s="524"/>
      <c r="K133" s="597"/>
      <c r="L133" s="524"/>
      <c r="M133" s="524"/>
      <c r="N133" s="524"/>
      <c r="O133" s="524"/>
      <c r="P133" s="156"/>
      <c r="Q133" s="104"/>
      <c r="R133" s="104"/>
      <c r="S133" s="524"/>
      <c r="T133" s="104"/>
      <c r="X133" t="s">
        <v>666</v>
      </c>
      <c r="AC133" t="s">
        <v>667</v>
      </c>
    </row>
    <row r="134" spans="2:37" hidden="1">
      <c r="B134" s="25"/>
      <c r="C134" s="104"/>
      <c r="D134" t="s">
        <v>585</v>
      </c>
      <c r="E134" s="104"/>
      <c r="F134" s="104"/>
      <c r="J134" s="603"/>
      <c r="K134" s="597"/>
      <c r="L134" s="524"/>
      <c r="M134" s="524"/>
      <c r="N134" s="524"/>
      <c r="O134" s="524"/>
      <c r="P134" s="524"/>
      <c r="Q134" s="586"/>
      <c r="R134" s="586"/>
      <c r="S134" s="604"/>
      <c r="T134" s="104"/>
      <c r="U134" s="104"/>
    </row>
    <row r="135" spans="2:37" hidden="1">
      <c r="B135" s="25"/>
      <c r="C135" s="104"/>
      <c r="E135" s="104"/>
      <c r="F135" s="104"/>
      <c r="J135" s="603"/>
      <c r="K135" s="597"/>
      <c r="L135" s="524"/>
      <c r="M135" s="524"/>
      <c r="N135" s="524"/>
      <c r="O135" s="524"/>
      <c r="P135" s="524">
        <f>200000*40/2500000</f>
        <v>3.2</v>
      </c>
      <c r="Q135" s="586"/>
      <c r="R135" s="586"/>
      <c r="S135" s="604"/>
      <c r="T135" s="104"/>
      <c r="U135" s="104"/>
    </row>
    <row r="136" spans="2:37" ht="15" hidden="1">
      <c r="C136" s="605"/>
      <c r="D136" s="605"/>
      <c r="E136" s="104"/>
      <c r="F136" s="104"/>
      <c r="G136" s="104"/>
      <c r="H136" s="104"/>
      <c r="I136" s="524"/>
      <c r="J136" s="524"/>
      <c r="K136" s="597"/>
      <c r="L136" s="524"/>
      <c r="M136" s="524"/>
      <c r="N136" s="524"/>
      <c r="O136" s="524"/>
      <c r="P136" s="524"/>
      <c r="Q136" s="524"/>
      <c r="R136" s="606"/>
      <c r="S136" s="606"/>
      <c r="T136" s="105"/>
      <c r="U136" s="607"/>
      <c r="AC136" t="s">
        <v>668</v>
      </c>
      <c r="AE136" s="164">
        <f>+F149*20*0.001+F150*0.8*5*0.001</f>
        <v>0</v>
      </c>
    </row>
    <row r="137" spans="2:37" ht="15" hidden="1">
      <c r="B137" s="592" t="s">
        <v>147</v>
      </c>
      <c r="C137" s="575" t="s">
        <v>301</v>
      </c>
      <c r="D137" s="575">
        <f>Kostnader!E25</f>
        <v>7</v>
      </c>
      <c r="E137" s="608"/>
      <c r="F137" s="608"/>
      <c r="H137" s="104"/>
      <c r="I137" s="598"/>
      <c r="J137" s="524"/>
      <c r="K137" s="597"/>
      <c r="L137" s="524"/>
      <c r="M137" s="524"/>
      <c r="N137" s="524"/>
      <c r="O137" s="524"/>
      <c r="P137" s="598"/>
      <c r="Q137" s="524"/>
      <c r="R137" s="524"/>
      <c r="S137" s="588"/>
      <c r="T137" s="104"/>
      <c r="U137" s="104"/>
      <c r="AC137" t="s">
        <v>669</v>
      </c>
    </row>
    <row r="138" spans="2:37" ht="15" hidden="1">
      <c r="B138" s="592"/>
      <c r="C138" s="575" t="str">
        <f>Kostnader!B31</f>
        <v xml:space="preserve">Höstraps </v>
      </c>
      <c r="D138" s="575">
        <f>Kostnader!C31</f>
        <v>3500</v>
      </c>
      <c r="E138" s="575" t="str">
        <f>Kostnader!G31</f>
        <v xml:space="preserve"> </v>
      </c>
      <c r="F138" s="609"/>
      <c r="G138" s="610">
        <f>Huvudinmatning!I33</f>
        <v>4.0999999999999996</v>
      </c>
      <c r="H138" s="584"/>
      <c r="I138" s="584"/>
      <c r="J138" s="524">
        <f t="shared" ref="J138:J147" si="11">IF(H138=0,D138,D138*H138*I138)</f>
        <v>3500</v>
      </c>
      <c r="K138" s="585">
        <v>1.2E-2</v>
      </c>
      <c r="L138" s="586">
        <f t="shared" ref="L138:L147" si="12">IF(J138=" "," ",J138*K138)</f>
        <v>42</v>
      </c>
      <c r="M138" s="586"/>
      <c r="N138" s="524">
        <f>Mullberäkning!T48</f>
        <v>0</v>
      </c>
      <c r="O138" s="587">
        <v>100</v>
      </c>
      <c r="P138" s="584">
        <v>0</v>
      </c>
      <c r="Q138" s="584"/>
      <c r="R138" s="524"/>
      <c r="S138" s="588">
        <f t="shared" ref="S138:S145" si="13">(IF(J138=" ",0,$S$108*L138))</f>
        <v>0.42</v>
      </c>
      <c r="T138" s="104"/>
      <c r="U138" s="104" t="s">
        <v>574</v>
      </c>
      <c r="AC138" t="s">
        <v>670</v>
      </c>
      <c r="AG138" t="s">
        <v>671</v>
      </c>
      <c r="AK138" t="s">
        <v>672</v>
      </c>
    </row>
    <row r="139" spans="2:37" ht="15" hidden="1">
      <c r="B139" s="592"/>
      <c r="C139" s="575" t="str">
        <f>Kostnader!B32</f>
        <v>Höstvete bröd</v>
      </c>
      <c r="D139" s="575">
        <f>Kostnader!C32</f>
        <v>8000</v>
      </c>
      <c r="E139" s="575" t="str">
        <f>Kostnader!G32</f>
        <v xml:space="preserve"> </v>
      </c>
      <c r="F139" s="609"/>
      <c r="G139" s="610">
        <f>Huvudinmatning!I34</f>
        <v>1.47</v>
      </c>
      <c r="H139" s="584"/>
      <c r="I139" s="590"/>
      <c r="J139" s="524">
        <f t="shared" si="11"/>
        <v>8000</v>
      </c>
      <c r="K139" s="585">
        <v>1.2E-2</v>
      </c>
      <c r="L139" s="586">
        <f t="shared" si="12"/>
        <v>96</v>
      </c>
      <c r="M139" s="586"/>
      <c r="N139" s="524">
        <f>Mullberäkning!T49</f>
        <v>0</v>
      </c>
      <c r="O139" s="587">
        <v>100</v>
      </c>
      <c r="P139" s="590"/>
      <c r="Q139" s="584"/>
      <c r="R139" s="524"/>
      <c r="S139" s="588">
        <f t="shared" si="13"/>
        <v>0.96</v>
      </c>
      <c r="T139" s="104"/>
      <c r="U139" s="107" t="s">
        <v>575</v>
      </c>
      <c r="W139" s="589">
        <v>1</v>
      </c>
      <c r="AC139" t="s">
        <v>673</v>
      </c>
      <c r="AG139" s="96">
        <f>+AE136*0.9</f>
        <v>0</v>
      </c>
    </row>
    <row r="140" spans="2:37" ht="15" hidden="1">
      <c r="B140" s="592"/>
      <c r="C140" s="575" t="str">
        <f>Kostnader!B33</f>
        <v>Höstvete bröd</v>
      </c>
      <c r="D140" s="575">
        <f>Kostnader!C33</f>
        <v>8000</v>
      </c>
      <c r="E140" s="575" t="str">
        <f>Kostnader!G33</f>
        <v xml:space="preserve"> </v>
      </c>
      <c r="F140" s="609"/>
      <c r="G140" s="610">
        <f>Huvudinmatning!I35</f>
        <v>1.47</v>
      </c>
      <c r="H140" s="584"/>
      <c r="I140" s="590"/>
      <c r="J140" s="524">
        <f t="shared" si="11"/>
        <v>8000</v>
      </c>
      <c r="K140" s="585">
        <v>1.2E-2</v>
      </c>
      <c r="L140" s="586">
        <f t="shared" si="12"/>
        <v>96</v>
      </c>
      <c r="M140" s="586"/>
      <c r="N140" s="524">
        <f>Mullberäkning!T50</f>
        <v>0</v>
      </c>
      <c r="O140" s="587">
        <v>170</v>
      </c>
      <c r="P140" s="584"/>
      <c r="Q140" s="584"/>
      <c r="R140" s="598"/>
      <c r="S140" s="588">
        <f t="shared" si="13"/>
        <v>0.96</v>
      </c>
      <c r="T140" s="104"/>
      <c r="U140" s="591" t="s">
        <v>576</v>
      </c>
      <c r="W140" s="589">
        <v>1</v>
      </c>
      <c r="AC140" s="611" t="s">
        <v>674</v>
      </c>
      <c r="AG140" s="96">
        <f>+AE136*0.7</f>
        <v>0</v>
      </c>
    </row>
    <row r="141" spans="2:37" ht="15" hidden="1">
      <c r="B141" s="592"/>
      <c r="C141" s="575" t="str">
        <f>Kostnader!B34</f>
        <v>Foderärt</v>
      </c>
      <c r="D141" s="575">
        <f>Kostnader!C34</f>
        <v>4000</v>
      </c>
      <c r="E141" s="575" t="str">
        <f>Kostnader!G34</f>
        <v xml:space="preserve"> </v>
      </c>
      <c r="F141" s="609"/>
      <c r="G141" s="610">
        <f>Huvudinmatning!I36</f>
        <v>1.83</v>
      </c>
      <c r="H141" s="584"/>
      <c r="I141" s="590"/>
      <c r="J141" s="524">
        <f t="shared" si="11"/>
        <v>4000</v>
      </c>
      <c r="K141" s="585">
        <v>1.2E-2</v>
      </c>
      <c r="L141" s="586">
        <f t="shared" si="12"/>
        <v>48</v>
      </c>
      <c r="M141" s="586"/>
      <c r="N141" s="524">
        <f>Mullberäkning!T51</f>
        <v>0</v>
      </c>
      <c r="O141" s="587">
        <v>100</v>
      </c>
      <c r="P141" s="584"/>
      <c r="Q141" s="584"/>
      <c r="R141" s="524"/>
      <c r="S141" s="588">
        <f t="shared" si="13"/>
        <v>0.48</v>
      </c>
      <c r="T141" s="25" t="s">
        <v>586</v>
      </c>
      <c r="U141" s="104"/>
      <c r="V141" s="164"/>
      <c r="AC141" t="s">
        <v>675</v>
      </c>
    </row>
    <row r="142" spans="2:37" ht="15" hidden="1">
      <c r="B142" s="25"/>
      <c r="C142" s="575" t="str">
        <f>Kostnader!B35</f>
        <v>Höstvete bröd</v>
      </c>
      <c r="D142" s="575">
        <f>Kostnader!C35</f>
        <v>8000</v>
      </c>
      <c r="E142" s="575" t="str">
        <f>Kostnader!G35</f>
        <v xml:space="preserve"> </v>
      </c>
      <c r="F142" s="609"/>
      <c r="G142" s="610">
        <f>Huvudinmatning!I37</f>
        <v>1.47</v>
      </c>
      <c r="H142" s="584"/>
      <c r="I142" s="584"/>
      <c r="J142" s="524">
        <f t="shared" si="11"/>
        <v>8000</v>
      </c>
      <c r="K142" s="585">
        <v>1.2E-2</v>
      </c>
      <c r="L142" s="586">
        <f t="shared" si="12"/>
        <v>96</v>
      </c>
      <c r="M142" s="586"/>
      <c r="N142" s="524">
        <f>Mullberäkning!T52</f>
        <v>0</v>
      </c>
      <c r="O142" s="587">
        <v>170</v>
      </c>
      <c r="P142" s="584"/>
      <c r="Q142" s="584"/>
      <c r="R142" s="524"/>
      <c r="S142" s="588">
        <f t="shared" si="13"/>
        <v>0.96</v>
      </c>
      <c r="T142" s="104">
        <v>10</v>
      </c>
      <c r="U142" s="612" t="s">
        <v>587</v>
      </c>
      <c r="W142" s="64">
        <f>+(1-W139)*O149*T142</f>
        <v>0</v>
      </c>
      <c r="AC142" t="s">
        <v>676</v>
      </c>
    </row>
    <row r="143" spans="2:37" ht="15" hidden="1">
      <c r="B143" s="25"/>
      <c r="C143" s="575" t="str">
        <f>Kostnader!B36</f>
        <v>Höstvete bröd</v>
      </c>
      <c r="D143" s="575">
        <f>Kostnader!C36</f>
        <v>8000</v>
      </c>
      <c r="E143" s="575" t="str">
        <f>Kostnader!G36</f>
        <v xml:space="preserve"> </v>
      </c>
      <c r="F143" s="609"/>
      <c r="G143" s="610">
        <f>Huvudinmatning!I38</f>
        <v>1.47</v>
      </c>
      <c r="H143" s="584"/>
      <c r="I143" s="584"/>
      <c r="J143" s="524">
        <f t="shared" si="11"/>
        <v>8000</v>
      </c>
      <c r="K143" s="585"/>
      <c r="L143" s="586">
        <f t="shared" si="12"/>
        <v>0</v>
      </c>
      <c r="M143" s="586"/>
      <c r="N143" s="524">
        <f>Mullberäkning!T53</f>
        <v>0</v>
      </c>
      <c r="O143" s="587"/>
      <c r="P143" s="584"/>
      <c r="Q143" s="584"/>
      <c r="R143" s="524"/>
      <c r="S143" s="588">
        <f t="shared" si="13"/>
        <v>0</v>
      </c>
      <c r="T143" s="104">
        <v>7</v>
      </c>
      <c r="U143" s="613" t="s">
        <v>588</v>
      </c>
      <c r="V143" s="598"/>
      <c r="W143" s="64">
        <f>+(1-W140)*70*T143</f>
        <v>0</v>
      </c>
      <c r="X143" s="598"/>
      <c r="Y143" s="598"/>
      <c r="Z143" s="598"/>
      <c r="AA143" s="598"/>
      <c r="AB143" s="598"/>
    </row>
    <row r="144" spans="2:37" ht="15" hidden="1">
      <c r="B144" s="25"/>
      <c r="C144" s="575" t="str">
        <f>Kostnader!B37</f>
        <v>Maltkorn</v>
      </c>
      <c r="D144" s="575">
        <f>Kostnader!C37</f>
        <v>5500</v>
      </c>
      <c r="E144" s="575" t="str">
        <f>Kostnader!G37</f>
        <v xml:space="preserve"> </v>
      </c>
      <c r="F144" s="609"/>
      <c r="G144" s="610">
        <f>Huvudinmatning!I39</f>
        <v>1.62</v>
      </c>
      <c r="H144" s="584"/>
      <c r="I144" s="584"/>
      <c r="J144" s="524">
        <f t="shared" si="11"/>
        <v>5500</v>
      </c>
      <c r="K144" s="585"/>
      <c r="L144" s="586">
        <f t="shared" si="12"/>
        <v>0</v>
      </c>
      <c r="M144" s="586"/>
      <c r="N144" s="524">
        <f>Mullberäkning!T54</f>
        <v>0</v>
      </c>
      <c r="O144" s="584"/>
      <c r="P144" s="584"/>
      <c r="Q144" s="584"/>
      <c r="R144" s="524"/>
      <c r="S144" s="588">
        <f t="shared" si="13"/>
        <v>0</v>
      </c>
      <c r="T144" s="104" t="s">
        <v>327</v>
      </c>
      <c r="U144" s="598"/>
      <c r="V144" s="598"/>
      <c r="W144" s="614">
        <f>-SUM(W142:W143)-(O130-O152)*T142</f>
        <v>0</v>
      </c>
      <c r="X144" s="598"/>
      <c r="Y144" s="598"/>
      <c r="Z144" s="598"/>
      <c r="AA144" s="598"/>
      <c r="AB144" s="598"/>
      <c r="AC144" t="s">
        <v>677</v>
      </c>
      <c r="AD144" t="s">
        <v>678</v>
      </c>
      <c r="AE144" t="s">
        <v>679</v>
      </c>
    </row>
    <row r="145" spans="2:31" ht="15" hidden="1">
      <c r="B145" s="25"/>
      <c r="C145" s="575" t="str">
        <f>Kostnader!B38</f>
        <v xml:space="preserve"> </v>
      </c>
      <c r="D145" s="575" t="str">
        <f>Kostnader!C38</f>
        <v xml:space="preserve"> </v>
      </c>
      <c r="E145" s="575" t="str">
        <f>Kostnader!G38</f>
        <v xml:space="preserve"> </v>
      </c>
      <c r="F145" s="609"/>
      <c r="G145" s="610" t="str">
        <f>Huvudinmatning!I40</f>
        <v xml:space="preserve"> </v>
      </c>
      <c r="H145" s="584"/>
      <c r="I145" s="584"/>
      <c r="J145" s="524" t="str">
        <f t="shared" si="11"/>
        <v xml:space="preserve"> </v>
      </c>
      <c r="K145" s="593"/>
      <c r="L145" s="586" t="str">
        <f t="shared" si="12"/>
        <v xml:space="preserve"> </v>
      </c>
      <c r="M145" s="586"/>
      <c r="N145" s="524">
        <f>Mullberäkning!T55</f>
        <v>0</v>
      </c>
      <c r="O145" s="584"/>
      <c r="P145" s="584"/>
      <c r="Q145" s="584"/>
      <c r="R145" s="524"/>
      <c r="S145" s="588">
        <f t="shared" si="13"/>
        <v>0</v>
      </c>
      <c r="T145" s="104"/>
      <c r="U145" s="598"/>
      <c r="V145" s="598"/>
      <c r="W145" s="598"/>
      <c r="X145" s="598"/>
      <c r="Y145" s="524"/>
      <c r="Z145" s="614"/>
      <c r="AA145" s="598"/>
      <c r="AB145" s="614"/>
      <c r="AC145" t="s">
        <v>680</v>
      </c>
      <c r="AD145" s="64">
        <f>+(AE136-AG139)/D137</f>
        <v>0</v>
      </c>
      <c r="AE145" s="97">
        <f>+AD145*0.01*44/28*300</f>
        <v>0</v>
      </c>
    </row>
    <row r="146" spans="2:31" ht="15" hidden="1">
      <c r="B146" s="25"/>
      <c r="C146" s="575" t="str">
        <f>Kostnader!B39</f>
        <v xml:space="preserve"> </v>
      </c>
      <c r="D146" s="575" t="str">
        <f>Kostnader!C39</f>
        <v xml:space="preserve"> </v>
      </c>
      <c r="E146" s="575" t="str">
        <f>Kostnader!G39</f>
        <v xml:space="preserve"> </v>
      </c>
      <c r="F146" s="609"/>
      <c r="G146" s="610" t="str">
        <f>Huvudinmatning!I41</f>
        <v xml:space="preserve"> </v>
      </c>
      <c r="H146" s="584"/>
      <c r="I146" s="584"/>
      <c r="J146" s="524" t="str">
        <f t="shared" si="11"/>
        <v xml:space="preserve"> </v>
      </c>
      <c r="K146" s="585"/>
      <c r="L146" s="586" t="str">
        <f t="shared" si="12"/>
        <v xml:space="preserve"> </v>
      </c>
      <c r="M146" s="586"/>
      <c r="N146" s="524">
        <f>Mullberäkning!T56</f>
        <v>0</v>
      </c>
      <c r="O146" s="584"/>
      <c r="P146" s="584"/>
      <c r="Q146" s="584"/>
      <c r="R146" s="524"/>
      <c r="S146" s="588" t="s">
        <v>149</v>
      </c>
      <c r="T146" s="104" t="s">
        <v>589</v>
      </c>
      <c r="U146" s="598"/>
      <c r="V146" s="598"/>
      <c r="W146" s="598"/>
      <c r="X146" s="598"/>
      <c r="Y146" s="598"/>
      <c r="Z146" s="614"/>
      <c r="AA146" s="598"/>
      <c r="AB146" s="598"/>
      <c r="AC146" t="s">
        <v>681</v>
      </c>
      <c r="AD146" s="64">
        <f>+(AE136-AG140)/D137</f>
        <v>0</v>
      </c>
      <c r="AE146" s="97">
        <f>+AD146*0.01*44/28*300</f>
        <v>0</v>
      </c>
    </row>
    <row r="147" spans="2:31" ht="15" hidden="1">
      <c r="B147" s="25"/>
      <c r="C147" s="575" t="str">
        <f>Kostnader!B40</f>
        <v xml:space="preserve"> </v>
      </c>
      <c r="D147" s="575" t="str">
        <f>Kostnader!C40</f>
        <v xml:space="preserve"> </v>
      </c>
      <c r="E147" s="575" t="str">
        <f>Kostnader!G40</f>
        <v xml:space="preserve"> </v>
      </c>
      <c r="F147" s="609"/>
      <c r="G147" s="610" t="str">
        <f>Huvudinmatning!I42</f>
        <v xml:space="preserve"> </v>
      </c>
      <c r="H147" s="584"/>
      <c r="I147" s="584"/>
      <c r="J147" s="524" t="str">
        <f t="shared" si="11"/>
        <v xml:space="preserve"> </v>
      </c>
      <c r="K147" s="595"/>
      <c r="L147" s="586" t="str">
        <f t="shared" si="12"/>
        <v xml:space="preserve"> </v>
      </c>
      <c r="M147" s="586"/>
      <c r="N147" s="524">
        <f>Mullberäkning!T57</f>
        <v>0</v>
      </c>
      <c r="O147" s="584"/>
      <c r="P147" s="584"/>
      <c r="Q147" s="584"/>
      <c r="R147" s="64" t="s">
        <v>577</v>
      </c>
      <c r="S147" s="588" t="s">
        <v>463</v>
      </c>
      <c r="T147" s="104" t="s">
        <v>251</v>
      </c>
      <c r="U147" s="598"/>
      <c r="V147" s="598"/>
      <c r="W147" s="598"/>
      <c r="X147" s="598"/>
      <c r="Y147" s="598"/>
      <c r="Z147" s="614"/>
      <c r="AA147" s="598"/>
      <c r="AB147" s="598"/>
    </row>
    <row r="148" spans="2:31" ht="15" hidden="1">
      <c r="B148" s="592"/>
      <c r="C148" s="580"/>
      <c r="D148" s="596" t="s">
        <v>578</v>
      </c>
      <c r="E148" s="104"/>
      <c r="F148" s="586">
        <f>SUM(F138:F147)</f>
        <v>0</v>
      </c>
      <c r="G148" s="104"/>
      <c r="H148" s="104"/>
      <c r="I148" s="524" t="s">
        <v>579</v>
      </c>
      <c r="J148" s="586" t="e">
        <f>IF(G138=0,0,J138)+IF(G139=0,0,J139)+IF(G140=0,0,J140)+IF(G141=0,0,J141)+IF(G142=0,0,J142)+IF(G143=0,0,J143)+IF(G144=0,0,J144)+IF(G145=0,0,J145)+IF(G146=0,0,J146)+IF(G147=0,0,J147)</f>
        <v>#VALUE!</v>
      </c>
      <c r="K148" s="597" t="s">
        <v>580</v>
      </c>
      <c r="L148" s="586">
        <f>SUM(L138:L147)</f>
        <v>378</v>
      </c>
      <c r="M148" s="586"/>
      <c r="N148" s="572"/>
      <c r="O148" s="572">
        <f>SUM(O138:O147)</f>
        <v>640</v>
      </c>
      <c r="P148" s="572">
        <f>SUM(P138:P147)</f>
        <v>0</v>
      </c>
      <c r="Q148" s="572">
        <f>SUM(Q138:Q147)</f>
        <v>0</v>
      </c>
      <c r="R148" s="524" t="s">
        <v>581</v>
      </c>
      <c r="S148" s="572"/>
      <c r="T148" s="598"/>
      <c r="U148" s="104"/>
    </row>
    <row r="149" spans="2:31" ht="15" hidden="1">
      <c r="B149" s="592"/>
      <c r="C149" s="580"/>
      <c r="D149" s="25" t="s">
        <v>590</v>
      </c>
      <c r="E149" s="104"/>
      <c r="F149" s="609"/>
      <c r="G149" s="104"/>
      <c r="H149" s="104"/>
      <c r="I149" s="524" t="s">
        <v>319</v>
      </c>
      <c r="J149" s="586" t="e">
        <f>J148/D137</f>
        <v>#VALUE!</v>
      </c>
      <c r="K149" s="597" t="s">
        <v>583</v>
      </c>
      <c r="L149" s="586">
        <f>+L148/D137</f>
        <v>54</v>
      </c>
      <c r="M149" s="586"/>
      <c r="N149" s="524"/>
      <c r="O149" s="586">
        <f>+O148/D137</f>
        <v>91.428571428571431</v>
      </c>
      <c r="P149" s="524">
        <f>+P148/D137</f>
        <v>0</v>
      </c>
      <c r="Q149" s="524">
        <f>+Q148/D137</f>
        <v>0</v>
      </c>
      <c r="R149" s="586">
        <f>Mullberäkning!AF7</f>
        <v>34.993355481727626</v>
      </c>
      <c r="S149" s="586"/>
      <c r="T149" s="104"/>
      <c r="U149" s="608"/>
      <c r="X149" s="100"/>
      <c r="Y149" s="2141"/>
    </row>
    <row r="150" spans="2:31" ht="15" hidden="1">
      <c r="B150" s="592"/>
      <c r="C150" s="580"/>
      <c r="D150" t="s">
        <v>591</v>
      </c>
      <c r="F150" s="609"/>
      <c r="G150" s="25" t="s">
        <v>584</v>
      </c>
      <c r="H150" s="104"/>
      <c r="I150" s="524"/>
      <c r="J150" s="586"/>
      <c r="K150" s="597"/>
      <c r="L150" s="586">
        <f>+L149*S108*44/28*310</f>
        <v>263.05714285714288</v>
      </c>
      <c r="M150" s="586"/>
      <c r="N150" s="524"/>
      <c r="O150" s="586">
        <f>+O149*($S$113+S109*44/28*310)</f>
        <v>719.67346938775518</v>
      </c>
      <c r="P150" s="586">
        <f>+P149*($S$110*44/28*310)</f>
        <v>0</v>
      </c>
      <c r="Q150" s="600">
        <f>+Q149</f>
        <v>0</v>
      </c>
      <c r="R150" s="601">
        <f>-(R149*44/12+R149*0.1*0.01*44/28*310)</f>
        <v>-145.35573327005241</v>
      </c>
      <c r="S150" s="586">
        <f>-(1-W139)*O150</f>
        <v>0</v>
      </c>
      <c r="T150" s="104">
        <v>0</v>
      </c>
    </row>
    <row r="151" spans="2:31" hidden="1">
      <c r="B151" s="25"/>
      <c r="C151" s="104"/>
      <c r="D151" t="s">
        <v>585</v>
      </c>
      <c r="E151" s="104"/>
      <c r="F151" t="s">
        <v>585</v>
      </c>
      <c r="G151" s="615" t="s">
        <v>592</v>
      </c>
      <c r="H151" s="616"/>
      <c r="I151" s="616"/>
      <c r="J151" s="617" t="s">
        <v>593</v>
      </c>
      <c r="K151" s="617"/>
      <c r="L151" s="584">
        <v>10</v>
      </c>
      <c r="M151" s="1580"/>
      <c r="N151" s="618"/>
      <c r="O151" s="619">
        <f>-AE136*(1-0.01*L151)*(S113+S109*44/28*310)/D137</f>
        <v>0</v>
      </c>
      <c r="P151" s="619"/>
      <c r="Q151" s="619"/>
      <c r="R151" s="619"/>
      <c r="S151" s="604"/>
      <c r="T151" s="104"/>
    </row>
    <row r="152" spans="2:31" hidden="1">
      <c r="B152" s="25"/>
      <c r="C152" s="104"/>
      <c r="E152" s="104"/>
      <c r="G152" s="616" t="s">
        <v>594</v>
      </c>
      <c r="H152" s="616"/>
      <c r="I152" s="616"/>
      <c r="J152" s="617"/>
      <c r="K152" s="617"/>
      <c r="L152" s="618"/>
      <c r="M152" s="618"/>
      <c r="N152" s="618" t="s">
        <v>595</v>
      </c>
      <c r="O152" s="620">
        <f>+O149-AE136*(1-0.01*L151)/D137</f>
        <v>91.428571428571431</v>
      </c>
      <c r="P152" s="618"/>
      <c r="Q152" s="619"/>
      <c r="R152" s="621"/>
      <c r="S152" s="604"/>
      <c r="T152" s="104"/>
      <c r="Z152" s="2142"/>
    </row>
    <row r="153" spans="2:31" hidden="1">
      <c r="B153" s="25"/>
      <c r="C153" s="104"/>
      <c r="E153" s="104"/>
      <c r="G153" s="616" t="s">
        <v>596</v>
      </c>
      <c r="H153" s="616"/>
      <c r="I153" s="616" t="s">
        <v>597</v>
      </c>
      <c r="J153" s="617"/>
      <c r="K153" s="617" t="s">
        <v>598</v>
      </c>
      <c r="L153" s="618"/>
      <c r="M153" s="618"/>
      <c r="N153" s="618"/>
      <c r="O153" s="620"/>
      <c r="P153" s="618"/>
      <c r="Q153" s="619"/>
      <c r="R153" s="621"/>
      <c r="S153" s="97"/>
      <c r="T153" s="104"/>
      <c r="Z153" s="2142"/>
    </row>
    <row r="154" spans="2:31" hidden="1">
      <c r="B154" s="109"/>
      <c r="C154" s="108"/>
      <c r="E154" s="108"/>
      <c r="G154" s="622" t="s">
        <v>599</v>
      </c>
      <c r="H154" s="622" t="s">
        <v>600</v>
      </c>
      <c r="I154" s="622" t="s">
        <v>600</v>
      </c>
      <c r="J154" s="623"/>
      <c r="K154" s="623" t="s">
        <v>120</v>
      </c>
      <c r="L154" s="618" t="s">
        <v>600</v>
      </c>
      <c r="M154" s="618"/>
      <c r="N154" s="618"/>
      <c r="O154" s="620"/>
      <c r="P154" s="618"/>
      <c r="Q154" s="619"/>
      <c r="R154" s="621"/>
      <c r="S154" s="606"/>
      <c r="T154" s="105"/>
    </row>
    <row r="155" spans="2:31" hidden="1">
      <c r="B155" s="109"/>
      <c r="C155" s="164"/>
      <c r="E155" s="108"/>
      <c r="G155" s="624"/>
      <c r="H155" s="619">
        <f>+G155*AI132*20</f>
        <v>0</v>
      </c>
      <c r="I155" s="619">
        <f>+L151*AE136*0.01*0.007*1.7*300</f>
        <v>0</v>
      </c>
      <c r="J155" s="623"/>
      <c r="K155" s="625">
        <v>2</v>
      </c>
      <c r="L155" s="619">
        <f>+K155*0.01*AI121/40*20</f>
        <v>0</v>
      </c>
      <c r="M155" s="619"/>
      <c r="N155" s="618"/>
      <c r="O155" s="620"/>
      <c r="P155" s="618"/>
      <c r="Q155" s="619"/>
      <c r="R155" s="621"/>
      <c r="S155" s="626"/>
      <c r="T155" s="108"/>
    </row>
    <row r="156" spans="2:31" hidden="1">
      <c r="B156" s="109"/>
      <c r="C156" s="109"/>
      <c r="D156" s="108"/>
      <c r="E156" s="108"/>
      <c r="F156" s="108"/>
      <c r="G156" s="108"/>
      <c r="K156" s="101"/>
      <c r="L156" s="598"/>
      <c r="M156" s="598"/>
      <c r="N156" s="598"/>
      <c r="O156" s="104"/>
      <c r="P156" s="627"/>
      <c r="Q156" s="524"/>
      <c r="R156" s="606"/>
      <c r="S156" s="586"/>
      <c r="T156" s="104"/>
    </row>
    <row r="157" spans="2:31" hidden="1">
      <c r="B157" s="109"/>
      <c r="C157" s="628" t="s">
        <v>504</v>
      </c>
      <c r="D157" s="629"/>
      <c r="E157" s="629"/>
      <c r="F157" s="630"/>
      <c r="G157" s="630"/>
      <c r="H157" s="630"/>
      <c r="I157" s="631"/>
      <c r="J157" s="629"/>
      <c r="K157" s="629"/>
      <c r="L157" s="630"/>
      <c r="M157" s="630"/>
      <c r="N157" s="630"/>
      <c r="O157" s="630"/>
      <c r="P157" s="630"/>
      <c r="Q157" s="630"/>
      <c r="R157" s="630"/>
    </row>
    <row r="158" spans="2:31" hidden="1">
      <c r="C158" s="630"/>
      <c r="D158" s="630"/>
      <c r="E158" s="630"/>
      <c r="F158" s="630"/>
      <c r="G158" s="630"/>
      <c r="H158" s="630"/>
      <c r="I158" s="631"/>
      <c r="J158" s="630"/>
      <c r="K158" s="630"/>
      <c r="L158" s="630"/>
      <c r="M158" s="630"/>
      <c r="N158" s="630"/>
      <c r="O158" s="630"/>
      <c r="P158" s="630"/>
      <c r="Q158" s="630"/>
      <c r="R158" s="630"/>
    </row>
    <row r="159" spans="2:31" hidden="1">
      <c r="C159" s="630" t="s">
        <v>505</v>
      </c>
      <c r="D159" s="630"/>
      <c r="E159" s="630"/>
      <c r="F159" s="630"/>
      <c r="G159" s="630"/>
      <c r="H159" s="630"/>
      <c r="I159" s="631"/>
      <c r="J159" s="630"/>
      <c r="K159" s="630"/>
      <c r="L159" s="630"/>
      <c r="M159" s="630"/>
      <c r="N159" s="630"/>
      <c r="O159" s="630"/>
      <c r="P159" s="630"/>
      <c r="Q159" s="630"/>
      <c r="R159" s="630"/>
    </row>
    <row r="160" spans="2:31" hidden="1">
      <c r="C160" s="630"/>
      <c r="D160" s="630"/>
      <c r="E160" s="630"/>
      <c r="F160" s="630"/>
      <c r="G160" s="630"/>
      <c r="H160" s="630"/>
      <c r="I160" s="631"/>
      <c r="J160" s="630"/>
      <c r="K160" s="630"/>
      <c r="L160" s="630"/>
      <c r="M160" s="630"/>
      <c r="N160" s="630"/>
      <c r="O160" s="630"/>
      <c r="P160" s="630"/>
      <c r="Q160" s="630"/>
      <c r="R160" s="630"/>
    </row>
    <row r="161" spans="3:23" hidden="1">
      <c r="C161" s="630" t="s">
        <v>506</v>
      </c>
      <c r="D161" s="630"/>
      <c r="E161" s="630"/>
      <c r="F161" s="630"/>
      <c r="G161" s="630"/>
      <c r="H161" s="630"/>
      <c r="I161" s="631"/>
      <c r="J161" s="630"/>
      <c r="K161" s="630"/>
      <c r="L161" s="630"/>
      <c r="M161" s="630"/>
      <c r="N161" s="630"/>
      <c r="O161" s="630"/>
      <c r="P161" s="630"/>
      <c r="Q161" s="630"/>
      <c r="R161" s="630"/>
    </row>
    <row r="162" spans="3:23" hidden="1">
      <c r="C162" s="630"/>
      <c r="D162" s="630"/>
      <c r="E162" s="630"/>
      <c r="F162" s="630"/>
      <c r="G162" s="630"/>
      <c r="H162" s="630"/>
      <c r="I162" s="631"/>
      <c r="J162" s="630"/>
      <c r="K162" s="630"/>
      <c r="L162" s="630"/>
      <c r="M162" s="630"/>
      <c r="N162" s="630"/>
      <c r="O162" s="630"/>
      <c r="P162" s="630"/>
      <c r="Q162" s="630"/>
      <c r="R162" s="630"/>
    </row>
    <row r="163" spans="3:23" hidden="1">
      <c r="C163" s="630" t="s">
        <v>507</v>
      </c>
      <c r="D163" s="630"/>
      <c r="E163" s="630"/>
      <c r="F163" s="630"/>
      <c r="G163" s="630"/>
      <c r="H163" s="630"/>
      <c r="I163" s="631"/>
      <c r="J163" s="630"/>
      <c r="K163" s="630"/>
      <c r="L163" s="630"/>
      <c r="M163" s="630"/>
      <c r="N163" s="630"/>
      <c r="O163" s="630"/>
      <c r="P163" s="630"/>
      <c r="Q163" s="630"/>
      <c r="R163" s="630"/>
    </row>
    <row r="164" spans="3:23" hidden="1">
      <c r="C164" s="630" t="s">
        <v>508</v>
      </c>
      <c r="D164" s="630"/>
      <c r="E164" s="630"/>
      <c r="F164" s="630"/>
      <c r="G164" s="630"/>
      <c r="H164" s="630"/>
      <c r="I164" s="631"/>
      <c r="J164" s="630"/>
      <c r="K164" s="630"/>
      <c r="L164" s="630"/>
      <c r="M164" s="630"/>
      <c r="N164" s="630"/>
      <c r="O164" s="630"/>
      <c r="P164" s="630"/>
      <c r="Q164" s="630"/>
      <c r="R164" s="630"/>
    </row>
    <row r="165" spans="3:23" hidden="1">
      <c r="C165" s="630"/>
      <c r="D165" s="630"/>
      <c r="E165" s="630"/>
      <c r="F165" s="630"/>
      <c r="G165" s="630"/>
      <c r="H165" s="630"/>
      <c r="I165" s="631"/>
      <c r="J165" s="630"/>
      <c r="K165" s="630"/>
      <c r="L165" s="630"/>
      <c r="M165" s="630"/>
      <c r="N165" s="630"/>
      <c r="O165" s="630"/>
      <c r="P165" s="630"/>
      <c r="Q165" s="630"/>
      <c r="R165" s="630"/>
    </row>
    <row r="166" spans="3:23" hidden="1">
      <c r="C166" s="630" t="s">
        <v>509</v>
      </c>
      <c r="D166" s="630"/>
      <c r="E166" s="630"/>
      <c r="F166" s="630"/>
      <c r="G166" s="630"/>
      <c r="H166" s="630"/>
      <c r="I166" s="631"/>
      <c r="J166" s="630"/>
      <c r="K166" s="630"/>
      <c r="L166" s="630"/>
      <c r="M166" s="630"/>
      <c r="N166" s="630"/>
      <c r="O166" s="630"/>
      <c r="P166" s="630"/>
      <c r="Q166" s="630"/>
      <c r="R166" s="630"/>
    </row>
    <row r="167" spans="3:23" hidden="1">
      <c r="C167" s="630" t="s">
        <v>510</v>
      </c>
      <c r="D167" s="630"/>
      <c r="E167" s="630"/>
      <c r="F167" s="630"/>
      <c r="G167" s="630"/>
      <c r="H167" s="630"/>
      <c r="I167" s="631"/>
      <c r="J167" s="630"/>
      <c r="K167" s="630"/>
      <c r="L167" s="630"/>
      <c r="M167" s="630"/>
      <c r="N167" s="630"/>
      <c r="O167" s="630"/>
      <c r="P167" s="630"/>
      <c r="Q167" s="630"/>
      <c r="R167" s="630"/>
    </row>
    <row r="168" spans="3:23" hidden="1">
      <c r="C168" s="630" t="s">
        <v>511</v>
      </c>
      <c r="D168" s="630"/>
      <c r="E168" s="630"/>
      <c r="F168" s="630"/>
      <c r="G168" s="630"/>
      <c r="H168" s="630"/>
      <c r="I168" s="631"/>
      <c r="J168" s="630"/>
      <c r="K168" s="630"/>
      <c r="L168" s="630"/>
      <c r="M168" s="630"/>
      <c r="N168" s="630"/>
      <c r="O168" s="630"/>
      <c r="P168" s="630"/>
      <c r="Q168" s="630"/>
      <c r="R168" s="630"/>
    </row>
    <row r="169" spans="3:23" hidden="1">
      <c r="C169" s="630" t="s">
        <v>512</v>
      </c>
      <c r="D169" s="630"/>
      <c r="E169" s="630"/>
      <c r="F169" s="630"/>
      <c r="G169" s="630"/>
      <c r="H169" s="630"/>
      <c r="I169" s="631"/>
      <c r="J169" s="630"/>
      <c r="K169" s="630"/>
      <c r="L169" s="632"/>
      <c r="M169" s="632"/>
      <c r="N169" s="630"/>
      <c r="O169" s="630"/>
      <c r="P169" s="630"/>
      <c r="Q169" s="630"/>
      <c r="R169" s="630"/>
      <c r="W169" s="97"/>
    </row>
    <row r="170" spans="3:23" hidden="1">
      <c r="C170" s="630"/>
      <c r="D170" s="630"/>
      <c r="E170" s="630"/>
      <c r="F170" s="630"/>
      <c r="G170" s="630"/>
      <c r="H170" s="630"/>
      <c r="I170" s="631"/>
      <c r="J170" s="630"/>
      <c r="K170" s="630"/>
      <c r="L170" s="630"/>
      <c r="M170" s="630"/>
      <c r="N170" s="632" t="s">
        <v>513</v>
      </c>
      <c r="O170" s="630"/>
      <c r="P170" s="630"/>
      <c r="Q170" s="633"/>
      <c r="R170" s="633"/>
    </row>
    <row r="171" spans="3:23" hidden="1">
      <c r="C171" s="630"/>
      <c r="D171" s="630"/>
      <c r="E171" s="630"/>
      <c r="F171" s="630"/>
      <c r="G171" s="630"/>
      <c r="H171" s="630"/>
      <c r="I171" s="631"/>
      <c r="J171" s="630"/>
      <c r="K171" s="630"/>
      <c r="L171" s="630"/>
      <c r="M171" s="630"/>
      <c r="N171" s="630" t="s">
        <v>514</v>
      </c>
      <c r="O171" s="630"/>
      <c r="P171" s="630"/>
      <c r="Q171" s="633">
        <v>0</v>
      </c>
      <c r="R171" s="633">
        <v>0</v>
      </c>
    </row>
    <row r="172" spans="3:23" hidden="1">
      <c r="C172" s="632" t="s">
        <v>515</v>
      </c>
      <c r="D172" s="632"/>
      <c r="E172" s="630"/>
      <c r="F172" s="630"/>
      <c r="G172" s="630"/>
      <c r="H172" s="630"/>
      <c r="I172" s="631"/>
      <c r="J172" s="630"/>
      <c r="K172" s="630"/>
      <c r="L172" s="630"/>
      <c r="M172" s="630"/>
      <c r="N172" s="630" t="s">
        <v>516</v>
      </c>
      <c r="O172" s="630"/>
      <c r="P172" s="630"/>
      <c r="Q172" s="634"/>
      <c r="R172" s="635">
        <f>+AI121/D137</f>
        <v>0</v>
      </c>
    </row>
    <row r="173" spans="3:23" hidden="1">
      <c r="C173" s="630" t="s">
        <v>517</v>
      </c>
      <c r="D173" s="630"/>
      <c r="E173" s="630"/>
      <c r="F173" s="630"/>
      <c r="G173" s="630"/>
      <c r="H173" s="630"/>
      <c r="I173" s="631"/>
      <c r="J173" s="630"/>
      <c r="K173" s="630"/>
      <c r="L173" s="630"/>
      <c r="M173" s="630"/>
      <c r="N173" s="630" t="s">
        <v>518</v>
      </c>
      <c r="O173" s="630"/>
      <c r="P173" s="630"/>
      <c r="Q173" s="633">
        <f>+(Q172+Q171)*0.07</f>
        <v>0</v>
      </c>
      <c r="R173" s="633">
        <f>+(R172+R171)*0.07</f>
        <v>0</v>
      </c>
    </row>
    <row r="174" spans="3:23" hidden="1">
      <c r="C174" s="630" t="s">
        <v>519</v>
      </c>
      <c r="D174" s="630"/>
      <c r="E174" s="630"/>
      <c r="F174" s="630"/>
      <c r="G174" s="630"/>
      <c r="H174" s="630"/>
      <c r="I174" s="631"/>
      <c r="J174" s="630"/>
      <c r="K174" s="630"/>
      <c r="L174" s="630"/>
      <c r="M174" s="630"/>
      <c r="N174" s="630" t="s">
        <v>520</v>
      </c>
      <c r="O174" s="630"/>
      <c r="P174" s="630"/>
      <c r="Q174" s="636">
        <f>+AC100-Q173</f>
        <v>1287.3748789748456</v>
      </c>
      <c r="R174" s="636">
        <f>+AD100-R173</f>
        <v>1287.3748789748456</v>
      </c>
    </row>
    <row r="175" spans="3:23" hidden="1">
      <c r="C175" s="632" t="s">
        <v>521</v>
      </c>
      <c r="D175" s="632"/>
      <c r="E175" s="630"/>
      <c r="F175" s="630"/>
      <c r="G175" s="630"/>
      <c r="H175" s="630"/>
      <c r="I175" s="631"/>
      <c r="J175" s="630"/>
      <c r="K175" s="630"/>
      <c r="L175" s="630"/>
      <c r="M175" s="630"/>
      <c r="N175" s="630"/>
      <c r="O175" s="630"/>
      <c r="P175" s="630"/>
      <c r="Q175" s="630"/>
      <c r="R175" s="630"/>
    </row>
    <row r="176" spans="3:23" hidden="1">
      <c r="C176" s="630" t="s">
        <v>522</v>
      </c>
      <c r="D176" s="630"/>
      <c r="E176" s="630"/>
      <c r="F176" s="630"/>
      <c r="G176" s="630"/>
      <c r="H176" s="630"/>
      <c r="I176" s="631"/>
      <c r="J176" s="630"/>
      <c r="K176" s="637">
        <v>2000</v>
      </c>
      <c r="L176" s="630"/>
      <c r="M176" s="630"/>
      <c r="N176" s="630"/>
      <c r="O176" s="630"/>
      <c r="P176" s="630" t="s">
        <v>523</v>
      </c>
      <c r="Q176" s="633">
        <f>+Q171+Q172</f>
        <v>0</v>
      </c>
      <c r="R176" s="633">
        <f>+R171+R172</f>
        <v>0</v>
      </c>
    </row>
    <row r="177" spans="3:23" hidden="1">
      <c r="C177" s="630" t="s">
        <v>524</v>
      </c>
      <c r="D177" s="630"/>
      <c r="E177" s="630"/>
      <c r="F177" s="630"/>
      <c r="G177" s="630"/>
      <c r="H177" s="630"/>
      <c r="I177" s="631"/>
      <c r="J177" s="630" t="s">
        <v>525</v>
      </c>
      <c r="K177" s="638">
        <v>5000</v>
      </c>
      <c r="L177" s="630"/>
      <c r="M177" s="630"/>
      <c r="N177" s="639"/>
      <c r="O177" s="630"/>
      <c r="P177" s="630" t="s">
        <v>526</v>
      </c>
      <c r="Q177" s="633">
        <f>+Q176/3.6</f>
        <v>0</v>
      </c>
      <c r="R177" s="633">
        <f>+R176/3.6</f>
        <v>0</v>
      </c>
    </row>
    <row r="178" spans="3:23" hidden="1">
      <c r="C178" s="630"/>
      <c r="D178" s="630"/>
      <c r="E178" s="630"/>
      <c r="F178" s="630"/>
      <c r="G178" s="630"/>
      <c r="H178" s="630" t="s">
        <v>527</v>
      </c>
      <c r="I178" s="630"/>
      <c r="J178" s="630"/>
      <c r="K178" s="630"/>
      <c r="L178" s="630"/>
      <c r="M178" s="630"/>
      <c r="N178" s="630"/>
      <c r="O178" s="630" t="s">
        <v>528</v>
      </c>
      <c r="P178" s="630"/>
      <c r="Q178" s="630"/>
      <c r="R178" s="630"/>
    </row>
    <row r="179" spans="3:23" hidden="1">
      <c r="C179" s="630"/>
      <c r="D179" s="630"/>
      <c r="E179" s="630"/>
      <c r="F179" s="630"/>
      <c r="G179" s="630"/>
      <c r="H179" s="630" t="s">
        <v>529</v>
      </c>
      <c r="I179" s="631"/>
      <c r="J179" s="630"/>
      <c r="K179" s="633" t="e">
        <f>+(J130-J149)/K177*K176*44/12</f>
        <v>#VALUE!</v>
      </c>
      <c r="L179" s="630"/>
      <c r="M179" s="630"/>
      <c r="N179" s="630"/>
      <c r="O179" s="630" t="s">
        <v>530</v>
      </c>
      <c r="P179" s="638">
        <v>0.3</v>
      </c>
      <c r="Q179" s="640">
        <f>+Q177*P179</f>
        <v>0</v>
      </c>
      <c r="R179" s="633">
        <f>+R177*P179</f>
        <v>0</v>
      </c>
      <c r="V179" s="97"/>
    </row>
    <row r="180" spans="3:23" hidden="1">
      <c r="W180" s="64"/>
    </row>
    <row r="181" spans="3:23" hidden="1"/>
    <row r="182" spans="3:23" ht="15.75" hidden="1">
      <c r="C182" s="641" t="s">
        <v>531</v>
      </c>
      <c r="D182" s="641"/>
      <c r="E182" s="567" t="s">
        <v>532</v>
      </c>
      <c r="F182" s="567"/>
      <c r="G182" s="567"/>
      <c r="H182" s="567"/>
      <c r="I182" s="642"/>
      <c r="J182" s="567"/>
      <c r="K182" s="567"/>
      <c r="L182" s="567"/>
      <c r="M182" s="567"/>
      <c r="N182" s="567"/>
      <c r="O182" s="567"/>
      <c r="P182" s="567"/>
      <c r="Q182" s="567"/>
      <c r="R182" s="643"/>
      <c r="S182" s="567"/>
    </row>
    <row r="183" spans="3:23" hidden="1">
      <c r="C183" s="567" t="s">
        <v>533</v>
      </c>
      <c r="D183" s="567"/>
      <c r="E183" s="567"/>
      <c r="F183" s="567"/>
      <c r="G183" s="567"/>
      <c r="H183" s="567"/>
      <c r="I183" s="642"/>
      <c r="J183" s="567"/>
      <c r="K183" s="567"/>
      <c r="L183" s="567"/>
      <c r="M183" s="567"/>
      <c r="N183" s="567"/>
      <c r="O183" s="567"/>
      <c r="P183" s="567"/>
      <c r="Q183" s="567"/>
      <c r="R183" s="644"/>
      <c r="S183" s="567"/>
    </row>
    <row r="184" spans="3:23" hidden="1">
      <c r="C184" s="567"/>
      <c r="D184" s="567"/>
      <c r="E184" s="567"/>
      <c r="F184" s="567"/>
      <c r="G184" s="567"/>
      <c r="H184" s="567"/>
      <c r="I184" s="642"/>
      <c r="J184" s="567"/>
      <c r="K184" s="567"/>
      <c r="L184" s="567"/>
      <c r="M184" s="567"/>
      <c r="N184" s="567"/>
      <c r="O184" s="567"/>
      <c r="P184" s="567"/>
      <c r="Q184" s="567"/>
      <c r="R184" s="567"/>
      <c r="S184" s="567"/>
    </row>
    <row r="185" spans="3:23" hidden="1">
      <c r="C185" s="567"/>
      <c r="D185" s="567"/>
      <c r="E185" s="567"/>
      <c r="F185" s="567"/>
      <c r="G185" s="567"/>
      <c r="H185" s="567"/>
      <c r="I185" s="642"/>
      <c r="J185" s="567" t="s">
        <v>534</v>
      </c>
      <c r="K185" s="567"/>
      <c r="L185" s="567"/>
      <c r="M185" s="567"/>
      <c r="N185" s="567"/>
      <c r="O185" s="567" t="s">
        <v>535</v>
      </c>
      <c r="P185" s="567"/>
      <c r="Q185" s="567"/>
      <c r="R185" s="567"/>
      <c r="S185" s="567"/>
    </row>
    <row r="186" spans="3:23" hidden="1">
      <c r="C186" s="567"/>
      <c r="D186" s="567"/>
      <c r="E186" s="567"/>
      <c r="F186" s="567"/>
      <c r="G186" s="567"/>
      <c r="H186" s="567"/>
      <c r="I186" s="642"/>
      <c r="J186" s="567" t="s">
        <v>536</v>
      </c>
      <c r="K186" s="567" t="s">
        <v>537</v>
      </c>
      <c r="L186" s="567" t="s">
        <v>538</v>
      </c>
      <c r="M186" s="567"/>
      <c r="N186" s="567"/>
      <c r="O186" s="567" t="s">
        <v>536</v>
      </c>
      <c r="P186" s="567" t="s">
        <v>537</v>
      </c>
      <c r="Q186" s="567" t="s">
        <v>538</v>
      </c>
      <c r="R186" s="567"/>
      <c r="S186" s="567"/>
    </row>
    <row r="187" spans="3:23" hidden="1">
      <c r="C187" s="567"/>
      <c r="D187" s="567"/>
      <c r="E187" s="567" t="s">
        <v>539</v>
      </c>
      <c r="F187" s="567" t="s">
        <v>540</v>
      </c>
      <c r="G187" s="567"/>
      <c r="H187" s="567"/>
      <c r="I187" s="642"/>
      <c r="J187" s="567">
        <v>18</v>
      </c>
      <c r="K187" s="567">
        <v>450</v>
      </c>
      <c r="L187" s="567">
        <v>20</v>
      </c>
      <c r="M187" s="567"/>
      <c r="N187" s="567"/>
      <c r="O187" s="567">
        <v>17</v>
      </c>
      <c r="P187" s="567">
        <v>450</v>
      </c>
      <c r="Q187" s="567">
        <v>5</v>
      </c>
      <c r="R187" s="567"/>
      <c r="S187" s="567"/>
    </row>
    <row r="188" spans="3:23" hidden="1">
      <c r="C188" s="567"/>
      <c r="D188" s="567"/>
      <c r="E188" s="567" t="s">
        <v>541</v>
      </c>
      <c r="F188" s="567"/>
      <c r="G188" s="567"/>
      <c r="H188" s="567"/>
      <c r="I188" s="642"/>
      <c r="J188" s="567">
        <v>1.5</v>
      </c>
      <c r="K188" s="567" t="s">
        <v>542</v>
      </c>
      <c r="L188" s="567"/>
      <c r="M188" s="567"/>
      <c r="N188" s="567"/>
      <c r="O188" s="567">
        <v>0.3</v>
      </c>
      <c r="P188" s="567"/>
      <c r="Q188" s="567"/>
      <c r="R188" s="567"/>
      <c r="S188" s="567"/>
    </row>
    <row r="189" spans="3:23" hidden="1">
      <c r="C189" s="567"/>
      <c r="D189" s="567"/>
      <c r="E189" s="567" t="s">
        <v>543</v>
      </c>
      <c r="F189" s="567"/>
      <c r="G189" s="567"/>
      <c r="H189" s="567"/>
      <c r="I189" s="642"/>
      <c r="J189" s="567">
        <v>7.0000000000000007E-2</v>
      </c>
      <c r="K189" s="567"/>
      <c r="L189" s="567"/>
      <c r="M189" s="567"/>
      <c r="N189" s="567"/>
      <c r="O189" s="643">
        <v>0.05</v>
      </c>
      <c r="P189" s="567"/>
      <c r="Q189" s="567"/>
      <c r="R189" s="567"/>
      <c r="S189" s="567"/>
    </row>
    <row r="190" spans="3:23" hidden="1">
      <c r="C190" s="567"/>
      <c r="D190" s="567"/>
      <c r="E190" s="567" t="s">
        <v>544</v>
      </c>
      <c r="F190" s="567"/>
      <c r="G190" s="567"/>
      <c r="H190" s="567"/>
      <c r="I190" s="642"/>
      <c r="J190" s="567">
        <v>3.2</v>
      </c>
      <c r="K190" s="567"/>
      <c r="L190" s="567"/>
      <c r="M190" s="567"/>
      <c r="N190" s="567"/>
      <c r="O190" s="567">
        <v>2.2999999999999998</v>
      </c>
      <c r="P190" s="567"/>
      <c r="Q190" s="567"/>
      <c r="R190" s="567"/>
      <c r="S190" s="567"/>
    </row>
    <row r="191" spans="3:23" hidden="1">
      <c r="C191" s="567"/>
      <c r="D191" s="567"/>
      <c r="E191" s="567" t="s">
        <v>545</v>
      </c>
      <c r="F191" s="567"/>
      <c r="G191" s="567"/>
      <c r="H191" s="567"/>
      <c r="I191" s="642"/>
      <c r="J191" s="567">
        <v>10.6</v>
      </c>
      <c r="K191" s="567">
        <v>200</v>
      </c>
      <c r="L191" s="567"/>
      <c r="M191" s="567"/>
      <c r="N191" s="567"/>
      <c r="O191" s="567">
        <v>7.1</v>
      </c>
      <c r="P191" s="567">
        <v>130</v>
      </c>
      <c r="Q191" s="567"/>
      <c r="R191" s="567"/>
      <c r="S191" s="567"/>
    </row>
    <row r="192" spans="3:23" hidden="1">
      <c r="C192" s="567"/>
      <c r="D192" s="567"/>
      <c r="E192" s="567" t="s">
        <v>546</v>
      </c>
      <c r="F192" s="567"/>
      <c r="G192" s="567"/>
      <c r="H192" s="567"/>
      <c r="I192" s="642"/>
      <c r="J192" s="567"/>
      <c r="K192" s="567">
        <v>250</v>
      </c>
      <c r="L192" s="567">
        <v>20</v>
      </c>
      <c r="M192" s="567"/>
      <c r="N192" s="567"/>
      <c r="O192" s="567"/>
      <c r="P192" s="567">
        <v>320</v>
      </c>
      <c r="Q192" s="567">
        <v>5</v>
      </c>
      <c r="R192" s="567"/>
      <c r="S192" s="567"/>
    </row>
    <row r="193" spans="3:19" hidden="1">
      <c r="C193" s="567"/>
      <c r="D193" s="567"/>
      <c r="E193" s="567" t="s">
        <v>547</v>
      </c>
      <c r="F193" s="567"/>
      <c r="G193" s="567"/>
      <c r="H193" s="567"/>
      <c r="I193" s="642"/>
      <c r="J193" s="567">
        <v>0.2</v>
      </c>
      <c r="K193" s="567"/>
      <c r="L193" s="567"/>
      <c r="M193" s="567"/>
      <c r="N193" s="567"/>
      <c r="O193" s="645">
        <v>0.2</v>
      </c>
      <c r="P193" s="567"/>
      <c r="Q193" s="567"/>
      <c r="R193" s="567"/>
      <c r="S193" s="567"/>
    </row>
    <row r="194" spans="3:19" hidden="1">
      <c r="C194" s="567"/>
      <c r="D194" s="567"/>
      <c r="E194" s="567"/>
      <c r="F194" s="567"/>
      <c r="G194" s="567"/>
      <c r="H194" s="567"/>
      <c r="I194" s="642"/>
      <c r="J194" s="567"/>
      <c r="K194" s="567"/>
      <c r="L194" s="567"/>
      <c r="M194" s="567"/>
      <c r="N194" s="567"/>
      <c r="O194" s="567"/>
      <c r="P194" s="646"/>
      <c r="Q194" s="567"/>
      <c r="R194" s="567"/>
      <c r="S194" s="567"/>
    </row>
    <row r="195" spans="3:19" hidden="1">
      <c r="C195" s="567"/>
      <c r="D195" s="567"/>
      <c r="E195" s="567" t="s">
        <v>548</v>
      </c>
      <c r="F195" s="567"/>
      <c r="G195" s="567"/>
      <c r="H195" s="567"/>
      <c r="I195" s="642"/>
      <c r="J195" s="647">
        <f>+J191-J189-J190-J193</f>
        <v>7.129999999999999</v>
      </c>
      <c r="K195" s="567"/>
      <c r="L195" s="567"/>
      <c r="M195" s="567"/>
      <c r="N195" s="567"/>
      <c r="O195" s="647">
        <f>+O191-O189-O190-O193</f>
        <v>4.55</v>
      </c>
      <c r="P195" s="567"/>
      <c r="Q195" s="567"/>
      <c r="R195" s="567"/>
      <c r="S195" s="567"/>
    </row>
    <row r="196" spans="3:19" hidden="1">
      <c r="C196" s="567"/>
      <c r="D196" s="567"/>
      <c r="E196" s="567" t="s">
        <v>549</v>
      </c>
      <c r="F196" s="567"/>
      <c r="G196" s="567"/>
      <c r="H196" s="567"/>
      <c r="I196" s="642"/>
      <c r="J196" s="567"/>
      <c r="K196" s="567" t="s">
        <v>550</v>
      </c>
      <c r="L196" s="648">
        <v>1</v>
      </c>
      <c r="M196" s="648"/>
      <c r="N196" s="567"/>
      <c r="O196" s="567"/>
      <c r="P196" s="648">
        <v>0.7</v>
      </c>
      <c r="Q196" s="567"/>
      <c r="R196" s="567"/>
      <c r="S196" s="567"/>
    </row>
    <row r="197" spans="3:19" hidden="1">
      <c r="C197" s="567"/>
      <c r="D197" s="567"/>
      <c r="E197" s="567" t="s">
        <v>551</v>
      </c>
      <c r="F197" s="567"/>
      <c r="G197" s="567"/>
      <c r="H197" s="567"/>
      <c r="I197" s="642"/>
      <c r="J197" s="567"/>
      <c r="K197" s="567"/>
      <c r="L197" s="567" t="s">
        <v>552</v>
      </c>
      <c r="M197" s="567"/>
      <c r="N197" s="567"/>
      <c r="O197" s="567"/>
      <c r="P197" s="567"/>
      <c r="Q197" s="567"/>
      <c r="R197" s="567"/>
      <c r="S197" s="567"/>
    </row>
    <row r="198" spans="3:19" hidden="1">
      <c r="C198" s="567"/>
      <c r="D198" s="567"/>
      <c r="E198" s="567"/>
      <c r="F198" s="567"/>
      <c r="G198" s="567"/>
      <c r="H198" s="567"/>
      <c r="I198" s="642"/>
      <c r="J198" s="567"/>
      <c r="K198" s="567"/>
      <c r="L198" s="567"/>
      <c r="M198" s="567"/>
      <c r="N198" s="567"/>
      <c r="O198" s="643"/>
      <c r="P198" s="567"/>
      <c r="Q198" s="567"/>
      <c r="R198" s="567"/>
      <c r="S198" s="567"/>
    </row>
    <row r="199" spans="3:19" hidden="1">
      <c r="C199" s="567"/>
      <c r="D199" s="567"/>
      <c r="E199" s="567" t="s">
        <v>553</v>
      </c>
      <c r="F199" s="567"/>
      <c r="G199" s="567"/>
      <c r="H199" s="567"/>
      <c r="I199" s="642"/>
      <c r="J199" s="567"/>
      <c r="K199" s="567"/>
      <c r="L199" s="567"/>
      <c r="M199" s="567"/>
      <c r="N199" s="567"/>
      <c r="O199" s="567"/>
      <c r="P199" s="567"/>
      <c r="Q199" s="567"/>
      <c r="R199" s="567"/>
      <c r="S199" s="567"/>
    </row>
    <row r="200" spans="3:19" hidden="1">
      <c r="C200" s="567"/>
      <c r="D200" s="567"/>
      <c r="E200" s="567" t="s">
        <v>554</v>
      </c>
      <c r="F200" s="567"/>
      <c r="G200" s="567"/>
      <c r="H200" s="567"/>
      <c r="I200" s="642"/>
      <c r="J200" s="567"/>
      <c r="K200" s="567"/>
      <c r="L200" s="567"/>
      <c r="M200" s="567"/>
      <c r="N200" s="567"/>
      <c r="O200" s="567"/>
      <c r="P200" s="567"/>
      <c r="Q200" s="567"/>
      <c r="R200" s="567"/>
      <c r="S200" s="567"/>
    </row>
    <row r="201" spans="3:19" hidden="1">
      <c r="C201" s="567"/>
      <c r="D201" s="567"/>
      <c r="E201" s="567" t="s">
        <v>555</v>
      </c>
      <c r="F201" s="567"/>
      <c r="G201" s="567"/>
      <c r="H201" s="567" t="s">
        <v>556</v>
      </c>
      <c r="I201" s="642"/>
      <c r="J201" s="567"/>
      <c r="K201" s="567"/>
      <c r="L201" s="567"/>
      <c r="M201" s="567"/>
      <c r="N201" s="567"/>
      <c r="O201" s="567"/>
      <c r="P201" s="567"/>
      <c r="Q201" s="567"/>
      <c r="R201" s="567"/>
      <c r="S201" s="567"/>
    </row>
    <row r="202" spans="3:19" hidden="1">
      <c r="C202" s="567"/>
      <c r="D202" s="567"/>
      <c r="E202" s="567" t="s">
        <v>557</v>
      </c>
      <c r="F202" s="567"/>
      <c r="G202" s="567"/>
      <c r="H202" s="567"/>
      <c r="I202" s="642"/>
      <c r="J202" s="567"/>
      <c r="K202" s="567"/>
      <c r="L202" s="567"/>
      <c r="M202" s="567"/>
      <c r="N202" s="567"/>
      <c r="O202" s="644"/>
      <c r="P202" s="567"/>
      <c r="Q202" s="567"/>
      <c r="R202" s="567"/>
      <c r="S202" s="567"/>
    </row>
    <row r="203" spans="3:19" hidden="1">
      <c r="C203" s="567"/>
      <c r="D203" s="567"/>
      <c r="E203" s="567" t="s">
        <v>558</v>
      </c>
      <c r="F203" s="567"/>
      <c r="G203" s="567"/>
      <c r="H203" s="567"/>
      <c r="I203" s="642"/>
      <c r="J203" s="567"/>
      <c r="K203" s="567"/>
      <c r="L203" s="567"/>
      <c r="M203" s="567"/>
      <c r="N203" s="567"/>
      <c r="O203" s="567"/>
      <c r="P203" s="567"/>
      <c r="Q203" s="567"/>
      <c r="R203" s="567"/>
      <c r="S203" s="567"/>
    </row>
    <row r="204" spans="3:19" hidden="1">
      <c r="G204" s="104"/>
      <c r="K204" s="101"/>
    </row>
    <row r="205" spans="3:19" hidden="1">
      <c r="G205" s="104"/>
      <c r="K205" s="101"/>
    </row>
    <row r="206" spans="3:19" hidden="1">
      <c r="G206" s="104"/>
      <c r="K206" s="101"/>
    </row>
  </sheetData>
  <sheetProtection sheet="1" objects="1" scenarios="1"/>
  <protectedRanges>
    <protectedRange sqref="Q50:R50" name="Område2"/>
    <protectedRange sqref="Q53:R57" name="Område1"/>
  </protectedRanges>
  <mergeCells count="1">
    <mergeCell ref="P94:Q94"/>
  </mergeCells>
  <pageMargins left="0.7" right="0.7" top="0.75" bottom="0.75" header="0.3" footer="0.3"/>
  <pageSetup paperSize="9" orientation="portrait"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0">
    <tabColor theme="3" tint="0.59999389629810485"/>
  </sheetPr>
  <dimension ref="A1:AJ173"/>
  <sheetViews>
    <sheetView zoomScale="110" zoomScaleNormal="110" workbookViewId="0">
      <selection activeCell="B5" sqref="B5"/>
    </sheetView>
  </sheetViews>
  <sheetFormatPr defaultRowHeight="12.75"/>
  <cols>
    <col min="1" max="1" width="25" customWidth="1"/>
    <col min="2" max="2" width="10.5703125" customWidth="1"/>
    <col min="3" max="3" width="11.42578125" customWidth="1"/>
    <col min="5" max="6" width="11.85546875" customWidth="1"/>
    <col min="7" max="7" width="12.85546875" customWidth="1"/>
    <col min="8" max="8" width="10.5703125" customWidth="1"/>
    <col min="9" max="9" width="14" customWidth="1"/>
    <col min="10" max="10" width="11.28515625" customWidth="1"/>
    <col min="11" max="12" width="12.5703125" customWidth="1"/>
    <col min="13" max="13" width="17.5703125" customWidth="1"/>
    <col min="14" max="14" width="14" customWidth="1"/>
    <col min="15" max="15" width="14.5703125" customWidth="1"/>
    <col min="16" max="16" width="10.85546875" customWidth="1"/>
    <col min="17" max="17" width="10.140625" customWidth="1"/>
    <col min="18" max="18" width="18.42578125" customWidth="1"/>
    <col min="19" max="19" width="11.85546875" customWidth="1"/>
    <col min="20" max="20" width="19.140625" customWidth="1"/>
    <col min="21" max="21" width="11.5703125" customWidth="1"/>
    <col min="22" max="22" width="11.42578125" customWidth="1"/>
    <col min="23" max="24" width="10.5703125" customWidth="1"/>
    <col min="25" max="25" width="10.85546875" customWidth="1"/>
    <col min="26" max="26" width="10" customWidth="1"/>
    <col min="27" max="27" width="11" customWidth="1"/>
  </cols>
  <sheetData>
    <row r="1" spans="1:36" ht="33" customHeight="1">
      <c r="A1" s="1" t="s">
        <v>188</v>
      </c>
      <c r="B1" s="2"/>
      <c r="C1" s="2"/>
      <c r="F1" s="2"/>
      <c r="G1" s="2"/>
      <c r="H1" s="2"/>
      <c r="I1" s="2"/>
      <c r="J1" s="2"/>
      <c r="K1" s="2"/>
      <c r="L1" s="2"/>
      <c r="M1" s="3" t="s">
        <v>115</v>
      </c>
      <c r="N1" s="4" t="s">
        <v>116</v>
      </c>
      <c r="O1" s="2"/>
      <c r="P1" s="2"/>
      <c r="Q1" s="263"/>
      <c r="S1" s="486"/>
      <c r="T1" s="486"/>
      <c r="U1" s="486"/>
      <c r="V1" s="486"/>
      <c r="W1" s="486"/>
      <c r="X1" s="486"/>
      <c r="Y1" s="486"/>
      <c r="Z1" s="486"/>
      <c r="AA1" s="486"/>
      <c r="AB1" s="486"/>
      <c r="AC1" s="486"/>
      <c r="AD1" s="486"/>
      <c r="AE1" s="486"/>
      <c r="AF1" s="486"/>
      <c r="AG1" s="486"/>
      <c r="AH1" s="486"/>
      <c r="AI1" s="486"/>
      <c r="AJ1" s="486"/>
    </row>
    <row r="2" spans="1:36" ht="15.75">
      <c r="A2" s="486"/>
      <c r="B2" s="486"/>
      <c r="C2" s="486"/>
      <c r="D2" s="486"/>
      <c r="E2" s="486"/>
      <c r="F2" s="486"/>
      <c r="G2" s="486"/>
      <c r="H2" s="486"/>
      <c r="I2" s="486"/>
      <c r="J2" s="486"/>
      <c r="K2" s="486"/>
      <c r="L2" s="486"/>
      <c r="M2" s="486"/>
      <c r="N2" s="518"/>
      <c r="O2" s="1467" t="s">
        <v>101</v>
      </c>
      <c r="P2" s="1468"/>
      <c r="Q2" s="1469" t="s">
        <v>103</v>
      </c>
      <c r="R2" s="354"/>
      <c r="S2" s="486"/>
      <c r="T2" s="486"/>
      <c r="U2" s="486"/>
      <c r="V2" s="486"/>
      <c r="W2" s="486"/>
      <c r="X2" s="486"/>
      <c r="Y2" s="486"/>
      <c r="Z2" s="486"/>
      <c r="AA2" s="486"/>
      <c r="AB2" s="486"/>
      <c r="AC2" s="486"/>
      <c r="AD2" s="486"/>
    </row>
    <row r="3" spans="1:36" ht="15.75">
      <c r="A3" s="486"/>
      <c r="B3" s="486"/>
      <c r="C3" s="486"/>
      <c r="D3" s="486"/>
      <c r="E3" s="486"/>
      <c r="F3" s="486"/>
      <c r="G3" s="486"/>
      <c r="H3" s="486"/>
      <c r="I3" s="486"/>
      <c r="J3" s="486"/>
      <c r="K3" s="486"/>
      <c r="L3" s="486"/>
      <c r="M3" s="486"/>
      <c r="N3" s="518"/>
      <c r="O3" s="355"/>
      <c r="P3" s="350" t="s">
        <v>102</v>
      </c>
      <c r="Q3" s="2968">
        <v>9.14</v>
      </c>
      <c r="R3" s="2982" t="s">
        <v>1873</v>
      </c>
      <c r="S3" s="486"/>
      <c r="T3" s="486"/>
      <c r="U3" s="486"/>
      <c r="V3" s="486"/>
      <c r="W3" s="486"/>
      <c r="X3" s="486"/>
      <c r="Y3" s="486"/>
      <c r="Z3" s="486"/>
      <c r="AA3" s="486"/>
      <c r="AB3" s="486"/>
      <c r="AC3" s="486"/>
      <c r="AD3" s="486"/>
    </row>
    <row r="4" spans="1:36" ht="15.75">
      <c r="A4" s="1520" t="s">
        <v>1875</v>
      </c>
      <c r="B4" s="1521"/>
      <c r="C4" s="1521"/>
      <c r="D4" s="1521"/>
      <c r="E4" s="1521"/>
      <c r="F4" s="1521"/>
      <c r="G4" s="1521"/>
      <c r="H4" s="1521"/>
      <c r="I4" s="1521"/>
      <c r="J4" s="1521"/>
      <c r="K4" s="1521"/>
      <c r="L4" s="1521"/>
      <c r="M4" s="1522"/>
      <c r="N4" s="518"/>
      <c r="O4" s="355"/>
      <c r="P4" s="350" t="s">
        <v>407</v>
      </c>
      <c r="Q4" s="2968">
        <v>19.04</v>
      </c>
      <c r="R4" s="356"/>
      <c r="S4" s="486"/>
      <c r="T4" s="486"/>
      <c r="U4" s="486"/>
      <c r="V4" s="486"/>
      <c r="W4" s="486"/>
      <c r="X4" s="486"/>
      <c r="Y4" s="486"/>
      <c r="Z4" s="486"/>
      <c r="AA4" s="486"/>
      <c r="AB4" s="486"/>
      <c r="AC4" s="486"/>
      <c r="AD4" s="486"/>
    </row>
    <row r="5" spans="1:36" ht="15.75">
      <c r="A5" s="2995" t="s">
        <v>1877</v>
      </c>
      <c r="B5" s="871"/>
      <c r="C5" s="871"/>
      <c r="D5" s="871"/>
      <c r="E5" s="871"/>
      <c r="F5" s="871"/>
      <c r="G5" s="871"/>
      <c r="H5" s="871"/>
      <c r="I5" s="871"/>
      <c r="J5" s="871"/>
      <c r="K5" s="871"/>
      <c r="L5" s="871"/>
      <c r="M5" s="1523"/>
      <c r="N5" s="2"/>
      <c r="O5" s="355"/>
      <c r="P5" s="350" t="s">
        <v>409</v>
      </c>
      <c r="Q5" s="2968">
        <v>7.53</v>
      </c>
      <c r="R5" s="356"/>
      <c r="S5" s="486"/>
      <c r="T5" s="486"/>
      <c r="U5" s="486"/>
      <c r="V5" s="486"/>
      <c r="W5" s="486"/>
      <c r="X5" s="486"/>
      <c r="Y5" s="486"/>
      <c r="Z5" s="486"/>
      <c r="AA5" s="486"/>
      <c r="AB5" s="486"/>
      <c r="AC5" s="486"/>
      <c r="AD5" s="486"/>
    </row>
    <row r="6" spans="1:36" ht="15.75">
      <c r="A6" s="2996" t="s">
        <v>1878</v>
      </c>
      <c r="B6" s="1524"/>
      <c r="C6" s="1524"/>
      <c r="D6" s="1524"/>
      <c r="E6" s="1524"/>
      <c r="F6" s="1524"/>
      <c r="G6" s="1524"/>
      <c r="H6" s="1524"/>
      <c r="I6" s="1524"/>
      <c r="J6" s="1524"/>
      <c r="K6" s="1524"/>
      <c r="L6" s="1524"/>
      <c r="M6" s="1525"/>
      <c r="O6" s="355"/>
      <c r="P6" s="350" t="s">
        <v>412</v>
      </c>
      <c r="Q6" s="2967">
        <v>1.5</v>
      </c>
      <c r="R6" s="356"/>
      <c r="S6" s="486"/>
      <c r="T6" s="486"/>
      <c r="U6" s="486"/>
      <c r="V6" s="486"/>
      <c r="W6" s="486"/>
      <c r="X6" s="486"/>
      <c r="Y6" s="486"/>
      <c r="Z6" s="486"/>
      <c r="AA6" s="486"/>
      <c r="AB6" s="486"/>
      <c r="AC6" s="486"/>
      <c r="AD6" s="486"/>
    </row>
    <row r="7" spans="1:36" ht="15">
      <c r="A7" s="417" t="s">
        <v>1831</v>
      </c>
      <c r="D7" s="2"/>
      <c r="E7" s="2"/>
      <c r="F7" s="2"/>
      <c r="G7" s="2"/>
      <c r="H7" s="2"/>
      <c r="I7" s="2"/>
      <c r="J7" s="2"/>
      <c r="K7" s="2"/>
      <c r="L7" s="2"/>
      <c r="M7" s="2"/>
      <c r="N7" s="2"/>
      <c r="O7" s="358"/>
      <c r="P7" s="359"/>
      <c r="Q7" s="359"/>
      <c r="R7" s="360"/>
      <c r="S7" s="486"/>
      <c r="T7" s="486"/>
      <c r="U7" s="486"/>
      <c r="V7" s="486"/>
      <c r="W7" s="486"/>
      <c r="X7" s="486"/>
      <c r="Y7" s="486"/>
      <c r="Z7" s="486"/>
      <c r="AA7" s="486"/>
      <c r="AB7" s="486"/>
      <c r="AC7" s="486"/>
      <c r="AD7" s="486"/>
    </row>
    <row r="8" spans="1:36">
      <c r="A8" s="726"/>
      <c r="B8" s="1714" t="s">
        <v>139</v>
      </c>
      <c r="C8" s="727"/>
      <c r="D8" s="726" t="s">
        <v>743</v>
      </c>
      <c r="E8" s="726" t="s">
        <v>176</v>
      </c>
      <c r="F8" s="1620" t="s">
        <v>189</v>
      </c>
      <c r="G8" s="1621"/>
      <c r="H8" s="726" t="s">
        <v>190</v>
      </c>
      <c r="I8" s="726" t="s">
        <v>1002</v>
      </c>
      <c r="J8" s="1459" t="s">
        <v>193</v>
      </c>
      <c r="K8" s="726" t="s">
        <v>192</v>
      </c>
      <c r="L8" s="1703" t="s">
        <v>1008</v>
      </c>
      <c r="M8" s="726"/>
      <c r="N8" s="726" t="s">
        <v>830</v>
      </c>
      <c r="O8" s="486"/>
      <c r="P8" s="486"/>
      <c r="Q8" s="486"/>
      <c r="R8" s="486"/>
      <c r="S8" s="486"/>
      <c r="T8" s="486"/>
      <c r="U8" s="486"/>
      <c r="V8" s="486"/>
      <c r="W8" s="486"/>
      <c r="X8" s="486"/>
      <c r="Y8" s="486"/>
      <c r="Z8" s="486"/>
      <c r="AA8" s="486"/>
      <c r="AB8" s="486"/>
      <c r="AC8" s="486"/>
      <c r="AD8" s="486"/>
    </row>
    <row r="9" spans="1:36">
      <c r="A9" s="728" t="s">
        <v>75</v>
      </c>
      <c r="B9" s="1715" t="s">
        <v>951</v>
      </c>
      <c r="C9" s="1642" t="s">
        <v>952</v>
      </c>
      <c r="D9" s="728"/>
      <c r="E9" s="728" t="s">
        <v>143</v>
      </c>
      <c r="F9" s="725" t="s">
        <v>143</v>
      </c>
      <c r="G9" s="729" t="s">
        <v>74</v>
      </c>
      <c r="H9" s="728"/>
      <c r="I9" s="728" t="s">
        <v>1003</v>
      </c>
      <c r="J9" s="1460"/>
      <c r="K9" s="728" t="s">
        <v>103</v>
      </c>
      <c r="L9" s="1704" t="s">
        <v>745</v>
      </c>
      <c r="M9" s="728" t="s">
        <v>138</v>
      </c>
      <c r="N9" s="728" t="s">
        <v>1318</v>
      </c>
      <c r="O9" s="775"/>
      <c r="P9" s="775"/>
      <c r="Q9" s="775"/>
      <c r="R9" s="775"/>
      <c r="S9" s="775"/>
      <c r="T9" s="775"/>
      <c r="U9" s="775"/>
      <c r="V9" s="775"/>
      <c r="W9" s="775"/>
      <c r="X9" s="775"/>
      <c r="Y9" s="775"/>
      <c r="Z9" s="775"/>
      <c r="AA9" s="775"/>
      <c r="AB9" s="775"/>
      <c r="AC9" s="677"/>
    </row>
    <row r="10" spans="1:36" ht="15.75">
      <c r="A10" s="1639" t="s">
        <v>195</v>
      </c>
      <c r="B10" s="695">
        <v>7500</v>
      </c>
      <c r="C10" s="1644">
        <f t="shared" ref="C10:C18" si="0">VLOOKUP(A10,B$109:C$173,2,FALSE)</f>
        <v>8000</v>
      </c>
      <c r="D10" s="1643">
        <v>1.47</v>
      </c>
      <c r="E10" s="1974">
        <f>TB_spannmål!K63</f>
        <v>840</v>
      </c>
      <c r="F10" s="1975">
        <f>SUM(TB_spannmål!K64:K67)</f>
        <v>2154.42</v>
      </c>
      <c r="G10" s="1976">
        <f>IF(Grunddata!E$22="Götalands södra slättbygder",'NPK-rekommendationer'!M6,'NPK-rekommendationer'!M18)</f>
        <v>185</v>
      </c>
      <c r="H10" s="1977">
        <f>SUM(TB_spannmål!K68:K75)</f>
        <v>766</v>
      </c>
      <c r="I10" s="1976">
        <f>SUM(TB_spannmål!K$77:K$83)</f>
        <v>1807</v>
      </c>
      <c r="J10" s="2983">
        <v>12000</v>
      </c>
      <c r="K10" s="1979">
        <f t="shared" ref="K10:K18" si="1">+J10/C10</f>
        <v>1.5</v>
      </c>
      <c r="L10" s="2002">
        <f>(TB_spannmål!K64+TB_spannmål!K65+TB_spannmål!K66+TB_spannmål!K67+TB_spannmål!K78+TB_spannmål!K79+TB_spannmål!K81)/C10*1000</f>
        <v>438.55250000000001</v>
      </c>
      <c r="M10" s="893" t="str">
        <f t="shared" ref="M10:M18" si="2">A10</f>
        <v>Höstvete bröd</v>
      </c>
      <c r="N10" s="2278">
        <v>1</v>
      </c>
      <c r="O10" s="526"/>
      <c r="P10" s="777" t="s">
        <v>887</v>
      </c>
      <c r="Q10" s="526"/>
      <c r="R10" s="526"/>
      <c r="S10" s="526"/>
      <c r="T10" s="526" t="s">
        <v>904</v>
      </c>
      <c r="U10" s="526"/>
      <c r="V10" s="2177">
        <v>0.5</v>
      </c>
      <c r="W10" s="526" t="s">
        <v>103</v>
      </c>
      <c r="X10" s="2124" t="s">
        <v>1291</v>
      </c>
      <c r="Y10" s="526"/>
      <c r="Z10" s="526"/>
      <c r="AA10" s="526"/>
      <c r="AB10" s="526"/>
      <c r="AC10" s="678"/>
    </row>
    <row r="11" spans="1:36">
      <c r="A11" s="311" t="s">
        <v>196</v>
      </c>
      <c r="B11" s="1340">
        <v>8500</v>
      </c>
      <c r="C11" s="1644">
        <f t="shared" si="0"/>
        <v>8500</v>
      </c>
      <c r="D11" s="1691">
        <v>1.4</v>
      </c>
      <c r="E11" s="1976">
        <f>TB_spannmål!P63</f>
        <v>630</v>
      </c>
      <c r="F11" s="1980">
        <f>SUM(TB_spannmål!P64:P67)</f>
        <v>2201.8049999999998</v>
      </c>
      <c r="G11" s="1976">
        <f>IF(Grunddata!E$22="Götalands södra slättbygder",'NPK-rekommendationer'!M7,'NPK-rekommendationer'!M19)</f>
        <v>185</v>
      </c>
      <c r="H11" s="1981">
        <f>SUM(TB_spannmål!P68:P75)</f>
        <v>766</v>
      </c>
      <c r="I11" s="1976">
        <f>SUM(TB_spannmål!P$77:P$83)</f>
        <v>2144</v>
      </c>
      <c r="J11" s="2983">
        <f t="shared" ref="J11:J17" si="3">ROUND(SUM(E11:F11)+SUM(H11:I11),-2)</f>
        <v>5700</v>
      </c>
      <c r="K11" s="1982">
        <f t="shared" si="1"/>
        <v>0.6705882352941176</v>
      </c>
      <c r="L11" s="2002">
        <f>(TB_spannmål!P64+TB_spannmål!P65+TB_spannmål!P66+TB_spannmål!P67+TB_spannmål!P78+TB_spannmål!P79+TB_spannmål!P81)/C11*1000</f>
        <v>424.44764705882346</v>
      </c>
      <c r="M11" s="893" t="str">
        <f t="shared" si="2"/>
        <v>Höstvete, foder</v>
      </c>
      <c r="N11" s="2278">
        <v>1</v>
      </c>
      <c r="O11" s="526"/>
      <c r="P11" s="526" t="s">
        <v>763</v>
      </c>
      <c r="Q11" s="526"/>
      <c r="R11" s="526"/>
      <c r="S11" s="526"/>
      <c r="T11" s="526"/>
      <c r="U11" s="526"/>
      <c r="V11" s="526"/>
      <c r="W11" s="526"/>
      <c r="X11" s="526"/>
      <c r="Y11" s="526"/>
      <c r="Z11" s="526"/>
      <c r="AA11" s="526"/>
      <c r="AB11" s="526"/>
      <c r="AC11" s="678"/>
    </row>
    <row r="12" spans="1:36">
      <c r="A12" s="312" t="s">
        <v>479</v>
      </c>
      <c r="B12" s="2043">
        <v>6000</v>
      </c>
      <c r="C12" s="1644">
        <f t="shared" si="0"/>
        <v>6000</v>
      </c>
      <c r="D12" s="1692">
        <v>1.1299999999999999</v>
      </c>
      <c r="E12" s="1976">
        <f>TB_spannmål!U63</f>
        <v>1512.5</v>
      </c>
      <c r="F12" s="1980">
        <f>SUM(TB_spannmål!U64:U67)</f>
        <v>1219.3800000000001</v>
      </c>
      <c r="G12" s="1976">
        <f>IF(Grunddata!E$22="Götalands södra slättbygder",'NPK-rekommendationer'!M8,'NPK-rekommendationer'!M20)</f>
        <v>115</v>
      </c>
      <c r="H12" s="1981">
        <f>SUM(TB_spannmål!U68:U75)</f>
        <v>576</v>
      </c>
      <c r="I12" s="1976">
        <f>SUM(TB_spannmål!U$77:U$83)</f>
        <v>1893</v>
      </c>
      <c r="J12" s="2983">
        <f t="shared" si="3"/>
        <v>5200</v>
      </c>
      <c r="K12" s="1980">
        <f t="shared" si="1"/>
        <v>0.8666666666666667</v>
      </c>
      <c r="L12" s="2002">
        <f>(TB_spannmål!U64+TB_spannmål!U65+TB_spannmål!U66+TB_spannmål!U67+TB_spannmål!U78+TB_spannmål!U79+TB_spannmål!U81)/C12*1000</f>
        <v>394.23</v>
      </c>
      <c r="M12" s="893" t="str">
        <f t="shared" si="2"/>
        <v>Råg, hybrid</v>
      </c>
      <c r="N12" s="2278">
        <v>1</v>
      </c>
      <c r="O12" s="526"/>
      <c r="P12" s="526"/>
      <c r="Q12" s="526"/>
      <c r="R12" s="526"/>
      <c r="S12" s="526"/>
      <c r="T12" s="526"/>
      <c r="U12" s="526"/>
      <c r="V12" s="526"/>
      <c r="W12" s="526"/>
      <c r="X12" s="526"/>
      <c r="Y12" s="526"/>
      <c r="Z12" s="526"/>
      <c r="AA12" s="526"/>
      <c r="AB12" s="526"/>
      <c r="AC12" s="678"/>
    </row>
    <row r="13" spans="1:36">
      <c r="A13" s="312" t="s">
        <v>480</v>
      </c>
      <c r="B13" s="1340">
        <v>6000</v>
      </c>
      <c r="C13" s="1644">
        <f t="shared" si="0"/>
        <v>6000</v>
      </c>
      <c r="D13" s="1691">
        <v>1.25</v>
      </c>
      <c r="E13" s="1983">
        <f>TB_spannmål!Z63</f>
        <v>744</v>
      </c>
      <c r="F13" s="1980">
        <f>SUM(TB_spannmål!Z64:Z67)</f>
        <v>1358.73</v>
      </c>
      <c r="G13" s="1976">
        <f>IF(Grunddata!E$22="Götalands södra slättbygder",'NPK-rekommendationer'!M9,'NPK-rekommendationer'!M21)</f>
        <v>130</v>
      </c>
      <c r="H13" s="1981">
        <f>SUM(TB_spannmål!Z68:Z75)</f>
        <v>746</v>
      </c>
      <c r="I13" s="1976">
        <f>SUM(TB_spannmål!Z$77:Z$83)</f>
        <v>1738</v>
      </c>
      <c r="J13" s="2983">
        <f t="shared" si="3"/>
        <v>4600</v>
      </c>
      <c r="K13" s="1982">
        <f t="shared" si="1"/>
        <v>0.76666666666666672</v>
      </c>
      <c r="L13" s="2002">
        <f>(TB_spannmål!Z64+TB_spannmål!Z65+TB_spannmål!Z66+TB_spannmål!Z67+TB_spannmål!Z78+TB_spannmål!Z79+TB_spannmål!Z81)/C13*1000</f>
        <v>399.95499999999998</v>
      </c>
      <c r="M13" s="893" t="str">
        <f t="shared" si="2"/>
        <v>Rågvete</v>
      </c>
      <c r="N13" s="2278">
        <v>1</v>
      </c>
      <c r="O13" s="526"/>
      <c r="P13" s="526"/>
      <c r="Q13" s="720" t="s">
        <v>336</v>
      </c>
      <c r="R13" s="702"/>
      <c r="S13" s="720" t="s">
        <v>760</v>
      </c>
      <c r="T13" s="702"/>
      <c r="U13" s="720" t="s">
        <v>764</v>
      </c>
      <c r="V13" s="702"/>
      <c r="W13" s="720" t="s">
        <v>765</v>
      </c>
      <c r="X13" s="702"/>
      <c r="Y13" s="720" t="s">
        <v>766</v>
      </c>
      <c r="Z13" s="702"/>
      <c r="AA13" s="720" t="s">
        <v>980</v>
      </c>
      <c r="AB13" s="702"/>
      <c r="AC13" s="678"/>
    </row>
    <row r="14" spans="1:36">
      <c r="A14" s="312" t="s">
        <v>481</v>
      </c>
      <c r="B14" s="1340">
        <v>6000</v>
      </c>
      <c r="C14" s="1644">
        <f t="shared" si="0"/>
        <v>6000</v>
      </c>
      <c r="D14" s="1691">
        <v>1.1299999999999999</v>
      </c>
      <c r="E14" s="1976">
        <f>TB_spannmål!AE63</f>
        <v>768</v>
      </c>
      <c r="F14" s="1980">
        <f>SUM(TB_spannmål!AE64:AE67)</f>
        <v>1358.73</v>
      </c>
      <c r="G14" s="1976">
        <f>IF(Grunddata!E$22="Götalands södra slättbygder",'NPK-rekommendationer'!M10,'NPK-rekommendationer'!M22)</f>
        <v>130</v>
      </c>
      <c r="H14" s="1981">
        <f>SUM(TB_spannmål!AE68:AE74)</f>
        <v>575</v>
      </c>
      <c r="I14" s="1976">
        <f>SUM(TB_spannmål!AE$77:AE$83)</f>
        <v>1860</v>
      </c>
      <c r="J14" s="2983">
        <f t="shared" si="3"/>
        <v>4600</v>
      </c>
      <c r="K14" s="1982">
        <f t="shared" si="1"/>
        <v>0.76666666666666672</v>
      </c>
      <c r="L14" s="2002">
        <f>(TB_spannmål!AE64+TB_spannmål!AE65+TB_spannmål!AE66+TB_spannmål!AE67+TB_spannmål!AE78+TB_spannmål!AE79+TB_spannmål!AE81)/C14*1000</f>
        <v>417.45500000000004</v>
      </c>
      <c r="M14" s="893" t="str">
        <f t="shared" si="2"/>
        <v>Höstkorn</v>
      </c>
      <c r="N14" s="2278">
        <v>1</v>
      </c>
      <c r="O14" s="526"/>
      <c r="P14" s="526"/>
      <c r="Q14" s="696" t="s">
        <v>120</v>
      </c>
      <c r="R14" s="696" t="s">
        <v>103</v>
      </c>
      <c r="S14" s="696" t="s">
        <v>120</v>
      </c>
      <c r="T14" s="696" t="s">
        <v>103</v>
      </c>
      <c r="U14" s="696" t="s">
        <v>120</v>
      </c>
      <c r="V14" s="696" t="s">
        <v>103</v>
      </c>
      <c r="W14" s="696" t="s">
        <v>120</v>
      </c>
      <c r="X14" s="696" t="s">
        <v>103</v>
      </c>
      <c r="Y14" s="696" t="s">
        <v>120</v>
      </c>
      <c r="Z14" s="696" t="s">
        <v>103</v>
      </c>
      <c r="AA14" s="696" t="s">
        <v>120</v>
      </c>
      <c r="AB14" s="696" t="s">
        <v>103</v>
      </c>
      <c r="AC14" s="678"/>
    </row>
    <row r="15" spans="1:36" ht="15">
      <c r="A15" s="312" t="s">
        <v>482</v>
      </c>
      <c r="B15" s="1340">
        <v>5500</v>
      </c>
      <c r="C15" s="1644">
        <f t="shared" si="0"/>
        <v>5500</v>
      </c>
      <c r="D15" s="1691">
        <v>1.31</v>
      </c>
      <c r="E15" s="1976">
        <f>TB_spannmål!AJ63</f>
        <v>807.5</v>
      </c>
      <c r="F15" s="1980">
        <f>SUM(TB_spannmål!AJ64:AJ67)</f>
        <v>1053.9850000000001</v>
      </c>
      <c r="G15" s="1976">
        <f>IF(Grunddata!E$22="Götalands södra slättbygder",'NPK-rekommendationer'!M11,'NPK-rekommendationer'!M23)</f>
        <v>90</v>
      </c>
      <c r="H15" s="1981">
        <f>SUM(TB_spannmål!AJ68:AJ74)</f>
        <v>296</v>
      </c>
      <c r="I15" s="1976">
        <f>SUM(TB_spannmål!AJ$77:AJ$83)</f>
        <v>1703</v>
      </c>
      <c r="J15" s="2983">
        <f t="shared" si="3"/>
        <v>3900</v>
      </c>
      <c r="K15" s="1982">
        <f t="shared" si="1"/>
        <v>0.70909090909090911</v>
      </c>
      <c r="L15" s="2002">
        <f>(TB_spannmål!AJ64+TB_spannmål!AJ65+TB_spannmål!AJ66+TB_spannmål!AJ67+TB_spannmål!AJ78+TB_spannmål!AJ79+TB_spannmål!AJ81)/C15*1000</f>
        <v>371.45181818181823</v>
      </c>
      <c r="M15" s="893" t="str">
        <f t="shared" si="2"/>
        <v>Vårkorn, foder</v>
      </c>
      <c r="N15" s="2278">
        <v>1</v>
      </c>
      <c r="O15" s="526"/>
      <c r="P15" s="778" t="s">
        <v>102</v>
      </c>
      <c r="Q15" s="696">
        <v>0.7</v>
      </c>
      <c r="R15" s="800">
        <f>Q15*0.01*Q3*0.5</f>
        <v>3.1989999999999998E-2</v>
      </c>
      <c r="S15" s="696">
        <v>1.5</v>
      </c>
      <c r="T15" s="800">
        <f>S15*0.01*Q3*0.5</f>
        <v>6.855E-2</v>
      </c>
      <c r="U15" s="696">
        <v>1.44</v>
      </c>
      <c r="V15" s="800">
        <f>U15*0.01*Q3*0.5</f>
        <v>6.5808000000000005E-2</v>
      </c>
      <c r="W15" s="696">
        <v>1.52</v>
      </c>
      <c r="X15" s="800">
        <f>W15*0.01*Q3*0.5</f>
        <v>6.9463999999999998E-2</v>
      </c>
      <c r="Y15" s="696">
        <v>0.45</v>
      </c>
      <c r="Z15" s="800">
        <f>Y15*0.01*Q3*0.5</f>
        <v>2.0565000000000003E-2</v>
      </c>
      <c r="AA15" s="696">
        <v>1</v>
      </c>
      <c r="AB15" s="800">
        <f>AA15*0.01*Q3*0.5</f>
        <v>4.5700000000000005E-2</v>
      </c>
      <c r="AC15" s="678"/>
    </row>
    <row r="16" spans="1:36" ht="15">
      <c r="A16" s="311" t="s">
        <v>199</v>
      </c>
      <c r="B16" s="1340">
        <v>5500</v>
      </c>
      <c r="C16" s="1644">
        <f t="shared" si="0"/>
        <v>5500</v>
      </c>
      <c r="D16" s="1691">
        <v>1.62</v>
      </c>
      <c r="E16" s="1976">
        <f>TB_spannmål!AO63</f>
        <v>802.4</v>
      </c>
      <c r="F16" s="1980">
        <f>SUM(TB_spannmål!AO64:AO67)</f>
        <v>1100.4349999999999</v>
      </c>
      <c r="G16" s="1976">
        <f>IF(Grunddata!E$22="Götalands södra slättbygder",'NPK-rekommendationer'!M12,'NPK-rekommendationer'!M24)</f>
        <v>95</v>
      </c>
      <c r="H16" s="1981">
        <f>SUM(TB_spannmål!AO68:AO74)</f>
        <v>296</v>
      </c>
      <c r="I16" s="1976">
        <f>SUM(TB_spannmål!AO$77:AO$83)</f>
        <v>1745</v>
      </c>
      <c r="J16" s="2983">
        <v>9500</v>
      </c>
      <c r="K16" s="1982">
        <f t="shared" si="1"/>
        <v>1.7272727272727273</v>
      </c>
      <c r="L16" s="2002">
        <f>(TB_spannmål!AO64+TB_spannmål!AO65+TB_spannmål!AO66+TB_spannmål!AO67+TB_spannmål!AO78+TB_spannmål!AO79+TB_spannmål!AO81)/C16*1000</f>
        <v>379.89727272727271</v>
      </c>
      <c r="M16" s="893" t="str">
        <f t="shared" si="2"/>
        <v>Maltkorn</v>
      </c>
      <c r="N16" s="2278">
        <v>1</v>
      </c>
      <c r="O16" s="526"/>
      <c r="P16" s="778" t="s">
        <v>407</v>
      </c>
      <c r="Q16" s="696">
        <v>0.1</v>
      </c>
      <c r="R16" s="800">
        <f>Q16*0.01*Q4</f>
        <v>1.9039999999999998E-2</v>
      </c>
      <c r="S16" s="696">
        <v>0.2</v>
      </c>
      <c r="T16" s="800">
        <f>S16*0.01*Q4</f>
        <v>3.8079999999999996E-2</v>
      </c>
      <c r="U16" s="696">
        <v>0.26</v>
      </c>
      <c r="V16" s="800">
        <f>U16*0.01*Q4</f>
        <v>4.9504000000000006E-2</v>
      </c>
      <c r="W16" s="696">
        <v>0.16</v>
      </c>
      <c r="X16" s="800">
        <f>W16*0.01*Q4</f>
        <v>3.0464000000000001E-2</v>
      </c>
      <c r="Y16" s="696">
        <v>0.05</v>
      </c>
      <c r="Z16" s="800">
        <f>Y16*0.01*Q4</f>
        <v>9.5199999999999989E-3</v>
      </c>
      <c r="AA16" s="696">
        <v>0.12</v>
      </c>
      <c r="AB16" s="800">
        <f>AA16*0.01*Q4</f>
        <v>2.2847999999999997E-2</v>
      </c>
      <c r="AC16" s="678"/>
    </row>
    <row r="17" spans="1:30" ht="15">
      <c r="A17" s="311" t="s">
        <v>200</v>
      </c>
      <c r="B17" s="1340">
        <v>5000</v>
      </c>
      <c r="C17" s="1644">
        <f t="shared" si="0"/>
        <v>5000</v>
      </c>
      <c r="D17" s="1691">
        <v>1.56</v>
      </c>
      <c r="E17" s="1976">
        <f>TB_spannmål!AT63</f>
        <v>1047.9000000000001</v>
      </c>
      <c r="F17" s="1980">
        <f>SUM(TB_spannmål!AT64:AT67)</f>
        <v>1517.5500000000002</v>
      </c>
      <c r="G17" s="1976">
        <f>IF(Grunddata!E$22="Götalands södra slättbygder",'NPK-rekommendationer'!M13,'NPK-rekommendationer'!M25)</f>
        <v>145</v>
      </c>
      <c r="H17" s="1984">
        <v>550</v>
      </c>
      <c r="I17" s="1976">
        <f>SUM(TB_spannmål!AT$77:AT$83)</f>
        <v>1662</v>
      </c>
      <c r="J17" s="2983">
        <f t="shared" si="3"/>
        <v>4800</v>
      </c>
      <c r="K17" s="1982">
        <f t="shared" si="1"/>
        <v>0.96</v>
      </c>
      <c r="L17" s="2002">
        <f>(TB_spannmål!AT64+TB_spannmål!AT65+TB_spannmål!AT66+TB_spannmål!AT67+TB_spannmål!AT78+TB_spannmål!AT79+TB_spannmål!AT81)/C17*1000</f>
        <v>490.91</v>
      </c>
      <c r="M17" s="893" t="str">
        <f t="shared" si="2"/>
        <v>Vårvete</v>
      </c>
      <c r="N17" s="2278">
        <v>1</v>
      </c>
      <c r="O17" s="526"/>
      <c r="P17" s="778" t="s">
        <v>409</v>
      </c>
      <c r="Q17" s="696">
        <v>1</v>
      </c>
      <c r="R17" s="800">
        <f t="shared" ref="R17:R18" si="4">Q17*0.01*Q5</f>
        <v>7.5300000000000006E-2</v>
      </c>
      <c r="S17" s="696">
        <v>2.5</v>
      </c>
      <c r="T17" s="800">
        <f t="shared" ref="T17:T18" si="5">S17*0.01*Q5</f>
        <v>0.18825000000000003</v>
      </c>
      <c r="U17" s="696">
        <v>1.4</v>
      </c>
      <c r="V17" s="800">
        <f t="shared" ref="V17:V18" si="6">U17*0.01*Q5</f>
        <v>0.10541999999999999</v>
      </c>
      <c r="W17" s="696">
        <v>1</v>
      </c>
      <c r="X17" s="800">
        <f t="shared" ref="X17:X18" si="7">W17*0.01*Q5</f>
        <v>7.5300000000000006E-2</v>
      </c>
      <c r="Y17" s="696">
        <v>0.6</v>
      </c>
      <c r="Z17" s="800">
        <f t="shared" ref="Z17:Z18" si="8">Y17*0.01*Q5</f>
        <v>4.5180000000000005E-2</v>
      </c>
      <c r="AA17" s="696">
        <v>2</v>
      </c>
      <c r="AB17" s="800">
        <f t="shared" ref="AB17:AB18" si="9">AA17*0.01*Q5</f>
        <v>0.15060000000000001</v>
      </c>
      <c r="AC17" s="678"/>
    </row>
    <row r="18" spans="1:30" ht="15">
      <c r="A18" s="1709" t="s">
        <v>169</v>
      </c>
      <c r="B18" s="1019">
        <v>5500</v>
      </c>
      <c r="C18" s="902">
        <f t="shared" si="0"/>
        <v>5500</v>
      </c>
      <c r="D18" s="2181">
        <v>1.6</v>
      </c>
      <c r="E18" s="1985">
        <f>TB_spannmål!AY63</f>
        <v>909.49999999999989</v>
      </c>
      <c r="F18" s="1986">
        <f>SUM(TB_spannmål!AY64:AY67)</f>
        <v>1007.5350000000001</v>
      </c>
      <c r="G18" s="1976">
        <f>IF(Grunddata!E$22="Götalands södra slättbygder",'NPK-rekommendationer'!M14,'NPK-rekommendationer'!M26)</f>
        <v>85</v>
      </c>
      <c r="H18" s="1987">
        <f>SUM(TB_spannmål!AY68:AY74)</f>
        <v>200</v>
      </c>
      <c r="I18" s="1976">
        <f>SUM(TB_spannmål!AY$77:AY$83)</f>
        <v>1714</v>
      </c>
      <c r="J18" s="2984">
        <v>9500</v>
      </c>
      <c r="K18" s="1989">
        <f t="shared" si="1"/>
        <v>1.7272727272727273</v>
      </c>
      <c r="L18" s="2002">
        <f>(TB_spannmål!AY64+TB_spannmål!AY65+TB_spannmål!AY66+TB_spannmål!AY67+TB_spannmål!AY78+TB_spannmål!AY79+TB_spannmål!AY81)/C18*1000</f>
        <v>363.00636363636363</v>
      </c>
      <c r="M18" s="893" t="str">
        <f t="shared" si="2"/>
        <v>Havre</v>
      </c>
      <c r="N18" s="907">
        <v>1</v>
      </c>
      <c r="O18" s="526"/>
      <c r="P18" s="778" t="s">
        <v>412</v>
      </c>
      <c r="Q18" s="696">
        <v>0.15</v>
      </c>
      <c r="R18" s="800">
        <f t="shared" si="4"/>
        <v>2.2500000000000003E-3</v>
      </c>
      <c r="S18" s="696">
        <v>0.12</v>
      </c>
      <c r="T18" s="800">
        <f t="shared" si="5"/>
        <v>1.8E-3</v>
      </c>
      <c r="U18" s="696"/>
      <c r="V18" s="800">
        <f t="shared" si="6"/>
        <v>0</v>
      </c>
      <c r="W18" s="696"/>
      <c r="X18" s="800">
        <f t="shared" si="7"/>
        <v>0</v>
      </c>
      <c r="Y18" s="696">
        <v>0.05</v>
      </c>
      <c r="Z18" s="800">
        <f t="shared" si="8"/>
        <v>7.5000000000000002E-4</v>
      </c>
      <c r="AA18" s="696">
        <v>1.1499999999999999</v>
      </c>
      <c r="AB18" s="800">
        <f t="shared" si="9"/>
        <v>1.7250000000000001E-2</v>
      </c>
      <c r="AC18" s="678"/>
    </row>
    <row r="19" spans="1:30">
      <c r="A19" s="894" t="s">
        <v>1009</v>
      </c>
      <c r="B19" s="1710"/>
      <c r="C19" s="1711"/>
      <c r="D19" s="1712"/>
      <c r="E19" s="1712"/>
      <c r="F19" s="1711"/>
      <c r="G19" s="1711"/>
      <c r="H19" s="1712"/>
      <c r="I19" s="1730"/>
      <c r="J19" s="1731"/>
      <c r="K19" s="1732"/>
      <c r="L19" s="1732"/>
      <c r="M19" s="1973"/>
      <c r="N19" s="2279"/>
      <c r="O19" s="526"/>
      <c r="P19" s="526"/>
      <c r="Q19" s="481"/>
      <c r="R19" s="2178">
        <f>SUM(R15:R18)</f>
        <v>0.12858</v>
      </c>
      <c r="S19" s="1491"/>
      <c r="T19" s="2178">
        <f>SUM(T15:T18)</f>
        <v>0.29668000000000005</v>
      </c>
      <c r="U19" s="1491"/>
      <c r="V19" s="2178">
        <f>SUM(V15:V18)</f>
        <v>0.22073199999999998</v>
      </c>
      <c r="W19" s="1491"/>
      <c r="X19" s="2178">
        <f>SUM(X15:X18)</f>
        <v>0.17522799999999999</v>
      </c>
      <c r="Y19" s="1491"/>
      <c r="Z19" s="2178">
        <f>SUM(Z15:Z18)</f>
        <v>7.6014999999999999E-2</v>
      </c>
      <c r="AA19" s="1491"/>
      <c r="AB19" s="2178">
        <f>SUM(AB15:AB18)</f>
        <v>0.236398</v>
      </c>
      <c r="AC19" s="678"/>
    </row>
    <row r="20" spans="1:30" ht="15.75">
      <c r="A20" s="752" t="s">
        <v>382</v>
      </c>
      <c r="B20" s="2044">
        <v>3500</v>
      </c>
      <c r="C20" s="1705">
        <f>VLOOKUP(A20,B$109:C$173,2,FALSE)</f>
        <v>3500</v>
      </c>
      <c r="D20" s="1344">
        <v>4.0999999999999996</v>
      </c>
      <c r="E20" s="1990">
        <f>'TB_oljeväxter, trindsäd'!K67</f>
        <v>408</v>
      </c>
      <c r="F20" s="1990">
        <f>SUM('TB_oljeväxter, trindsäd'!K68:K71)</f>
        <v>2438.25</v>
      </c>
      <c r="G20" s="1990">
        <f>Kopplingsfil!I17</f>
        <v>218.47502399999996</v>
      </c>
      <c r="H20" s="1990">
        <f>SUM('TB_oljeväxter, trindsäd'!K72:K80)</f>
        <v>1546</v>
      </c>
      <c r="I20" s="1976">
        <f>SUM('TB_oljeväxter, trindsäd'!K81:K87)</f>
        <v>1846</v>
      </c>
      <c r="J20" s="2984">
        <v>11000</v>
      </c>
      <c r="K20" s="1989">
        <f t="shared" ref="K20:K29" si="10">+J20/C20</f>
        <v>3.1428571428571428</v>
      </c>
      <c r="L20" s="1980">
        <f>('TB_oljeväxter, trindsäd'!K68+'TB_oljeväxter, trindsäd'!K69+'TB_oljeväxter, trindsäd'!K70+'TB_oljeväxter, trindsäd'!K71+'TB_oljeväxter, trindsäd'!K82+'TB_oljeväxter, trindsäd'!K83+'TB_oljeväxter, trindsäd'!K85)/C20*1000</f>
        <v>1062.0714285714284</v>
      </c>
      <c r="M20" s="311" t="str">
        <f>A20</f>
        <v xml:space="preserve">Höstraps </v>
      </c>
      <c r="N20" s="2278">
        <v>1</v>
      </c>
      <c r="O20" s="526"/>
      <c r="P20" s="777" t="s">
        <v>1307</v>
      </c>
      <c r="Q20" s="674"/>
      <c r="R20" s="2179">
        <f>V10-R19</f>
        <v>0.37141999999999997</v>
      </c>
      <c r="S20" s="674"/>
      <c r="T20" s="2179">
        <f>V10-T19</f>
        <v>0.20331999999999995</v>
      </c>
      <c r="U20" s="674"/>
      <c r="V20" s="2179">
        <f>V10-V19</f>
        <v>0.27926800000000002</v>
      </c>
      <c r="W20" s="674"/>
      <c r="X20" s="2179">
        <f>V10-X19</f>
        <v>0.32477200000000001</v>
      </c>
      <c r="Y20" s="674"/>
      <c r="Z20" s="2179">
        <f>V10-Z19</f>
        <v>0.423985</v>
      </c>
      <c r="AA20" s="674"/>
      <c r="AB20" s="2179">
        <f>V10-AB19</f>
        <v>0.263602</v>
      </c>
      <c r="AC20" s="678"/>
    </row>
    <row r="21" spans="1:30">
      <c r="A21" s="311" t="s">
        <v>201</v>
      </c>
      <c r="B21" s="1341">
        <v>2000</v>
      </c>
      <c r="C21" s="1644">
        <f>VLOOKUP(A21,B$109:C$173,2,FALSE)</f>
        <v>2000</v>
      </c>
      <c r="D21" s="1344">
        <v>2.81</v>
      </c>
      <c r="E21" s="1990">
        <f>'TB_oljeväxter, trindsäd'!P67</f>
        <v>768</v>
      </c>
      <c r="F21" s="1990">
        <f>SUM('TB_oljeväxter, trindsäd'!P68:P71)</f>
        <v>1301.1000000000001</v>
      </c>
      <c r="G21" s="1990">
        <f>Kopplingsfil!I18</f>
        <v>111.09874600000001</v>
      </c>
      <c r="H21" s="1990">
        <f>SUM('TB_oljeväxter, trindsäd'!P72:P80)</f>
        <v>708</v>
      </c>
      <c r="I21" s="1976">
        <f>SUM('TB_oljeväxter, trindsäd'!P81:P87)</f>
        <v>1041</v>
      </c>
      <c r="J21" s="1978">
        <f t="shared" ref="J21:J33" si="11">ROUND(SUM(E21:F21)+SUM(H21:I21),-2)</f>
        <v>3800</v>
      </c>
      <c r="K21" s="1991">
        <f t="shared" si="10"/>
        <v>1.9</v>
      </c>
      <c r="L21" s="1980">
        <f>('TB_oljeväxter, trindsäd'!P68+'TB_oljeväxter, trindsäd'!P69+'TB_oljeväxter, trindsäd'!P70+'TB_oljeväxter, trindsäd'!P71+'TB_oljeväxter, trindsäd'!P82+'TB_oljeväxter, trindsäd'!P83+'TB_oljeväxter, trindsäd'!P85)/C21*1000</f>
        <v>858.55000000000007</v>
      </c>
      <c r="M21" s="311" t="str">
        <f t="shared" ref="M21:M22" si="12">A21</f>
        <v>Vårraps</v>
      </c>
      <c r="N21" s="2278">
        <v>1</v>
      </c>
      <c r="O21" s="766"/>
      <c r="P21" s="766"/>
      <c r="Q21" s="766"/>
      <c r="R21" s="766"/>
      <c r="S21" s="766"/>
      <c r="T21" s="766"/>
      <c r="U21" s="766"/>
      <c r="V21" s="766"/>
      <c r="W21" s="766"/>
      <c r="X21" s="766"/>
      <c r="Y21" s="766"/>
      <c r="Z21" s="766"/>
      <c r="AA21" s="766"/>
      <c r="AB21" s="766"/>
      <c r="AC21" s="679"/>
    </row>
    <row r="22" spans="1:30">
      <c r="A22" s="1727" t="s">
        <v>1028</v>
      </c>
      <c r="B22" s="2045">
        <v>1500</v>
      </c>
      <c r="C22" s="1644">
        <f>VLOOKUP(A22,B$109:C$173,2,FALSE)</f>
        <v>1500</v>
      </c>
      <c r="D22" s="1344">
        <v>3.98</v>
      </c>
      <c r="E22" s="1990">
        <f>'TB_oljeväxter, trindsäd'!AJ67</f>
        <v>838.75</v>
      </c>
      <c r="F22" s="1990">
        <f>SUM('TB_oljeväxter, trindsäd'!AJ68:AJ71)</f>
        <v>505.15</v>
      </c>
      <c r="G22" s="1992">
        <f>'TB_oljeväxter, trindsäd'!AH68</f>
        <v>50</v>
      </c>
      <c r="H22" s="1990">
        <f>SUM('TB_oljeväxter, trindsäd'!AJ72:AJ80)</f>
        <v>380</v>
      </c>
      <c r="I22" s="1976">
        <f>SUM('TB_oljeväxter, trindsäd'!AJ81:AJ87)</f>
        <v>1362</v>
      </c>
      <c r="J22" s="1978">
        <f t="shared" si="11"/>
        <v>3100</v>
      </c>
      <c r="K22" s="1991">
        <f t="shared" si="10"/>
        <v>2.0666666666666669</v>
      </c>
      <c r="L22" s="1980">
        <f>('TB_oljeväxter, trindsäd'!AJ68+'TB_oljeväxter, trindsäd'!AJ69+'TB_oljeväxter, trindsäd'!AJ70+'TB_oljeväxter, trindsäd'!AJ71+'TB_oljeväxter, trindsäd'!AJ82+'TB_oljeväxter, trindsäd'!AJ83+'TB_oljeväxter, trindsäd'!AJ85)/C22*1000</f>
        <v>788.76666666666677</v>
      </c>
      <c r="M22" s="311" t="str">
        <f t="shared" si="12"/>
        <v>Oljelin</v>
      </c>
      <c r="N22" s="2278">
        <v>1</v>
      </c>
      <c r="O22" s="486"/>
      <c r="P22" s="486"/>
      <c r="Q22" s="486"/>
      <c r="R22" s="486"/>
      <c r="S22" s="486"/>
      <c r="T22" s="486"/>
      <c r="U22" s="486"/>
      <c r="V22" s="486"/>
      <c r="W22" s="486"/>
      <c r="X22" s="486"/>
      <c r="Y22" s="486"/>
      <c r="Z22" s="486"/>
      <c r="AA22" s="486"/>
      <c r="AB22" s="486"/>
      <c r="AC22" s="486"/>
      <c r="AD22" s="486"/>
    </row>
    <row r="23" spans="1:30">
      <c r="A23" s="1708" t="s">
        <v>1010</v>
      </c>
      <c r="B23" s="744"/>
      <c r="C23" s="1134"/>
      <c r="D23" s="1693"/>
      <c r="E23" s="1993"/>
      <c r="F23" s="1993"/>
      <c r="G23" s="1993"/>
      <c r="H23" s="1993"/>
      <c r="I23" s="1993"/>
      <c r="J23" s="1993"/>
      <c r="K23" s="1993"/>
      <c r="L23" s="1993"/>
      <c r="M23" s="1706"/>
      <c r="N23" s="2280"/>
      <c r="O23" s="486"/>
      <c r="P23" s="486"/>
      <c r="Q23" s="486"/>
      <c r="R23" s="486"/>
      <c r="S23" s="486"/>
      <c r="T23" s="486"/>
      <c r="U23" s="486"/>
      <c r="V23" s="486"/>
      <c r="W23" s="486"/>
      <c r="X23" s="486"/>
      <c r="Y23" s="486"/>
      <c r="Z23" s="486"/>
      <c r="AA23" s="486"/>
      <c r="AB23" s="486"/>
      <c r="AC23" s="486"/>
      <c r="AD23" s="486"/>
    </row>
    <row r="24" spans="1:30">
      <c r="A24" s="311" t="s">
        <v>202</v>
      </c>
      <c r="B24" s="1341">
        <v>4000</v>
      </c>
      <c r="C24" s="1644">
        <f>VLOOKUP(A24,B$109:C$173,2,FALSE)</f>
        <v>4000</v>
      </c>
      <c r="D24" s="1344">
        <v>1.83</v>
      </c>
      <c r="E24" s="1976">
        <f>'TB_oljeväxter, trindsäd'!U67</f>
        <v>1233</v>
      </c>
      <c r="F24" s="1976">
        <f>SUM('TB_oljeväxter, trindsäd'!U68:U71)</f>
        <v>239.31</v>
      </c>
      <c r="G24" s="1994">
        <v>0</v>
      </c>
      <c r="H24" s="1976">
        <f>SUM('TB_oljeväxter, trindsäd'!U72:U80)</f>
        <v>911</v>
      </c>
      <c r="I24" s="1976">
        <f>SUM('TB_oljeväxter, trindsäd'!U81:U87)</f>
        <v>1678</v>
      </c>
      <c r="J24" s="1978">
        <f t="shared" si="11"/>
        <v>4100</v>
      </c>
      <c r="K24" s="1991">
        <f t="shared" si="10"/>
        <v>1.0249999999999999</v>
      </c>
      <c r="L24" s="1980">
        <f>('TB_oljeväxter, trindsäd'!U68+'TB_oljeväxter, trindsäd'!U69+'TB_oljeväxter, trindsäd'!U70+'TB_oljeväxter, trindsäd'!U71+'TB_oljeväxter, trindsäd'!U82+'TB_oljeväxter, trindsäd'!U83+'TB_oljeväxter, trindsäd'!U85)/C24*1000</f>
        <v>347.07749999999999</v>
      </c>
      <c r="M24" s="311" t="str">
        <f>A24</f>
        <v>Foderärt</v>
      </c>
      <c r="N24" s="2278">
        <v>1</v>
      </c>
      <c r="O24" s="486"/>
      <c r="P24" s="486"/>
      <c r="Q24" s="486"/>
      <c r="R24" s="486"/>
      <c r="S24" s="486"/>
      <c r="T24" s="486"/>
      <c r="U24" s="486"/>
      <c r="V24" s="486"/>
      <c r="W24" s="486"/>
      <c r="X24" s="486"/>
      <c r="Y24" s="486"/>
      <c r="Z24" s="486"/>
      <c r="AA24" s="486"/>
      <c r="AB24" s="486"/>
      <c r="AC24" s="486"/>
      <c r="AD24" s="486"/>
    </row>
    <row r="25" spans="1:30">
      <c r="A25" s="311" t="s">
        <v>204</v>
      </c>
      <c r="B25" s="1341">
        <v>3600</v>
      </c>
      <c r="C25" s="1644">
        <f>VLOOKUP(A25,B$109:C$173,2,FALSE)</f>
        <v>3600</v>
      </c>
      <c r="D25" s="1344">
        <v>2.31</v>
      </c>
      <c r="E25" s="1976">
        <f>'TB_oljeväxter, trindsäd'!Z67</f>
        <v>0</v>
      </c>
      <c r="F25" s="1976">
        <f>SUM('TB_oljeväxter, trindsäd'!Z67:Z71)</f>
        <v>186.34199999999998</v>
      </c>
      <c r="G25" s="1994">
        <v>0</v>
      </c>
      <c r="H25" s="1976">
        <f>SUM('TB_oljeväxter, trindsäd'!Z72:Z78)</f>
        <v>755</v>
      </c>
      <c r="I25" s="1976">
        <f>SUM('TB_oljeväxter, trindsäd'!Z81:Z87)</f>
        <v>678</v>
      </c>
      <c r="J25" s="1988">
        <f t="shared" si="11"/>
        <v>1600</v>
      </c>
      <c r="K25" s="1989">
        <f t="shared" si="10"/>
        <v>0.44444444444444442</v>
      </c>
      <c r="L25" s="1980">
        <f>('TB_oljeväxter, trindsäd'!Z68+'TB_oljeväxter, trindsäd'!Z69+'TB_oljeväxter, trindsäd'!Z70+'TB_oljeväxter, trindsäd'!Z71+'TB_oljeväxter, trindsäd'!Z82+'TB_oljeväxter, trindsäd'!Z83+'TB_oljeväxter, trindsäd'!Z85)/B25*1000</f>
        <v>51.761666666666663</v>
      </c>
      <c r="M25" s="311" t="str">
        <f t="shared" ref="M25:M26" si="13">A25</f>
        <v>Konservärter</v>
      </c>
      <c r="N25" s="2278">
        <v>1</v>
      </c>
      <c r="O25" s="486"/>
      <c r="P25" s="486"/>
      <c r="Q25" s="486"/>
      <c r="R25" s="486"/>
      <c r="S25" s="486"/>
      <c r="T25" s="486"/>
      <c r="U25" s="486"/>
      <c r="V25" s="486"/>
      <c r="W25" s="486"/>
      <c r="X25" s="486"/>
      <c r="Y25" s="486"/>
      <c r="Z25" s="486"/>
      <c r="AA25" s="486"/>
      <c r="AB25" s="486"/>
      <c r="AC25" s="486"/>
      <c r="AD25" s="486"/>
    </row>
    <row r="26" spans="1:30">
      <c r="A26" s="1727" t="s">
        <v>1029</v>
      </c>
      <c r="B26" s="1341">
        <v>4000</v>
      </c>
      <c r="C26" s="1644">
        <f>VLOOKUP(A26,B$109:C$173,2,FALSE)</f>
        <v>4000</v>
      </c>
      <c r="D26" s="1344">
        <v>1.88</v>
      </c>
      <c r="E26" s="1976">
        <f>'TB_oljeväxter, trindsäd'!AE67</f>
        <v>1480</v>
      </c>
      <c r="F26" s="1976">
        <f>SUM('TB_oljeväxter, trindsäd'!AE68:AE71)</f>
        <v>239.31</v>
      </c>
      <c r="G26" s="1994">
        <v>0</v>
      </c>
      <c r="H26" s="1976">
        <f>SUM('TB_oljeväxter, trindsäd'!AE72:AE80)</f>
        <v>330</v>
      </c>
      <c r="I26" s="1976">
        <f>SUM('TB_oljeväxter, trindsäd'!AE81:AE87)</f>
        <v>1996</v>
      </c>
      <c r="J26" s="1988">
        <f t="shared" si="11"/>
        <v>4000</v>
      </c>
      <c r="K26" s="1989">
        <f t="shared" si="10"/>
        <v>1</v>
      </c>
      <c r="L26" s="1980">
        <f>('TB_oljeväxter, trindsäd'!AE68+'TB_oljeväxter, trindsäd'!AE69+'TB_oljeväxter, trindsäd'!AE70+'TB_oljeväxter, trindsäd'!AE71+'TB_oljeväxter, trindsäd'!AE82+'TB_oljeväxter, trindsäd'!AE83+'TB_oljeväxter, trindsäd'!AE85)/C26*1000</f>
        <v>425.82749999999999</v>
      </c>
      <c r="M26" s="311" t="str">
        <f t="shared" si="13"/>
        <v>Åkerbönor</v>
      </c>
      <c r="N26" s="2278">
        <v>1</v>
      </c>
      <c r="O26" s="486"/>
      <c r="P26" s="486"/>
      <c r="Q26" s="486"/>
      <c r="R26" s="486"/>
      <c r="S26" s="486"/>
      <c r="T26" s="486"/>
      <c r="U26" s="486"/>
      <c r="V26" s="486"/>
      <c r="W26" s="486"/>
      <c r="X26" s="486"/>
      <c r="Y26" s="486"/>
      <c r="Z26" s="486"/>
      <c r="AA26" s="486"/>
      <c r="AB26" s="486"/>
      <c r="AC26" s="486"/>
      <c r="AD26" s="486"/>
    </row>
    <row r="27" spans="1:30">
      <c r="A27" s="1713" t="s">
        <v>1011</v>
      </c>
      <c r="B27" s="747"/>
      <c r="C27" s="1134"/>
      <c r="D27" s="1694"/>
      <c r="E27" s="747"/>
      <c r="F27" s="747"/>
      <c r="G27" s="747"/>
      <c r="H27" s="747"/>
      <c r="I27" s="1134"/>
      <c r="J27" s="2985"/>
      <c r="K27" s="2071"/>
      <c r="L27" s="747"/>
      <c r="M27" s="1707"/>
      <c r="N27" s="2281"/>
      <c r="O27" s="486"/>
      <c r="P27" s="486"/>
      <c r="Q27" s="486"/>
      <c r="R27" s="486"/>
      <c r="S27" s="486"/>
      <c r="T27" s="486"/>
      <c r="U27" s="486"/>
      <c r="V27" s="486"/>
      <c r="W27" s="486"/>
      <c r="X27" s="486"/>
      <c r="Y27" s="486"/>
      <c r="Z27" s="486"/>
      <c r="AA27" s="486"/>
      <c r="AB27" s="486"/>
      <c r="AC27" s="486"/>
      <c r="AD27" s="486"/>
    </row>
    <row r="28" spans="1:30">
      <c r="A28" s="311" t="s">
        <v>171</v>
      </c>
      <c r="B28" s="1341">
        <v>50000</v>
      </c>
      <c r="C28" s="1644">
        <f>VLOOKUP(A28,B$109:C$173,2,FALSE)</f>
        <v>50000</v>
      </c>
      <c r="D28" s="1344">
        <v>0.29799999999999999</v>
      </c>
      <c r="E28" s="2979">
        <f>'TB_sbetor,potatis, grovfoder'!F17</f>
        <v>2520</v>
      </c>
      <c r="F28" s="2979">
        <f>SUM('TB_sbetor,potatis, grovfoder'!F18:F21)</f>
        <v>1230.4000000000001</v>
      </c>
      <c r="G28" s="2966">
        <f>'NPK-rekommendationer'!B58</f>
        <v>85</v>
      </c>
      <c r="H28" s="2980">
        <f>SUM('TB_sbetor,potatis, grovfoder'!F22:F29)</f>
        <v>1658</v>
      </c>
      <c r="I28" s="2979">
        <f>SUM('TB_sbetor,potatis, grovfoder'!F31:F38,'TB_sbetor,potatis, grovfoder'!F40)</f>
        <v>7336</v>
      </c>
      <c r="J28" s="1988">
        <f t="shared" si="11"/>
        <v>12700</v>
      </c>
      <c r="K28" s="1989">
        <f t="shared" si="10"/>
        <v>0.254</v>
      </c>
      <c r="L28" s="2980">
        <f>(F28+I28)/C28*1000</f>
        <v>171.32799999999997</v>
      </c>
      <c r="M28" s="311" t="str">
        <f>A28</f>
        <v>Sockerbetor</v>
      </c>
      <c r="N28" s="2278">
        <v>3</v>
      </c>
      <c r="O28" s="486"/>
      <c r="P28" s="486"/>
      <c r="Q28" s="486"/>
      <c r="R28" s="486"/>
      <c r="S28" s="486"/>
      <c r="T28" s="486"/>
      <c r="U28" s="486"/>
      <c r="V28" s="486"/>
      <c r="W28" s="486"/>
      <c r="X28" s="486"/>
      <c r="Y28" s="486"/>
      <c r="Z28" s="486"/>
      <c r="AA28" s="486"/>
      <c r="AB28" s="486"/>
      <c r="AC28" s="486"/>
      <c r="AD28" s="486"/>
    </row>
    <row r="29" spans="1:30">
      <c r="A29" s="311" t="s">
        <v>1810</v>
      </c>
      <c r="B29" s="1341">
        <v>50000</v>
      </c>
      <c r="C29" s="1644">
        <f>VLOOKUP(A29,B$109:C$173,2,FALSE)</f>
        <v>50000</v>
      </c>
      <c r="D29" s="1344">
        <v>1.68</v>
      </c>
      <c r="E29" s="2979">
        <f>'TB_sbetor,potatis, grovfoder'!K17</f>
        <v>12628</v>
      </c>
      <c r="F29" s="2979">
        <f>SUM('TB_sbetor,potatis, grovfoder'!K18:K21)</f>
        <v>3573.4</v>
      </c>
      <c r="G29" s="2966">
        <f>'NPK-rekommendationer'!I54</f>
        <v>150</v>
      </c>
      <c r="H29" s="2980">
        <f>SUM('TB_sbetor,potatis, grovfoder'!K22:K30)</f>
        <v>4350</v>
      </c>
      <c r="I29" s="2979">
        <f>SUM('TB_sbetor,potatis, grovfoder'!K31:K38,'TB_sbetor,potatis, grovfoder'!K40)</f>
        <v>40707</v>
      </c>
      <c r="J29" s="1988">
        <f t="shared" si="11"/>
        <v>61300</v>
      </c>
      <c r="K29" s="1989">
        <f t="shared" si="10"/>
        <v>1.226</v>
      </c>
      <c r="L29" s="2979">
        <f>(F29+I29)/C29*1000</f>
        <v>885.60800000000006</v>
      </c>
      <c r="M29" s="311" t="str">
        <f>A29</f>
        <v>Matpotatis (parti)*</v>
      </c>
      <c r="N29" s="2278">
        <v>3</v>
      </c>
      <c r="O29" s="486"/>
      <c r="P29" s="486"/>
      <c r="Q29" s="486"/>
      <c r="R29" s="486"/>
      <c r="S29" s="486"/>
      <c r="T29" s="486"/>
      <c r="U29" s="486"/>
      <c r="V29" s="486"/>
      <c r="W29" s="486"/>
      <c r="X29" s="486"/>
      <c r="Y29" s="486"/>
      <c r="Z29" s="486"/>
      <c r="AA29" s="486"/>
      <c r="AB29" s="486"/>
      <c r="AC29" s="486"/>
      <c r="AD29" s="486"/>
    </row>
    <row r="30" spans="1:30">
      <c r="A30" s="1708" t="s">
        <v>1012</v>
      </c>
      <c r="B30" s="748"/>
      <c r="C30" s="747"/>
      <c r="D30" s="1695"/>
      <c r="E30" s="745"/>
      <c r="F30" s="749"/>
      <c r="G30" s="749"/>
      <c r="H30" s="749"/>
      <c r="I30" s="1708"/>
      <c r="J30" s="2985"/>
      <c r="K30" s="2122"/>
      <c r="L30" s="2123"/>
      <c r="M30" s="2121"/>
      <c r="N30" s="2121"/>
      <c r="O30" s="486"/>
      <c r="P30" s="486"/>
      <c r="Q30" s="486"/>
      <c r="R30" s="486"/>
      <c r="S30" s="486"/>
      <c r="T30" s="486"/>
      <c r="U30" s="486"/>
      <c r="V30" s="486"/>
      <c r="W30" s="486"/>
      <c r="X30" s="486"/>
      <c r="Y30" s="486"/>
      <c r="Z30" s="486"/>
      <c r="AA30" s="486"/>
      <c r="AB30" s="486"/>
      <c r="AC30" s="486"/>
      <c r="AD30" s="486"/>
    </row>
    <row r="31" spans="1:30">
      <c r="A31" s="311" t="s">
        <v>1276</v>
      </c>
      <c r="B31" s="1341">
        <v>9000</v>
      </c>
      <c r="C31" s="1644">
        <f>VLOOKUP(A31,B$109:C$173,2,FALSE)</f>
        <v>9000</v>
      </c>
      <c r="D31" s="1344">
        <v>1.25</v>
      </c>
      <c r="E31" s="2979">
        <f>'TB_sbetor,potatis, grovfoder'!P17</f>
        <v>322</v>
      </c>
      <c r="F31" s="2979">
        <f>SUM('TB_sbetor,potatis, grovfoder'!P18:P21)</f>
        <v>2902.4</v>
      </c>
      <c r="G31" s="2966">
        <f>'NPK-rekommendationer'!$J$69</f>
        <v>181</v>
      </c>
      <c r="H31" s="361"/>
      <c r="I31" s="2979">
        <f>SUM('TB_sbetor,potatis, grovfoder'!P22:P38,'TB_sbetor,potatis, grovfoder'!P40)</f>
        <v>3770</v>
      </c>
      <c r="J31" s="1988">
        <f t="shared" si="11"/>
        <v>7000</v>
      </c>
      <c r="K31" s="2981">
        <f t="shared" ref="K31:K34" si="14">+J31/C31</f>
        <v>0.77777777777777779</v>
      </c>
      <c r="L31" s="2979">
        <f t="shared" ref="L31:L44" si="15">(F31+I31)/C31*1000</f>
        <v>741.37777777777774</v>
      </c>
      <c r="M31" s="311" t="str">
        <f>A31</f>
        <v>Slåttervall, ensilage</v>
      </c>
      <c r="N31" s="2278">
        <v>2</v>
      </c>
      <c r="O31" s="486"/>
      <c r="P31" s="486"/>
      <c r="Q31" s="486"/>
      <c r="R31" s="486"/>
      <c r="S31" s="486"/>
      <c r="T31" s="486"/>
      <c r="U31" s="486"/>
      <c r="V31" s="486"/>
      <c r="W31" s="486"/>
      <c r="X31" s="486"/>
      <c r="Y31" s="486"/>
      <c r="Z31" s="486"/>
      <c r="AA31" s="486"/>
      <c r="AB31" s="486"/>
      <c r="AC31" s="486"/>
      <c r="AD31" s="486"/>
    </row>
    <row r="32" spans="1:30">
      <c r="A32" s="311" t="s">
        <v>1277</v>
      </c>
      <c r="B32" s="1341">
        <v>5000</v>
      </c>
      <c r="C32" s="1644">
        <f>VLOOKUP(A32,B$109:C$173,2,FALSE)</f>
        <v>5000</v>
      </c>
      <c r="D32" s="1344">
        <v>1.2</v>
      </c>
      <c r="E32" s="2979">
        <f>'TB_sbetor,potatis, grovfoder'!U17</f>
        <v>936</v>
      </c>
      <c r="F32" s="2979">
        <f>SUM('TB_sbetor,potatis, grovfoder'!U18:U21)</f>
        <v>839.90000000000009</v>
      </c>
      <c r="G32" s="2966">
        <f>'NPK-rekommendationer'!J77</f>
        <v>40</v>
      </c>
      <c r="H32" s="361"/>
      <c r="I32" s="2979">
        <f>SUM('TB_sbetor,potatis, grovfoder'!U22:U38,'TB_sbetor,potatis, grovfoder'!U40)</f>
        <v>2532</v>
      </c>
      <c r="J32" s="1988">
        <f t="shared" si="11"/>
        <v>4300</v>
      </c>
      <c r="K32" s="2981">
        <f t="shared" si="14"/>
        <v>0.86</v>
      </c>
      <c r="L32" s="2980">
        <f t="shared" si="15"/>
        <v>674.38</v>
      </c>
      <c r="M32" s="311" t="str">
        <f t="shared" ref="M32:M34" si="16">A32</f>
        <v>Helsädesensilage</v>
      </c>
      <c r="N32" s="2278">
        <v>2</v>
      </c>
      <c r="O32" s="486"/>
      <c r="P32" s="486"/>
      <c r="Q32" s="486"/>
      <c r="R32" s="486"/>
      <c r="S32" s="486"/>
      <c r="T32" s="486"/>
      <c r="U32" s="486"/>
      <c r="V32" s="486"/>
      <c r="W32" s="486"/>
      <c r="X32" s="486"/>
      <c r="Y32" s="486"/>
      <c r="Z32" s="486"/>
      <c r="AA32" s="486"/>
      <c r="AB32" s="486"/>
      <c r="AC32" s="486"/>
      <c r="AD32" s="486"/>
    </row>
    <row r="33" spans="1:36">
      <c r="A33" s="2080" t="s">
        <v>57</v>
      </c>
      <c r="B33" s="1341">
        <v>10000</v>
      </c>
      <c r="C33" s="1644">
        <f>VLOOKUP(A33,B$109:C$173,2,FALSE)</f>
        <v>10000</v>
      </c>
      <c r="D33" s="1344">
        <v>0.95</v>
      </c>
      <c r="E33" s="2979">
        <f>'TB_sbetor,potatis, grovfoder'!Z17</f>
        <v>1695</v>
      </c>
      <c r="F33" s="2979">
        <f>SUM('TB_sbetor,potatis, grovfoder'!Z18:Z21)</f>
        <v>2769.3</v>
      </c>
      <c r="G33" s="2966">
        <f>'NPK-rekommendationer'!J86</f>
        <v>160</v>
      </c>
      <c r="H33" s="2979">
        <f>SUM('TB_sbetor,potatis, grovfoder'!Z22)</f>
        <v>760</v>
      </c>
      <c r="I33" s="2979">
        <f>SUM('TB_sbetor,potatis, grovfoder'!Z22:Z38,'TB_sbetor,potatis, grovfoder'!Z40)</f>
        <v>6896</v>
      </c>
      <c r="J33" s="1988">
        <f t="shared" si="11"/>
        <v>12100</v>
      </c>
      <c r="K33" s="2981">
        <f t="shared" si="14"/>
        <v>1.21</v>
      </c>
      <c r="L33" s="2980">
        <f t="shared" si="15"/>
        <v>966.52999999999986</v>
      </c>
      <c r="M33" s="311" t="str">
        <f t="shared" si="16"/>
        <v>Fodermajs</v>
      </c>
      <c r="N33" s="2278">
        <v>1</v>
      </c>
      <c r="O33" s="486"/>
      <c r="P33" s="486"/>
      <c r="Q33" s="486"/>
      <c r="R33" s="486"/>
      <c r="S33" s="486"/>
      <c r="T33" s="486"/>
      <c r="U33" s="486"/>
      <c r="V33" s="486"/>
      <c r="W33" s="486"/>
      <c r="X33" s="486"/>
      <c r="Y33" s="486"/>
      <c r="Z33" s="486"/>
      <c r="AA33" s="486"/>
      <c r="AB33" s="486"/>
      <c r="AC33" s="486"/>
      <c r="AD33" s="486"/>
    </row>
    <row r="34" spans="1:36">
      <c r="A34" s="1340"/>
      <c r="B34" s="1341"/>
      <c r="C34" s="1644">
        <f>VLOOKUP(A34,B$109:C$173,2,FALSE)</f>
        <v>0</v>
      </c>
      <c r="D34" s="1344"/>
      <c r="E34" s="1343"/>
      <c r="F34" s="1343"/>
      <c r="G34" s="1343"/>
      <c r="H34" s="2079"/>
      <c r="I34" s="2079"/>
      <c r="J34" s="2992">
        <f t="shared" ref="J34" si="17">ROUND(SUM(E34:F34)+SUM(H34:I34),-2)</f>
        <v>0</v>
      </c>
      <c r="K34" s="2993" t="e">
        <f t="shared" si="14"/>
        <v>#DIV/0!</v>
      </c>
      <c r="L34" s="2994" t="e">
        <f t="shared" si="15"/>
        <v>#DIV/0!</v>
      </c>
      <c r="M34" s="311">
        <f t="shared" si="16"/>
        <v>0</v>
      </c>
      <c r="N34" s="2278"/>
      <c r="O34" s="486"/>
      <c r="P34" s="486"/>
      <c r="Q34" s="486"/>
      <c r="R34" s="486"/>
      <c r="S34" s="486"/>
      <c r="T34" s="486"/>
      <c r="U34" s="486"/>
      <c r="V34" s="486"/>
      <c r="W34" s="486"/>
      <c r="X34" s="486"/>
      <c r="Y34" s="486"/>
      <c r="Z34" s="486"/>
      <c r="AA34" s="486"/>
      <c r="AB34" s="486"/>
      <c r="AC34" s="486"/>
      <c r="AD34" s="486"/>
    </row>
    <row r="35" spans="1:36">
      <c r="A35" s="489"/>
      <c r="B35" s="887"/>
      <c r="C35" s="74"/>
      <c r="D35" s="887"/>
      <c r="E35" s="888"/>
      <c r="F35" s="888"/>
      <c r="G35" s="888"/>
      <c r="H35" s="887"/>
      <c r="I35" s="888"/>
      <c r="J35" s="888"/>
      <c r="K35" s="888"/>
      <c r="L35" s="2075"/>
      <c r="M35" s="888"/>
      <c r="N35" s="888"/>
      <c r="O35" s="888" t="s">
        <v>327</v>
      </c>
      <c r="P35" s="889"/>
      <c r="Q35" s="519"/>
      <c r="R35" s="890"/>
      <c r="S35" s="891"/>
      <c r="T35" s="489"/>
      <c r="U35" s="518"/>
      <c r="V35" s="486"/>
      <c r="W35" s="486"/>
      <c r="X35" s="486"/>
      <c r="Y35" s="486"/>
      <c r="Z35" s="486"/>
      <c r="AA35" s="486"/>
      <c r="AB35" s="486"/>
      <c r="AC35" s="486"/>
      <c r="AD35" s="486"/>
      <c r="AE35" s="486"/>
      <c r="AF35" s="486"/>
      <c r="AG35" s="486"/>
      <c r="AH35" s="486"/>
      <c r="AI35" s="486"/>
      <c r="AJ35" s="486"/>
    </row>
    <row r="36" spans="1:36">
      <c r="A36" s="742" t="s">
        <v>812</v>
      </c>
      <c r="B36" s="1640" t="s">
        <v>139</v>
      </c>
      <c r="C36" s="727"/>
      <c r="D36" s="726" t="s">
        <v>743</v>
      </c>
      <c r="E36" s="897" t="s">
        <v>176</v>
      </c>
      <c r="F36" s="894" t="s">
        <v>189</v>
      </c>
      <c r="G36" s="895"/>
      <c r="H36" s="897" t="s">
        <v>190</v>
      </c>
      <c r="I36" s="726" t="s">
        <v>1002</v>
      </c>
      <c r="J36" s="1459" t="s">
        <v>193</v>
      </c>
      <c r="K36" s="2072" t="s">
        <v>192</v>
      </c>
      <c r="L36" s="2076"/>
      <c r="M36" s="727"/>
      <c r="N36" s="727"/>
      <c r="O36" s="1345"/>
      <c r="P36" s="1345"/>
      <c r="Q36" s="1345"/>
      <c r="R36" s="1345"/>
      <c r="S36" s="1345"/>
      <c r="T36" s="1345"/>
      <c r="U36" s="1345"/>
      <c r="V36" s="1345"/>
      <c r="W36" s="486"/>
      <c r="X36" s="486"/>
      <c r="Y36" s="486"/>
      <c r="Z36" s="486"/>
      <c r="AA36" s="486"/>
      <c r="AB36" s="486"/>
      <c r="AC36" s="486"/>
      <c r="AD36" s="486"/>
      <c r="AE36" s="486"/>
      <c r="AF36" s="486"/>
      <c r="AG36" s="486"/>
      <c r="AH36" s="486"/>
      <c r="AI36" s="486"/>
      <c r="AJ36" s="486"/>
    </row>
    <row r="37" spans="1:36">
      <c r="A37" s="754"/>
      <c r="B37" s="1641" t="s">
        <v>951</v>
      </c>
      <c r="C37" s="1642" t="s">
        <v>952</v>
      </c>
      <c r="D37" s="896"/>
      <c r="E37" s="896"/>
      <c r="F37" s="725" t="s">
        <v>143</v>
      </c>
      <c r="G37" s="729" t="s">
        <v>74</v>
      </c>
      <c r="H37" s="896"/>
      <c r="I37" s="728" t="s">
        <v>1003</v>
      </c>
      <c r="J37" s="1460"/>
      <c r="K37" s="2073" t="s">
        <v>194</v>
      </c>
      <c r="L37" s="2077"/>
      <c r="M37" s="2074"/>
      <c r="N37" s="2074"/>
      <c r="O37" s="1345"/>
      <c r="P37" s="710"/>
      <c r="Q37" s="1345"/>
      <c r="R37" s="1345"/>
      <c r="S37" s="1345"/>
      <c r="T37" s="1345"/>
      <c r="U37" s="1345"/>
      <c r="V37" s="1345"/>
      <c r="W37" s="486"/>
      <c r="X37" s="486"/>
      <c r="Y37" s="486"/>
      <c r="Z37" s="486"/>
      <c r="AA37" s="486"/>
      <c r="AB37" s="486"/>
      <c r="AC37" s="486"/>
      <c r="AD37" s="486"/>
      <c r="AE37" s="486"/>
      <c r="AF37" s="486"/>
      <c r="AG37" s="486"/>
      <c r="AH37" s="486"/>
      <c r="AI37" s="486"/>
      <c r="AJ37" s="486"/>
    </row>
    <row r="38" spans="1:36">
      <c r="A38" s="2081" t="s">
        <v>166</v>
      </c>
      <c r="B38" s="1972">
        <v>3000</v>
      </c>
      <c r="C38" s="1996">
        <f>VLOOKUP(A38,B$109:C$173,2,FALSE)</f>
        <v>3000</v>
      </c>
      <c r="D38" s="1972">
        <v>1E-3</v>
      </c>
      <c r="E38" s="2024">
        <v>200</v>
      </c>
      <c r="F38" s="2024">
        <v>0</v>
      </c>
      <c r="G38" s="2024">
        <v>0</v>
      </c>
      <c r="H38" s="2024">
        <v>0</v>
      </c>
      <c r="I38" s="2024">
        <v>2000</v>
      </c>
      <c r="J38" s="1997">
        <f t="shared" ref="J38:J44" si="18">ROUND(SUM(E38:F38)+SUM(H38:I38),-2)</f>
        <v>2200</v>
      </c>
      <c r="K38" s="1998">
        <f t="shared" ref="K38:K44" si="19">+J38/C38</f>
        <v>0.73333333333333328</v>
      </c>
      <c r="L38" s="2990">
        <f t="shared" si="15"/>
        <v>666.66666666666663</v>
      </c>
      <c r="M38" s="2024" t="str">
        <f>A38</f>
        <v>Gröngödsling</v>
      </c>
      <c r="N38" s="2282">
        <v>2</v>
      </c>
      <c r="O38" s="1345"/>
      <c r="P38" s="889"/>
      <c r="Q38" s="710"/>
      <c r="R38" s="519"/>
      <c r="S38" s="1995"/>
      <c r="T38" s="1345"/>
      <c r="U38" s="1345"/>
      <c r="V38" s="710"/>
      <c r="W38" s="486"/>
      <c r="X38" s="486"/>
      <c r="Y38" s="486"/>
      <c r="Z38" s="486"/>
      <c r="AA38" s="486"/>
      <c r="AB38" s="486"/>
      <c r="AC38" s="486"/>
      <c r="AD38" s="486"/>
      <c r="AE38" s="486"/>
      <c r="AF38" s="486"/>
      <c r="AG38" s="486"/>
      <c r="AH38" s="486"/>
      <c r="AI38" s="486"/>
      <c r="AJ38" s="486"/>
    </row>
    <row r="39" spans="1:36">
      <c r="A39" s="2081" t="s">
        <v>1278</v>
      </c>
      <c r="B39" s="1972">
        <v>600</v>
      </c>
      <c r="C39" s="1996">
        <f>VLOOKUP(A39,B$109:C$173,2,FALSE)</f>
        <v>600</v>
      </c>
      <c r="D39" s="1972">
        <v>15.8</v>
      </c>
      <c r="E39" s="2024">
        <v>117</v>
      </c>
      <c r="F39" s="2024">
        <v>1838</v>
      </c>
      <c r="G39" s="2024">
        <v>100</v>
      </c>
      <c r="H39" s="2024">
        <v>390</v>
      </c>
      <c r="I39" s="2024">
        <v>3153</v>
      </c>
      <c r="J39" s="1997">
        <f t="shared" si="18"/>
        <v>5500</v>
      </c>
      <c r="K39" s="1998">
        <f t="shared" si="19"/>
        <v>9.1666666666666661</v>
      </c>
      <c r="L39" s="2980">
        <f t="shared" si="15"/>
        <v>8318.3333333333339</v>
      </c>
      <c r="M39" s="2024" t="str">
        <f t="shared" ref="M39:M44" si="20">A39</f>
        <v>Fröodling</v>
      </c>
      <c r="N39" s="2282">
        <v>2</v>
      </c>
      <c r="O39" s="1345"/>
      <c r="P39" s="710"/>
      <c r="Q39" s="710"/>
      <c r="R39" s="519"/>
      <c r="S39" s="1995"/>
      <c r="T39" s="1345"/>
      <c r="U39" s="1345"/>
      <c r="V39" s="710"/>
      <c r="W39" s="486"/>
      <c r="X39" s="486"/>
      <c r="Y39" s="486"/>
      <c r="Z39" s="486"/>
      <c r="AA39" s="486"/>
      <c r="AB39" s="486"/>
      <c r="AC39" s="486"/>
      <c r="AD39" s="486"/>
      <c r="AE39" s="486"/>
      <c r="AF39" s="486"/>
      <c r="AG39" s="486"/>
      <c r="AH39" s="486"/>
      <c r="AI39" s="486"/>
      <c r="AJ39" s="486"/>
    </row>
    <row r="40" spans="1:36">
      <c r="A40" s="1342"/>
      <c r="B40" s="1972"/>
      <c r="C40" s="1996">
        <f t="shared" ref="C40:C44" si="21">VLOOKUP(A40,B$109:C$173,2,FALSE)</f>
        <v>0</v>
      </c>
      <c r="D40" s="1972"/>
      <c r="E40" s="1972"/>
      <c r="F40" s="1972"/>
      <c r="G40" s="1972"/>
      <c r="H40" s="1972"/>
      <c r="I40" s="1972"/>
      <c r="J40" s="1997">
        <f t="shared" si="18"/>
        <v>0</v>
      </c>
      <c r="K40" s="1998" t="e">
        <f t="shared" si="19"/>
        <v>#DIV/0!</v>
      </c>
      <c r="L40" s="2991" t="e">
        <f t="shared" si="15"/>
        <v>#DIV/0!</v>
      </c>
      <c r="M40" s="2024">
        <f t="shared" si="20"/>
        <v>0</v>
      </c>
      <c r="N40" s="2283"/>
      <c r="O40" s="2835" t="s">
        <v>1735</v>
      </c>
      <c r="P40" s="2836"/>
      <c r="Q40" s="2837"/>
      <c r="R40" s="519"/>
      <c r="S40" s="1995"/>
      <c r="T40" s="1345"/>
      <c r="U40" s="1345"/>
      <c r="V40" s="710"/>
      <c r="W40" s="486"/>
      <c r="X40" s="486"/>
      <c r="Y40" s="486"/>
      <c r="Z40" s="486"/>
      <c r="AA40" s="486"/>
      <c r="AB40" s="486"/>
      <c r="AC40" s="486"/>
      <c r="AD40" s="486"/>
      <c r="AE40" s="486"/>
      <c r="AF40" s="486"/>
      <c r="AG40" s="486"/>
      <c r="AH40" s="486"/>
      <c r="AI40" s="486"/>
      <c r="AJ40" s="486"/>
    </row>
    <row r="41" spans="1:36">
      <c r="A41" s="1342"/>
      <c r="B41" s="1972"/>
      <c r="C41" s="1996">
        <f t="shared" si="21"/>
        <v>0</v>
      </c>
      <c r="D41" s="1972"/>
      <c r="E41" s="1972"/>
      <c r="F41" s="1972"/>
      <c r="G41" s="1972"/>
      <c r="H41" s="1972"/>
      <c r="I41" s="1972"/>
      <c r="J41" s="1997">
        <f t="shared" si="18"/>
        <v>0</v>
      </c>
      <c r="K41" s="1998" t="e">
        <f t="shared" si="19"/>
        <v>#DIV/0!</v>
      </c>
      <c r="L41" s="2991" t="e">
        <f t="shared" si="15"/>
        <v>#DIV/0!</v>
      </c>
      <c r="M41" s="2024">
        <f t="shared" si="20"/>
        <v>0</v>
      </c>
      <c r="N41" s="2283"/>
      <c r="O41" s="2838" t="s">
        <v>1739</v>
      </c>
      <c r="P41" s="2839"/>
      <c r="Q41" s="2840"/>
      <c r="R41" s="519"/>
      <c r="S41" s="1995"/>
      <c r="T41" s="1345"/>
      <c r="U41" s="1345"/>
      <c r="V41" s="710"/>
      <c r="W41" s="486"/>
      <c r="X41" s="486"/>
      <c r="Y41" s="486"/>
      <c r="Z41" s="486"/>
      <c r="AA41" s="486"/>
      <c r="AB41" s="486"/>
      <c r="AC41" s="486"/>
      <c r="AD41" s="486"/>
      <c r="AE41" s="486"/>
      <c r="AF41" s="486"/>
      <c r="AG41" s="486"/>
      <c r="AH41" s="486"/>
      <c r="AI41" s="486"/>
      <c r="AJ41" s="486"/>
    </row>
    <row r="42" spans="1:36">
      <c r="A42" s="1342"/>
      <c r="B42" s="1972"/>
      <c r="C42" s="1996">
        <f t="shared" si="21"/>
        <v>0</v>
      </c>
      <c r="D42" s="1972"/>
      <c r="E42" s="1972"/>
      <c r="F42" s="1972"/>
      <c r="G42" s="1972"/>
      <c r="H42" s="1972"/>
      <c r="I42" s="1972"/>
      <c r="J42" s="1997">
        <f t="shared" si="18"/>
        <v>0</v>
      </c>
      <c r="K42" s="1998" t="e">
        <f t="shared" si="19"/>
        <v>#DIV/0!</v>
      </c>
      <c r="L42" s="2991" t="e">
        <f t="shared" si="15"/>
        <v>#DIV/0!</v>
      </c>
      <c r="M42" s="2024">
        <f t="shared" si="20"/>
        <v>0</v>
      </c>
      <c r="N42" s="2283"/>
      <c r="O42" s="2838" t="s">
        <v>1736</v>
      </c>
      <c r="P42" s="2839"/>
      <c r="Q42" s="2840"/>
      <c r="R42" s="519"/>
      <c r="S42" s="1995"/>
      <c r="T42" s="1345"/>
      <c r="U42" s="1345"/>
      <c r="V42" s="710"/>
      <c r="W42" s="486"/>
      <c r="X42" s="486"/>
      <c r="Y42" s="486"/>
      <c r="Z42" s="486"/>
      <c r="AA42" s="486"/>
      <c r="AB42" s="486"/>
      <c r="AC42" s="486"/>
      <c r="AD42" s="486"/>
      <c r="AE42" s="486"/>
      <c r="AF42" s="486"/>
      <c r="AG42" s="486"/>
      <c r="AH42" s="486"/>
      <c r="AI42" s="486"/>
      <c r="AJ42" s="486"/>
    </row>
    <row r="43" spans="1:36">
      <c r="A43" s="1342"/>
      <c r="B43" s="1972"/>
      <c r="C43" s="1996">
        <f t="shared" si="21"/>
        <v>0</v>
      </c>
      <c r="D43" s="1972"/>
      <c r="E43" s="1972"/>
      <c r="F43" s="1972"/>
      <c r="G43" s="1972"/>
      <c r="H43" s="1972"/>
      <c r="I43" s="1972"/>
      <c r="J43" s="1997">
        <f t="shared" si="18"/>
        <v>0</v>
      </c>
      <c r="K43" s="2040" t="e">
        <f t="shared" si="19"/>
        <v>#DIV/0!</v>
      </c>
      <c r="L43" s="2991" t="e">
        <f t="shared" si="15"/>
        <v>#DIV/0!</v>
      </c>
      <c r="M43" s="2024">
        <f t="shared" si="20"/>
        <v>0</v>
      </c>
      <c r="N43" s="2283"/>
      <c r="O43" s="2838" t="s">
        <v>1737</v>
      </c>
      <c r="P43" s="2839"/>
      <c r="Q43" s="2840"/>
      <c r="R43" s="519"/>
      <c r="S43" s="1995"/>
      <c r="T43" s="1345"/>
      <c r="U43" s="1345"/>
      <c r="V43" s="710"/>
      <c r="W43" s="486"/>
      <c r="X43" s="486"/>
      <c r="Y43" s="486"/>
      <c r="Z43" s="486"/>
      <c r="AA43" s="486"/>
      <c r="AB43" s="486"/>
      <c r="AC43" s="486"/>
      <c r="AD43" s="486"/>
      <c r="AE43" s="486"/>
      <c r="AF43" s="486"/>
      <c r="AG43" s="486"/>
      <c r="AH43" s="486"/>
      <c r="AI43" s="486"/>
      <c r="AJ43" s="486"/>
    </row>
    <row r="44" spans="1:36">
      <c r="A44" s="1340"/>
      <c r="B44" s="1341"/>
      <c r="C44" s="1996">
        <f t="shared" si="21"/>
        <v>0</v>
      </c>
      <c r="D44" s="1341"/>
      <c r="E44" s="1343"/>
      <c r="F44" s="1343"/>
      <c r="G44" s="1343"/>
      <c r="H44" s="1341"/>
      <c r="I44" s="1343"/>
      <c r="J44" s="1997">
        <f t="shared" si="18"/>
        <v>0</v>
      </c>
      <c r="K44" s="2040" t="e">
        <f t="shared" si="19"/>
        <v>#DIV/0!</v>
      </c>
      <c r="L44" s="2991" t="e">
        <f t="shared" si="15"/>
        <v>#DIV/0!</v>
      </c>
      <c r="M44" s="2024">
        <f t="shared" si="20"/>
        <v>0</v>
      </c>
      <c r="N44" s="2397"/>
      <c r="O44" s="2841"/>
      <c r="P44" s="2842"/>
      <c r="Q44" s="2843"/>
      <c r="R44" s="519"/>
      <c r="S44" s="891"/>
      <c r="T44" s="489"/>
      <c r="U44" s="1345"/>
      <c r="V44" s="710"/>
      <c r="W44" s="486"/>
      <c r="X44" s="486"/>
      <c r="Y44" s="486"/>
      <c r="Z44" s="486"/>
      <c r="AA44" s="486"/>
      <c r="AB44" s="486"/>
      <c r="AC44" s="486"/>
      <c r="AD44" s="486"/>
      <c r="AE44" s="486"/>
      <c r="AF44" s="486"/>
      <c r="AG44" s="486"/>
      <c r="AH44" s="486"/>
      <c r="AI44" s="486"/>
      <c r="AJ44" s="486"/>
    </row>
    <row r="45" spans="1:36">
      <c r="A45" s="263"/>
      <c r="B45" s="263"/>
      <c r="C45" s="74"/>
      <c r="D45" s="263"/>
      <c r="E45" s="263"/>
      <c r="F45" s="263"/>
      <c r="G45" s="263"/>
      <c r="H45" s="263"/>
      <c r="I45" s="263"/>
      <c r="J45" s="263"/>
      <c r="K45" s="263"/>
      <c r="L45" s="263"/>
      <c r="M45" s="263"/>
      <c r="N45" s="263"/>
      <c r="O45" s="263"/>
      <c r="Q45" s="263"/>
      <c r="R45" s="263"/>
      <c r="S45" s="263"/>
      <c r="T45" s="263"/>
      <c r="U45" s="263"/>
      <c r="V45" s="486"/>
      <c r="W45" s="486"/>
      <c r="X45" s="486"/>
      <c r="Y45" s="486"/>
      <c r="Z45" s="486"/>
      <c r="AA45" s="486"/>
      <c r="AB45" s="486"/>
      <c r="AC45" s="486"/>
      <c r="AD45" s="486"/>
      <c r="AE45" s="486"/>
      <c r="AF45" s="486"/>
      <c r="AG45" s="486"/>
      <c r="AH45" s="486"/>
      <c r="AI45" s="486"/>
      <c r="AJ45" s="486"/>
    </row>
    <row r="46" spans="1:36">
      <c r="A46" s="743"/>
      <c r="B46" s="744" t="s">
        <v>1666</v>
      </c>
      <c r="C46" s="747"/>
      <c r="D46" s="744"/>
      <c r="E46" s="750"/>
      <c r="F46" s="750"/>
      <c r="G46" s="750"/>
      <c r="H46" s="750"/>
      <c r="I46" s="750"/>
      <c r="J46" s="750"/>
      <c r="K46" s="751"/>
      <c r="L46" s="751"/>
      <c r="M46" s="750"/>
      <c r="N46" s="750"/>
      <c r="O46" s="750"/>
      <c r="P46" s="747"/>
      <c r="Q46" s="750"/>
      <c r="R46" s="750"/>
      <c r="S46" s="750"/>
      <c r="T46" s="746"/>
      <c r="U46" s="263"/>
      <c r="V46" s="486"/>
      <c r="W46" s="486"/>
      <c r="X46" s="486"/>
      <c r="Y46" s="486"/>
      <c r="Z46" s="486"/>
      <c r="AA46" s="486"/>
      <c r="AB46" s="486"/>
      <c r="AC46" s="486"/>
      <c r="AD46" s="486"/>
      <c r="AE46" s="486"/>
      <c r="AF46" s="486"/>
      <c r="AG46" s="486"/>
      <c r="AH46" s="486"/>
      <c r="AI46" s="486"/>
      <c r="AJ46" s="486"/>
    </row>
    <row r="47" spans="1:36">
      <c r="A47" s="311" t="s">
        <v>205</v>
      </c>
      <c r="B47" s="313"/>
      <c r="C47" s="694"/>
      <c r="D47" s="313"/>
      <c r="E47" s="362">
        <v>200</v>
      </c>
      <c r="F47" s="313"/>
      <c r="G47" s="313"/>
      <c r="H47" s="313"/>
      <c r="I47" s="313">
        <v>230</v>
      </c>
      <c r="J47" s="313"/>
      <c r="K47" s="313"/>
      <c r="L47" s="313"/>
      <c r="M47" s="313"/>
      <c r="N47" s="313"/>
      <c r="O47" s="723"/>
      <c r="P47" s="694"/>
      <c r="Q47" s="362">
        <f>SUM(E47:O47)</f>
        <v>430</v>
      </c>
      <c r="R47" s="313"/>
      <c r="S47" s="313"/>
      <c r="T47" s="311"/>
      <c r="U47" s="9"/>
      <c r="V47" s="486"/>
      <c r="W47" s="486"/>
      <c r="X47" s="486"/>
      <c r="Y47" s="486"/>
      <c r="Z47" s="486"/>
      <c r="AA47" s="486"/>
      <c r="AB47" s="486"/>
      <c r="AC47" s="486"/>
      <c r="AD47" s="486"/>
      <c r="AE47" s="486"/>
      <c r="AF47" s="486"/>
      <c r="AG47" s="486"/>
      <c r="AH47" s="486"/>
      <c r="AI47" s="486"/>
      <c r="AJ47" s="486"/>
    </row>
    <row r="48" spans="1:36">
      <c r="A48" s="311" t="s">
        <v>206</v>
      </c>
      <c r="B48" s="313"/>
      <c r="C48" s="694"/>
      <c r="D48" s="313"/>
      <c r="E48" s="313"/>
      <c r="F48" s="313"/>
      <c r="G48" s="313"/>
      <c r="H48" s="313"/>
      <c r="I48" s="313"/>
      <c r="J48" s="313"/>
      <c r="K48" s="313"/>
      <c r="L48" s="313"/>
      <c r="M48" s="313"/>
      <c r="N48" s="313"/>
      <c r="O48" s="723"/>
      <c r="P48" s="694"/>
      <c r="Q48" s="313"/>
      <c r="R48" s="313"/>
      <c r="S48" s="313"/>
      <c r="T48" s="311"/>
      <c r="U48" s="9"/>
      <c r="V48" s="486"/>
      <c r="W48" s="486"/>
      <c r="X48" s="486"/>
      <c r="Y48" s="486"/>
      <c r="Z48" s="486"/>
      <c r="AA48" s="486"/>
      <c r="AB48" s="486"/>
      <c r="AC48" s="486"/>
      <c r="AD48" s="486"/>
      <c r="AE48" s="486"/>
      <c r="AF48" s="486"/>
      <c r="AG48" s="486"/>
      <c r="AH48" s="486"/>
      <c r="AI48" s="486"/>
      <c r="AJ48" s="486"/>
    </row>
    <row r="49" spans="1:36">
      <c r="A49" s="311" t="s">
        <v>207</v>
      </c>
      <c r="B49" s="313"/>
      <c r="C49" s="694"/>
      <c r="D49" s="313"/>
      <c r="E49" s="313">
        <v>150</v>
      </c>
      <c r="F49" s="313"/>
      <c r="G49" s="313"/>
      <c r="H49" s="313"/>
      <c r="I49" s="313"/>
      <c r="J49" s="313"/>
      <c r="K49" s="313">
        <v>200</v>
      </c>
      <c r="L49" s="313"/>
      <c r="M49" s="313"/>
      <c r="N49" s="313"/>
      <c r="O49" s="723"/>
      <c r="P49" s="694"/>
      <c r="Q49" s="313"/>
      <c r="R49" s="313"/>
      <c r="S49" s="313"/>
      <c r="T49" s="311"/>
      <c r="U49" s="276"/>
      <c r="V49" s="486"/>
      <c r="W49" s="486"/>
      <c r="X49" s="486"/>
      <c r="Y49" s="486"/>
      <c r="Z49" s="486"/>
      <c r="AA49" s="486"/>
      <c r="AB49" s="486"/>
      <c r="AC49" s="486"/>
      <c r="AD49" s="486"/>
      <c r="AE49" s="486"/>
      <c r="AF49" s="486"/>
      <c r="AG49" s="486"/>
      <c r="AH49" s="486"/>
      <c r="AI49" s="486"/>
      <c r="AJ49" s="486"/>
    </row>
    <row r="50" spans="1:36">
      <c r="A50" s="311" t="s">
        <v>208</v>
      </c>
      <c r="B50" s="313"/>
      <c r="C50" s="694"/>
      <c r="D50" s="313"/>
      <c r="E50" s="313">
        <v>600</v>
      </c>
      <c r="F50" s="313"/>
      <c r="G50" s="313"/>
      <c r="H50" s="313"/>
      <c r="I50" s="313"/>
      <c r="J50" s="313"/>
      <c r="K50" s="313">
        <v>200</v>
      </c>
      <c r="L50" s="313"/>
      <c r="M50" s="313"/>
      <c r="N50" s="313"/>
      <c r="O50" s="723"/>
      <c r="P50" s="694"/>
      <c r="Q50" s="313"/>
      <c r="R50" s="313"/>
      <c r="S50" s="313"/>
      <c r="T50" s="311"/>
      <c r="U50" s="9"/>
      <c r="V50" s="486"/>
      <c r="W50" s="486"/>
      <c r="X50" s="486"/>
      <c r="Y50" s="486"/>
      <c r="Z50" s="486"/>
      <c r="AA50" s="486"/>
      <c r="AB50" s="486"/>
      <c r="AC50" s="486"/>
      <c r="AD50" s="486"/>
      <c r="AE50" s="486"/>
      <c r="AF50" s="486"/>
      <c r="AG50" s="486"/>
      <c r="AH50" s="486"/>
      <c r="AI50" s="486"/>
      <c r="AJ50" s="486"/>
    </row>
    <row r="51" spans="1:36">
      <c r="A51" s="263"/>
      <c r="B51" s="263"/>
      <c r="C51" s="263"/>
      <c r="D51" s="263"/>
      <c r="E51" s="263"/>
      <c r="F51" s="263"/>
      <c r="G51" s="263"/>
      <c r="H51" s="263"/>
      <c r="I51" s="263"/>
      <c r="J51" s="263"/>
      <c r="K51" s="263"/>
      <c r="L51" s="263"/>
      <c r="M51" s="263"/>
      <c r="N51" s="263"/>
      <c r="O51" s="263"/>
      <c r="P51" s="263"/>
      <c r="Q51" s="263"/>
      <c r="R51" s="263"/>
      <c r="S51" s="2"/>
      <c r="T51" s="263"/>
      <c r="U51" s="486"/>
      <c r="V51" s="486"/>
      <c r="W51" s="486"/>
      <c r="X51" s="486"/>
      <c r="Y51" s="486"/>
      <c r="Z51" s="486"/>
      <c r="AA51" s="486"/>
      <c r="AB51" s="486"/>
      <c r="AC51" s="486"/>
      <c r="AD51" s="486"/>
      <c r="AE51" s="486"/>
      <c r="AF51" s="486"/>
      <c r="AG51" s="486"/>
      <c r="AH51" s="486"/>
      <c r="AI51" s="486"/>
      <c r="AJ51" s="486"/>
    </row>
    <row r="52" spans="1:36">
      <c r="A52" s="263"/>
      <c r="B52" s="263"/>
      <c r="C52" s="263"/>
      <c r="D52" s="263"/>
      <c r="E52" s="263"/>
      <c r="F52" s="263"/>
      <c r="G52" s="263"/>
      <c r="H52" s="263"/>
      <c r="I52" s="263"/>
      <c r="R52" s="263"/>
      <c r="S52" s="2"/>
      <c r="T52" s="263"/>
    </row>
    <row r="53" spans="1:36" ht="15">
      <c r="A53" s="263"/>
      <c r="B53" s="263"/>
      <c r="C53" s="263"/>
      <c r="D53" s="263"/>
      <c r="E53" s="263"/>
      <c r="F53" s="263"/>
      <c r="G53" s="263"/>
      <c r="H53" s="263"/>
      <c r="I53" s="263"/>
      <c r="J53" s="1659" t="s">
        <v>972</v>
      </c>
      <c r="M53" s="74"/>
      <c r="N53" s="74"/>
      <c r="O53" s="74"/>
      <c r="P53" s="74"/>
      <c r="Q53" s="74"/>
      <c r="R53" s="74"/>
      <c r="S53" s="74"/>
      <c r="T53" s="74"/>
      <c r="U53" s="74"/>
      <c r="V53" s="74"/>
      <c r="W53" s="74"/>
    </row>
    <row r="54" spans="1:36">
      <c r="A54" s="42" t="s">
        <v>209</v>
      </c>
      <c r="B54" s="43" t="s">
        <v>143</v>
      </c>
      <c r="C54" s="2296"/>
      <c r="D54" s="263"/>
      <c r="E54" s="29" t="s">
        <v>210</v>
      </c>
      <c r="F54" s="30"/>
      <c r="G54" s="31"/>
      <c r="K54" s="471" t="s">
        <v>317</v>
      </c>
      <c r="L54" s="471"/>
      <c r="M54" s="1663" t="s">
        <v>982</v>
      </c>
      <c r="P54" s="74"/>
      <c r="Q54" s="74"/>
      <c r="R54" s="74"/>
      <c r="S54" s="74"/>
      <c r="T54" s="74"/>
      <c r="U54" s="74"/>
      <c r="V54" s="74"/>
      <c r="W54" s="74"/>
      <c r="X54" s="74"/>
    </row>
    <row r="55" spans="1:36">
      <c r="A55" s="65" t="s">
        <v>211</v>
      </c>
      <c r="B55" s="69" t="s">
        <v>212</v>
      </c>
      <c r="C55" s="721"/>
      <c r="D55" s="2"/>
      <c r="E55" s="32" t="s">
        <v>213</v>
      </c>
      <c r="F55" s="33"/>
      <c r="G55" s="34"/>
      <c r="J55" s="1662" t="s">
        <v>959</v>
      </c>
      <c r="K55" s="1660">
        <v>377</v>
      </c>
      <c r="L55" s="1660"/>
      <c r="M55" s="1663">
        <v>24</v>
      </c>
      <c r="O55" s="164" t="s">
        <v>973</v>
      </c>
      <c r="Q55" s="153"/>
      <c r="R55" s="74"/>
      <c r="S55" s="74"/>
      <c r="U55" s="74"/>
      <c r="V55" s="74"/>
      <c r="W55" s="74"/>
      <c r="X55" s="74"/>
    </row>
    <row r="56" spans="1:36" ht="21">
      <c r="A56" s="65" t="s">
        <v>214</v>
      </c>
      <c r="B56" s="69" t="s">
        <v>215</v>
      </c>
      <c r="C56" s="721"/>
      <c r="D56" s="2"/>
      <c r="E56" s="32" t="s">
        <v>216</v>
      </c>
      <c r="F56" s="33"/>
      <c r="G56" s="34"/>
      <c r="J56" s="1662" t="s">
        <v>960</v>
      </c>
      <c r="K56" s="1660">
        <v>704</v>
      </c>
      <c r="L56" s="1660"/>
      <c r="M56" s="1663"/>
      <c r="O56" s="473"/>
      <c r="P56" s="473" t="s">
        <v>974</v>
      </c>
      <c r="Q56" s="153"/>
      <c r="R56" s="74"/>
      <c r="S56" s="74"/>
      <c r="T56" s="74"/>
      <c r="U56" s="74"/>
      <c r="V56" s="74"/>
      <c r="W56" s="74"/>
      <c r="X56" s="74"/>
    </row>
    <row r="57" spans="1:36">
      <c r="A57" s="65" t="s">
        <v>217</v>
      </c>
      <c r="B57" s="69" t="s">
        <v>218</v>
      </c>
      <c r="C57" s="721"/>
      <c r="D57" s="2"/>
      <c r="E57" s="32"/>
      <c r="F57" s="33"/>
      <c r="G57" s="34"/>
      <c r="J57" s="1662" t="s">
        <v>961</v>
      </c>
      <c r="K57" s="1660">
        <v>760</v>
      </c>
      <c r="L57" s="1660"/>
      <c r="M57" s="1663">
        <v>10</v>
      </c>
      <c r="O57" s="473" t="s">
        <v>978</v>
      </c>
      <c r="P57" s="1661" t="s">
        <v>975</v>
      </c>
      <c r="Q57" s="153"/>
      <c r="R57" s="74"/>
      <c r="S57" s="74"/>
      <c r="T57" s="74"/>
      <c r="U57" s="74"/>
      <c r="V57" s="74"/>
      <c r="W57" s="74"/>
      <c r="X57" s="74"/>
    </row>
    <row r="58" spans="1:36">
      <c r="A58" s="65" t="s">
        <v>219</v>
      </c>
      <c r="B58" s="69" t="s">
        <v>220</v>
      </c>
      <c r="C58" s="721"/>
      <c r="D58" s="2"/>
      <c r="E58" s="32" t="s">
        <v>211</v>
      </c>
      <c r="F58" s="33">
        <v>790</v>
      </c>
      <c r="G58" s="34"/>
      <c r="J58" s="1662" t="s">
        <v>962</v>
      </c>
      <c r="K58" s="1660">
        <v>928</v>
      </c>
      <c r="L58" s="1660"/>
      <c r="M58" s="1663">
        <v>6</v>
      </c>
      <c r="O58" s="473" t="s">
        <v>979</v>
      </c>
      <c r="P58" s="473" t="s">
        <v>976</v>
      </c>
      <c r="Q58" s="153"/>
      <c r="R58" s="74"/>
      <c r="S58" s="74"/>
      <c r="T58" s="74"/>
      <c r="U58" s="74"/>
      <c r="V58" s="74"/>
      <c r="W58" s="74"/>
      <c r="X58" s="74"/>
    </row>
    <row r="59" spans="1:36" ht="21">
      <c r="A59" s="65" t="s">
        <v>221</v>
      </c>
      <c r="B59" s="69" t="s">
        <v>222</v>
      </c>
      <c r="C59" s="721"/>
      <c r="D59" s="2"/>
      <c r="E59" s="32" t="s">
        <v>223</v>
      </c>
      <c r="F59" s="33">
        <v>575</v>
      </c>
      <c r="G59" s="34"/>
      <c r="J59" s="1662" t="s">
        <v>963</v>
      </c>
      <c r="K59" s="1660">
        <v>790</v>
      </c>
      <c r="L59" s="1660"/>
      <c r="M59" s="1663"/>
      <c r="O59" s="473" t="s">
        <v>969</v>
      </c>
      <c r="P59" s="473" t="s">
        <v>977</v>
      </c>
      <c r="Q59" s="153"/>
      <c r="R59" s="74"/>
      <c r="S59" s="74"/>
      <c r="T59" s="74"/>
      <c r="U59" s="74"/>
      <c r="V59" s="74"/>
      <c r="W59" s="74"/>
      <c r="X59" s="74"/>
    </row>
    <row r="60" spans="1:36">
      <c r="A60" s="65" t="s">
        <v>224</v>
      </c>
      <c r="B60" s="69" t="s">
        <v>225</v>
      </c>
      <c r="C60" s="721"/>
      <c r="D60" s="2"/>
      <c r="E60" s="32" t="s">
        <v>226</v>
      </c>
      <c r="F60" s="33">
        <v>210</v>
      </c>
      <c r="G60" s="34"/>
      <c r="J60" s="1662" t="s">
        <v>964</v>
      </c>
      <c r="K60" s="1660">
        <v>666</v>
      </c>
      <c r="L60" s="1660"/>
      <c r="M60" s="1663"/>
      <c r="P60" s="74"/>
      <c r="Q60" s="153"/>
      <c r="R60" s="74"/>
      <c r="S60" s="74"/>
      <c r="T60" s="74"/>
      <c r="U60" s="74"/>
      <c r="V60" s="74"/>
      <c r="W60" s="74"/>
      <c r="X60" s="74"/>
    </row>
    <row r="61" spans="1:36">
      <c r="A61" s="65" t="s">
        <v>227</v>
      </c>
      <c r="B61" s="69">
        <v>170</v>
      </c>
      <c r="C61" s="721"/>
      <c r="D61" s="2"/>
      <c r="E61" s="32" t="s">
        <v>228</v>
      </c>
      <c r="F61" s="33">
        <v>265</v>
      </c>
      <c r="G61" s="34"/>
      <c r="J61" s="1662" t="s">
        <v>965</v>
      </c>
      <c r="K61" s="1660">
        <v>755</v>
      </c>
      <c r="L61" s="1660"/>
      <c r="M61" s="1663"/>
      <c r="O61" t="s">
        <v>981</v>
      </c>
      <c r="P61" s="74"/>
      <c r="Q61" s="153"/>
      <c r="R61" s="74"/>
      <c r="S61" s="74"/>
      <c r="T61" s="74"/>
      <c r="U61" s="74"/>
      <c r="V61" s="74"/>
      <c r="W61" s="74"/>
      <c r="X61" s="74"/>
    </row>
    <row r="62" spans="1:36" ht="21">
      <c r="A62" s="65" t="s">
        <v>229</v>
      </c>
      <c r="B62" s="69" t="s">
        <v>230</v>
      </c>
      <c r="C62" s="721"/>
      <c r="D62" s="2"/>
      <c r="E62" s="32" t="s">
        <v>231</v>
      </c>
      <c r="F62" s="33">
        <v>130</v>
      </c>
      <c r="G62" s="34"/>
      <c r="J62" s="1662" t="s">
        <v>966</v>
      </c>
      <c r="K62" s="1660">
        <v>497</v>
      </c>
      <c r="L62" s="1660"/>
      <c r="M62" s="1663"/>
      <c r="P62" s="151"/>
      <c r="Q62" s="153"/>
      <c r="R62" s="74"/>
      <c r="S62" s="74"/>
      <c r="T62" s="151"/>
      <c r="U62" s="151"/>
      <c r="V62" s="151"/>
      <c r="W62" s="74"/>
      <c r="X62" s="74"/>
    </row>
    <row r="63" spans="1:36">
      <c r="A63" s="65" t="s">
        <v>232</v>
      </c>
      <c r="B63" s="69" t="s">
        <v>233</v>
      </c>
      <c r="C63" s="721"/>
      <c r="D63" s="2"/>
      <c r="E63" s="32"/>
      <c r="F63" s="33"/>
      <c r="G63" s="34"/>
      <c r="J63" s="1662" t="s">
        <v>967</v>
      </c>
      <c r="K63" s="1660">
        <v>1217</v>
      </c>
      <c r="L63" s="1660"/>
      <c r="M63" s="1663"/>
      <c r="P63" s="151"/>
      <c r="Q63" s="153"/>
      <c r="R63" s="74"/>
      <c r="S63" s="74"/>
      <c r="T63" s="151"/>
      <c r="U63" s="151"/>
      <c r="V63" s="151"/>
      <c r="W63" s="74"/>
      <c r="X63" s="74"/>
    </row>
    <row r="64" spans="1:36">
      <c r="A64" s="65" t="s">
        <v>234</v>
      </c>
      <c r="B64" s="69" t="s">
        <v>235</v>
      </c>
      <c r="C64" s="721"/>
      <c r="D64" s="2"/>
      <c r="E64" s="45" t="s">
        <v>236</v>
      </c>
      <c r="F64" s="46">
        <v>250</v>
      </c>
      <c r="G64" s="47"/>
      <c r="J64" s="1662" t="s">
        <v>968</v>
      </c>
      <c r="K64" s="1660">
        <v>781</v>
      </c>
      <c r="L64" s="1660"/>
      <c r="M64" s="1663"/>
      <c r="P64" s="151"/>
      <c r="Q64" s="153"/>
      <c r="R64" s="74"/>
      <c r="S64" s="74"/>
      <c r="T64" s="151"/>
      <c r="U64" s="151"/>
      <c r="V64" s="151"/>
      <c r="W64" s="74"/>
      <c r="X64" s="74"/>
    </row>
    <row r="65" spans="1:24">
      <c r="A65" s="263"/>
      <c r="B65" s="263"/>
      <c r="C65" s="263"/>
      <c r="D65" s="2"/>
      <c r="E65" s="2"/>
      <c r="F65" s="2"/>
      <c r="G65" s="2"/>
      <c r="H65" s="263"/>
      <c r="I65" s="263"/>
      <c r="J65" s="1662" t="s">
        <v>969</v>
      </c>
      <c r="K65" s="1660">
        <v>1858</v>
      </c>
      <c r="L65" s="1660"/>
      <c r="M65" s="1663"/>
      <c r="P65" s="151"/>
      <c r="Q65" s="153"/>
      <c r="R65" s="74"/>
      <c r="S65" s="74"/>
      <c r="T65" s="151"/>
      <c r="U65" s="151"/>
      <c r="V65" s="151"/>
      <c r="W65" s="74"/>
      <c r="X65" s="74"/>
    </row>
    <row r="66" spans="1:24">
      <c r="A66" s="263"/>
      <c r="B66" s="263"/>
      <c r="C66" s="263"/>
      <c r="D66" s="2"/>
      <c r="E66" s="2"/>
      <c r="F66" s="2"/>
      <c r="G66" s="2"/>
      <c r="H66" s="263"/>
      <c r="I66" s="263"/>
      <c r="J66" s="1662" t="s">
        <v>970</v>
      </c>
      <c r="K66" s="1660">
        <v>450</v>
      </c>
      <c r="L66" s="1660"/>
      <c r="M66" s="1663"/>
      <c r="P66" s="151"/>
      <c r="Q66" s="153"/>
      <c r="R66" s="74"/>
      <c r="S66" s="74"/>
      <c r="T66" s="151"/>
      <c r="U66" s="151"/>
      <c r="V66" s="151"/>
      <c r="W66" s="74"/>
      <c r="X66" s="74"/>
    </row>
    <row r="67" spans="1:24">
      <c r="A67" s="263"/>
      <c r="B67" s="263"/>
      <c r="C67" s="263"/>
      <c r="D67" s="2"/>
      <c r="E67" s="2"/>
      <c r="F67" s="2"/>
      <c r="G67" s="2"/>
      <c r="H67" s="263"/>
      <c r="I67" s="263"/>
      <c r="J67" s="1662" t="s">
        <v>971</v>
      </c>
      <c r="K67" s="1660">
        <v>962</v>
      </c>
      <c r="L67" s="1660"/>
      <c r="M67" s="1663"/>
      <c r="P67" s="151"/>
      <c r="Q67" s="153"/>
      <c r="R67" s="74"/>
      <c r="S67" s="74"/>
      <c r="T67" s="151"/>
      <c r="U67" s="151"/>
      <c r="V67" s="151"/>
      <c r="W67" s="74"/>
      <c r="X67" s="74"/>
    </row>
    <row r="68" spans="1:24">
      <c r="A68" s="2"/>
      <c r="B68" s="70"/>
      <c r="C68" s="70"/>
      <c r="D68" s="2"/>
      <c r="E68" s="2"/>
      <c r="F68" s="2"/>
      <c r="G68" s="2"/>
      <c r="H68" s="2"/>
      <c r="I68" s="2"/>
      <c r="K68" s="74"/>
      <c r="L68" s="74"/>
      <c r="M68" s="74"/>
      <c r="P68" s="151"/>
      <c r="Q68" s="153"/>
      <c r="R68" s="74"/>
      <c r="S68" s="74"/>
      <c r="T68" s="151"/>
      <c r="U68" s="151"/>
      <c r="V68" s="151"/>
      <c r="W68" s="74"/>
      <c r="X68" s="74"/>
    </row>
    <row r="69" spans="1:24">
      <c r="A69" s="485"/>
      <c r="B69" s="485"/>
      <c r="C69" s="485"/>
      <c r="D69" s="485"/>
      <c r="E69" s="486"/>
      <c r="F69" s="486"/>
      <c r="G69" s="485"/>
      <c r="H69" s="485"/>
      <c r="I69" s="485"/>
      <c r="K69" s="74"/>
      <c r="L69" s="74"/>
      <c r="M69" s="74"/>
      <c r="P69" s="151"/>
      <c r="Q69" s="153"/>
      <c r="R69" s="74"/>
      <c r="S69" s="74"/>
      <c r="T69" s="151"/>
      <c r="U69" s="151"/>
      <c r="V69" s="151"/>
      <c r="W69" s="74"/>
      <c r="X69" s="74"/>
    </row>
    <row r="70" spans="1:24" ht="15.75">
      <c r="A70" s="487" t="s">
        <v>237</v>
      </c>
      <c r="B70" s="485"/>
      <c r="C70" s="485"/>
      <c r="D70" s="485"/>
      <c r="E70" s="488" t="s">
        <v>238</v>
      </c>
      <c r="F70" s="489"/>
      <c r="G70" s="485"/>
      <c r="H70" s="485"/>
      <c r="I70" s="485"/>
      <c r="J70" s="74"/>
      <c r="K70" s="74"/>
      <c r="L70" s="74"/>
      <c r="M70" s="157" t="s">
        <v>1329</v>
      </c>
      <c r="P70" s="151"/>
      <c r="Q70" s="153"/>
      <c r="R70" s="74"/>
      <c r="S70" s="74"/>
      <c r="T70" s="151"/>
      <c r="U70" s="151"/>
      <c r="V70" s="151"/>
      <c r="W70" s="74"/>
      <c r="X70" s="74"/>
    </row>
    <row r="71" spans="1:24">
      <c r="A71" s="490" t="s">
        <v>239</v>
      </c>
      <c r="B71" s="490"/>
      <c r="C71" s="490"/>
      <c r="D71" s="485"/>
      <c r="E71" s="491">
        <v>11</v>
      </c>
      <c r="F71" s="492"/>
      <c r="G71" s="485"/>
      <c r="H71" s="485"/>
      <c r="I71" s="485"/>
      <c r="J71" s="74"/>
      <c r="K71" s="74"/>
      <c r="L71" s="74"/>
      <c r="M71" s="74"/>
      <c r="P71" s="74"/>
      <c r="Q71" s="153"/>
      <c r="R71" s="74"/>
      <c r="S71" s="74"/>
      <c r="T71" s="74"/>
      <c r="U71" s="74"/>
      <c r="V71" s="151"/>
      <c r="W71" s="74"/>
      <c r="X71" s="74"/>
    </row>
    <row r="72" spans="1:24">
      <c r="A72" s="485"/>
      <c r="B72" s="485"/>
      <c r="C72" s="485"/>
      <c r="D72" s="485"/>
      <c r="E72" s="485"/>
      <c r="F72" s="485"/>
      <c r="G72" s="485"/>
      <c r="H72" s="485"/>
      <c r="I72" s="485"/>
      <c r="J72" s="74"/>
      <c r="K72" s="74"/>
      <c r="L72" s="74"/>
      <c r="M72" s="74"/>
      <c r="P72" s="74"/>
      <c r="Q72" s="153"/>
      <c r="R72" s="74"/>
      <c r="S72" s="74"/>
      <c r="T72" s="151"/>
      <c r="U72" s="151"/>
      <c r="V72" s="151"/>
      <c r="W72" s="74"/>
      <c r="X72" s="74"/>
    </row>
    <row r="73" spans="1:24">
      <c r="A73" s="485"/>
      <c r="B73" s="485"/>
      <c r="C73" s="485"/>
      <c r="D73" s="485"/>
      <c r="E73" s="485"/>
      <c r="F73" s="485"/>
      <c r="G73" s="485"/>
      <c r="H73" s="485"/>
      <c r="I73" s="485"/>
      <c r="J73" s="74"/>
      <c r="K73" s="74"/>
      <c r="L73" s="74"/>
      <c r="M73" s="74"/>
      <c r="P73" s="74"/>
      <c r="Q73" s="153"/>
      <c r="R73" s="74"/>
      <c r="S73" s="74"/>
      <c r="T73" s="151"/>
      <c r="U73" s="151"/>
      <c r="V73" s="151"/>
      <c r="W73" s="74"/>
      <c r="X73" s="74"/>
    </row>
    <row r="74" spans="1:24">
      <c r="A74" s="485"/>
      <c r="B74" s="485"/>
      <c r="C74" s="485"/>
      <c r="D74" s="485"/>
      <c r="E74" s="485"/>
      <c r="F74" s="485"/>
      <c r="G74" s="485"/>
      <c r="H74" s="485"/>
      <c r="I74" s="485"/>
      <c r="P74" s="74"/>
      <c r="Q74" s="153"/>
      <c r="R74" s="74"/>
      <c r="S74" s="74"/>
      <c r="T74" s="74"/>
      <c r="U74" s="74"/>
      <c r="V74" s="151"/>
      <c r="W74" s="74"/>
      <c r="X74" s="74"/>
    </row>
    <row r="75" spans="1:24">
      <c r="P75" s="74"/>
      <c r="Q75" s="153"/>
      <c r="R75" s="74"/>
      <c r="S75" s="74"/>
      <c r="T75" s="151"/>
      <c r="U75" s="151"/>
      <c r="V75" s="151"/>
      <c r="W75" s="74"/>
      <c r="X75" s="74"/>
    </row>
    <row r="76" spans="1:24">
      <c r="A76" s="485"/>
      <c r="B76" s="493" t="s">
        <v>240</v>
      </c>
      <c r="C76" s="493"/>
      <c r="D76" s="493" t="s">
        <v>241</v>
      </c>
      <c r="E76" s="493" t="s">
        <v>242</v>
      </c>
      <c r="F76" s="493" t="s">
        <v>243</v>
      </c>
      <c r="G76" s="493" t="s">
        <v>244</v>
      </c>
      <c r="H76" s="493" t="s">
        <v>245</v>
      </c>
      <c r="I76" s="493" t="s">
        <v>246</v>
      </c>
      <c r="J76" s="494" t="s">
        <v>247</v>
      </c>
      <c r="K76" s="495" t="s">
        <v>248</v>
      </c>
      <c r="L76" s="492"/>
      <c r="M76" s="499"/>
      <c r="P76" s="74"/>
      <c r="Q76" s="153"/>
      <c r="R76" s="74"/>
      <c r="S76" s="74"/>
      <c r="T76" s="151"/>
      <c r="U76" s="151"/>
      <c r="V76" s="151"/>
      <c r="W76" s="74"/>
      <c r="X76" s="74"/>
    </row>
    <row r="77" spans="1:24">
      <c r="A77" s="485"/>
      <c r="B77" s="496"/>
      <c r="C77" s="496"/>
      <c r="D77" s="496"/>
      <c r="E77" s="496"/>
      <c r="F77" s="496"/>
      <c r="G77" s="496"/>
      <c r="H77" s="496" t="s">
        <v>249</v>
      </c>
      <c r="I77" s="496" t="s">
        <v>250</v>
      </c>
      <c r="J77" s="497">
        <v>0.36</v>
      </c>
      <c r="K77" s="498" t="s">
        <v>251</v>
      </c>
      <c r="L77" s="504"/>
      <c r="M77" s="504"/>
      <c r="P77" s="74"/>
      <c r="Q77" s="153"/>
      <c r="R77" s="74"/>
      <c r="S77" s="74"/>
      <c r="T77" s="151"/>
      <c r="U77" s="151"/>
      <c r="V77" s="151"/>
      <c r="W77" s="74"/>
      <c r="X77" s="74"/>
    </row>
    <row r="78" spans="1:24">
      <c r="A78" s="500" t="s">
        <v>252</v>
      </c>
      <c r="B78" s="501"/>
      <c r="C78" s="501"/>
      <c r="D78" s="501"/>
      <c r="E78" s="501"/>
      <c r="F78" s="501"/>
      <c r="G78" s="501"/>
      <c r="H78" s="501" t="s">
        <v>253</v>
      </c>
      <c r="I78" s="501"/>
      <c r="J78" s="502"/>
      <c r="K78" s="503"/>
      <c r="L78" s="504"/>
      <c r="M78" s="509"/>
      <c r="P78" s="74"/>
      <c r="Q78" s="153"/>
      <c r="R78" s="74"/>
      <c r="S78" s="74"/>
      <c r="T78" s="74"/>
      <c r="U78" s="74"/>
      <c r="V78" s="74"/>
      <c r="W78" s="74"/>
      <c r="X78" s="74"/>
    </row>
    <row r="79" spans="1:24">
      <c r="A79" s="488" t="s">
        <v>211</v>
      </c>
      <c r="B79" s="491">
        <v>946</v>
      </c>
      <c r="C79" s="491"/>
      <c r="D79" s="491">
        <v>1.2</v>
      </c>
      <c r="E79" s="491">
        <v>25</v>
      </c>
      <c r="F79" s="505">
        <f>1/D79</f>
        <v>0.83333333333333337</v>
      </c>
      <c r="G79" s="506">
        <f>F79*B79</f>
        <v>788.33333333333337</v>
      </c>
      <c r="H79" s="506">
        <f>B79*F79-F79*190</f>
        <v>630</v>
      </c>
      <c r="I79" s="506">
        <f>H79-E79*$E$73</f>
        <v>630</v>
      </c>
      <c r="J79" s="507">
        <f>0.36*I79</f>
        <v>226.79999999999998</v>
      </c>
      <c r="K79" s="508">
        <f>J79+$E79*$E$73</f>
        <v>226.79999999999998</v>
      </c>
      <c r="L79" s="509"/>
      <c r="M79" s="509"/>
      <c r="P79" s="74"/>
      <c r="Q79" s="153"/>
      <c r="R79" s="74"/>
      <c r="S79" s="74"/>
      <c r="T79" s="74"/>
      <c r="U79" s="74"/>
      <c r="V79" s="74"/>
      <c r="W79" s="74"/>
      <c r="X79" s="74"/>
    </row>
    <row r="80" spans="1:24">
      <c r="A80" s="488" t="s">
        <v>217</v>
      </c>
      <c r="B80" s="491">
        <v>844</v>
      </c>
      <c r="C80" s="491"/>
      <c r="D80" s="491">
        <v>6</v>
      </c>
      <c r="E80" s="491">
        <v>4.2</v>
      </c>
      <c r="F80" s="505">
        <f>1/D80</f>
        <v>0.16666666666666666</v>
      </c>
      <c r="G80" s="506">
        <f>F80*B80</f>
        <v>140.66666666666666</v>
      </c>
      <c r="H80" s="506">
        <f>B80*F80-F80*190</f>
        <v>109</v>
      </c>
      <c r="I80" s="506">
        <f>H80-E80*$E$73</f>
        <v>109</v>
      </c>
      <c r="J80" s="507">
        <f>0.36*I80</f>
        <v>39.24</v>
      </c>
      <c r="K80" s="508">
        <f>J80+$E80*$E$73</f>
        <v>39.24</v>
      </c>
      <c r="L80" s="509"/>
      <c r="M80" s="509"/>
      <c r="P80" s="74"/>
      <c r="Q80" s="153"/>
      <c r="R80" s="74"/>
      <c r="S80" s="74"/>
      <c r="T80" s="74"/>
      <c r="U80" s="74"/>
      <c r="V80" s="74"/>
      <c r="W80" s="74"/>
      <c r="X80" s="74"/>
    </row>
    <row r="81" spans="1:24">
      <c r="A81" s="488" t="s">
        <v>217</v>
      </c>
      <c r="B81" s="491">
        <v>844</v>
      </c>
      <c r="C81" s="491"/>
      <c r="D81" s="491">
        <v>6</v>
      </c>
      <c r="E81" s="491">
        <v>4.2</v>
      </c>
      <c r="F81" s="505">
        <f>1/D81</f>
        <v>0.16666666666666666</v>
      </c>
      <c r="G81" s="506">
        <f>F81*B81</f>
        <v>140.66666666666666</v>
      </c>
      <c r="H81" s="506">
        <f>B81*F81-F81*190</f>
        <v>109</v>
      </c>
      <c r="I81" s="506">
        <f>H81-E81*$E$73</f>
        <v>109</v>
      </c>
      <c r="J81" s="507">
        <f>0.36*I81</f>
        <v>39.24</v>
      </c>
      <c r="K81" s="508">
        <f>J81+$E81*$E$73</f>
        <v>39.24</v>
      </c>
      <c r="L81" s="509"/>
      <c r="M81" s="509"/>
      <c r="P81" s="74"/>
      <c r="Q81" s="153"/>
      <c r="R81" s="74"/>
      <c r="S81" s="74"/>
      <c r="T81" s="74"/>
      <c r="U81" s="74"/>
      <c r="V81" s="74"/>
      <c r="W81" s="74"/>
      <c r="X81" s="74"/>
    </row>
    <row r="82" spans="1:24">
      <c r="A82" s="488" t="s">
        <v>254</v>
      </c>
      <c r="B82" s="491">
        <v>973</v>
      </c>
      <c r="C82" s="491"/>
      <c r="D82" s="491">
        <v>2.2999999999999998</v>
      </c>
      <c r="E82" s="491">
        <v>5</v>
      </c>
      <c r="F82" s="505">
        <f>1/D82</f>
        <v>0.43478260869565222</v>
      </c>
      <c r="G82" s="506">
        <f>F82*B82</f>
        <v>423.04347826086962</v>
      </c>
      <c r="H82" s="506">
        <f>B82*F82-F82*190</f>
        <v>340.43478260869568</v>
      </c>
      <c r="I82" s="506">
        <f>H82-E82*$E$73</f>
        <v>340.43478260869568</v>
      </c>
      <c r="J82" s="507">
        <f>0.36*I82</f>
        <v>122.55652173913045</v>
      </c>
      <c r="K82" s="508">
        <f>J82+$E82*$E$73</f>
        <v>122.55652173913045</v>
      </c>
      <c r="L82" s="509"/>
      <c r="M82" s="509"/>
      <c r="P82" s="74"/>
      <c r="Q82" s="153"/>
      <c r="R82" s="74"/>
      <c r="S82" s="74"/>
      <c r="T82" s="74"/>
      <c r="U82" s="74"/>
      <c r="V82" s="74"/>
      <c r="W82" s="74"/>
      <c r="X82" s="74"/>
    </row>
    <row r="83" spans="1:24">
      <c r="A83" s="488" t="s">
        <v>255</v>
      </c>
      <c r="B83" s="491">
        <v>661</v>
      </c>
      <c r="C83" s="491"/>
      <c r="D83" s="491">
        <v>4.5</v>
      </c>
      <c r="E83" s="491">
        <v>8</v>
      </c>
      <c r="F83" s="505">
        <f>1/D83</f>
        <v>0.22222222222222221</v>
      </c>
      <c r="G83" s="506">
        <f>F83*B83</f>
        <v>146.88888888888889</v>
      </c>
      <c r="H83" s="506">
        <f>B83*F83-F83*190</f>
        <v>104.66666666666666</v>
      </c>
      <c r="I83" s="506">
        <f>H83-E83*$E$73</f>
        <v>104.66666666666666</v>
      </c>
      <c r="J83" s="507">
        <f>0.36*I83</f>
        <v>37.679999999999993</v>
      </c>
      <c r="K83" s="508">
        <f>J83+$E83*$E$73</f>
        <v>37.679999999999993</v>
      </c>
      <c r="L83" s="509"/>
      <c r="M83" s="516"/>
      <c r="P83" s="151"/>
      <c r="Q83" s="153"/>
      <c r="R83" s="74"/>
      <c r="S83" s="151"/>
      <c r="T83" s="151"/>
      <c r="U83" s="74"/>
      <c r="V83" s="74"/>
      <c r="W83" s="74"/>
      <c r="X83" s="74"/>
    </row>
    <row r="84" spans="1:24">
      <c r="A84" s="510" t="s">
        <v>256</v>
      </c>
      <c r="B84" s="511">
        <f>SUM(B79:B83)</f>
        <v>4268</v>
      </c>
      <c r="C84" s="511"/>
      <c r="D84" s="512"/>
      <c r="E84" s="512">
        <f>SUM(E79:E83)</f>
        <v>46.4</v>
      </c>
      <c r="F84" s="513">
        <f t="shared" ref="F84:K84" si="22">SUM(F79:F83)</f>
        <v>1.8236714975845412</v>
      </c>
      <c r="G84" s="511">
        <f t="shared" si="22"/>
        <v>1639.5990338164254</v>
      </c>
      <c r="H84" s="511">
        <f t="shared" si="22"/>
        <v>1293.1014492753625</v>
      </c>
      <c r="I84" s="511">
        <f t="shared" si="22"/>
        <v>1293.1014492753625</v>
      </c>
      <c r="J84" s="514">
        <f t="shared" si="22"/>
        <v>465.51652173913044</v>
      </c>
      <c r="K84" s="515">
        <f t="shared" si="22"/>
        <v>465.51652173913044</v>
      </c>
      <c r="L84" s="516"/>
      <c r="M84" s="509"/>
      <c r="P84" s="151"/>
      <c r="Q84" s="153"/>
      <c r="R84" s="74"/>
      <c r="S84" s="151"/>
      <c r="T84" s="151"/>
      <c r="U84" s="151"/>
      <c r="V84" s="74"/>
      <c r="W84" s="74"/>
      <c r="X84" s="74"/>
    </row>
    <row r="85" spans="1:24">
      <c r="A85" s="488" t="s">
        <v>226</v>
      </c>
      <c r="B85" s="517">
        <v>713</v>
      </c>
      <c r="C85" s="517"/>
      <c r="D85" s="491">
        <v>3.3</v>
      </c>
      <c r="E85" s="491">
        <v>7</v>
      </c>
      <c r="F85" s="505">
        <f>1/D85</f>
        <v>0.30303030303030304</v>
      </c>
      <c r="G85" s="506">
        <f>F85*B85</f>
        <v>216.06060606060606</v>
      </c>
      <c r="H85" s="506">
        <f>B85*F85-F85*190</f>
        <v>158.4848484848485</v>
      </c>
      <c r="I85" s="506">
        <f>H85-E85*$E$73</f>
        <v>158.4848484848485</v>
      </c>
      <c r="J85" s="507">
        <f>0.36*I85</f>
        <v>57.054545454545455</v>
      </c>
      <c r="K85" s="508">
        <f>J85+$E85*$E$73</f>
        <v>57.054545454545455</v>
      </c>
      <c r="L85" s="509"/>
      <c r="M85" s="516"/>
      <c r="P85" s="151"/>
      <c r="Q85" s="153"/>
      <c r="R85" s="74"/>
      <c r="S85" s="151"/>
      <c r="T85" s="151"/>
      <c r="U85" s="151"/>
      <c r="V85" s="74"/>
      <c r="W85" s="74"/>
      <c r="X85" s="74"/>
    </row>
    <row r="86" spans="1:24">
      <c r="A86" s="510"/>
      <c r="B86" s="511"/>
      <c r="C86" s="511"/>
      <c r="D86" s="512"/>
      <c r="E86" s="512"/>
      <c r="F86" s="513"/>
      <c r="G86" s="511"/>
      <c r="H86" s="511"/>
      <c r="I86" s="511"/>
      <c r="J86" s="514"/>
      <c r="K86" s="515"/>
      <c r="L86" s="516"/>
      <c r="M86" s="509"/>
      <c r="P86" s="151"/>
      <c r="Q86" s="153"/>
      <c r="R86" s="74"/>
      <c r="S86" s="151"/>
      <c r="T86" s="151"/>
      <c r="U86" s="151"/>
      <c r="V86" s="74"/>
      <c r="W86" s="74"/>
      <c r="X86" s="74"/>
    </row>
    <row r="87" spans="1:24">
      <c r="A87" s="488" t="s">
        <v>257</v>
      </c>
      <c r="B87" s="517">
        <v>519</v>
      </c>
      <c r="C87" s="517"/>
      <c r="D87" s="491">
        <v>3.5</v>
      </c>
      <c r="E87" s="491">
        <v>5</v>
      </c>
      <c r="F87" s="505">
        <f>1/D87</f>
        <v>0.2857142857142857</v>
      </c>
      <c r="G87" s="506">
        <f>F87*B87</f>
        <v>148.28571428571428</v>
      </c>
      <c r="H87" s="506">
        <f>B87*F87-F87*190</f>
        <v>94</v>
      </c>
      <c r="I87" s="506">
        <f>H87-E87*$E$73</f>
        <v>94</v>
      </c>
      <c r="J87" s="507">
        <f>0.36*I87</f>
        <v>33.839999999999996</v>
      </c>
      <c r="K87" s="508">
        <f>J87+$E87*$E$73</f>
        <v>33.839999999999996</v>
      </c>
      <c r="L87" s="509"/>
      <c r="M87" s="509"/>
      <c r="P87" s="151"/>
      <c r="Q87" s="153"/>
      <c r="R87" s="74"/>
      <c r="S87" s="151"/>
      <c r="T87" s="151"/>
      <c r="U87" s="151"/>
      <c r="V87" s="74"/>
      <c r="W87" s="74"/>
      <c r="X87" s="74"/>
    </row>
    <row r="88" spans="1:24">
      <c r="A88" s="488" t="s">
        <v>221</v>
      </c>
      <c r="B88" s="517">
        <v>853</v>
      </c>
      <c r="C88" s="517"/>
      <c r="D88" s="491">
        <v>5.5</v>
      </c>
      <c r="E88" s="491">
        <v>5</v>
      </c>
      <c r="F88" s="505">
        <f>1/D88</f>
        <v>0.18181818181818182</v>
      </c>
      <c r="G88" s="506">
        <f>F88*B88</f>
        <v>155.09090909090909</v>
      </c>
      <c r="H88" s="506">
        <f>B88*F88-F88*190</f>
        <v>120.54545454545455</v>
      </c>
      <c r="I88" s="506">
        <f>H88-E88*$E$73</f>
        <v>120.54545454545455</v>
      </c>
      <c r="J88" s="507">
        <f>0.36*I88</f>
        <v>43.396363636363638</v>
      </c>
      <c r="K88" s="508">
        <f>J88+$E88*$E$73</f>
        <v>43.396363636363638</v>
      </c>
      <c r="L88" s="509"/>
      <c r="M88" s="509"/>
      <c r="P88" s="151"/>
      <c r="Q88" s="153"/>
      <c r="R88" s="74"/>
      <c r="S88" s="151"/>
      <c r="T88" s="151"/>
      <c r="U88" s="151"/>
      <c r="V88" s="74"/>
      <c r="W88" s="74"/>
      <c r="X88" s="74"/>
    </row>
    <row r="89" spans="1:24">
      <c r="A89" s="488" t="s">
        <v>234</v>
      </c>
      <c r="B89" s="491">
        <v>1161</v>
      </c>
      <c r="C89" s="491"/>
      <c r="D89" s="491">
        <v>1.5</v>
      </c>
      <c r="E89" s="491">
        <v>20</v>
      </c>
      <c r="F89" s="505">
        <f>1/D89</f>
        <v>0.66666666666666663</v>
      </c>
      <c r="G89" s="506">
        <f>F89*B89</f>
        <v>774</v>
      </c>
      <c r="H89" s="506">
        <f>B89*F89-F89*190</f>
        <v>647.33333333333337</v>
      </c>
      <c r="I89" s="506">
        <f>H89-E89*5.8</f>
        <v>531.33333333333337</v>
      </c>
      <c r="J89" s="507">
        <f>0.36*I89</f>
        <v>191.28</v>
      </c>
      <c r="K89" s="508">
        <f>J89+$E89*$E$73</f>
        <v>191.28</v>
      </c>
      <c r="L89" s="509"/>
      <c r="M89" s="518"/>
      <c r="P89" s="151"/>
      <c r="Q89" s="153"/>
      <c r="R89" s="74"/>
      <c r="S89" s="151"/>
      <c r="T89" s="151"/>
      <c r="U89" s="151"/>
      <c r="V89" s="74"/>
      <c r="W89" s="74"/>
      <c r="X89" s="74"/>
    </row>
    <row r="90" spans="1:24">
      <c r="A90" s="485"/>
      <c r="B90" s="485"/>
      <c r="C90" s="485"/>
      <c r="D90" s="485"/>
      <c r="E90" s="485"/>
      <c r="F90" s="485"/>
      <c r="G90" s="485"/>
      <c r="H90" s="485"/>
      <c r="I90" s="485"/>
      <c r="J90" s="485"/>
      <c r="K90" s="485"/>
      <c r="L90" s="485"/>
      <c r="M90" s="485"/>
      <c r="P90" s="151"/>
      <c r="Q90" s="153"/>
      <c r="R90" s="74"/>
      <c r="S90" s="151"/>
      <c r="T90" s="151"/>
      <c r="U90" s="151"/>
      <c r="V90" s="74"/>
      <c r="W90" s="74"/>
      <c r="X90" s="74"/>
    </row>
    <row r="91" spans="1:24">
      <c r="A91" s="519" t="s">
        <v>501</v>
      </c>
      <c r="B91" s="518"/>
      <c r="C91" s="518"/>
      <c r="D91" s="518"/>
      <c r="E91" s="486"/>
      <c r="F91" s="486"/>
      <c r="G91" s="500" t="s">
        <v>500</v>
      </c>
      <c r="H91" s="485"/>
      <c r="I91" s="486"/>
      <c r="J91" s="486"/>
      <c r="K91" s="485"/>
      <c r="L91" s="485"/>
      <c r="M91" s="485"/>
      <c r="P91" s="151"/>
      <c r="Q91" s="153"/>
      <c r="R91" s="74"/>
      <c r="S91" s="151"/>
      <c r="T91" s="151"/>
      <c r="U91" s="151"/>
      <c r="V91" s="74"/>
      <c r="W91" s="74"/>
      <c r="X91" s="74"/>
    </row>
    <row r="92" spans="1:24">
      <c r="A92" s="486" t="s">
        <v>716</v>
      </c>
      <c r="B92" s="486"/>
      <c r="C92" s="486"/>
      <c r="D92" s="486"/>
      <c r="E92" s="486"/>
      <c r="F92" s="486"/>
      <c r="G92" s="486"/>
      <c r="H92" s="486"/>
      <c r="I92" s="486"/>
      <c r="J92" s="486"/>
      <c r="K92" s="485"/>
      <c r="L92" s="485"/>
      <c r="M92" s="485"/>
      <c r="P92" s="151"/>
      <c r="Q92" s="153"/>
      <c r="R92" s="74"/>
      <c r="S92" s="151"/>
      <c r="T92" s="151"/>
      <c r="U92" s="151"/>
      <c r="V92" s="74"/>
      <c r="W92" s="74"/>
      <c r="X92" s="74"/>
    </row>
    <row r="93" spans="1:24">
      <c r="A93" s="520"/>
      <c r="B93" s="521" t="s">
        <v>258</v>
      </c>
      <c r="C93" s="521"/>
      <c r="D93" s="521" t="s">
        <v>259</v>
      </c>
      <c r="E93" s="521" t="s">
        <v>260</v>
      </c>
      <c r="F93" s="486"/>
      <c r="G93" s="521" t="s">
        <v>261</v>
      </c>
      <c r="H93" s="521" t="s">
        <v>262</v>
      </c>
      <c r="I93" s="486"/>
      <c r="J93" s="486"/>
      <c r="K93" s="485"/>
      <c r="L93" s="485"/>
      <c r="M93" s="485"/>
      <c r="P93" s="74"/>
      <c r="Q93" s="153"/>
      <c r="R93" s="74"/>
      <c r="S93" s="74"/>
      <c r="T93" s="74"/>
      <c r="U93" s="74"/>
      <c r="V93" s="74"/>
      <c r="W93" s="74"/>
      <c r="X93" s="74"/>
    </row>
    <row r="94" spans="1:24">
      <c r="A94" s="522" t="s">
        <v>263</v>
      </c>
      <c r="B94" s="508">
        <f>(E84*E71+E89*E71+E87*E71+E88*E71)</f>
        <v>840.4</v>
      </c>
      <c r="C94" s="508"/>
      <c r="D94" s="508">
        <f>+B94-E89*E71</f>
        <v>620.4</v>
      </c>
      <c r="E94" s="508">
        <f>+B94-D94</f>
        <v>220</v>
      </c>
      <c r="F94" s="486"/>
      <c r="G94" s="521">
        <f>+(E85-E79)*E71</f>
        <v>-198</v>
      </c>
      <c r="H94" s="521">
        <f>+(2*E85-E79)*E71</f>
        <v>-121</v>
      </c>
      <c r="I94" s="486"/>
      <c r="J94" s="486"/>
      <c r="K94" s="485"/>
      <c r="L94" s="485"/>
      <c r="M94" s="485"/>
      <c r="P94" s="74"/>
      <c r="Q94" s="153"/>
      <c r="R94" s="74"/>
      <c r="S94" s="74"/>
      <c r="T94" s="74"/>
      <c r="U94" s="74"/>
      <c r="V94" s="74"/>
      <c r="W94" s="74"/>
      <c r="X94" s="74"/>
    </row>
    <row r="95" spans="1:24">
      <c r="A95" s="522" t="s">
        <v>264</v>
      </c>
      <c r="B95" s="508">
        <f>J84+J89+J87+J88</f>
        <v>734.03288537549406</v>
      </c>
      <c r="C95" s="508"/>
      <c r="D95" s="508">
        <f>+B95-J89</f>
        <v>542.75288537549409</v>
      </c>
      <c r="E95" s="508">
        <f>+B95-D95</f>
        <v>191.27999999999997</v>
      </c>
      <c r="F95" s="486"/>
      <c r="G95" s="508">
        <f>-J79+J85</f>
        <v>-169.74545454545452</v>
      </c>
      <c r="H95" s="508">
        <f>-J79+J85+J85</f>
        <v>-112.69090909090906</v>
      </c>
      <c r="I95" s="486"/>
      <c r="J95" s="486"/>
      <c r="K95" s="485"/>
      <c r="L95" s="485"/>
      <c r="M95" s="485"/>
      <c r="P95" s="74"/>
      <c r="Q95" s="281"/>
      <c r="R95" s="74"/>
      <c r="S95" s="74"/>
      <c r="T95" s="74"/>
      <c r="U95" s="74"/>
      <c r="V95" s="74"/>
      <c r="W95" s="74"/>
      <c r="X95" s="74"/>
    </row>
    <row r="96" spans="1:24">
      <c r="A96" s="522" t="s">
        <v>265</v>
      </c>
      <c r="B96" s="521">
        <v>400</v>
      </c>
      <c r="C96" s="521"/>
      <c r="D96" s="521"/>
      <c r="E96" s="521"/>
      <c r="F96" s="486"/>
      <c r="G96" s="521"/>
      <c r="H96" s="521"/>
      <c r="I96" s="486"/>
      <c r="J96" s="486"/>
      <c r="K96" s="485"/>
      <c r="L96" s="485"/>
      <c r="M96" s="485"/>
      <c r="P96" s="74"/>
      <c r="Q96" s="74"/>
      <c r="R96" s="74"/>
      <c r="S96" s="74"/>
      <c r="T96" s="74"/>
      <c r="U96" s="74"/>
      <c r="V96" s="74"/>
      <c r="W96" s="74"/>
      <c r="X96" s="74"/>
    </row>
    <row r="97" spans="1:24">
      <c r="A97" s="522"/>
      <c r="B97" s="515">
        <f>SUM(B94:B96)</f>
        <v>1974.4328853754942</v>
      </c>
      <c r="C97" s="515"/>
      <c r="D97" s="515">
        <f>SUM(D94:D96)</f>
        <v>1163.152885375494</v>
      </c>
      <c r="E97" s="515">
        <f>SUM(E94:E96)</f>
        <v>411.28</v>
      </c>
      <c r="F97" s="486"/>
      <c r="G97" s="515">
        <f>SUM(G94:G96)</f>
        <v>-367.74545454545455</v>
      </c>
      <c r="H97" s="515">
        <f>SUM(H94:H96)</f>
        <v>-233.69090909090906</v>
      </c>
      <c r="I97" s="486"/>
      <c r="J97" s="486"/>
      <c r="K97" s="485"/>
      <c r="L97" s="485"/>
      <c r="M97" s="485"/>
      <c r="P97" s="74"/>
      <c r="Q97" s="74"/>
      <c r="R97" s="74"/>
      <c r="S97" s="74"/>
      <c r="T97" s="74"/>
      <c r="U97" s="74"/>
      <c r="V97" s="74"/>
      <c r="W97" s="74"/>
      <c r="X97" s="74"/>
    </row>
    <row r="98" spans="1:24">
      <c r="A98" s="522" t="s">
        <v>266</v>
      </c>
      <c r="B98" s="523">
        <f>+F84+F87+F89+F89</f>
        <v>3.4427191166321598</v>
      </c>
      <c r="C98" s="523"/>
      <c r="D98" s="521"/>
      <c r="E98" s="521"/>
      <c r="F98" s="486"/>
      <c r="G98" s="523">
        <f>-F79+F85</f>
        <v>-0.53030303030303028</v>
      </c>
      <c r="H98" s="523">
        <f>-F79+F85+F85</f>
        <v>-0.22727272727272724</v>
      </c>
      <c r="I98" s="485"/>
      <c r="J98" s="485"/>
      <c r="K98" s="485"/>
      <c r="L98" s="485"/>
      <c r="M98" s="486"/>
      <c r="P98" s="74"/>
      <c r="Q98" s="74"/>
      <c r="R98" s="74"/>
      <c r="S98" s="74"/>
      <c r="T98" s="74"/>
      <c r="U98" s="74"/>
      <c r="V98" s="74"/>
      <c r="W98" s="74"/>
      <c r="X98" s="74"/>
    </row>
    <row r="99" spans="1:24">
      <c r="D99" s="522"/>
      <c r="E99" s="522"/>
      <c r="F99" s="486"/>
      <c r="G99" s="486"/>
      <c r="H99" s="486"/>
      <c r="I99" s="486"/>
      <c r="J99" s="486"/>
      <c r="K99" s="486"/>
      <c r="L99" s="486"/>
      <c r="M99" s="486"/>
      <c r="P99" s="74"/>
      <c r="Q99" s="74"/>
      <c r="R99" s="74"/>
      <c r="S99" s="74"/>
      <c r="T99" s="74"/>
      <c r="U99" s="74"/>
      <c r="V99" s="74"/>
      <c r="W99" s="74"/>
      <c r="X99" s="74"/>
    </row>
    <row r="100" spans="1:24">
      <c r="A100" s="73"/>
      <c r="P100" s="151"/>
      <c r="Q100" s="151"/>
      <c r="R100" s="74"/>
      <c r="S100" s="74"/>
      <c r="T100" s="74"/>
      <c r="U100" s="74"/>
      <c r="V100" s="74"/>
      <c r="W100" s="74"/>
      <c r="X100" s="74"/>
    </row>
    <row r="101" spans="1:24">
      <c r="A101" s="73"/>
      <c r="P101" s="151"/>
      <c r="Q101" s="151"/>
      <c r="R101" s="151"/>
      <c r="S101" s="74"/>
      <c r="T101" s="74"/>
      <c r="U101" s="74"/>
      <c r="V101" s="74"/>
      <c r="W101" s="74"/>
      <c r="X101" s="74"/>
    </row>
    <row r="102" spans="1:24">
      <c r="A102" s="73"/>
      <c r="M102" s="662"/>
      <c r="P102" s="151"/>
      <c r="Q102" s="151"/>
      <c r="R102" s="151"/>
      <c r="S102" s="74"/>
      <c r="T102" s="74"/>
      <c r="U102" s="74"/>
      <c r="V102" s="74"/>
      <c r="W102" s="74"/>
      <c r="X102" s="74"/>
    </row>
    <row r="103" spans="1:24">
      <c r="A103" s="73"/>
      <c r="P103" s="74"/>
      <c r="Q103" s="74"/>
      <c r="R103" s="74"/>
      <c r="S103" s="74"/>
      <c r="T103" s="74"/>
      <c r="U103" s="74"/>
      <c r="V103" s="74"/>
      <c r="W103" s="74"/>
      <c r="X103" s="74"/>
    </row>
    <row r="104" spans="1:24">
      <c r="A104" s="73"/>
      <c r="D104" s="97" t="str">
        <f>Grunddata!E22</f>
        <v>Götalands södra slättbygder</v>
      </c>
    </row>
    <row r="105" spans="1:24">
      <c r="A105" s="73"/>
      <c r="D105">
        <f>IF(D104="Götalands södra slättbygder",1,2)</f>
        <v>1</v>
      </c>
      <c r="M105" s="662"/>
    </row>
    <row r="106" spans="1:24">
      <c r="A106" s="73"/>
    </row>
    <row r="107" spans="1:24">
      <c r="A107" s="1645" t="s">
        <v>953</v>
      </c>
    </row>
    <row r="109" spans="1:24">
      <c r="A109" s="1646" t="s">
        <v>133</v>
      </c>
      <c r="B109" s="1644" t="str">
        <f>Huvudinmatning!B14</f>
        <v xml:space="preserve">Höstraps </v>
      </c>
      <c r="C109" s="1644">
        <f>Huvudinmatning!C14</f>
        <v>3500</v>
      </c>
      <c r="D109" t="e">
        <f>IF(D105=1,LETArad)</f>
        <v>#NAME?</v>
      </c>
    </row>
    <row r="110" spans="1:24">
      <c r="A110" s="900"/>
      <c r="B110" s="1644" t="str">
        <f>Huvudinmatning!B15</f>
        <v>Höstvete bröd</v>
      </c>
      <c r="C110" s="1644">
        <f>Huvudinmatning!C15</f>
        <v>8000</v>
      </c>
    </row>
    <row r="111" spans="1:24">
      <c r="A111" s="900"/>
      <c r="B111" s="1644" t="str">
        <f>Huvudinmatning!B16</f>
        <v>Höstvete bröd</v>
      </c>
      <c r="C111" s="1644">
        <f>Huvudinmatning!C16</f>
        <v>8000</v>
      </c>
    </row>
    <row r="112" spans="1:24">
      <c r="A112" s="900"/>
      <c r="B112" s="1644" t="str">
        <f>Huvudinmatning!B17</f>
        <v>Foderärt</v>
      </c>
      <c r="C112" s="1644">
        <f>Huvudinmatning!C17</f>
        <v>4000</v>
      </c>
    </row>
    <row r="113" spans="1:3">
      <c r="A113" s="900"/>
      <c r="B113" s="1644" t="str">
        <f>Huvudinmatning!B18</f>
        <v>Höstvete bröd</v>
      </c>
      <c r="C113" s="1644">
        <f>Huvudinmatning!C18</f>
        <v>8000</v>
      </c>
    </row>
    <row r="114" spans="1:3">
      <c r="A114" s="900"/>
      <c r="B114" s="1644" t="str">
        <f>Huvudinmatning!B19</f>
        <v>Höstvete bröd</v>
      </c>
      <c r="C114" s="1644">
        <f>Huvudinmatning!C19</f>
        <v>8000</v>
      </c>
    </row>
    <row r="115" spans="1:3">
      <c r="A115" s="900"/>
      <c r="B115" s="1644" t="str">
        <f>Huvudinmatning!B20</f>
        <v>Maltkorn</v>
      </c>
      <c r="C115" s="1644">
        <f>Huvudinmatning!C20</f>
        <v>5500</v>
      </c>
    </row>
    <row r="116" spans="1:3">
      <c r="A116" s="898"/>
      <c r="B116" s="1644">
        <f>Huvudinmatning!B21</f>
        <v>0</v>
      </c>
      <c r="C116" s="1644">
        <f>Huvudinmatning!C21</f>
        <v>0</v>
      </c>
    </row>
    <row r="117" spans="1:3">
      <c r="A117" s="900"/>
      <c r="B117" s="1644">
        <f>Huvudinmatning!B22</f>
        <v>0</v>
      </c>
      <c r="C117" s="1644">
        <f>Huvudinmatning!C22</f>
        <v>0</v>
      </c>
    </row>
    <row r="118" spans="1:3">
      <c r="A118" s="900"/>
      <c r="B118" s="1644">
        <f>Huvudinmatning!B23</f>
        <v>0</v>
      </c>
      <c r="C118" s="1644">
        <f>Huvudinmatning!C23</f>
        <v>0</v>
      </c>
    </row>
    <row r="119" spans="1:3">
      <c r="A119" s="1646" t="s">
        <v>147</v>
      </c>
      <c r="B119" s="1644" t="str">
        <f>Huvudinmatning!B33</f>
        <v xml:space="preserve">Höstraps </v>
      </c>
      <c r="C119" s="1644">
        <f>Huvudinmatning!C33</f>
        <v>3500</v>
      </c>
    </row>
    <row r="120" spans="1:3">
      <c r="A120" s="900"/>
      <c r="B120" s="1644" t="str">
        <f>Huvudinmatning!B34</f>
        <v>Höstvete bröd</v>
      </c>
      <c r="C120" s="1644">
        <f>Huvudinmatning!C34</f>
        <v>8000</v>
      </c>
    </row>
    <row r="121" spans="1:3">
      <c r="A121" s="900"/>
      <c r="B121" s="1644" t="str">
        <f>Huvudinmatning!B35</f>
        <v>Höstvete bröd</v>
      </c>
      <c r="C121" s="1644">
        <f>Huvudinmatning!C35</f>
        <v>8000</v>
      </c>
    </row>
    <row r="122" spans="1:3">
      <c r="A122" s="900"/>
      <c r="B122" s="1644" t="str">
        <f>Huvudinmatning!B36</f>
        <v>Foderärt</v>
      </c>
      <c r="C122" s="1644">
        <f>Huvudinmatning!C36</f>
        <v>4000</v>
      </c>
    </row>
    <row r="123" spans="1:3">
      <c r="A123" s="900"/>
      <c r="B123" s="1644" t="str">
        <f>Huvudinmatning!B37</f>
        <v>Höstvete bröd</v>
      </c>
      <c r="C123" s="1644">
        <f>Huvudinmatning!C37</f>
        <v>8000</v>
      </c>
    </row>
    <row r="124" spans="1:3">
      <c r="A124" s="900"/>
      <c r="B124" s="1644" t="str">
        <f>Huvudinmatning!B38</f>
        <v>Höstvete bröd</v>
      </c>
      <c r="C124" s="1644">
        <f>Huvudinmatning!C38</f>
        <v>8000</v>
      </c>
    </row>
    <row r="125" spans="1:3">
      <c r="A125" s="900"/>
      <c r="B125" s="1644" t="str">
        <f>Huvudinmatning!B39</f>
        <v>Maltkorn</v>
      </c>
      <c r="C125" s="1644">
        <f>Huvudinmatning!C39</f>
        <v>5500</v>
      </c>
    </row>
    <row r="126" spans="1:3">
      <c r="A126" s="898"/>
      <c r="B126" s="1644" t="str">
        <f>Huvudinmatning!B40</f>
        <v xml:space="preserve"> </v>
      </c>
      <c r="C126" s="1644">
        <f>Huvudinmatning!C40</f>
        <v>0</v>
      </c>
    </row>
    <row r="127" spans="1:3">
      <c r="B127" s="1644" t="str">
        <f>Huvudinmatning!B41</f>
        <v xml:space="preserve"> </v>
      </c>
      <c r="C127" s="1644">
        <f>Huvudinmatning!C41</f>
        <v>0</v>
      </c>
    </row>
    <row r="128" spans="1:3">
      <c r="A128" s="900"/>
      <c r="B128" s="1644"/>
      <c r="C128" s="1644">
        <f>Huvudinmatning!C42</f>
        <v>0</v>
      </c>
    </row>
    <row r="129" spans="1:3">
      <c r="A129" s="899" t="s">
        <v>954</v>
      </c>
      <c r="B129" s="1644">
        <f>Huvudinmatning!D33</f>
        <v>0</v>
      </c>
      <c r="C129" s="1644">
        <f>Huvudinmatning!E33</f>
        <v>0</v>
      </c>
    </row>
    <row r="130" spans="1:3">
      <c r="A130" s="900"/>
      <c r="B130" s="1644">
        <f>Huvudinmatning!D34</f>
        <v>0</v>
      </c>
      <c r="C130" s="1644">
        <f>Huvudinmatning!E34</f>
        <v>0</v>
      </c>
    </row>
    <row r="131" spans="1:3">
      <c r="A131" s="900"/>
      <c r="B131" s="1644">
        <f>Huvudinmatning!D35</f>
        <v>0</v>
      </c>
      <c r="C131" s="1644">
        <f>Huvudinmatning!E35</f>
        <v>0</v>
      </c>
    </row>
    <row r="132" spans="1:3">
      <c r="A132" s="900"/>
      <c r="B132" s="1644">
        <f>Huvudinmatning!D36</f>
        <v>0</v>
      </c>
      <c r="C132" s="1644">
        <f>Huvudinmatning!E36</f>
        <v>0</v>
      </c>
    </row>
    <row r="133" spans="1:3">
      <c r="A133" s="900"/>
      <c r="B133" s="1644">
        <f>Huvudinmatning!D37</f>
        <v>0</v>
      </c>
      <c r="C133" s="1644">
        <f>Huvudinmatning!E37</f>
        <v>0</v>
      </c>
    </row>
    <row r="134" spans="1:3">
      <c r="A134" s="900"/>
      <c r="B134" s="1644">
        <f>Huvudinmatning!D38</f>
        <v>0</v>
      </c>
      <c r="C134" s="1644">
        <f>Huvudinmatning!E38</f>
        <v>0</v>
      </c>
    </row>
    <row r="135" spans="1:3">
      <c r="A135" s="900"/>
      <c r="B135" s="1644">
        <f>Huvudinmatning!D39</f>
        <v>0</v>
      </c>
      <c r="C135" s="1644">
        <f>Huvudinmatning!E39</f>
        <v>0</v>
      </c>
    </row>
    <row r="136" spans="1:3">
      <c r="A136" s="898"/>
      <c r="B136" s="1644">
        <f>Huvudinmatning!D40</f>
        <v>0</v>
      </c>
      <c r="C136" s="1644">
        <f>Huvudinmatning!E40</f>
        <v>0</v>
      </c>
    </row>
    <row r="137" spans="1:3">
      <c r="A137" s="900"/>
      <c r="B137" s="1644"/>
      <c r="C137" s="1644"/>
    </row>
    <row r="138" spans="1:3">
      <c r="A138" s="900"/>
      <c r="B138" s="1644"/>
      <c r="C138" s="1644"/>
    </row>
    <row r="139" spans="1:3">
      <c r="A139" s="1646" t="s">
        <v>955</v>
      </c>
      <c r="B139" s="1644" t="str">
        <f t="shared" ref="B139:C139" si="23">A10</f>
        <v>Höstvete bröd</v>
      </c>
      <c r="C139" s="1644">
        <f t="shared" si="23"/>
        <v>7500</v>
      </c>
    </row>
    <row r="140" spans="1:3">
      <c r="A140" s="900"/>
      <c r="B140" s="1644" t="str">
        <f t="shared" ref="B140:B149" si="24">A11</f>
        <v>Höstvete, foder</v>
      </c>
      <c r="C140" s="1644">
        <f t="shared" ref="C140:C149" si="25">B11</f>
        <v>8500</v>
      </c>
    </row>
    <row r="141" spans="1:3">
      <c r="A141" s="900"/>
      <c r="B141" s="1644" t="str">
        <f t="shared" si="24"/>
        <v>Råg, hybrid</v>
      </c>
      <c r="C141" s="1644">
        <f t="shared" si="25"/>
        <v>6000</v>
      </c>
    </row>
    <row r="142" spans="1:3">
      <c r="A142" s="900"/>
      <c r="B142" s="1644" t="str">
        <f t="shared" si="24"/>
        <v>Rågvete</v>
      </c>
      <c r="C142" s="1644">
        <f t="shared" si="25"/>
        <v>6000</v>
      </c>
    </row>
    <row r="143" spans="1:3">
      <c r="A143" s="900"/>
      <c r="B143" s="1644" t="str">
        <f t="shared" si="24"/>
        <v>Höstkorn</v>
      </c>
      <c r="C143" s="1644">
        <f t="shared" si="25"/>
        <v>6000</v>
      </c>
    </row>
    <row r="144" spans="1:3">
      <c r="A144" s="900"/>
      <c r="B144" s="1644" t="str">
        <f t="shared" si="24"/>
        <v>Vårkorn, foder</v>
      </c>
      <c r="C144" s="1644">
        <f t="shared" si="25"/>
        <v>5500</v>
      </c>
    </row>
    <row r="145" spans="1:3">
      <c r="A145" s="900"/>
      <c r="B145" s="1644" t="str">
        <f t="shared" si="24"/>
        <v>Maltkorn</v>
      </c>
      <c r="C145" s="1644">
        <f t="shared" si="25"/>
        <v>5500</v>
      </c>
    </row>
    <row r="146" spans="1:3">
      <c r="A146" s="900"/>
      <c r="B146" s="1644" t="str">
        <f t="shared" si="24"/>
        <v>Vårvete</v>
      </c>
      <c r="C146" s="1644">
        <f t="shared" si="25"/>
        <v>5000</v>
      </c>
    </row>
    <row r="147" spans="1:3">
      <c r="A147" s="900"/>
      <c r="B147" s="1644" t="str">
        <f t="shared" si="24"/>
        <v>Havre</v>
      </c>
      <c r="C147" s="1644">
        <f t="shared" si="25"/>
        <v>5500</v>
      </c>
    </row>
    <row r="148" spans="1:3">
      <c r="A148" s="900"/>
      <c r="B148" s="1644" t="str">
        <f t="shared" si="24"/>
        <v>Oljeväxter</v>
      </c>
      <c r="C148" s="1644">
        <f t="shared" si="25"/>
        <v>0</v>
      </c>
    </row>
    <row r="149" spans="1:3">
      <c r="A149" s="900"/>
      <c r="B149" s="1644" t="str">
        <f t="shared" si="24"/>
        <v xml:space="preserve">Höstraps </v>
      </c>
      <c r="C149" s="1644">
        <f t="shared" si="25"/>
        <v>3500</v>
      </c>
    </row>
    <row r="150" spans="1:3">
      <c r="A150" s="900"/>
      <c r="B150" s="1644" t="str">
        <f t="shared" ref="B150:B166" si="26">A21</f>
        <v>Vårraps</v>
      </c>
      <c r="C150" s="1644">
        <f t="shared" ref="C150:C166" si="27">B21</f>
        <v>2000</v>
      </c>
    </row>
    <row r="151" spans="1:3">
      <c r="A151" s="900"/>
      <c r="B151" s="1644" t="str">
        <f t="shared" si="26"/>
        <v>Oljelin</v>
      </c>
      <c r="C151" s="1644">
        <f t="shared" si="27"/>
        <v>1500</v>
      </c>
    </row>
    <row r="152" spans="1:3">
      <c r="A152" s="900"/>
      <c r="B152" s="1644" t="str">
        <f t="shared" si="26"/>
        <v>Trindsäd</v>
      </c>
      <c r="C152" s="1644">
        <f t="shared" si="27"/>
        <v>0</v>
      </c>
    </row>
    <row r="153" spans="1:3">
      <c r="A153" s="900"/>
      <c r="B153" s="1644" t="str">
        <f t="shared" si="26"/>
        <v>Foderärt</v>
      </c>
      <c r="C153" s="1644">
        <f t="shared" si="27"/>
        <v>4000</v>
      </c>
    </row>
    <row r="154" spans="1:3">
      <c r="A154" s="900"/>
      <c r="B154" s="1644" t="str">
        <f t="shared" si="26"/>
        <v>Konservärter</v>
      </c>
      <c r="C154" s="1644">
        <f t="shared" si="27"/>
        <v>3600</v>
      </c>
    </row>
    <row r="155" spans="1:3">
      <c r="A155" s="900"/>
      <c r="B155" s="1644" t="str">
        <f t="shared" si="26"/>
        <v>Åkerbönor</v>
      </c>
      <c r="C155" s="1644">
        <f t="shared" si="27"/>
        <v>4000</v>
      </c>
    </row>
    <row r="156" spans="1:3">
      <c r="A156" s="900"/>
      <c r="B156" s="1644" t="str">
        <f t="shared" si="26"/>
        <v>Sockerbetor och potatis</v>
      </c>
      <c r="C156" s="1644">
        <f t="shared" si="27"/>
        <v>0</v>
      </c>
    </row>
    <row r="157" spans="1:3">
      <c r="A157" s="900"/>
      <c r="B157" s="1644" t="str">
        <f t="shared" si="26"/>
        <v>Sockerbetor</v>
      </c>
      <c r="C157" s="1644">
        <f t="shared" si="27"/>
        <v>50000</v>
      </c>
    </row>
    <row r="158" spans="1:3">
      <c r="A158" s="900"/>
      <c r="B158" s="1644" t="str">
        <f t="shared" si="26"/>
        <v>Matpotatis (parti)*</v>
      </c>
      <c r="C158" s="1644">
        <f t="shared" si="27"/>
        <v>50000</v>
      </c>
    </row>
    <row r="159" spans="1:3">
      <c r="A159" s="900"/>
      <c r="B159" s="1644" t="str">
        <f t="shared" si="26"/>
        <v>Grovfoder</v>
      </c>
      <c r="C159" s="1644">
        <f t="shared" si="27"/>
        <v>0</v>
      </c>
    </row>
    <row r="160" spans="1:3">
      <c r="A160" s="900"/>
      <c r="B160" s="1644" t="str">
        <f t="shared" si="26"/>
        <v>Slåttervall, ensilage</v>
      </c>
      <c r="C160" s="1644">
        <f t="shared" si="27"/>
        <v>9000</v>
      </c>
    </row>
    <row r="161" spans="1:3">
      <c r="A161" s="900"/>
      <c r="B161" s="1644" t="str">
        <f t="shared" si="26"/>
        <v>Helsädesensilage</v>
      </c>
      <c r="C161" s="1644">
        <f t="shared" si="27"/>
        <v>5000</v>
      </c>
    </row>
    <row r="162" spans="1:3">
      <c r="A162" s="900"/>
      <c r="B162" s="1644" t="str">
        <f t="shared" si="26"/>
        <v>Fodermajs</v>
      </c>
      <c r="C162" s="1644">
        <f t="shared" si="27"/>
        <v>10000</v>
      </c>
    </row>
    <row r="163" spans="1:3">
      <c r="A163" s="900"/>
      <c r="B163" s="1644">
        <f t="shared" si="26"/>
        <v>0</v>
      </c>
      <c r="C163" s="1644">
        <f t="shared" si="27"/>
        <v>0</v>
      </c>
    </row>
    <row r="164" spans="1:3">
      <c r="A164" s="900"/>
      <c r="B164" s="1644">
        <f t="shared" si="26"/>
        <v>0</v>
      </c>
      <c r="C164" s="1644">
        <f t="shared" si="27"/>
        <v>0</v>
      </c>
    </row>
    <row r="165" spans="1:3">
      <c r="A165" s="900"/>
      <c r="B165" s="1644" t="str">
        <f t="shared" si="26"/>
        <v>Annan gröda</v>
      </c>
      <c r="C165" s="1644" t="str">
        <f t="shared" si="27"/>
        <v>Skörd</v>
      </c>
    </row>
    <row r="166" spans="1:3">
      <c r="A166" s="900"/>
      <c r="B166" s="1644">
        <f t="shared" si="26"/>
        <v>0</v>
      </c>
      <c r="C166" s="1644" t="str">
        <f t="shared" si="27"/>
        <v>Schablon</v>
      </c>
    </row>
    <row r="167" spans="1:3">
      <c r="A167" s="900"/>
      <c r="B167" s="1644" t="str">
        <f t="shared" ref="B167:B173" si="28">A38</f>
        <v>Gröngödsling</v>
      </c>
      <c r="C167" s="1644">
        <f t="shared" ref="C167:C173" si="29">B38</f>
        <v>3000</v>
      </c>
    </row>
    <row r="168" spans="1:3">
      <c r="A168" s="900"/>
      <c r="B168" s="1644" t="str">
        <f t="shared" si="28"/>
        <v>Fröodling</v>
      </c>
      <c r="C168" s="1644">
        <f t="shared" si="29"/>
        <v>600</v>
      </c>
    </row>
    <row r="169" spans="1:3">
      <c r="A169" s="900"/>
      <c r="B169" s="1644">
        <f t="shared" si="28"/>
        <v>0</v>
      </c>
      <c r="C169" s="1644">
        <f t="shared" si="29"/>
        <v>0</v>
      </c>
    </row>
    <row r="170" spans="1:3">
      <c r="A170" s="900"/>
      <c r="B170" s="1644">
        <f t="shared" si="28"/>
        <v>0</v>
      </c>
      <c r="C170" s="1644">
        <f t="shared" si="29"/>
        <v>0</v>
      </c>
    </row>
    <row r="171" spans="1:3">
      <c r="A171" s="900"/>
      <c r="B171" s="1644">
        <f t="shared" si="28"/>
        <v>0</v>
      </c>
      <c r="C171" s="1644">
        <f t="shared" si="29"/>
        <v>0</v>
      </c>
    </row>
    <row r="172" spans="1:3">
      <c r="A172" s="900"/>
      <c r="B172" s="1644">
        <f t="shared" si="28"/>
        <v>0</v>
      </c>
      <c r="C172" s="1644">
        <f t="shared" si="29"/>
        <v>0</v>
      </c>
    </row>
    <row r="173" spans="1:3">
      <c r="A173" s="898"/>
      <c r="B173" s="1644">
        <f t="shared" si="28"/>
        <v>0</v>
      </c>
      <c r="C173" s="1644">
        <f t="shared" si="29"/>
        <v>0</v>
      </c>
    </row>
  </sheetData>
  <sheetProtection sheet="1" objects="1" scenarios="1"/>
  <protectedRanges>
    <protectedRange sqref="B38:B39 D38:D39" name="Område6"/>
    <protectedRange sqref="D20:D21" name="Område2_1"/>
    <protectedRange sqref="D10:D18" name="Område2"/>
    <protectedRange sqref="V10" name="Halmpris"/>
    <protectedRange sqref="B10:B18 B20:B21 D22 B24:B26 D24:D26 B28:B29 D28:D29 B31:B34 D31:D34 A34 E34:I34 A40:B44 D40:I44" name="Område1"/>
    <protectedRange sqref="Q6" name="NPK pris"/>
    <protectedRange sqref="N40:N44" name="Område7"/>
  </protectedRanges>
  <phoneticPr fontId="24" type="noConversion"/>
  <pageMargins left="0.74791666666666667" right="0.74791666666666667" top="0.98402777777777772" bottom="0.98402777777777772" header="0.51180555555555551" footer="0.51180555555555551"/>
  <pageSetup paperSize="9" scale="56" firstPageNumber="0" orientation="portrait" horizontalDpi="300" verticalDpi="300" r:id="rId1"/>
  <headerFooter alignWithMargins="0"/>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2">
    <tabColor theme="3" tint="0.59999389629810485"/>
  </sheetPr>
  <dimension ref="A1:AB90"/>
  <sheetViews>
    <sheetView topLeftCell="A9" zoomScale="90" zoomScaleNormal="90" workbookViewId="0">
      <selection activeCell="M29" sqref="M29"/>
    </sheetView>
  </sheetViews>
  <sheetFormatPr defaultRowHeight="12.75"/>
  <cols>
    <col min="2" max="2" width="13.5703125" customWidth="1"/>
    <col min="3" max="3" width="10.28515625" customWidth="1"/>
    <col min="9" max="9" width="11" customWidth="1"/>
    <col min="10" max="10" width="10.140625" customWidth="1"/>
    <col min="15" max="15" width="10.140625" customWidth="1"/>
    <col min="16" max="16" width="11.7109375" customWidth="1"/>
    <col min="17" max="17" width="12" customWidth="1"/>
    <col min="18" max="18" width="11.28515625" customWidth="1"/>
    <col min="19" max="19" width="8.85546875" customWidth="1"/>
    <col min="20" max="20" width="11.7109375" customWidth="1"/>
    <col min="21" max="21" width="10.42578125" customWidth="1"/>
    <col min="27" max="27" width="9.140625" style="104"/>
  </cols>
  <sheetData>
    <row r="1" spans="1:28">
      <c r="A1" s="665"/>
      <c r="B1" s="665"/>
      <c r="C1" s="665"/>
      <c r="D1" s="665"/>
      <c r="E1" s="665"/>
      <c r="F1" s="665"/>
      <c r="G1" s="665"/>
      <c r="H1" s="665"/>
      <c r="I1" s="665"/>
      <c r="J1" s="665"/>
      <c r="K1" s="665"/>
      <c r="L1" s="665"/>
      <c r="M1" s="665"/>
      <c r="N1" s="665"/>
      <c r="O1" s="665"/>
      <c r="P1" s="665"/>
      <c r="Q1" s="665"/>
      <c r="R1" s="665"/>
      <c r="S1" s="665"/>
      <c r="T1" s="665"/>
      <c r="U1" s="665"/>
      <c r="V1" s="665"/>
      <c r="W1" s="665"/>
      <c r="X1" s="665"/>
      <c r="Y1" s="665"/>
      <c r="Z1" s="665"/>
    </row>
    <row r="2" spans="1:28" ht="18">
      <c r="A2" s="665"/>
      <c r="B2" s="1138" t="s">
        <v>789</v>
      </c>
      <c r="C2" s="665"/>
      <c r="D2" s="665"/>
      <c r="E2" s="665"/>
      <c r="F2" s="665"/>
      <c r="G2" s="665"/>
      <c r="H2" s="665"/>
      <c r="I2" s="665"/>
      <c r="J2" s="665"/>
      <c r="K2" s="665"/>
      <c r="L2" s="665"/>
      <c r="M2" s="665"/>
      <c r="N2" s="665"/>
      <c r="O2" s="665"/>
      <c r="P2" s="665"/>
      <c r="Q2" s="665"/>
      <c r="R2" s="665"/>
      <c r="S2" s="665"/>
      <c r="T2" s="665"/>
      <c r="U2" s="665"/>
      <c r="V2" s="665"/>
      <c r="W2" s="665"/>
      <c r="X2" s="665"/>
      <c r="Y2" s="665"/>
      <c r="Z2" s="665"/>
      <c r="AA2" s="663"/>
      <c r="AB2" s="665"/>
    </row>
    <row r="3" spans="1:28">
      <c r="A3" s="665"/>
      <c r="B3" s="665"/>
      <c r="C3" s="665"/>
      <c r="D3" s="665"/>
      <c r="E3" s="665"/>
      <c r="F3" s="665"/>
      <c r="G3" s="665"/>
      <c r="H3" s="665"/>
      <c r="I3" s="665"/>
      <c r="J3" s="665"/>
      <c r="K3" s="665"/>
      <c r="L3" s="665"/>
      <c r="M3" s="665"/>
      <c r="N3" s="665"/>
      <c r="O3" s="665"/>
      <c r="P3" s="665"/>
      <c r="Q3" s="665"/>
      <c r="R3" s="665"/>
      <c r="S3" s="665"/>
      <c r="T3" s="665"/>
      <c r="U3" s="665"/>
      <c r="V3" s="665"/>
      <c r="W3" s="665"/>
      <c r="X3" s="665"/>
      <c r="Y3" s="665"/>
      <c r="Z3" s="665"/>
      <c r="AA3" s="663"/>
      <c r="AB3" s="665"/>
    </row>
    <row r="4" spans="1:28">
      <c r="A4" s="665"/>
      <c r="B4" s="665"/>
      <c r="C4" s="665"/>
      <c r="D4" s="665"/>
      <c r="E4" s="665"/>
      <c r="F4" s="665"/>
      <c r="G4" s="665"/>
      <c r="H4" s="665"/>
      <c r="I4" s="665"/>
      <c r="J4" s="665"/>
      <c r="K4" s="665"/>
      <c r="L4" s="665"/>
      <c r="M4" s="665"/>
      <c r="N4" s="665"/>
      <c r="O4" s="665"/>
      <c r="P4" s="665"/>
      <c r="Q4" s="665"/>
      <c r="R4" s="665"/>
      <c r="S4" s="665"/>
      <c r="T4" s="665"/>
      <c r="U4" s="665"/>
      <c r="V4" s="665"/>
      <c r="W4" s="665"/>
      <c r="X4" s="665"/>
      <c r="Y4" s="665"/>
      <c r="Z4" s="665"/>
      <c r="AA4" s="663"/>
      <c r="AB4" s="665"/>
    </row>
    <row r="5" spans="1:28">
      <c r="A5" s="665"/>
      <c r="B5" s="665"/>
      <c r="C5" s="665"/>
      <c r="D5" s="665"/>
      <c r="E5" s="665"/>
      <c r="F5" s="665"/>
      <c r="G5" s="665"/>
      <c r="H5" s="665"/>
      <c r="I5" s="665"/>
      <c r="J5" s="665"/>
      <c r="K5" s="665"/>
      <c r="L5" s="665"/>
      <c r="M5" s="665"/>
      <c r="N5" s="665"/>
      <c r="O5" s="665"/>
      <c r="P5" s="774"/>
      <c r="Q5" s="775"/>
      <c r="R5" s="775"/>
      <c r="S5" s="775"/>
      <c r="T5" s="775"/>
      <c r="U5" s="775"/>
      <c r="V5" s="775"/>
      <c r="W5" s="775"/>
      <c r="X5" s="775"/>
      <c r="Y5" s="677"/>
      <c r="Z5" s="665"/>
      <c r="AA5" s="663"/>
      <c r="AB5" s="665"/>
    </row>
    <row r="6" spans="1:28">
      <c r="A6" s="665"/>
      <c r="B6" s="665"/>
      <c r="C6" s="665"/>
      <c r="D6" s="665"/>
      <c r="E6" s="665"/>
      <c r="F6" s="665"/>
      <c r="G6" s="665"/>
      <c r="H6" s="665"/>
      <c r="I6" s="665"/>
      <c r="J6" s="665"/>
      <c r="K6" s="665"/>
      <c r="L6" s="665"/>
      <c r="M6" s="665"/>
      <c r="N6" s="665"/>
      <c r="O6" s="665"/>
      <c r="P6" s="776"/>
      <c r="Q6" s="674" t="s">
        <v>866</v>
      </c>
      <c r="R6" s="526"/>
      <c r="S6" s="526"/>
      <c r="T6" s="526"/>
      <c r="U6" s="526"/>
      <c r="V6" s="526"/>
      <c r="W6" s="526"/>
      <c r="X6" s="526"/>
      <c r="Y6" s="678"/>
      <c r="Z6" s="665"/>
      <c r="AA6" s="663" t="s">
        <v>1326</v>
      </c>
      <c r="AB6" s="665"/>
    </row>
    <row r="7" spans="1:28">
      <c r="A7" s="665"/>
      <c r="B7" s="773" t="s">
        <v>1874</v>
      </c>
      <c r="C7" s="665"/>
      <c r="D7" s="665"/>
      <c r="E7" s="665"/>
      <c r="F7" s="665"/>
      <c r="G7" s="665"/>
      <c r="H7" s="665"/>
      <c r="I7" s="665"/>
      <c r="J7" s="665"/>
      <c r="K7" s="665"/>
      <c r="L7" s="665"/>
      <c r="M7" s="665"/>
      <c r="N7" s="665"/>
      <c r="O7" s="665"/>
      <c r="P7" s="776"/>
      <c r="Q7" s="526"/>
      <c r="R7" s="526"/>
      <c r="S7" s="526"/>
      <c r="T7" s="526"/>
      <c r="U7" s="526"/>
      <c r="V7" s="526"/>
      <c r="W7" s="526"/>
      <c r="X7" s="526"/>
      <c r="Y7" s="678"/>
      <c r="Z7" s="665"/>
      <c r="AA7" s="663" t="s">
        <v>1327</v>
      </c>
      <c r="AB7" s="665"/>
    </row>
    <row r="8" spans="1:28">
      <c r="A8" s="665"/>
      <c r="B8" s="665"/>
      <c r="C8" s="665"/>
      <c r="D8" s="665"/>
      <c r="E8" s="665"/>
      <c r="F8" s="665"/>
      <c r="G8" s="665"/>
      <c r="H8" s="665"/>
      <c r="I8" s="720" t="s">
        <v>782</v>
      </c>
      <c r="J8" s="701"/>
      <c r="K8" s="702"/>
      <c r="L8" s="665"/>
      <c r="M8" s="665"/>
      <c r="N8" s="665"/>
      <c r="O8" s="665"/>
      <c r="P8" s="776"/>
      <c r="Q8" s="694"/>
      <c r="R8" s="694" t="s">
        <v>133</v>
      </c>
      <c r="S8" s="526"/>
      <c r="T8" s="674" t="s">
        <v>945</v>
      </c>
      <c r="U8" s="674"/>
      <c r="V8" s="674"/>
      <c r="W8" s="526"/>
      <c r="X8" s="526"/>
      <c r="Y8" s="678"/>
      <c r="Z8" s="665"/>
      <c r="AA8" s="663"/>
      <c r="AB8" s="665"/>
    </row>
    <row r="9" spans="1:28">
      <c r="A9" s="665"/>
      <c r="B9" s="773" t="s">
        <v>725</v>
      </c>
      <c r="C9" s="665"/>
      <c r="D9" s="665"/>
      <c r="E9" s="665"/>
      <c r="F9" s="665"/>
      <c r="G9" s="665"/>
      <c r="H9" s="665"/>
      <c r="I9" s="800">
        <f>Gröddata!Q3</f>
        <v>9.14</v>
      </c>
      <c r="J9" s="800">
        <f>Gröddata!Q4</f>
        <v>19.04</v>
      </c>
      <c r="K9" s="800">
        <f>Gröddata!Q5</f>
        <v>7.53</v>
      </c>
      <c r="L9" s="665"/>
      <c r="M9" s="665"/>
      <c r="N9" s="665"/>
      <c r="O9" s="665"/>
      <c r="P9" s="776"/>
      <c r="Q9" s="694">
        <v>1</v>
      </c>
      <c r="R9" s="907" t="str">
        <f>IF(Kostnader!H11=" "," ",(INDEX(Stallgödseldata!B$16:C$27,MATCH(Kostnader!H11,Stallgödseldata!B$16:B$27,0),2)))</f>
        <v xml:space="preserve"> </v>
      </c>
      <c r="S9" s="526"/>
      <c r="T9" s="674" t="s">
        <v>946</v>
      </c>
      <c r="U9" s="674"/>
      <c r="V9" s="674"/>
      <c r="W9" s="526"/>
      <c r="X9" s="526"/>
      <c r="Y9" s="678"/>
      <c r="Z9" s="665"/>
      <c r="AA9" s="696" t="str">
        <f>IF(R9=" "," ",IF(R9=1,1,IF(R9=2,2,IF(R9=3,1,2))))</f>
        <v xml:space="preserve"> </v>
      </c>
      <c r="AB9" s="665"/>
    </row>
    <row r="10" spans="1:28">
      <c r="A10" s="665"/>
      <c r="B10" s="665"/>
      <c r="C10" s="665"/>
      <c r="D10" s="665"/>
      <c r="E10" s="665"/>
      <c r="F10" s="665"/>
      <c r="G10" s="665"/>
      <c r="H10" s="665"/>
      <c r="I10" s="694" t="s">
        <v>783</v>
      </c>
      <c r="J10" s="694" t="s">
        <v>784</v>
      </c>
      <c r="K10" s="694" t="s">
        <v>785</v>
      </c>
      <c r="L10" s="665"/>
      <c r="M10" s="665"/>
      <c r="N10" s="665"/>
      <c r="O10" s="665"/>
      <c r="P10" s="776"/>
      <c r="Q10" s="1101">
        <v>2</v>
      </c>
      <c r="R10" s="907" t="str">
        <f>IF(Kostnader!H12=" "," ",(INDEX(Stallgödseldata!B$16:C$27,MATCH(Kostnader!H12,Stallgödseldata!B$16:B$27,0),2)))</f>
        <v xml:space="preserve"> </v>
      </c>
      <c r="S10" s="526"/>
      <c r="T10" s="697"/>
      <c r="U10" s="696" t="s">
        <v>799</v>
      </c>
      <c r="V10" s="696" t="s">
        <v>800</v>
      </c>
      <c r="W10" s="696" t="s">
        <v>986</v>
      </c>
      <c r="X10" s="696" t="s">
        <v>1325</v>
      </c>
      <c r="Y10" s="678"/>
      <c r="Z10" s="665"/>
      <c r="AA10" s="696" t="str">
        <f t="shared" ref="AA10:AA31" si="0">IF(R10=" "," ",IF(R10=1,1,IF(R10=2,2,IF(R10=3,1,2))))</f>
        <v xml:space="preserve"> </v>
      </c>
      <c r="AB10" s="665"/>
    </row>
    <row r="11" spans="1:28">
      <c r="A11" s="665"/>
      <c r="B11" s="697" t="s">
        <v>728</v>
      </c>
      <c r="C11" s="697" t="s">
        <v>309</v>
      </c>
      <c r="D11" s="798" t="s">
        <v>494</v>
      </c>
      <c r="E11" s="775" t="s">
        <v>780</v>
      </c>
      <c r="F11" s="701"/>
      <c r="G11" s="701"/>
      <c r="H11" s="702"/>
      <c r="I11" s="774" t="s">
        <v>721</v>
      </c>
      <c r="J11" s="798" t="s">
        <v>778</v>
      </c>
      <c r="K11" s="775" t="s">
        <v>779</v>
      </c>
      <c r="L11" s="697" t="s">
        <v>770</v>
      </c>
      <c r="M11" s="1100" t="s">
        <v>724</v>
      </c>
      <c r="N11" s="665"/>
      <c r="O11" s="665"/>
      <c r="P11" s="776"/>
      <c r="Q11" s="694">
        <v>3</v>
      </c>
      <c r="R11" s="907" t="str">
        <f>IF(Kostnader!H13=" "," ",(INDEX(Stallgödseldata!B$16:C$27,MATCH(Kostnader!H13,Stallgödseldata!B$16:B$27,0),2)))</f>
        <v xml:space="preserve"> </v>
      </c>
      <c r="S11" s="526"/>
      <c r="T11" s="703"/>
      <c r="U11" s="696">
        <v>1</v>
      </c>
      <c r="V11" s="696">
        <v>2</v>
      </c>
      <c r="W11" s="696">
        <v>3</v>
      </c>
      <c r="X11" s="696">
        <v>4</v>
      </c>
      <c r="Y11" s="678"/>
      <c r="Z11" s="665"/>
      <c r="AA11" s="696" t="str">
        <f t="shared" si="0"/>
        <v xml:space="preserve"> </v>
      </c>
      <c r="AB11" s="665"/>
    </row>
    <row r="12" spans="1:28">
      <c r="A12" s="665"/>
      <c r="B12" s="796" t="s">
        <v>781</v>
      </c>
      <c r="C12" s="796" t="s">
        <v>796</v>
      </c>
      <c r="D12" s="796"/>
      <c r="E12" s="1673" t="s">
        <v>720</v>
      </c>
      <c r="F12" s="798" t="s">
        <v>487</v>
      </c>
      <c r="G12" s="1673" t="s">
        <v>464</v>
      </c>
      <c r="H12" s="798" t="s">
        <v>465</v>
      </c>
      <c r="I12" s="1674">
        <v>0.8</v>
      </c>
      <c r="J12" s="807">
        <v>1</v>
      </c>
      <c r="K12" s="1674">
        <v>1</v>
      </c>
      <c r="L12" s="796"/>
      <c r="M12" s="796" t="s">
        <v>740</v>
      </c>
      <c r="N12" s="526"/>
      <c r="O12" s="665"/>
      <c r="P12" s="776"/>
      <c r="Q12" s="694">
        <v>4</v>
      </c>
      <c r="R12" s="907" t="str">
        <f>IF(Kostnader!H14=" "," ",(INDEX(Stallgödseldata!B$16:C$27,MATCH(Kostnader!H14,Stallgödseldata!B$16:B$27,0),2)))</f>
        <v xml:space="preserve"> </v>
      </c>
      <c r="S12" s="526"/>
      <c r="T12" s="803" t="s">
        <v>488</v>
      </c>
      <c r="U12" s="800">
        <f>(D48*$C48)+(D49*$C49)+(D50*$C50)+(D51*$C51)+(D52*$C52)+(D53*$C53)</f>
        <v>19.47936</v>
      </c>
      <c r="V12" s="800">
        <f>(I48*$C48)+(I49*$C49)+(I50*$C50)+(I51*$C51)+(I52*$C52)+(I53*$C53)</f>
        <v>13.315200000000001</v>
      </c>
      <c r="W12" s="800">
        <f>(N48*$C48)+(N49*$C49)+(N50*$C50)+(N51*$C51)+(N52*$C52)+(N53*$C53)</f>
        <v>19.47936</v>
      </c>
      <c r="X12" s="800">
        <f>(S48*$C48)+(S49*$C49)+(S50*$C50)+(S51*$C51)+(S52*$C52)+(S53*$C53)</f>
        <v>13.315200000000001</v>
      </c>
      <c r="Y12" s="678"/>
      <c r="Z12" s="665"/>
      <c r="AA12" s="696" t="str">
        <f t="shared" si="0"/>
        <v xml:space="preserve"> </v>
      </c>
      <c r="AB12" s="665"/>
    </row>
    <row r="13" spans="1:28">
      <c r="A13" s="665"/>
      <c r="B13" s="796"/>
      <c r="C13" s="796" t="s">
        <v>797</v>
      </c>
      <c r="D13" s="796"/>
      <c r="E13" s="665"/>
      <c r="F13" s="796"/>
      <c r="G13" s="665"/>
      <c r="H13" s="796"/>
      <c r="I13" s="665"/>
      <c r="J13" s="796"/>
      <c r="K13" s="665"/>
      <c r="L13" s="796"/>
      <c r="M13" s="796"/>
      <c r="N13" s="665"/>
      <c r="O13" s="665"/>
      <c r="P13" s="776"/>
      <c r="Q13" s="694">
        <v>5</v>
      </c>
      <c r="R13" s="907" t="str">
        <f>IF(Kostnader!H15=" "," ",(INDEX(Stallgödseldata!B$16:C$27,MATCH(Kostnader!H15,Stallgödseldata!B$16:B$27,0),2)))</f>
        <v xml:space="preserve"> </v>
      </c>
      <c r="S13" s="526"/>
      <c r="T13" s="803" t="s">
        <v>790</v>
      </c>
      <c r="U13" s="800">
        <f>(E48*$C48)+(E49*$C49)+(E50*$C50)+(E51*$C51)+(E52*$C52)+(E53*$C53)</f>
        <v>7.0567200000000003</v>
      </c>
      <c r="V13" s="800">
        <f>(J48*$C48)+(J49*$C49)+(J50*$C50)+(J51*$C51)+(J52*$C52)+(J53*$C53)</f>
        <v>1.998</v>
      </c>
      <c r="W13" s="800">
        <f>(O48*$C48)+(O49*$C49)+(O50*$C50)+(O51*$C51)+(O52*$C52)+(O53*$C53)</f>
        <v>7.0567200000000003</v>
      </c>
      <c r="X13" s="800">
        <f>(T48*$C48)+(T49*$C49)+(T50*$C50)+(T51*$C51)+(T52*$C52)+(T53*$C53)</f>
        <v>1.998</v>
      </c>
      <c r="Y13" s="678"/>
      <c r="Z13" s="665"/>
      <c r="AA13" s="696" t="str">
        <f t="shared" si="0"/>
        <v xml:space="preserve"> </v>
      </c>
      <c r="AB13" s="665"/>
    </row>
    <row r="14" spans="1:28">
      <c r="A14" s="665"/>
      <c r="B14" s="796"/>
      <c r="C14" s="796" t="s">
        <v>984</v>
      </c>
      <c r="D14" s="796"/>
      <c r="E14" s="665"/>
      <c r="F14" s="796"/>
      <c r="G14" s="665"/>
      <c r="H14" s="796"/>
      <c r="I14" s="665"/>
      <c r="J14" s="796"/>
      <c r="K14" s="665"/>
      <c r="L14" s="796"/>
      <c r="M14" s="796"/>
      <c r="N14" s="665"/>
      <c r="O14" s="665"/>
      <c r="P14" s="776"/>
      <c r="Q14" s="694">
        <v>6</v>
      </c>
      <c r="R14" s="907" t="str">
        <f>IF(Kostnader!H16=" "," ",(INDEX(Stallgödseldata!B$16:C$27,MATCH(Kostnader!H16,Stallgödseldata!B$16:B$27,0),2)))</f>
        <v xml:space="preserve"> </v>
      </c>
      <c r="S14" s="526"/>
      <c r="T14" s="803" t="s">
        <v>788</v>
      </c>
      <c r="U14" s="800">
        <f>(F48*$C48)+(F49*$C49)+(F50*$C50)+(F51*$C51)+(F52*$C52)+(F53*$C53)</f>
        <v>10.29072</v>
      </c>
      <c r="V14" s="800" t="s">
        <v>795</v>
      </c>
      <c r="W14" s="800">
        <f>(P48*$C48)+(P49*$C49)+(P50*$C50)+(P51*$C51)+(P52*$C52)+(P53*$C53)</f>
        <v>10.29072</v>
      </c>
      <c r="X14" s="800" t="s">
        <v>795</v>
      </c>
      <c r="Y14" s="678"/>
      <c r="Z14" s="665"/>
      <c r="AA14" s="696" t="str">
        <f t="shared" si="0"/>
        <v xml:space="preserve"> </v>
      </c>
      <c r="AB14" s="665"/>
    </row>
    <row r="15" spans="1:28">
      <c r="A15" s="665"/>
      <c r="B15" s="703"/>
      <c r="C15" s="703" t="s">
        <v>985</v>
      </c>
      <c r="D15" s="799" t="s">
        <v>120</v>
      </c>
      <c r="E15" s="766"/>
      <c r="F15" s="703" t="s">
        <v>761</v>
      </c>
      <c r="G15" s="766" t="s">
        <v>761</v>
      </c>
      <c r="H15" s="703" t="s">
        <v>761</v>
      </c>
      <c r="I15" s="766" t="s">
        <v>777</v>
      </c>
      <c r="J15" s="799" t="s">
        <v>777</v>
      </c>
      <c r="K15" s="1675" t="s">
        <v>777</v>
      </c>
      <c r="L15" s="703" t="s">
        <v>762</v>
      </c>
      <c r="M15" s="703" t="s">
        <v>762</v>
      </c>
      <c r="N15" s="665"/>
      <c r="O15" s="665"/>
      <c r="P15" s="776"/>
      <c r="Q15" s="694">
        <v>7</v>
      </c>
      <c r="R15" s="907" t="str">
        <f>IF(Kostnader!H17=" "," ",(INDEX(Stallgödseldata!B$16:C$27,MATCH(Kostnader!H17,Stallgödseldata!B$16:B$27,0),2)))</f>
        <v xml:space="preserve"> </v>
      </c>
      <c r="S15" s="526"/>
      <c r="T15" s="803" t="s">
        <v>786</v>
      </c>
      <c r="U15" s="800">
        <f>(G48*$C48)+(G49*$C49)+(G50*$C50)+(G51*$C51)+(G52*$C52)+(G53*$C53)</f>
        <v>3.44232</v>
      </c>
      <c r="V15" s="800">
        <f>(L48*$C48)+(L49*$C49)+(L50*$C50)+(L51*$C51)+(L52*$C52)+(L53*$C53)</f>
        <v>1.6375199999999999</v>
      </c>
      <c r="W15" s="800">
        <f>(Q48*$C48)+(Q49*$C49)+(Q50*$C50)+(Q51*$C51)+(Q52*$C52)+(Q53*$C53)</f>
        <v>3.44232</v>
      </c>
      <c r="X15" s="800">
        <f>(V48*$C48)+(V49*$C49)+(V50*$C50)+(V51*$C51)+(V52*$C52)+(V53*$C53)</f>
        <v>1.6375199999999999</v>
      </c>
      <c r="Y15" s="678"/>
      <c r="Z15" s="665"/>
      <c r="AA15" s="696" t="str">
        <f t="shared" si="0"/>
        <v xml:space="preserve"> </v>
      </c>
      <c r="AB15" s="665"/>
    </row>
    <row r="16" spans="1:28">
      <c r="A16" s="665"/>
      <c r="B16" s="1346" t="s">
        <v>484</v>
      </c>
      <c r="C16" s="1107">
        <v>1</v>
      </c>
      <c r="D16" s="1347">
        <v>5.8</v>
      </c>
      <c r="E16" s="1347">
        <v>3.3</v>
      </c>
      <c r="F16" s="1347">
        <v>2.2999999999999998</v>
      </c>
      <c r="G16" s="503">
        <v>1.1000000000000001</v>
      </c>
      <c r="H16" s="503">
        <v>1.6</v>
      </c>
      <c r="I16" s="1348">
        <f>F16*Gröddata!Q$3*Stallgödseldata!I$12</f>
        <v>16.817599999999999</v>
      </c>
      <c r="J16" s="1349">
        <f>(G16*Gröddata!Q$4)*Stallgödseldata!$J$12</f>
        <v>20.943999999999999</v>
      </c>
      <c r="K16" s="1108">
        <f>H16*Gröddata!Q$5*Stallgödseldata!K$12</f>
        <v>12.048000000000002</v>
      </c>
      <c r="L16" s="1350">
        <f>SUM(I16:K16)</f>
        <v>49.809600000000003</v>
      </c>
      <c r="M16" s="1672">
        <v>23</v>
      </c>
      <c r="N16" s="665"/>
      <c r="O16" s="665"/>
      <c r="P16" s="776"/>
      <c r="Q16" s="694">
        <v>8</v>
      </c>
      <c r="R16" s="907" t="str">
        <f>IF(Kostnader!H18=" "," ",(INDEX(Stallgödseldata!B$16:C$27,MATCH(Kostnader!H18,Stallgödseldata!B$16:B$27,0),2)))</f>
        <v xml:space="preserve"> </v>
      </c>
      <c r="S16" s="526"/>
      <c r="T16" s="803" t="s">
        <v>787</v>
      </c>
      <c r="U16" s="800">
        <f>(H48*$C48)+(H49*$C49)+(H50*$C50)+(H51*$C51)+(H52*$C52)+(H53*$C53)</f>
        <v>7.2957600000000005</v>
      </c>
      <c r="V16" s="800">
        <f>(M48*$C48)+(M49*$C49)+(M50*$C50)+(M51*$C51)+(M52*$C52)+(M53*$C53)</f>
        <v>2.9016000000000002</v>
      </c>
      <c r="W16" s="800">
        <f>(R48*$C48)+(R49*$C49)+(R50*$C50)+(R51*$C51)+(R52*$C52)+(R53*$C53)</f>
        <v>7.2957600000000005</v>
      </c>
      <c r="X16" s="800">
        <f>(W48*$C48)+(W49*$C49)+(W50*$C50)+(W51*$C51)+(W52*$C52)+(W53*$C53)</f>
        <v>2.9016000000000002</v>
      </c>
      <c r="Y16" s="678"/>
      <c r="Z16" s="665"/>
      <c r="AA16" s="696" t="str">
        <f t="shared" si="0"/>
        <v xml:space="preserve"> </v>
      </c>
      <c r="AB16" s="665"/>
    </row>
    <row r="17" spans="1:28">
      <c r="A17" s="665"/>
      <c r="B17" s="520" t="s">
        <v>485</v>
      </c>
      <c r="C17" s="1107">
        <v>1</v>
      </c>
      <c r="D17" s="1108">
        <v>8.3000000000000007</v>
      </c>
      <c r="E17" s="1108">
        <v>3.6</v>
      </c>
      <c r="F17" s="521">
        <v>1.8</v>
      </c>
      <c r="G17" s="521">
        <v>0.6</v>
      </c>
      <c r="H17" s="521">
        <v>3.6</v>
      </c>
      <c r="I17" s="1348">
        <f>F17*Gröddata!Q$3*Stallgödseldata!I$12</f>
        <v>13.161600000000002</v>
      </c>
      <c r="J17" s="1349">
        <f>(G17*Gröddata!Q$4)*Stallgödseldata!$J$12</f>
        <v>11.423999999999999</v>
      </c>
      <c r="K17" s="1108">
        <f>H17*Gröddata!Q$5*Stallgödseldata!K$12</f>
        <v>27.108000000000001</v>
      </c>
      <c r="L17" s="1350">
        <f t="shared" ref="L17:L27" si="1">SUM(I17:K17)</f>
        <v>51.693600000000004</v>
      </c>
      <c r="M17" s="1595">
        <v>23</v>
      </c>
      <c r="N17" s="665"/>
      <c r="O17" s="665"/>
      <c r="P17" s="776"/>
      <c r="Q17" s="694">
        <v>9</v>
      </c>
      <c r="R17" s="907" t="str">
        <f>IF(Kostnader!H19=" "," ",(INDEX(Stallgödseldata!B$16:C$27,MATCH(Kostnader!H19,Stallgödseldata!B$16:B$27,0),2)))</f>
        <v xml:space="preserve"> </v>
      </c>
      <c r="S17" s="526"/>
      <c r="T17" s="526"/>
      <c r="U17" s="526"/>
      <c r="V17" s="526"/>
      <c r="W17" s="526"/>
      <c r="X17" s="526"/>
      <c r="Y17" s="678"/>
      <c r="Z17" s="665"/>
      <c r="AA17" s="696" t="str">
        <f t="shared" si="0"/>
        <v xml:space="preserve"> </v>
      </c>
      <c r="AB17" s="665"/>
    </row>
    <row r="18" spans="1:28">
      <c r="A18" s="665"/>
      <c r="B18" s="520" t="s">
        <v>489</v>
      </c>
      <c r="C18" s="1107">
        <v>2</v>
      </c>
      <c r="D18" s="1108">
        <v>24</v>
      </c>
      <c r="E18" s="1108">
        <v>6.6</v>
      </c>
      <c r="F18" s="521">
        <v>1.6</v>
      </c>
      <c r="G18" s="521">
        <v>3.9</v>
      </c>
      <c r="H18" s="521">
        <v>2.5</v>
      </c>
      <c r="I18" s="1348">
        <f>F18*Gröddata!Q$3*Stallgödseldata!I$12</f>
        <v>11.699200000000003</v>
      </c>
      <c r="J18" s="1349">
        <f>(G18*Gröddata!Q$4)*Stallgödseldata!$J$12</f>
        <v>74.256</v>
      </c>
      <c r="K18" s="1108">
        <f>H18*Gröddata!Q$5*Stallgödseldata!K$12</f>
        <v>18.824999999999999</v>
      </c>
      <c r="L18" s="1350">
        <f t="shared" si="1"/>
        <v>104.78020000000001</v>
      </c>
      <c r="M18" s="484">
        <v>30</v>
      </c>
      <c r="N18" s="665"/>
      <c r="O18" s="665"/>
      <c r="P18" s="776"/>
      <c r="Q18" s="694">
        <v>10</v>
      </c>
      <c r="R18" s="907" t="str">
        <f>IF(Kostnader!H20=" "," ",(INDEX(Stallgödseldata!B$16:C$27,MATCH(Kostnader!H20,Stallgödseldata!B$16:B$27,0),2)))</f>
        <v xml:space="preserve"> </v>
      </c>
      <c r="S18" s="526"/>
      <c r="T18" s="526"/>
      <c r="U18" s="526"/>
      <c r="V18" s="526"/>
      <c r="W18" s="526"/>
      <c r="X18" s="526"/>
      <c r="Y18" s="678"/>
      <c r="Z18" s="665"/>
      <c r="AA18" s="696" t="str">
        <f t="shared" si="0"/>
        <v xml:space="preserve"> </v>
      </c>
      <c r="AB18" s="665"/>
    </row>
    <row r="19" spans="1:28">
      <c r="A19" s="665"/>
      <c r="B19" s="520" t="s">
        <v>491</v>
      </c>
      <c r="C19" s="1107">
        <v>2</v>
      </c>
      <c r="D19" s="1108">
        <v>20</v>
      </c>
      <c r="E19" s="1108">
        <v>5.7</v>
      </c>
      <c r="F19" s="1108">
        <v>1.4</v>
      </c>
      <c r="G19" s="1108">
        <v>1.6</v>
      </c>
      <c r="H19" s="1108">
        <v>5</v>
      </c>
      <c r="I19" s="1348">
        <f>F19*Gröddata!Q$3*Stallgödseldata!I$12</f>
        <v>10.236800000000001</v>
      </c>
      <c r="J19" s="1349">
        <f>(G19*Gröddata!Q$4)*Stallgödseldata!$J$12</f>
        <v>30.463999999999999</v>
      </c>
      <c r="K19" s="1108">
        <f>H19*Gröddata!Q$5*Stallgödseldata!K$12</f>
        <v>37.65</v>
      </c>
      <c r="L19" s="1350">
        <f t="shared" si="1"/>
        <v>78.350799999999992</v>
      </c>
      <c r="M19" s="484">
        <v>30</v>
      </c>
      <c r="N19" s="665"/>
      <c r="O19" s="665"/>
      <c r="P19" s="776"/>
      <c r="Q19" s="526"/>
      <c r="R19" s="526"/>
      <c r="S19" s="526"/>
      <c r="T19" s="526"/>
      <c r="U19" s="526"/>
      <c r="V19" s="526"/>
      <c r="W19" s="526"/>
      <c r="X19" s="526"/>
      <c r="Y19" s="678"/>
      <c r="Z19" s="665"/>
      <c r="AA19" s="663"/>
      <c r="AB19" s="665"/>
    </row>
    <row r="20" spans="1:28">
      <c r="A20" s="665"/>
      <c r="B20" s="520" t="s">
        <v>490</v>
      </c>
      <c r="C20" s="1107">
        <v>3</v>
      </c>
      <c r="D20" s="1108">
        <v>1.5</v>
      </c>
      <c r="E20" s="1108">
        <v>1.8</v>
      </c>
      <c r="F20" s="521">
        <v>1.6</v>
      </c>
      <c r="G20" s="521">
        <v>0.3</v>
      </c>
      <c r="H20" s="521">
        <v>1.2</v>
      </c>
      <c r="I20" s="1348">
        <f>F20*Gröddata!Q$3*Stallgödseldata!I$12</f>
        <v>11.699200000000003</v>
      </c>
      <c r="J20" s="1349">
        <f>(G20*Gröddata!Q$4)*Stallgödseldata!$J$12</f>
        <v>5.7119999999999997</v>
      </c>
      <c r="K20" s="1108">
        <f>H20*Gröddata!Q$5*Stallgödseldata!K$12</f>
        <v>9.0359999999999996</v>
      </c>
      <c r="L20" s="1350">
        <f t="shared" si="1"/>
        <v>26.447200000000002</v>
      </c>
      <c r="M20" s="1595">
        <v>23</v>
      </c>
      <c r="N20" s="665"/>
      <c r="O20" s="665"/>
      <c r="P20" s="776"/>
      <c r="Q20" s="526"/>
      <c r="R20" s="526"/>
      <c r="S20" s="526"/>
      <c r="T20" s="526"/>
      <c r="U20" s="526"/>
      <c r="V20" s="526"/>
      <c r="W20" s="526"/>
      <c r="X20" s="526"/>
      <c r="Y20" s="678"/>
      <c r="Z20" s="665"/>
      <c r="AA20" s="663"/>
      <c r="AB20" s="665"/>
    </row>
    <row r="21" spans="1:28">
      <c r="A21" s="665"/>
      <c r="B21" s="520" t="s">
        <v>718</v>
      </c>
      <c r="C21" s="1107">
        <v>3</v>
      </c>
      <c r="D21" s="1108">
        <v>1.3</v>
      </c>
      <c r="E21" s="1108">
        <v>2.9</v>
      </c>
      <c r="F21" s="521">
        <v>2.6</v>
      </c>
      <c r="G21" s="521">
        <v>0</v>
      </c>
      <c r="H21" s="521">
        <v>4.5999999999999996</v>
      </c>
      <c r="I21" s="1348">
        <f>F21*Gröddata!Q$3*Stallgödseldata!I$12</f>
        <v>19.011200000000002</v>
      </c>
      <c r="J21" s="1349">
        <f>(G21*Gröddata!Q$4)*Stallgödseldata!$J$12</f>
        <v>0</v>
      </c>
      <c r="K21" s="1108">
        <f>H21*Gröddata!Q$5*Stallgödseldata!K$12</f>
        <v>34.637999999999998</v>
      </c>
      <c r="L21" s="1350">
        <f t="shared" si="1"/>
        <v>53.6492</v>
      </c>
      <c r="M21" s="1595">
        <v>23</v>
      </c>
      <c r="N21" s="665"/>
      <c r="O21" s="665"/>
      <c r="P21" s="776"/>
      <c r="Q21" s="694"/>
      <c r="R21" s="694" t="s">
        <v>147</v>
      </c>
      <c r="S21" s="526"/>
      <c r="T21" s="2295"/>
      <c r="U21" s="526"/>
      <c r="V21" s="526"/>
      <c r="W21" s="526"/>
      <c r="X21" s="526"/>
      <c r="Y21" s="678"/>
      <c r="Z21" s="665"/>
      <c r="AA21" s="663"/>
      <c r="AB21" s="665"/>
    </row>
    <row r="22" spans="1:28">
      <c r="A22" s="665"/>
      <c r="B22" s="520" t="s">
        <v>493</v>
      </c>
      <c r="C22" s="1107">
        <v>4</v>
      </c>
      <c r="D22" s="1108">
        <v>30</v>
      </c>
      <c r="E22" s="1108">
        <v>4.8</v>
      </c>
      <c r="F22" s="521">
        <v>0.5</v>
      </c>
      <c r="G22" s="521">
        <v>2.6</v>
      </c>
      <c r="H22" s="521">
        <v>4.5999999999999996</v>
      </c>
      <c r="I22" s="1348">
        <f>F22*Gröddata!Q$3*Stallgödseldata!I$12</f>
        <v>3.6560000000000006</v>
      </c>
      <c r="J22" s="1349">
        <f>(G22*Gröddata!Q$4)*Stallgödseldata!$J$12</f>
        <v>49.503999999999998</v>
      </c>
      <c r="K22" s="1108">
        <f>H22*Gröddata!Q$5*Stallgödseldata!K$12</f>
        <v>34.637999999999998</v>
      </c>
      <c r="L22" s="1350">
        <f t="shared" si="1"/>
        <v>87.798000000000002</v>
      </c>
      <c r="M22" s="484">
        <v>45</v>
      </c>
      <c r="N22" s="665"/>
      <c r="O22" s="665"/>
      <c r="P22" s="776"/>
      <c r="Q22" s="694">
        <v>1</v>
      </c>
      <c r="R22" s="907" t="str">
        <f>IF(Kostnader!J31=" "," ",(INDEX(Stallgödseldata!B$16:C$27,MATCH(Kostnader!J31,Stallgödseldata!B$16:B$27,0),2)))</f>
        <v xml:space="preserve"> </v>
      </c>
      <c r="S22" s="526"/>
      <c r="T22" s="526"/>
      <c r="U22" s="526"/>
      <c r="V22" s="526"/>
      <c r="W22" s="526"/>
      <c r="X22" s="526"/>
      <c r="Y22" s="678"/>
      <c r="Z22" s="665"/>
      <c r="AA22" s="696" t="str">
        <f t="shared" si="0"/>
        <v xml:space="preserve"> </v>
      </c>
      <c r="AB22" s="665"/>
    </row>
    <row r="23" spans="1:28">
      <c r="A23" s="665"/>
      <c r="B23" s="520" t="s">
        <v>492</v>
      </c>
      <c r="C23" s="1107">
        <v>4</v>
      </c>
      <c r="D23" s="1108">
        <v>27.3</v>
      </c>
      <c r="E23" s="1108">
        <v>5.4</v>
      </c>
      <c r="F23" s="521">
        <v>0.5</v>
      </c>
      <c r="G23" s="521">
        <v>1.5</v>
      </c>
      <c r="H23" s="521">
        <v>10.4</v>
      </c>
      <c r="I23" s="1348">
        <f>F23*Gröddata!Q$3*Stallgödseldata!I$12</f>
        <v>3.6560000000000006</v>
      </c>
      <c r="J23" s="1349">
        <f>(G23*Gröddata!Q$4)*Stallgödseldata!$J$12</f>
        <v>28.56</v>
      </c>
      <c r="K23" s="1108">
        <f>H23*Gröddata!Q$5*Stallgödseldata!K$12</f>
        <v>78.312000000000012</v>
      </c>
      <c r="L23" s="1350">
        <f t="shared" si="1"/>
        <v>110.52800000000002</v>
      </c>
      <c r="M23" s="484">
        <v>45</v>
      </c>
      <c r="N23" s="665"/>
      <c r="O23" s="665"/>
      <c r="P23" s="776"/>
      <c r="Q23" s="1101">
        <v>2</v>
      </c>
      <c r="R23" s="907" t="str">
        <f>IF(Kostnader!J32=" "," ",(INDEX(Stallgödseldata!B$16:C$27,MATCH(Kostnader!J32,Stallgödseldata!B$16:B$27,0),2)))</f>
        <v xml:space="preserve"> </v>
      </c>
      <c r="S23" s="526"/>
      <c r="T23" s="526"/>
      <c r="U23" s="526"/>
      <c r="V23" s="526"/>
      <c r="W23" s="526"/>
      <c r="X23" s="526"/>
      <c r="Y23" s="678"/>
      <c r="Z23" s="665"/>
      <c r="AA23" s="696" t="str">
        <f t="shared" si="0"/>
        <v xml:space="preserve"> </v>
      </c>
      <c r="AB23" s="665"/>
    </row>
    <row r="24" spans="1:28">
      <c r="A24" s="665"/>
      <c r="B24" s="1351" t="s">
        <v>486</v>
      </c>
      <c r="C24" s="1107">
        <v>2</v>
      </c>
      <c r="D24" s="1108">
        <v>70</v>
      </c>
      <c r="E24" s="521">
        <v>32.9</v>
      </c>
      <c r="F24" s="521">
        <v>6.6</v>
      </c>
      <c r="G24" s="521">
        <v>8.1</v>
      </c>
      <c r="H24" s="521">
        <v>15.4</v>
      </c>
      <c r="I24" s="1348">
        <f>F24*2*Gröddata!Q$3*Stallgödseldata!I$12</f>
        <v>96.5184</v>
      </c>
      <c r="J24" s="1349">
        <f>(G24*Gröddata!Q$4)*Stallgödseldata!$J$12</f>
        <v>154.22399999999999</v>
      </c>
      <c r="K24" s="1108">
        <f>H24*Gröddata!Q$5*Stallgödseldata!K$12</f>
        <v>115.962</v>
      </c>
      <c r="L24" s="1350">
        <f t="shared" si="1"/>
        <v>366.70439999999996</v>
      </c>
      <c r="M24" s="484">
        <v>40</v>
      </c>
      <c r="N24" s="665"/>
      <c r="O24" s="665"/>
      <c r="P24" s="776"/>
      <c r="Q24" s="694">
        <v>3</v>
      </c>
      <c r="R24" s="907" t="str">
        <f>IF(Kostnader!J33=" "," ",(INDEX(Stallgödseldata!B$16:C$27,MATCH(Kostnader!J33,Stallgödseldata!B$16:B$27,0),2)))</f>
        <v xml:space="preserve"> </v>
      </c>
      <c r="S24" s="526"/>
      <c r="T24" s="526"/>
      <c r="U24" s="526"/>
      <c r="V24" s="526"/>
      <c r="W24" s="526"/>
      <c r="X24" s="526"/>
      <c r="Y24" s="678"/>
      <c r="Z24" s="665"/>
      <c r="AA24" s="696" t="str">
        <f t="shared" si="0"/>
        <v xml:space="preserve"> </v>
      </c>
      <c r="AB24" s="665"/>
    </row>
    <row r="25" spans="1:28">
      <c r="A25" s="665"/>
      <c r="B25" s="1615" t="s">
        <v>925</v>
      </c>
      <c r="C25" s="1107">
        <v>2</v>
      </c>
      <c r="D25" s="1108">
        <v>27</v>
      </c>
      <c r="E25" s="508">
        <v>6</v>
      </c>
      <c r="F25" s="521">
        <v>1.1000000000000001</v>
      </c>
      <c r="G25" s="521">
        <v>3.7</v>
      </c>
      <c r="H25" s="521">
        <v>0.16</v>
      </c>
      <c r="I25" s="1348">
        <f>F25*Gröddata!Q$3*Stallgödseldata!I$12</f>
        <v>8.0432000000000023</v>
      </c>
      <c r="J25" s="1349">
        <f>(G25*Gröddata!Q$4)*Stallgödseldata!$J$12</f>
        <v>70.447999999999993</v>
      </c>
      <c r="K25" s="1108">
        <f>H25*Gröddata!Q$5*Stallgödseldata!K$12</f>
        <v>1.2048000000000001</v>
      </c>
      <c r="L25" s="1350">
        <f t="shared" si="1"/>
        <v>79.695999999999998</v>
      </c>
      <c r="M25" s="1595">
        <v>30</v>
      </c>
      <c r="N25" s="526"/>
      <c r="O25" s="665"/>
      <c r="P25" s="776"/>
      <c r="Q25" s="694">
        <v>4</v>
      </c>
      <c r="R25" s="907" t="str">
        <f>IF(Kostnader!J34=" "," ",(INDEX(Stallgödseldata!B$16:C$27,MATCH(Kostnader!J34,Stallgödseldata!B$16:B$27,0),2)))</f>
        <v xml:space="preserve"> </v>
      </c>
      <c r="S25" s="526"/>
      <c r="T25" s="526"/>
      <c r="U25" s="526"/>
      <c r="V25" s="526"/>
      <c r="W25" s="526"/>
      <c r="X25" s="526"/>
      <c r="Y25" s="678"/>
      <c r="Z25" s="665"/>
      <c r="AA25" s="696" t="str">
        <f t="shared" si="0"/>
        <v xml:space="preserve"> </v>
      </c>
      <c r="AB25" s="665"/>
    </row>
    <row r="26" spans="1:28">
      <c r="A26" s="665"/>
      <c r="B26" s="1698" t="s">
        <v>1308</v>
      </c>
      <c r="C26" s="1699">
        <v>1</v>
      </c>
      <c r="D26" s="1670">
        <v>4</v>
      </c>
      <c r="E26" s="1670">
        <v>5</v>
      </c>
      <c r="F26" s="1670">
        <v>3</v>
      </c>
      <c r="G26" s="1671">
        <v>0.6</v>
      </c>
      <c r="H26" s="1671">
        <v>1</v>
      </c>
      <c r="I26" s="1348">
        <f>F26*Gröddata!Q$3*Stallgödseldata!I$12</f>
        <v>21.936000000000003</v>
      </c>
      <c r="J26" s="1349">
        <f>(G26*Gröddata!Q$4)*Stallgödseldata!$J$12</f>
        <v>11.423999999999999</v>
      </c>
      <c r="K26" s="1108">
        <f>H26*Gröddata!Q$5*Stallgödseldata!K$12</f>
        <v>7.53</v>
      </c>
      <c r="L26" s="1350">
        <f t="shared" si="1"/>
        <v>40.89</v>
      </c>
      <c r="M26" s="1595">
        <v>23</v>
      </c>
      <c r="N26" s="665"/>
      <c r="O26" s="665"/>
      <c r="P26" s="776"/>
      <c r="Q26" s="694">
        <v>5</v>
      </c>
      <c r="R26" s="907" t="str">
        <f>IF(Kostnader!J35=" "," ",(INDEX(Stallgödseldata!B$16:C$27,MATCH(Kostnader!J35,Stallgödseldata!B$16:B$27,0),2)))</f>
        <v xml:space="preserve"> </v>
      </c>
      <c r="S26" s="526"/>
      <c r="T26" s="526"/>
      <c r="U26" s="526"/>
      <c r="V26" s="526"/>
      <c r="W26" s="526"/>
      <c r="X26" s="526"/>
      <c r="Y26" s="678"/>
      <c r="Z26" s="665"/>
      <c r="AA26" s="696" t="str">
        <f t="shared" si="0"/>
        <v xml:space="preserve"> </v>
      </c>
      <c r="AB26" s="665"/>
    </row>
    <row r="27" spans="1:28">
      <c r="A27" s="665"/>
      <c r="B27" s="1594"/>
      <c r="C27" s="806"/>
      <c r="D27" s="484"/>
      <c r="E27" s="806"/>
      <c r="F27" s="484"/>
      <c r="G27" s="484"/>
      <c r="H27" s="484"/>
      <c r="I27" s="1348">
        <f>F27*Gröddata!Q$3*Stallgödseldata!I$12</f>
        <v>0</v>
      </c>
      <c r="J27" s="1349">
        <f>(G27*Gröddata!Q$4)*Stallgödseldata!$J$12</f>
        <v>0</v>
      </c>
      <c r="K27" s="1108">
        <f>H27*Gröddata!Q$5*Stallgödseldata!K$12</f>
        <v>0</v>
      </c>
      <c r="L27" s="1350">
        <f t="shared" si="1"/>
        <v>0</v>
      </c>
      <c r="M27" s="1595"/>
      <c r="N27" s="665"/>
      <c r="O27" s="665"/>
      <c r="P27" s="776"/>
      <c r="Q27" s="694">
        <v>6</v>
      </c>
      <c r="R27" s="907" t="str">
        <f>IF(Kostnader!J36=" "," ",(INDEX(Stallgödseldata!B$16:C$27,MATCH(Kostnader!J36,Stallgödseldata!B$16:B$27,0),2)))</f>
        <v xml:space="preserve"> </v>
      </c>
      <c r="S27" s="526"/>
      <c r="T27" s="526"/>
      <c r="U27" s="526"/>
      <c r="V27" s="526"/>
      <c r="W27" s="526"/>
      <c r="X27" s="526"/>
      <c r="Y27" s="678"/>
      <c r="Z27" s="665"/>
      <c r="AA27" s="696" t="str">
        <f t="shared" si="0"/>
        <v xml:space="preserve"> </v>
      </c>
      <c r="AB27" s="665"/>
    </row>
    <row r="28" spans="1:28">
      <c r="A28" s="665"/>
      <c r="B28" s="665"/>
      <c r="C28" s="665"/>
      <c r="D28" s="665"/>
      <c r="E28" s="665"/>
      <c r="F28" s="665"/>
      <c r="G28" s="665"/>
      <c r="H28" s="665"/>
      <c r="I28" s="665"/>
      <c r="J28" s="665"/>
      <c r="K28" s="665"/>
      <c r="L28" s="665"/>
      <c r="M28" s="665"/>
      <c r="N28" s="665"/>
      <c r="O28" s="665"/>
      <c r="P28" s="776"/>
      <c r="Q28" s="694">
        <v>7</v>
      </c>
      <c r="R28" s="907" t="str">
        <f>IF(Kostnader!J37=" "," ",(INDEX(Stallgödseldata!B$16:C$27,MATCH(Kostnader!J37,Stallgödseldata!B$16:B$27,0),2)))</f>
        <v xml:space="preserve"> </v>
      </c>
      <c r="S28" s="526"/>
      <c r="T28" s="526"/>
      <c r="U28" s="526"/>
      <c r="V28" s="526"/>
      <c r="W28" s="526"/>
      <c r="X28" s="526"/>
      <c r="Y28" s="678"/>
      <c r="Z28" s="665"/>
      <c r="AA28" s="696" t="str">
        <f t="shared" si="0"/>
        <v xml:space="preserve"> </v>
      </c>
      <c r="AB28" s="665"/>
    </row>
    <row r="29" spans="1:28" ht="15">
      <c r="A29" s="665"/>
      <c r="B29" s="1363" t="s">
        <v>798</v>
      </c>
      <c r="C29" s="665"/>
      <c r="D29" s="665"/>
      <c r="E29" s="665"/>
      <c r="F29" s="665"/>
      <c r="G29" s="695">
        <v>12000</v>
      </c>
      <c r="H29" s="665" t="s">
        <v>142</v>
      </c>
      <c r="I29" s="665"/>
      <c r="J29" s="665"/>
      <c r="K29" s="665"/>
      <c r="L29" s="665"/>
      <c r="M29" s="665"/>
      <c r="N29" s="665"/>
      <c r="O29" s="665"/>
      <c r="P29" s="776"/>
      <c r="Q29" s="694">
        <v>8</v>
      </c>
      <c r="R29" s="907" t="str">
        <f>IF(Kostnader!J38=" "," ",(INDEX(Stallgödseldata!B$16:C$27,MATCH(Kostnader!J38,Stallgödseldata!B$16:B$27,0),2)))</f>
        <v xml:space="preserve"> </v>
      </c>
      <c r="S29" s="526"/>
      <c r="T29" s="526"/>
      <c r="U29" s="526"/>
      <c r="V29" s="526"/>
      <c r="W29" s="526"/>
      <c r="X29" s="526"/>
      <c r="Y29" s="678"/>
      <c r="Z29" s="665"/>
      <c r="AA29" s="696" t="str">
        <f t="shared" si="0"/>
        <v xml:space="preserve"> </v>
      </c>
      <c r="AB29" s="665"/>
    </row>
    <row r="30" spans="1:28">
      <c r="A30" s="665"/>
      <c r="B30" s="665"/>
      <c r="C30" s="665"/>
      <c r="D30" s="665"/>
      <c r="E30" s="665"/>
      <c r="F30" s="665"/>
      <c r="G30" s="665"/>
      <c r="H30" s="665"/>
      <c r="I30" s="665"/>
      <c r="J30" s="665"/>
      <c r="K30" s="665"/>
      <c r="L30" s="665"/>
      <c r="M30" s="665"/>
      <c r="N30" s="665"/>
      <c r="O30" s="665"/>
      <c r="P30" s="776"/>
      <c r="Q30" s="694">
        <v>9</v>
      </c>
      <c r="R30" s="907" t="str">
        <f>IF(Kostnader!J39=" "," ",(INDEX(Stallgödseldata!B$16:C$27,MATCH(Kostnader!J39,Stallgödseldata!B$16:B$27,0),2)))</f>
        <v xml:space="preserve"> </v>
      </c>
      <c r="S30" s="526"/>
      <c r="T30" s="526"/>
      <c r="U30" s="526"/>
      <c r="V30" s="526"/>
      <c r="W30" s="526"/>
      <c r="X30" s="526"/>
      <c r="Y30" s="678"/>
      <c r="Z30" s="665"/>
      <c r="AA30" s="696" t="str">
        <f t="shared" si="0"/>
        <v xml:space="preserve"> </v>
      </c>
      <c r="AB30" s="665"/>
    </row>
    <row r="31" spans="1:28">
      <c r="A31" s="665"/>
      <c r="B31" s="1362" t="s">
        <v>794</v>
      </c>
      <c r="C31" s="1362" t="s">
        <v>722</v>
      </c>
      <c r="D31" s="1362" t="s">
        <v>792</v>
      </c>
      <c r="E31" s="1362"/>
      <c r="F31" s="1362"/>
      <c r="G31" s="1362"/>
      <c r="H31" s="1362"/>
      <c r="I31" s="1362"/>
      <c r="J31" s="1362"/>
      <c r="K31" s="1362"/>
      <c r="L31" s="1362"/>
      <c r="M31" s="1361"/>
      <c r="N31" s="1361"/>
      <c r="O31" s="665"/>
      <c r="P31" s="776"/>
      <c r="Q31" s="694">
        <v>10</v>
      </c>
      <c r="R31" s="907" t="str">
        <f>IF(Kostnader!J40=" "," ",(INDEX(Stallgödseldata!B$16:C$27,MATCH(Kostnader!J40,Stallgödseldata!B$16:B$27,0),2)))</f>
        <v xml:space="preserve"> </v>
      </c>
      <c r="S31" s="526"/>
      <c r="T31" s="526"/>
      <c r="U31" s="526"/>
      <c r="V31" s="526"/>
      <c r="W31" s="526"/>
      <c r="X31" s="526"/>
      <c r="Y31" s="678"/>
      <c r="Z31" s="665"/>
      <c r="AA31" s="696" t="str">
        <f t="shared" si="0"/>
        <v xml:space="preserve"> </v>
      </c>
      <c r="AB31" s="665"/>
    </row>
    <row r="32" spans="1:28">
      <c r="A32" s="665"/>
      <c r="B32" s="1362"/>
      <c r="C32" s="1362" t="s">
        <v>723</v>
      </c>
      <c r="D32" s="1362" t="s">
        <v>793</v>
      </c>
      <c r="E32" s="1362"/>
      <c r="F32" s="1362"/>
      <c r="G32" s="1362"/>
      <c r="H32" s="1362"/>
      <c r="I32" s="1362"/>
      <c r="J32" s="1362"/>
      <c r="K32" s="1362"/>
      <c r="L32" s="1362"/>
      <c r="M32" s="1361"/>
      <c r="N32" s="1361"/>
      <c r="O32" s="665"/>
      <c r="P32" s="779"/>
      <c r="Q32" s="766"/>
      <c r="R32" s="766"/>
      <c r="S32" s="766"/>
      <c r="T32" s="766"/>
      <c r="U32" s="766"/>
      <c r="V32" s="766"/>
      <c r="W32" s="766"/>
      <c r="X32" s="766"/>
      <c r="Y32" s="679"/>
      <c r="Z32" s="665"/>
      <c r="AA32" s="663"/>
      <c r="AB32" s="665"/>
    </row>
    <row r="33" spans="1:28">
      <c r="A33" s="665"/>
      <c r="B33" s="665"/>
      <c r="C33" s="665"/>
      <c r="D33" s="665"/>
      <c r="E33" s="665"/>
      <c r="F33" s="665"/>
      <c r="G33" s="665"/>
      <c r="H33" s="665"/>
      <c r="I33" s="665"/>
      <c r="J33" s="665"/>
      <c r="K33" s="665"/>
      <c r="L33" s="665"/>
      <c r="M33" s="665"/>
      <c r="N33" s="665"/>
      <c r="O33" s="665"/>
      <c r="P33" s="665"/>
      <c r="Q33" s="665"/>
      <c r="R33" s="665"/>
      <c r="S33" s="665"/>
      <c r="T33" s="665"/>
      <c r="U33" s="665"/>
      <c r="V33" s="665"/>
      <c r="W33" s="665"/>
      <c r="X33" s="665"/>
      <c r="Y33" s="665"/>
      <c r="Z33" s="665"/>
      <c r="AA33" s="663"/>
      <c r="AB33" s="665"/>
    </row>
    <row r="34" spans="1:28">
      <c r="A34" s="665"/>
      <c r="B34" s="716" t="s">
        <v>791</v>
      </c>
      <c r="C34" s="665"/>
      <c r="D34" s="665"/>
      <c r="E34" s="665"/>
      <c r="F34" s="665"/>
      <c r="G34" s="665"/>
      <c r="H34" s="714"/>
      <c r="I34" s="665"/>
      <c r="J34" s="665"/>
      <c r="K34" s="665"/>
      <c r="L34" s="665"/>
      <c r="M34" s="665"/>
      <c r="N34" s="665"/>
      <c r="O34" s="665"/>
      <c r="P34" s="665"/>
      <c r="Q34" s="665"/>
      <c r="R34" s="665"/>
      <c r="S34" s="665"/>
      <c r="T34" s="665"/>
      <c r="U34" s="665"/>
      <c r="V34" s="665"/>
      <c r="W34" s="665"/>
      <c r="X34" s="665"/>
    </row>
    <row r="35" spans="1:28">
      <c r="A35" s="665"/>
      <c r="B35" s="697" t="s">
        <v>119</v>
      </c>
      <c r="C35" s="697"/>
      <c r="D35" s="797" t="s">
        <v>987</v>
      </c>
      <c r="E35" s="701"/>
      <c r="F35" s="701"/>
      <c r="G35" s="701"/>
      <c r="H35" s="701"/>
      <c r="I35" s="797" t="s">
        <v>723</v>
      </c>
      <c r="J35" s="701"/>
      <c r="K35" s="701"/>
      <c r="L35" s="701"/>
      <c r="M35" s="702"/>
      <c r="N35" s="797" t="s">
        <v>986</v>
      </c>
      <c r="O35" s="701"/>
      <c r="P35" s="701"/>
      <c r="Q35" s="701"/>
      <c r="R35" s="701"/>
      <c r="S35" s="797" t="s">
        <v>983</v>
      </c>
      <c r="T35" s="701"/>
      <c r="U35" s="701"/>
      <c r="V35" s="701"/>
      <c r="W35" s="702"/>
      <c r="X35" s="665"/>
    </row>
    <row r="36" spans="1:28">
      <c r="A36" s="665"/>
      <c r="B36" s="703"/>
      <c r="C36" s="703" t="s">
        <v>15</v>
      </c>
      <c r="D36" s="694" t="s">
        <v>488</v>
      </c>
      <c r="E36" s="694" t="s">
        <v>790</v>
      </c>
      <c r="F36" s="694" t="s">
        <v>788</v>
      </c>
      <c r="G36" s="696" t="s">
        <v>786</v>
      </c>
      <c r="H36" s="694" t="s">
        <v>787</v>
      </c>
      <c r="I36" s="694" t="s">
        <v>488</v>
      </c>
      <c r="J36" s="694" t="s">
        <v>790</v>
      </c>
      <c r="K36" s="694" t="s">
        <v>788</v>
      </c>
      <c r="L36" s="696" t="s">
        <v>786</v>
      </c>
      <c r="M36" s="694" t="s">
        <v>787</v>
      </c>
      <c r="N36" s="694" t="s">
        <v>488</v>
      </c>
      <c r="O36" s="694" t="s">
        <v>790</v>
      </c>
      <c r="P36" s="694" t="s">
        <v>788</v>
      </c>
      <c r="Q36" s="696" t="s">
        <v>786</v>
      </c>
      <c r="R36" s="694" t="s">
        <v>787</v>
      </c>
      <c r="S36" s="694" t="s">
        <v>488</v>
      </c>
      <c r="T36" s="694" t="s">
        <v>790</v>
      </c>
      <c r="U36" s="694" t="s">
        <v>788</v>
      </c>
      <c r="V36" s="696" t="s">
        <v>786</v>
      </c>
      <c r="W36" s="694" t="s">
        <v>787</v>
      </c>
      <c r="X36" s="665"/>
    </row>
    <row r="37" spans="1:28">
      <c r="A37" s="665"/>
      <c r="B37" s="1352" t="s">
        <v>122</v>
      </c>
      <c r="C37" s="1353">
        <f>Grunddata!C28</f>
        <v>3.5999999999999997E-2</v>
      </c>
      <c r="D37" s="1347">
        <f t="shared" ref="D37:W37" si="2">D63*$G$29/10000</f>
        <v>12.360000000000001</v>
      </c>
      <c r="E37" s="1347">
        <f t="shared" si="2"/>
        <v>3.24</v>
      </c>
      <c r="F37" s="1347">
        <f t="shared" si="2"/>
        <v>6.6</v>
      </c>
      <c r="G37" s="1347">
        <f t="shared" si="2"/>
        <v>1.2</v>
      </c>
      <c r="H37" s="1347">
        <f t="shared" si="2"/>
        <v>2.88</v>
      </c>
      <c r="I37" s="1347">
        <f t="shared" si="2"/>
        <v>6.84</v>
      </c>
      <c r="J37" s="1347">
        <f t="shared" si="2"/>
        <v>0</v>
      </c>
      <c r="K37" s="1347">
        <f t="shared" si="2"/>
        <v>0</v>
      </c>
      <c r="L37" s="1347">
        <f t="shared" si="2"/>
        <v>0</v>
      </c>
      <c r="M37" s="1347">
        <f t="shared" si="2"/>
        <v>0</v>
      </c>
      <c r="N37" s="1347">
        <f t="shared" si="2"/>
        <v>12.360000000000001</v>
      </c>
      <c r="O37" s="1347">
        <f t="shared" si="2"/>
        <v>3.24</v>
      </c>
      <c r="P37" s="1347">
        <f t="shared" si="2"/>
        <v>6.6</v>
      </c>
      <c r="Q37" s="1347">
        <f t="shared" si="2"/>
        <v>1.2</v>
      </c>
      <c r="R37" s="1347">
        <f t="shared" si="2"/>
        <v>2.88</v>
      </c>
      <c r="S37" s="1347">
        <f t="shared" si="2"/>
        <v>6.84</v>
      </c>
      <c r="T37" s="1347">
        <f t="shared" si="2"/>
        <v>0</v>
      </c>
      <c r="U37" s="1347">
        <f t="shared" si="2"/>
        <v>0</v>
      </c>
      <c r="V37" s="1347">
        <f t="shared" si="2"/>
        <v>0</v>
      </c>
      <c r="W37" s="1347">
        <f t="shared" si="2"/>
        <v>0</v>
      </c>
      <c r="X37" s="665"/>
    </row>
    <row r="38" spans="1:28">
      <c r="A38" s="665"/>
      <c r="B38" s="1355" t="s">
        <v>18</v>
      </c>
      <c r="C38" s="1353">
        <f>Grunddata!C29</f>
        <v>0.35399999999999998</v>
      </c>
      <c r="D38" s="1347">
        <f t="shared" ref="D38:W38" si="3">D64*$G$29/10000</f>
        <v>15.6</v>
      </c>
      <c r="E38" s="1347">
        <f t="shared" si="3"/>
        <v>4.919999999999999</v>
      </c>
      <c r="F38" s="1347">
        <f t="shared" si="3"/>
        <v>8.2799999999999994</v>
      </c>
      <c r="G38" s="1347">
        <f t="shared" si="3"/>
        <v>2.2799999999999998</v>
      </c>
      <c r="H38" s="1347">
        <f t="shared" si="3"/>
        <v>4.919999999999999</v>
      </c>
      <c r="I38" s="1347">
        <f t="shared" si="3"/>
        <v>9.8399999999999981</v>
      </c>
      <c r="J38" s="1347">
        <f t="shared" si="3"/>
        <v>0</v>
      </c>
      <c r="K38" s="1347">
        <f t="shared" si="3"/>
        <v>0</v>
      </c>
      <c r="L38" s="1347">
        <f t="shared" si="3"/>
        <v>0.48</v>
      </c>
      <c r="M38" s="1347">
        <f t="shared" si="3"/>
        <v>0.6</v>
      </c>
      <c r="N38" s="1347">
        <f t="shared" si="3"/>
        <v>15.6</v>
      </c>
      <c r="O38" s="1347">
        <f t="shared" si="3"/>
        <v>4.919999999999999</v>
      </c>
      <c r="P38" s="1347">
        <f t="shared" si="3"/>
        <v>8.2799999999999994</v>
      </c>
      <c r="Q38" s="1347">
        <f t="shared" si="3"/>
        <v>2.2799999999999998</v>
      </c>
      <c r="R38" s="1347">
        <f t="shared" si="3"/>
        <v>4.919999999999999</v>
      </c>
      <c r="S38" s="1347">
        <f t="shared" si="3"/>
        <v>9.8399999999999981</v>
      </c>
      <c r="T38" s="1347">
        <f t="shared" si="3"/>
        <v>0</v>
      </c>
      <c r="U38" s="1347">
        <f t="shared" si="3"/>
        <v>0</v>
      </c>
      <c r="V38" s="1347">
        <f t="shared" si="3"/>
        <v>0.48</v>
      </c>
      <c r="W38" s="1347">
        <f t="shared" si="3"/>
        <v>0.6</v>
      </c>
      <c r="X38" s="665"/>
    </row>
    <row r="39" spans="1:28">
      <c r="A39" s="665"/>
      <c r="B39" s="1355" t="s">
        <v>126</v>
      </c>
      <c r="C39" s="1353">
        <f>Grunddata!C30</f>
        <v>0.39</v>
      </c>
      <c r="D39" s="1347">
        <f t="shared" ref="D39:W39" si="4">D65*$G$29/10000</f>
        <v>20.16</v>
      </c>
      <c r="E39" s="1347">
        <f t="shared" si="4"/>
        <v>7.44</v>
      </c>
      <c r="F39" s="1347">
        <f t="shared" si="4"/>
        <v>10.68</v>
      </c>
      <c r="G39" s="1347">
        <f t="shared" si="4"/>
        <v>3.6</v>
      </c>
      <c r="H39" s="1347">
        <f t="shared" si="4"/>
        <v>7.68</v>
      </c>
      <c r="I39" s="1347">
        <f t="shared" si="4"/>
        <v>13.68</v>
      </c>
      <c r="J39" s="1347">
        <f t="shared" si="4"/>
        <v>2.2799999999999998</v>
      </c>
      <c r="K39" s="1347">
        <f t="shared" si="4"/>
        <v>0</v>
      </c>
      <c r="L39" s="1347">
        <f t="shared" si="4"/>
        <v>1.8</v>
      </c>
      <c r="M39" s="1347">
        <f t="shared" si="4"/>
        <v>3.24</v>
      </c>
      <c r="N39" s="1347">
        <f t="shared" si="4"/>
        <v>20.16</v>
      </c>
      <c r="O39" s="1347">
        <f t="shared" si="4"/>
        <v>7.44</v>
      </c>
      <c r="P39" s="1347">
        <f t="shared" si="4"/>
        <v>10.68</v>
      </c>
      <c r="Q39" s="1347">
        <f t="shared" si="4"/>
        <v>3.6</v>
      </c>
      <c r="R39" s="1347">
        <f t="shared" si="4"/>
        <v>7.68</v>
      </c>
      <c r="S39" s="1347">
        <f t="shared" si="4"/>
        <v>13.68</v>
      </c>
      <c r="T39" s="1347">
        <f t="shared" si="4"/>
        <v>2.2799999999999998</v>
      </c>
      <c r="U39" s="1347">
        <f t="shared" si="4"/>
        <v>0</v>
      </c>
      <c r="V39" s="1347">
        <f t="shared" si="4"/>
        <v>1.8</v>
      </c>
      <c r="W39" s="1347">
        <f t="shared" si="4"/>
        <v>3.24</v>
      </c>
      <c r="X39" s="665"/>
    </row>
    <row r="40" spans="1:28">
      <c r="A40" s="665"/>
      <c r="B40" s="1355" t="s">
        <v>128</v>
      </c>
      <c r="C40" s="1353">
        <f>Grunddata!C31</f>
        <v>0.22</v>
      </c>
      <c r="D40" s="1347">
        <f t="shared" ref="D40:W40" si="5">D66*$G$29/10000</f>
        <v>25.679999999999996</v>
      </c>
      <c r="E40" s="1347">
        <f t="shared" si="5"/>
        <v>10.439999999999998</v>
      </c>
      <c r="F40" s="1347">
        <f t="shared" si="5"/>
        <v>13.44</v>
      </c>
      <c r="G40" s="1347">
        <f t="shared" si="5"/>
        <v>5.4</v>
      </c>
      <c r="H40" s="1347">
        <f t="shared" si="5"/>
        <v>11.160000000000002</v>
      </c>
      <c r="I40" s="1347">
        <f t="shared" si="5"/>
        <v>19.320000000000004</v>
      </c>
      <c r="J40" s="1347">
        <f t="shared" si="5"/>
        <v>5.04</v>
      </c>
      <c r="K40" s="1347">
        <f t="shared" si="5"/>
        <v>0</v>
      </c>
      <c r="L40" s="1347">
        <f t="shared" si="5"/>
        <v>3.48</v>
      </c>
      <c r="M40" s="1347">
        <f t="shared" si="5"/>
        <v>6.48</v>
      </c>
      <c r="N40" s="1347">
        <f t="shared" si="5"/>
        <v>25.679999999999996</v>
      </c>
      <c r="O40" s="1347">
        <f t="shared" si="5"/>
        <v>10.439999999999998</v>
      </c>
      <c r="P40" s="1347">
        <f t="shared" si="5"/>
        <v>13.44</v>
      </c>
      <c r="Q40" s="1347">
        <f t="shared" si="5"/>
        <v>5.4</v>
      </c>
      <c r="R40" s="1347">
        <f t="shared" si="5"/>
        <v>11.160000000000002</v>
      </c>
      <c r="S40" s="1347">
        <f t="shared" si="5"/>
        <v>19.320000000000004</v>
      </c>
      <c r="T40" s="1347">
        <f t="shared" si="5"/>
        <v>5.04</v>
      </c>
      <c r="U40" s="1347">
        <f t="shared" si="5"/>
        <v>0</v>
      </c>
      <c r="V40" s="1347">
        <f t="shared" si="5"/>
        <v>3.48</v>
      </c>
      <c r="W40" s="1347">
        <f t="shared" si="5"/>
        <v>6.48</v>
      </c>
      <c r="X40" s="665"/>
    </row>
    <row r="41" spans="1:28">
      <c r="A41" s="665"/>
      <c r="B41" s="1355" t="s">
        <v>130</v>
      </c>
      <c r="C41" s="1353">
        <f>Grunddata!C32</f>
        <v>0</v>
      </c>
      <c r="D41" s="1347">
        <f t="shared" ref="D41:W41" si="6">D67*$G$29/10000</f>
        <v>33.96</v>
      </c>
      <c r="E41" s="1347">
        <f t="shared" si="6"/>
        <v>14.88</v>
      </c>
      <c r="F41" s="1347">
        <f t="shared" si="6"/>
        <v>17.760000000000002</v>
      </c>
      <c r="G41" s="1347">
        <f t="shared" si="6"/>
        <v>7.92</v>
      </c>
      <c r="H41" s="1347">
        <f t="shared" si="6"/>
        <v>16.2</v>
      </c>
      <c r="I41" s="1347">
        <f t="shared" si="6"/>
        <v>27.12</v>
      </c>
      <c r="J41" s="1347">
        <f t="shared" si="6"/>
        <v>9.1199999999999992</v>
      </c>
      <c r="K41" s="1347">
        <f t="shared" si="6"/>
        <v>0</v>
      </c>
      <c r="L41" s="1347">
        <f t="shared" si="6"/>
        <v>5.76</v>
      </c>
      <c r="M41" s="1347">
        <f t="shared" si="6"/>
        <v>11.160000000000002</v>
      </c>
      <c r="N41" s="1347">
        <f t="shared" si="6"/>
        <v>33.96</v>
      </c>
      <c r="O41" s="1347">
        <f t="shared" si="6"/>
        <v>14.88</v>
      </c>
      <c r="P41" s="1347">
        <f t="shared" si="6"/>
        <v>17.760000000000002</v>
      </c>
      <c r="Q41" s="1347">
        <f t="shared" si="6"/>
        <v>7.92</v>
      </c>
      <c r="R41" s="1347">
        <f t="shared" si="6"/>
        <v>16.2</v>
      </c>
      <c r="S41" s="1347">
        <f t="shared" si="6"/>
        <v>27.12</v>
      </c>
      <c r="T41" s="1347">
        <f t="shared" si="6"/>
        <v>9.1199999999999992</v>
      </c>
      <c r="U41" s="1347">
        <f t="shared" si="6"/>
        <v>0</v>
      </c>
      <c r="V41" s="1347">
        <f t="shared" si="6"/>
        <v>5.76</v>
      </c>
      <c r="W41" s="1347">
        <f t="shared" si="6"/>
        <v>11.160000000000002</v>
      </c>
      <c r="X41" s="665"/>
    </row>
    <row r="42" spans="1:28">
      <c r="A42" s="665"/>
      <c r="B42" s="1356" t="s">
        <v>132</v>
      </c>
      <c r="C42" s="1357">
        <f>Grunddata!C33</f>
        <v>0</v>
      </c>
      <c r="D42" s="1347">
        <f t="shared" ref="D42:W42" si="7">D68*$G$29/10000</f>
        <v>12.360000000000001</v>
      </c>
      <c r="E42" s="1347">
        <f t="shared" si="7"/>
        <v>3.24</v>
      </c>
      <c r="F42" s="1347">
        <f t="shared" si="7"/>
        <v>6.6</v>
      </c>
      <c r="G42" s="1347">
        <f t="shared" si="7"/>
        <v>1.2</v>
      </c>
      <c r="H42" s="1347">
        <f t="shared" si="7"/>
        <v>2.88</v>
      </c>
      <c r="I42" s="1347">
        <f t="shared" si="7"/>
        <v>6.84</v>
      </c>
      <c r="J42" s="1347">
        <f t="shared" si="7"/>
        <v>0</v>
      </c>
      <c r="K42" s="1347">
        <f t="shared" si="7"/>
        <v>0</v>
      </c>
      <c r="L42" s="1347">
        <f t="shared" si="7"/>
        <v>0</v>
      </c>
      <c r="M42" s="1347">
        <f t="shared" si="7"/>
        <v>0</v>
      </c>
      <c r="N42" s="1347">
        <f t="shared" si="7"/>
        <v>12.360000000000001</v>
      </c>
      <c r="O42" s="1347">
        <f t="shared" si="7"/>
        <v>3.24</v>
      </c>
      <c r="P42" s="1347">
        <f t="shared" si="7"/>
        <v>6.6</v>
      </c>
      <c r="Q42" s="1347">
        <f t="shared" si="7"/>
        <v>1.2</v>
      </c>
      <c r="R42" s="1347">
        <f t="shared" si="7"/>
        <v>2.88</v>
      </c>
      <c r="S42" s="1347">
        <f t="shared" si="7"/>
        <v>6.84</v>
      </c>
      <c r="T42" s="1347">
        <f t="shared" si="7"/>
        <v>0</v>
      </c>
      <c r="U42" s="1347">
        <f t="shared" si="7"/>
        <v>0</v>
      </c>
      <c r="V42" s="1347">
        <f t="shared" si="7"/>
        <v>0</v>
      </c>
      <c r="W42" s="1347">
        <f t="shared" si="7"/>
        <v>0</v>
      </c>
      <c r="X42" s="665"/>
    </row>
    <row r="43" spans="1:28">
      <c r="A43" s="665"/>
      <c r="B43" s="1360" t="s">
        <v>135</v>
      </c>
      <c r="C43" s="1353">
        <f>SUM(C37:C42)</f>
        <v>1</v>
      </c>
      <c r="D43" s="1348">
        <f t="shared" ref="D43:J43" si="8">(D37*$C37)+(D38*$C38)+(D39*$C39)+(D40*$C40)+(D41*$C41)+(D42*$C42)</f>
        <v>19.47936</v>
      </c>
      <c r="E43" s="1348">
        <f t="shared" si="8"/>
        <v>7.0567200000000003</v>
      </c>
      <c r="F43" s="1348">
        <f t="shared" si="8"/>
        <v>10.29072</v>
      </c>
      <c r="G43" s="1348">
        <f t="shared" si="8"/>
        <v>3.44232</v>
      </c>
      <c r="H43" s="1348">
        <f t="shared" si="8"/>
        <v>7.2957600000000005</v>
      </c>
      <c r="I43" s="1348">
        <f t="shared" si="8"/>
        <v>13.315200000000001</v>
      </c>
      <c r="J43" s="1348">
        <f t="shared" si="8"/>
        <v>1.998</v>
      </c>
      <c r="K43" s="1348" t="s">
        <v>795</v>
      </c>
      <c r="L43" s="1348">
        <f>(L37*$C37)+(L38*$C38)+(L39*$C39)+(L40*$C40)+(L41*$C41)+(L42*$C42)</f>
        <v>1.6375199999999999</v>
      </c>
      <c r="M43" s="1348">
        <f>(M37*$C37)+(M38*$C38)+(M39*$C39)+(M40*$C40)+(M41*$C41)+(M42*$C42)</f>
        <v>2.9016000000000002</v>
      </c>
      <c r="N43" s="1348">
        <f t="shared" ref="N43:R43" si="9">(N37*$C37)+(N38*$C38)+(N39*$C39)+(N40*$C40)+(N41*$C41)+(N42*$C42)</f>
        <v>19.47936</v>
      </c>
      <c r="O43" s="1348">
        <f t="shared" si="9"/>
        <v>7.0567200000000003</v>
      </c>
      <c r="P43" s="1348">
        <f t="shared" si="9"/>
        <v>10.29072</v>
      </c>
      <c r="Q43" s="1348">
        <f t="shared" si="9"/>
        <v>3.44232</v>
      </c>
      <c r="R43" s="1348">
        <f t="shared" si="9"/>
        <v>7.2957600000000005</v>
      </c>
      <c r="S43" s="1348">
        <f>(S37*$C37)+(S38*$C38)+(S39*$C39)+(S40*$C40)+(S41*$C41)+(S42*$C42)</f>
        <v>13.315200000000001</v>
      </c>
      <c r="T43" s="1348">
        <f>(T37*$C37)+(T38*$C38)+(T39*$C39)+(T40*$C40)+(T41*$C41)+(T42*$C42)</f>
        <v>1.998</v>
      </c>
      <c r="U43" s="1348" t="s">
        <v>795</v>
      </c>
      <c r="V43" s="1348">
        <f>(V37*$C37)+(V38*$C38)+(V39*$C39)+(V40*$C40)+(V41*$C41)+(V42*$C42)</f>
        <v>1.6375199999999999</v>
      </c>
      <c r="W43" s="1348">
        <f>(W37*$C37)+(W38*$C38)+(W39*$C39)+(W40*$C40)+(W41*$C41)+(W42*$C42)</f>
        <v>2.9016000000000002</v>
      </c>
      <c r="X43" s="665"/>
    </row>
    <row r="44" spans="1:28">
      <c r="A44" s="665"/>
      <c r="B44" s="665"/>
      <c r="C44" s="665"/>
      <c r="D44" s="665"/>
      <c r="E44" s="665"/>
      <c r="F44" s="665"/>
      <c r="G44" s="665"/>
      <c r="H44" s="665"/>
      <c r="I44" s="665"/>
      <c r="J44" s="665"/>
      <c r="K44" s="665"/>
      <c r="L44" s="665"/>
      <c r="M44" s="665"/>
      <c r="N44" s="665"/>
      <c r="O44" s="665"/>
      <c r="P44" s="665"/>
      <c r="Q44" s="665"/>
      <c r="R44" s="665"/>
      <c r="S44" s="665"/>
      <c r="T44" s="665"/>
      <c r="U44" s="665"/>
      <c r="V44" s="665"/>
      <c r="W44" s="665"/>
      <c r="X44" s="665"/>
    </row>
    <row r="45" spans="1:28">
      <c r="A45" s="665"/>
      <c r="B45" s="716" t="s">
        <v>791</v>
      </c>
      <c r="C45" s="665"/>
      <c r="D45" s="665"/>
      <c r="E45" s="665"/>
      <c r="F45" s="665"/>
      <c r="G45" s="665"/>
      <c r="H45" s="714"/>
      <c r="I45" s="665"/>
      <c r="J45" s="665"/>
      <c r="K45" s="665"/>
      <c r="L45" s="665"/>
      <c r="M45" s="665"/>
      <c r="N45" s="665"/>
      <c r="O45" s="665"/>
      <c r="P45" s="665"/>
      <c r="Q45" s="665"/>
      <c r="R45" s="714"/>
      <c r="S45" s="665"/>
      <c r="T45" s="665"/>
      <c r="U45" s="665"/>
      <c r="V45" s="665"/>
      <c r="W45" s="665"/>
      <c r="X45" s="665"/>
    </row>
    <row r="46" spans="1:28">
      <c r="A46" s="665"/>
      <c r="B46" s="697" t="s">
        <v>119</v>
      </c>
      <c r="C46" s="697"/>
      <c r="D46" s="797" t="s">
        <v>987</v>
      </c>
      <c r="E46" s="701"/>
      <c r="F46" s="701"/>
      <c r="G46" s="701"/>
      <c r="H46" s="701"/>
      <c r="I46" s="797" t="s">
        <v>723</v>
      </c>
      <c r="J46" s="701"/>
      <c r="K46" s="701"/>
      <c r="L46" s="701"/>
      <c r="M46" s="702"/>
      <c r="N46" s="797" t="s">
        <v>986</v>
      </c>
      <c r="O46" s="701"/>
      <c r="P46" s="701"/>
      <c r="Q46" s="701"/>
      <c r="R46" s="701"/>
      <c r="S46" s="797" t="s">
        <v>983</v>
      </c>
      <c r="T46" s="701"/>
      <c r="U46" s="701"/>
      <c r="V46" s="701"/>
      <c r="W46" s="702"/>
      <c r="X46" s="665"/>
    </row>
    <row r="47" spans="1:28">
      <c r="A47" s="665"/>
      <c r="B47" s="703"/>
      <c r="C47" s="703" t="s">
        <v>15</v>
      </c>
      <c r="D47" s="694" t="s">
        <v>488</v>
      </c>
      <c r="E47" s="694" t="s">
        <v>790</v>
      </c>
      <c r="F47" s="694" t="s">
        <v>788</v>
      </c>
      <c r="G47" s="696" t="s">
        <v>786</v>
      </c>
      <c r="H47" s="694" t="s">
        <v>787</v>
      </c>
      <c r="I47" s="694" t="s">
        <v>488</v>
      </c>
      <c r="J47" s="694" t="s">
        <v>790</v>
      </c>
      <c r="K47" s="694" t="s">
        <v>788</v>
      </c>
      <c r="L47" s="696" t="s">
        <v>786</v>
      </c>
      <c r="M47" s="694" t="s">
        <v>787</v>
      </c>
      <c r="N47" s="694" t="s">
        <v>488</v>
      </c>
      <c r="O47" s="694" t="s">
        <v>790</v>
      </c>
      <c r="P47" s="694" t="s">
        <v>788</v>
      </c>
      <c r="Q47" s="696" t="s">
        <v>786</v>
      </c>
      <c r="R47" s="694" t="s">
        <v>787</v>
      </c>
      <c r="S47" s="694" t="s">
        <v>488</v>
      </c>
      <c r="T47" s="694" t="s">
        <v>790</v>
      </c>
      <c r="U47" s="694" t="s">
        <v>788</v>
      </c>
      <c r="V47" s="696" t="s">
        <v>786</v>
      </c>
      <c r="W47" s="694" t="s">
        <v>787</v>
      </c>
      <c r="X47" s="665"/>
    </row>
    <row r="48" spans="1:28">
      <c r="A48" s="665"/>
      <c r="B48" s="1352" t="s">
        <v>122</v>
      </c>
      <c r="C48" s="1353">
        <f>Grunddata!C28</f>
        <v>3.5999999999999997E-2</v>
      </c>
      <c r="D48" s="1347">
        <f t="shared" ref="D48:W48" si="10">D63*$G$29/10000</f>
        <v>12.360000000000001</v>
      </c>
      <c r="E48" s="1347">
        <f t="shared" si="10"/>
        <v>3.24</v>
      </c>
      <c r="F48" s="1347">
        <f t="shared" si="10"/>
        <v>6.6</v>
      </c>
      <c r="G48" s="1347">
        <f t="shared" si="10"/>
        <v>1.2</v>
      </c>
      <c r="H48" s="1347">
        <f t="shared" si="10"/>
        <v>2.88</v>
      </c>
      <c r="I48" s="1347">
        <f t="shared" si="10"/>
        <v>6.84</v>
      </c>
      <c r="J48" s="1347">
        <f t="shared" si="10"/>
        <v>0</v>
      </c>
      <c r="K48" s="1347">
        <f t="shared" si="10"/>
        <v>0</v>
      </c>
      <c r="L48" s="1347">
        <f t="shared" si="10"/>
        <v>0</v>
      </c>
      <c r="M48" s="1347">
        <f t="shared" si="10"/>
        <v>0</v>
      </c>
      <c r="N48" s="1347">
        <f t="shared" si="10"/>
        <v>12.360000000000001</v>
      </c>
      <c r="O48" s="1347">
        <f t="shared" si="10"/>
        <v>3.24</v>
      </c>
      <c r="P48" s="1347">
        <f t="shared" si="10"/>
        <v>6.6</v>
      </c>
      <c r="Q48" s="1347">
        <f t="shared" si="10"/>
        <v>1.2</v>
      </c>
      <c r="R48" s="1347">
        <f t="shared" si="10"/>
        <v>2.88</v>
      </c>
      <c r="S48" s="1347">
        <f t="shared" si="10"/>
        <v>6.84</v>
      </c>
      <c r="T48" s="1347">
        <f t="shared" si="10"/>
        <v>0</v>
      </c>
      <c r="U48" s="1347">
        <f t="shared" si="10"/>
        <v>0</v>
      </c>
      <c r="V48" s="1347">
        <f t="shared" si="10"/>
        <v>0</v>
      </c>
      <c r="W48" s="1347">
        <f t="shared" si="10"/>
        <v>0</v>
      </c>
      <c r="X48" s="665"/>
    </row>
    <row r="49" spans="1:24">
      <c r="A49" s="665"/>
      <c r="B49" s="1355" t="s">
        <v>18</v>
      </c>
      <c r="C49" s="1353">
        <f>Grunddata!C29</f>
        <v>0.35399999999999998</v>
      </c>
      <c r="D49" s="1347">
        <f t="shared" ref="D49:W49" si="11">D64*$G$29/10000</f>
        <v>15.6</v>
      </c>
      <c r="E49" s="1347">
        <f t="shared" si="11"/>
        <v>4.919999999999999</v>
      </c>
      <c r="F49" s="1347">
        <f t="shared" si="11"/>
        <v>8.2799999999999994</v>
      </c>
      <c r="G49" s="1347">
        <f t="shared" si="11"/>
        <v>2.2799999999999998</v>
      </c>
      <c r="H49" s="1347">
        <f t="shared" si="11"/>
        <v>4.919999999999999</v>
      </c>
      <c r="I49" s="1347">
        <f t="shared" si="11"/>
        <v>9.8399999999999981</v>
      </c>
      <c r="J49" s="1347">
        <f t="shared" si="11"/>
        <v>0</v>
      </c>
      <c r="K49" s="1347">
        <f t="shared" si="11"/>
        <v>0</v>
      </c>
      <c r="L49" s="1347">
        <f t="shared" si="11"/>
        <v>0.48</v>
      </c>
      <c r="M49" s="1347">
        <f t="shared" si="11"/>
        <v>0.6</v>
      </c>
      <c r="N49" s="1347">
        <f t="shared" si="11"/>
        <v>15.6</v>
      </c>
      <c r="O49" s="1347">
        <f t="shared" si="11"/>
        <v>4.919999999999999</v>
      </c>
      <c r="P49" s="1347">
        <f t="shared" si="11"/>
        <v>8.2799999999999994</v>
      </c>
      <c r="Q49" s="1347">
        <f t="shared" si="11"/>
        <v>2.2799999999999998</v>
      </c>
      <c r="R49" s="1347">
        <f t="shared" si="11"/>
        <v>4.919999999999999</v>
      </c>
      <c r="S49" s="1347">
        <f t="shared" si="11"/>
        <v>9.8399999999999981</v>
      </c>
      <c r="T49" s="1347">
        <f t="shared" si="11"/>
        <v>0</v>
      </c>
      <c r="U49" s="1347">
        <f t="shared" si="11"/>
        <v>0</v>
      </c>
      <c r="V49" s="1347">
        <f t="shared" si="11"/>
        <v>0.48</v>
      </c>
      <c r="W49" s="1347">
        <f t="shared" si="11"/>
        <v>0.6</v>
      </c>
      <c r="X49" s="665"/>
    </row>
    <row r="50" spans="1:24">
      <c r="A50" s="665"/>
      <c r="B50" s="1355" t="s">
        <v>126</v>
      </c>
      <c r="C50" s="1353">
        <f>Grunddata!C30</f>
        <v>0.39</v>
      </c>
      <c r="D50" s="1347">
        <f t="shared" ref="D50:W50" si="12">D65*$G$29/10000</f>
        <v>20.16</v>
      </c>
      <c r="E50" s="1347">
        <f t="shared" si="12"/>
        <v>7.44</v>
      </c>
      <c r="F50" s="1347">
        <f t="shared" si="12"/>
        <v>10.68</v>
      </c>
      <c r="G50" s="1347">
        <f t="shared" si="12"/>
        <v>3.6</v>
      </c>
      <c r="H50" s="1347">
        <f t="shared" si="12"/>
        <v>7.68</v>
      </c>
      <c r="I50" s="1347">
        <f t="shared" si="12"/>
        <v>13.68</v>
      </c>
      <c r="J50" s="1347">
        <f t="shared" si="12"/>
        <v>2.2799999999999998</v>
      </c>
      <c r="K50" s="1347">
        <f t="shared" si="12"/>
        <v>0</v>
      </c>
      <c r="L50" s="1347">
        <f t="shared" si="12"/>
        <v>1.8</v>
      </c>
      <c r="M50" s="1347">
        <f t="shared" si="12"/>
        <v>3.24</v>
      </c>
      <c r="N50" s="1347">
        <f t="shared" si="12"/>
        <v>20.16</v>
      </c>
      <c r="O50" s="1347">
        <f t="shared" si="12"/>
        <v>7.44</v>
      </c>
      <c r="P50" s="1347">
        <f t="shared" si="12"/>
        <v>10.68</v>
      </c>
      <c r="Q50" s="1347">
        <f t="shared" si="12"/>
        <v>3.6</v>
      </c>
      <c r="R50" s="1347">
        <f t="shared" si="12"/>
        <v>7.68</v>
      </c>
      <c r="S50" s="1347">
        <f t="shared" si="12"/>
        <v>13.68</v>
      </c>
      <c r="T50" s="1347">
        <f t="shared" si="12"/>
        <v>2.2799999999999998</v>
      </c>
      <c r="U50" s="1347">
        <f t="shared" si="12"/>
        <v>0</v>
      </c>
      <c r="V50" s="1347">
        <f t="shared" si="12"/>
        <v>1.8</v>
      </c>
      <c r="W50" s="1347">
        <f t="shared" si="12"/>
        <v>3.24</v>
      </c>
      <c r="X50" s="665"/>
    </row>
    <row r="51" spans="1:24">
      <c r="A51" s="665"/>
      <c r="B51" s="1355" t="s">
        <v>128</v>
      </c>
      <c r="C51" s="1353">
        <f>Grunddata!C31</f>
        <v>0.22</v>
      </c>
      <c r="D51" s="1347">
        <f t="shared" ref="D51:W51" si="13">D66*$G$29/10000</f>
        <v>25.679999999999996</v>
      </c>
      <c r="E51" s="1347">
        <f t="shared" si="13"/>
        <v>10.439999999999998</v>
      </c>
      <c r="F51" s="1347">
        <f t="shared" si="13"/>
        <v>13.44</v>
      </c>
      <c r="G51" s="1347">
        <f t="shared" si="13"/>
        <v>5.4</v>
      </c>
      <c r="H51" s="1347">
        <f t="shared" si="13"/>
        <v>11.160000000000002</v>
      </c>
      <c r="I51" s="1347">
        <f t="shared" si="13"/>
        <v>19.320000000000004</v>
      </c>
      <c r="J51" s="1347">
        <f t="shared" si="13"/>
        <v>5.04</v>
      </c>
      <c r="K51" s="1347">
        <f t="shared" si="13"/>
        <v>0</v>
      </c>
      <c r="L51" s="1347">
        <f t="shared" si="13"/>
        <v>3.48</v>
      </c>
      <c r="M51" s="1347">
        <f t="shared" si="13"/>
        <v>6.48</v>
      </c>
      <c r="N51" s="1347">
        <f t="shared" si="13"/>
        <v>25.679999999999996</v>
      </c>
      <c r="O51" s="1347">
        <f t="shared" si="13"/>
        <v>10.439999999999998</v>
      </c>
      <c r="P51" s="1347">
        <f t="shared" si="13"/>
        <v>13.44</v>
      </c>
      <c r="Q51" s="1347">
        <f t="shared" si="13"/>
        <v>5.4</v>
      </c>
      <c r="R51" s="1347">
        <f t="shared" si="13"/>
        <v>11.160000000000002</v>
      </c>
      <c r="S51" s="1347">
        <f t="shared" si="13"/>
        <v>19.320000000000004</v>
      </c>
      <c r="T51" s="1347">
        <f t="shared" si="13"/>
        <v>5.04</v>
      </c>
      <c r="U51" s="1347">
        <f t="shared" si="13"/>
        <v>0</v>
      </c>
      <c r="V51" s="1347">
        <f t="shared" si="13"/>
        <v>3.48</v>
      </c>
      <c r="W51" s="1347">
        <f t="shared" si="13"/>
        <v>6.48</v>
      </c>
      <c r="X51" s="665"/>
    </row>
    <row r="52" spans="1:24">
      <c r="A52" s="665"/>
      <c r="B52" s="1355" t="s">
        <v>130</v>
      </c>
      <c r="C52" s="1353">
        <f>Grunddata!C32</f>
        <v>0</v>
      </c>
      <c r="D52" s="1347">
        <f t="shared" ref="D52:W52" si="14">D67*$G$29/10000</f>
        <v>33.96</v>
      </c>
      <c r="E52" s="1347">
        <f t="shared" si="14"/>
        <v>14.88</v>
      </c>
      <c r="F52" s="1347">
        <f t="shared" si="14"/>
        <v>17.760000000000002</v>
      </c>
      <c r="G52" s="1347">
        <f t="shared" si="14"/>
        <v>7.92</v>
      </c>
      <c r="H52" s="1347">
        <f t="shared" si="14"/>
        <v>16.2</v>
      </c>
      <c r="I52" s="1347">
        <f t="shared" si="14"/>
        <v>27.12</v>
      </c>
      <c r="J52" s="1347">
        <f t="shared" si="14"/>
        <v>9.1199999999999992</v>
      </c>
      <c r="K52" s="1347">
        <f t="shared" si="14"/>
        <v>0</v>
      </c>
      <c r="L52" s="1347">
        <f t="shared" si="14"/>
        <v>5.76</v>
      </c>
      <c r="M52" s="1347">
        <f t="shared" si="14"/>
        <v>11.160000000000002</v>
      </c>
      <c r="N52" s="1347">
        <f t="shared" si="14"/>
        <v>33.96</v>
      </c>
      <c r="O52" s="1347">
        <f t="shared" si="14"/>
        <v>14.88</v>
      </c>
      <c r="P52" s="1347">
        <f t="shared" si="14"/>
        <v>17.760000000000002</v>
      </c>
      <c r="Q52" s="1347">
        <f t="shared" si="14"/>
        <v>7.92</v>
      </c>
      <c r="R52" s="1347">
        <f t="shared" si="14"/>
        <v>16.2</v>
      </c>
      <c r="S52" s="1347">
        <f t="shared" si="14"/>
        <v>27.12</v>
      </c>
      <c r="T52" s="1347">
        <f t="shared" si="14"/>
        <v>9.1199999999999992</v>
      </c>
      <c r="U52" s="1347">
        <f t="shared" si="14"/>
        <v>0</v>
      </c>
      <c r="V52" s="1347">
        <f t="shared" si="14"/>
        <v>5.76</v>
      </c>
      <c r="W52" s="1347">
        <f t="shared" si="14"/>
        <v>11.160000000000002</v>
      </c>
      <c r="X52" s="665"/>
    </row>
    <row r="53" spans="1:24">
      <c r="A53" s="665"/>
      <c r="B53" s="1356" t="s">
        <v>132</v>
      </c>
      <c r="C53" s="1353">
        <f>Grunddata!C33</f>
        <v>0</v>
      </c>
      <c r="D53" s="1347">
        <f t="shared" ref="D53:W53" si="15">D68*$G$29/10000</f>
        <v>12.360000000000001</v>
      </c>
      <c r="E53" s="1347">
        <f t="shared" si="15"/>
        <v>3.24</v>
      </c>
      <c r="F53" s="1347">
        <f t="shared" si="15"/>
        <v>6.6</v>
      </c>
      <c r="G53" s="1347">
        <f t="shared" si="15"/>
        <v>1.2</v>
      </c>
      <c r="H53" s="1347">
        <f t="shared" si="15"/>
        <v>2.88</v>
      </c>
      <c r="I53" s="1347">
        <f t="shared" si="15"/>
        <v>6.84</v>
      </c>
      <c r="J53" s="1347">
        <f t="shared" si="15"/>
        <v>0</v>
      </c>
      <c r="K53" s="1347">
        <f t="shared" si="15"/>
        <v>0</v>
      </c>
      <c r="L53" s="1347">
        <f t="shared" si="15"/>
        <v>0</v>
      </c>
      <c r="M53" s="1347">
        <f t="shared" si="15"/>
        <v>0</v>
      </c>
      <c r="N53" s="1347">
        <f t="shared" si="15"/>
        <v>12.360000000000001</v>
      </c>
      <c r="O53" s="1347">
        <f t="shared" si="15"/>
        <v>3.24</v>
      </c>
      <c r="P53" s="1347">
        <f t="shared" si="15"/>
        <v>6.6</v>
      </c>
      <c r="Q53" s="1347">
        <f t="shared" si="15"/>
        <v>1.2</v>
      </c>
      <c r="R53" s="1347">
        <f t="shared" si="15"/>
        <v>2.88</v>
      </c>
      <c r="S53" s="1347">
        <f t="shared" si="15"/>
        <v>6.84</v>
      </c>
      <c r="T53" s="1347">
        <f t="shared" si="15"/>
        <v>0</v>
      </c>
      <c r="U53" s="1347">
        <f t="shared" si="15"/>
        <v>0</v>
      </c>
      <c r="V53" s="1347">
        <f t="shared" si="15"/>
        <v>0</v>
      </c>
      <c r="W53" s="1347">
        <f t="shared" si="15"/>
        <v>0</v>
      </c>
      <c r="X53" s="665"/>
    </row>
    <row r="54" spans="1:24">
      <c r="A54" s="665"/>
      <c r="B54" s="802"/>
      <c r="C54" s="801"/>
      <c r="D54" s="665"/>
      <c r="E54" s="665"/>
      <c r="F54" s="665"/>
      <c r="G54" s="665"/>
      <c r="H54" s="665"/>
      <c r="I54" s="665"/>
      <c r="J54" s="665"/>
      <c r="K54" s="665"/>
      <c r="L54" s="665"/>
      <c r="M54" s="665"/>
      <c r="N54" s="665"/>
      <c r="O54" s="665"/>
      <c r="P54" s="665"/>
      <c r="Q54" s="665"/>
      <c r="R54" s="665"/>
      <c r="S54" s="665"/>
      <c r="T54" s="665"/>
      <c r="U54" s="665"/>
      <c r="V54" s="665"/>
      <c r="W54" s="665"/>
      <c r="X54" s="665"/>
    </row>
    <row r="55" spans="1:24">
      <c r="A55" s="665"/>
      <c r="B55" s="665"/>
      <c r="C55" s="665"/>
      <c r="D55" s="665"/>
      <c r="E55" s="665"/>
      <c r="F55" s="665"/>
      <c r="G55" s="665"/>
      <c r="H55" s="665"/>
      <c r="I55" s="665"/>
      <c r="J55" s="665"/>
      <c r="K55" s="665"/>
      <c r="L55" s="665"/>
      <c r="M55" s="665"/>
      <c r="N55" s="665"/>
      <c r="O55" s="665"/>
      <c r="P55" s="665"/>
      <c r="Q55" s="665"/>
      <c r="R55" s="665"/>
      <c r="S55" s="665"/>
      <c r="T55" s="665"/>
      <c r="U55" s="665"/>
      <c r="V55" s="665"/>
      <c r="W55" s="665"/>
      <c r="X55" s="665"/>
    </row>
    <row r="56" spans="1:24">
      <c r="A56" s="665"/>
      <c r="B56" s="665"/>
      <c r="C56" s="665"/>
      <c r="D56" s="665"/>
      <c r="E56" s="665"/>
      <c r="F56" s="665"/>
      <c r="G56" s="665"/>
      <c r="H56" s="665"/>
      <c r="I56" s="665"/>
      <c r="J56" s="665"/>
      <c r="K56" s="665"/>
      <c r="L56" s="665"/>
      <c r="M56" s="665"/>
      <c r="N56" s="665"/>
      <c r="O56" s="665"/>
      <c r="P56" s="665"/>
      <c r="Q56" s="665"/>
      <c r="R56" s="665"/>
      <c r="S56" s="665"/>
      <c r="T56" s="665"/>
      <c r="U56" s="665"/>
      <c r="V56" s="665"/>
      <c r="W56" s="665"/>
      <c r="X56" s="665"/>
    </row>
    <row r="57" spans="1:24">
      <c r="A57" s="665"/>
      <c r="B57" s="665"/>
      <c r="C57" s="665"/>
      <c r="D57" s="665"/>
      <c r="E57" s="665"/>
      <c r="F57" s="665"/>
      <c r="G57" s="665"/>
      <c r="H57" s="665"/>
      <c r="I57" s="665"/>
      <c r="J57" s="665"/>
      <c r="K57" s="665"/>
      <c r="L57" s="665"/>
      <c r="M57" s="665"/>
      <c r="N57" s="665"/>
      <c r="O57" s="665"/>
      <c r="P57" s="665"/>
      <c r="Q57" s="665"/>
      <c r="R57" s="665"/>
      <c r="S57" s="665"/>
      <c r="T57" s="665"/>
      <c r="U57" s="665"/>
      <c r="V57" s="665"/>
      <c r="W57" s="665"/>
      <c r="X57" s="665"/>
    </row>
    <row r="58" spans="1:24">
      <c r="A58" s="665"/>
      <c r="B58" s="665"/>
      <c r="C58" s="665"/>
      <c r="D58" s="665"/>
      <c r="E58" s="665"/>
      <c r="F58" s="665"/>
      <c r="G58" s="665"/>
      <c r="H58" s="665"/>
      <c r="I58" s="665"/>
      <c r="J58" s="665"/>
      <c r="K58" s="665"/>
      <c r="L58" s="665"/>
      <c r="M58" s="665"/>
      <c r="N58" s="665"/>
      <c r="O58" s="665"/>
      <c r="P58" s="665"/>
      <c r="Q58" s="665"/>
      <c r="R58" s="665"/>
      <c r="S58" s="665"/>
      <c r="T58" s="665"/>
      <c r="U58" s="665"/>
      <c r="V58" s="665"/>
      <c r="W58" s="665"/>
      <c r="X58" s="665"/>
    </row>
    <row r="60" spans="1:24">
      <c r="C60" s="164" t="s">
        <v>1809</v>
      </c>
      <c r="Q60" s="104"/>
    </row>
    <row r="61" spans="1:24">
      <c r="D61" s="1536" t="s">
        <v>987</v>
      </c>
      <c r="E61" s="1537"/>
      <c r="F61" s="1537"/>
      <c r="G61" s="1537"/>
      <c r="H61" s="1537"/>
      <c r="I61" s="1536" t="s">
        <v>723</v>
      </c>
      <c r="J61" s="1537"/>
      <c r="K61" s="1537"/>
      <c r="L61" s="1537"/>
      <c r="M61" s="1538"/>
      <c r="N61" s="1536" t="s">
        <v>986</v>
      </c>
      <c r="O61" s="1537"/>
      <c r="P61" s="1537"/>
      <c r="Q61" s="1537"/>
      <c r="R61" s="1537"/>
      <c r="S61" s="1536" t="s">
        <v>983</v>
      </c>
      <c r="T61" s="1537"/>
      <c r="U61" s="1537"/>
      <c r="V61" s="1537"/>
      <c r="W61" s="1538"/>
    </row>
    <row r="62" spans="1:24">
      <c r="D62" s="520" t="s">
        <v>488</v>
      </c>
      <c r="E62" s="520" t="s">
        <v>790</v>
      </c>
      <c r="F62" s="520" t="s">
        <v>788</v>
      </c>
      <c r="G62" s="1108" t="s">
        <v>786</v>
      </c>
      <c r="H62" s="520" t="s">
        <v>787</v>
      </c>
      <c r="I62" s="520" t="s">
        <v>488</v>
      </c>
      <c r="J62" s="520" t="s">
        <v>790</v>
      </c>
      <c r="K62" s="520" t="s">
        <v>788</v>
      </c>
      <c r="L62" s="1108" t="s">
        <v>786</v>
      </c>
      <c r="M62" s="520" t="s">
        <v>787</v>
      </c>
      <c r="N62" s="520" t="s">
        <v>488</v>
      </c>
      <c r="O62" s="520" t="s">
        <v>790</v>
      </c>
      <c r="P62" s="520" t="s">
        <v>788</v>
      </c>
      <c r="Q62" s="1108" t="s">
        <v>786</v>
      </c>
      <c r="R62" s="520" t="s">
        <v>787</v>
      </c>
      <c r="S62" s="520" t="s">
        <v>488</v>
      </c>
      <c r="T62" s="520" t="s">
        <v>790</v>
      </c>
      <c r="U62" s="520" t="s">
        <v>788</v>
      </c>
      <c r="V62" s="1108" t="s">
        <v>786</v>
      </c>
      <c r="W62" s="520" t="s">
        <v>787</v>
      </c>
    </row>
    <row r="63" spans="1:24">
      <c r="C63" s="1360" t="s">
        <v>122</v>
      </c>
      <c r="D63" s="1347">
        <v>10.3</v>
      </c>
      <c r="E63" s="1347">
        <v>2.7</v>
      </c>
      <c r="F63" s="1347">
        <v>5.5</v>
      </c>
      <c r="G63" s="1347">
        <v>1</v>
      </c>
      <c r="H63" s="1354">
        <v>2.4</v>
      </c>
      <c r="I63" s="1108">
        <v>5.7</v>
      </c>
      <c r="J63" s="1108">
        <v>0</v>
      </c>
      <c r="K63" s="1108"/>
      <c r="L63" s="1108">
        <v>0</v>
      </c>
      <c r="M63" s="1108">
        <v>0</v>
      </c>
      <c r="N63" s="1347">
        <v>10.3</v>
      </c>
      <c r="O63" s="1347">
        <v>2.7</v>
      </c>
      <c r="P63" s="1347">
        <v>5.5</v>
      </c>
      <c r="Q63" s="1347">
        <v>1</v>
      </c>
      <c r="R63" s="1354">
        <v>2.4</v>
      </c>
      <c r="S63" s="1108">
        <v>5.7</v>
      </c>
      <c r="T63" s="1108">
        <v>0</v>
      </c>
      <c r="U63" s="1108"/>
      <c r="V63" s="1108">
        <v>0</v>
      </c>
      <c r="W63" s="1108">
        <v>0</v>
      </c>
    </row>
    <row r="64" spans="1:24">
      <c r="C64" s="1360" t="s">
        <v>18</v>
      </c>
      <c r="D64" s="1108">
        <v>13</v>
      </c>
      <c r="E64" s="1108">
        <v>4.0999999999999996</v>
      </c>
      <c r="F64" s="1108">
        <v>6.9</v>
      </c>
      <c r="G64" s="1108">
        <v>1.9</v>
      </c>
      <c r="H64" s="1108">
        <v>4.0999999999999996</v>
      </c>
      <c r="I64" s="1108">
        <v>8.1999999999999993</v>
      </c>
      <c r="J64" s="1108">
        <v>0</v>
      </c>
      <c r="K64" s="1108"/>
      <c r="L64" s="1108">
        <v>0.4</v>
      </c>
      <c r="M64" s="1108">
        <v>0.5</v>
      </c>
      <c r="N64" s="1108">
        <v>13</v>
      </c>
      <c r="O64" s="1108">
        <v>4.0999999999999996</v>
      </c>
      <c r="P64" s="1108">
        <v>6.9</v>
      </c>
      <c r="Q64" s="1108">
        <v>1.9</v>
      </c>
      <c r="R64" s="1108">
        <v>4.0999999999999996</v>
      </c>
      <c r="S64" s="1108">
        <v>8.1999999999999993</v>
      </c>
      <c r="T64" s="1108">
        <v>0</v>
      </c>
      <c r="U64" s="1108"/>
      <c r="V64" s="1108">
        <v>0.4</v>
      </c>
      <c r="W64" s="1108">
        <v>0.5</v>
      </c>
    </row>
    <row r="65" spans="3:23">
      <c r="C65" s="1360" t="s">
        <v>126</v>
      </c>
      <c r="D65" s="1108">
        <v>16.8</v>
      </c>
      <c r="E65" s="1108">
        <v>6.2</v>
      </c>
      <c r="F65" s="1108">
        <v>8.9</v>
      </c>
      <c r="G65" s="1108">
        <v>3</v>
      </c>
      <c r="H65" s="1354">
        <v>6.4</v>
      </c>
      <c r="I65" s="1108">
        <v>11.4</v>
      </c>
      <c r="J65" s="1108">
        <v>1.9</v>
      </c>
      <c r="K65" s="1108"/>
      <c r="L65" s="1108">
        <v>1.5</v>
      </c>
      <c r="M65" s="1108">
        <v>2.7</v>
      </c>
      <c r="N65" s="1108">
        <v>16.8</v>
      </c>
      <c r="O65" s="1108">
        <v>6.2</v>
      </c>
      <c r="P65" s="1108">
        <v>8.9</v>
      </c>
      <c r="Q65" s="1108">
        <v>3</v>
      </c>
      <c r="R65" s="1354">
        <v>6.4</v>
      </c>
      <c r="S65" s="1108">
        <v>11.4</v>
      </c>
      <c r="T65" s="1108">
        <v>1.9</v>
      </c>
      <c r="U65" s="1108"/>
      <c r="V65" s="1108">
        <v>1.5</v>
      </c>
      <c r="W65" s="1108">
        <v>2.7</v>
      </c>
    </row>
    <row r="66" spans="3:23">
      <c r="C66" s="1360" t="s">
        <v>128</v>
      </c>
      <c r="D66" s="1108">
        <v>21.4</v>
      </c>
      <c r="E66" s="1108">
        <v>8.6999999999999993</v>
      </c>
      <c r="F66" s="1108">
        <v>11.2</v>
      </c>
      <c r="G66" s="1108">
        <v>4.5</v>
      </c>
      <c r="H66" s="1108">
        <v>9.3000000000000007</v>
      </c>
      <c r="I66" s="1108">
        <v>16.100000000000001</v>
      </c>
      <c r="J66" s="1108">
        <v>4.2</v>
      </c>
      <c r="K66" s="1108"/>
      <c r="L66" s="1108">
        <v>2.9</v>
      </c>
      <c r="M66" s="1108">
        <v>5.4</v>
      </c>
      <c r="N66" s="1108">
        <v>21.4</v>
      </c>
      <c r="O66" s="1108">
        <v>8.6999999999999993</v>
      </c>
      <c r="P66" s="1108">
        <v>11.2</v>
      </c>
      <c r="Q66" s="1108">
        <v>4.5</v>
      </c>
      <c r="R66" s="1108">
        <v>9.3000000000000007</v>
      </c>
      <c r="S66" s="1108">
        <v>16.100000000000001</v>
      </c>
      <c r="T66" s="1108">
        <v>4.2</v>
      </c>
      <c r="U66" s="1108"/>
      <c r="V66" s="1108">
        <v>2.9</v>
      </c>
      <c r="W66" s="1108">
        <v>5.4</v>
      </c>
    </row>
    <row r="67" spans="3:23">
      <c r="C67" s="1360" t="s">
        <v>130</v>
      </c>
      <c r="D67" s="1108">
        <v>28.3</v>
      </c>
      <c r="E67" s="1108">
        <v>12.4</v>
      </c>
      <c r="F67" s="1108">
        <v>14.8</v>
      </c>
      <c r="G67" s="1108">
        <v>6.6</v>
      </c>
      <c r="H67" s="1108">
        <v>13.5</v>
      </c>
      <c r="I67" s="1108">
        <v>22.6</v>
      </c>
      <c r="J67" s="1108">
        <v>7.6</v>
      </c>
      <c r="K67" s="1108"/>
      <c r="L67" s="1108">
        <v>4.8</v>
      </c>
      <c r="M67" s="1108">
        <v>9.3000000000000007</v>
      </c>
      <c r="N67" s="1108">
        <v>28.3</v>
      </c>
      <c r="O67" s="1108">
        <v>12.4</v>
      </c>
      <c r="P67" s="1108">
        <v>14.8</v>
      </c>
      <c r="Q67" s="1108">
        <v>6.6</v>
      </c>
      <c r="R67" s="1108">
        <v>13.5</v>
      </c>
      <c r="S67" s="1108">
        <v>22.6</v>
      </c>
      <c r="T67" s="1108">
        <v>7.6</v>
      </c>
      <c r="U67" s="1108"/>
      <c r="V67" s="1108">
        <v>4.8</v>
      </c>
      <c r="W67" s="1108">
        <v>9.3000000000000007</v>
      </c>
    </row>
    <row r="68" spans="3:23">
      <c r="C68" s="1360" t="s">
        <v>132</v>
      </c>
      <c r="D68" s="1358">
        <v>10.3</v>
      </c>
      <c r="E68" s="1358">
        <v>2.7</v>
      </c>
      <c r="F68" s="1358">
        <v>5.5</v>
      </c>
      <c r="G68" s="1358">
        <v>1</v>
      </c>
      <c r="H68" s="1359">
        <v>2.4</v>
      </c>
      <c r="I68" s="1359">
        <v>5.7</v>
      </c>
      <c r="J68" s="1359">
        <v>0</v>
      </c>
      <c r="K68" s="1359"/>
      <c r="L68" s="1359">
        <v>0</v>
      </c>
      <c r="M68" s="1359">
        <v>0</v>
      </c>
      <c r="N68" s="1358">
        <v>10.3</v>
      </c>
      <c r="O68" s="1358">
        <v>2.7</v>
      </c>
      <c r="P68" s="1358">
        <v>5.5</v>
      </c>
      <c r="Q68" s="1358">
        <v>1</v>
      </c>
      <c r="R68" s="1359">
        <v>2.4</v>
      </c>
      <c r="S68" s="1359">
        <v>5.7</v>
      </c>
      <c r="T68" s="1359">
        <v>0</v>
      </c>
      <c r="U68" s="1359"/>
      <c r="V68" s="1359">
        <v>0</v>
      </c>
      <c r="W68" s="1359">
        <v>0</v>
      </c>
    </row>
    <row r="69" spans="3:23">
      <c r="D69" s="1348"/>
      <c r="E69" s="1348"/>
      <c r="F69" s="1348"/>
      <c r="G69" s="1348"/>
      <c r="H69" s="1348"/>
      <c r="I69" s="1348"/>
      <c r="J69" s="1348"/>
      <c r="K69" s="1348"/>
      <c r="L69" s="1348"/>
      <c r="M69" s="1348"/>
      <c r="N69" s="1348"/>
      <c r="O69" s="1348"/>
      <c r="P69" s="1348"/>
      <c r="Q69" s="1348"/>
      <c r="R69" s="1348"/>
      <c r="S69" s="1348"/>
      <c r="T69" s="1348"/>
      <c r="U69" s="1348"/>
      <c r="V69" s="1348"/>
      <c r="W69" s="1348"/>
    </row>
    <row r="72" spans="3:23">
      <c r="C72" s="473" t="s">
        <v>940</v>
      </c>
      <c r="D72" s="473"/>
      <c r="E72" s="473"/>
      <c r="F72" s="473"/>
      <c r="G72" s="473"/>
      <c r="H72" s="473"/>
      <c r="I72" s="473"/>
      <c r="J72" s="473"/>
    </row>
    <row r="73" spans="3:23">
      <c r="C73" s="471" t="s">
        <v>137</v>
      </c>
      <c r="D73" s="471" t="s">
        <v>926</v>
      </c>
      <c r="E73" s="471" t="s">
        <v>927</v>
      </c>
      <c r="F73" s="471" t="s">
        <v>487</v>
      </c>
      <c r="G73" s="471" t="s">
        <v>928</v>
      </c>
      <c r="H73" s="471" t="s">
        <v>929</v>
      </c>
      <c r="I73" s="471" t="s">
        <v>930</v>
      </c>
      <c r="J73" s="471" t="s">
        <v>931</v>
      </c>
    </row>
    <row r="74" spans="3:23">
      <c r="C74" s="471">
        <v>1981</v>
      </c>
      <c r="D74" s="471">
        <v>27</v>
      </c>
      <c r="E74" s="471">
        <v>7.4</v>
      </c>
      <c r="F74" s="471">
        <v>0.37</v>
      </c>
      <c r="G74" s="471">
        <v>3.3</v>
      </c>
      <c r="H74" s="471" t="s">
        <v>932</v>
      </c>
      <c r="I74" s="471">
        <v>8.9</v>
      </c>
      <c r="J74" s="471">
        <v>0.19</v>
      </c>
    </row>
    <row r="75" spans="3:23">
      <c r="C75" s="471">
        <v>1985</v>
      </c>
      <c r="D75" s="471">
        <v>35</v>
      </c>
      <c r="E75" s="471">
        <v>7.1</v>
      </c>
      <c r="F75" s="471">
        <v>0.13</v>
      </c>
      <c r="G75" s="471">
        <v>4.9000000000000004</v>
      </c>
      <c r="H75" s="471">
        <v>0.11</v>
      </c>
      <c r="I75" s="471">
        <v>5.4</v>
      </c>
      <c r="J75" s="471">
        <v>0.14000000000000001</v>
      </c>
    </row>
    <row r="76" spans="3:23">
      <c r="C76" s="471">
        <v>1989</v>
      </c>
      <c r="D76" s="471">
        <v>30</v>
      </c>
      <c r="E76" s="471">
        <v>6.8</v>
      </c>
      <c r="F76" s="471">
        <v>0.33</v>
      </c>
      <c r="G76" s="471">
        <v>4.3</v>
      </c>
      <c r="H76" s="471">
        <v>0.08</v>
      </c>
      <c r="I76" s="471">
        <v>8.3000000000000007</v>
      </c>
      <c r="J76" s="471">
        <v>0.22</v>
      </c>
    </row>
    <row r="77" spans="3:23">
      <c r="C77" s="471">
        <v>1993</v>
      </c>
      <c r="D77" s="471">
        <v>23</v>
      </c>
      <c r="E77" s="471">
        <v>7.5</v>
      </c>
      <c r="F77" s="471">
        <v>0.45</v>
      </c>
      <c r="G77" s="471">
        <v>3.8</v>
      </c>
      <c r="H77" s="471">
        <v>0.1</v>
      </c>
      <c r="I77" s="471">
        <v>3.4</v>
      </c>
      <c r="J77" s="471">
        <v>0.2</v>
      </c>
    </row>
    <row r="78" spans="3:23">
      <c r="C78" s="471">
        <v>1997</v>
      </c>
      <c r="D78" s="471">
        <v>17</v>
      </c>
      <c r="E78" s="471">
        <v>7.7</v>
      </c>
      <c r="F78" s="471">
        <v>1.3</v>
      </c>
      <c r="G78" s="471">
        <v>4.5</v>
      </c>
      <c r="H78" s="471">
        <v>0.41</v>
      </c>
      <c r="I78" s="471">
        <v>3.7</v>
      </c>
      <c r="J78" s="471">
        <v>0.68</v>
      </c>
    </row>
    <row r="79" spans="3:23">
      <c r="C79" s="471" t="s">
        <v>933</v>
      </c>
      <c r="D79" s="471">
        <v>24</v>
      </c>
      <c r="E79" s="471">
        <v>7.3</v>
      </c>
      <c r="F79" s="471">
        <v>1.3</v>
      </c>
      <c r="G79" s="471">
        <v>4.0999999999999996</v>
      </c>
      <c r="H79" s="471"/>
      <c r="I79" s="471">
        <v>3.1</v>
      </c>
      <c r="J79" s="471"/>
    </row>
    <row r="80" spans="3:23">
      <c r="C80" s="471">
        <v>2005</v>
      </c>
      <c r="D80" s="471">
        <v>34</v>
      </c>
      <c r="E80" s="471">
        <v>8.1</v>
      </c>
      <c r="F80" s="471">
        <v>1.6</v>
      </c>
      <c r="G80" s="471">
        <v>5.7</v>
      </c>
      <c r="H80" s="471">
        <v>0.15</v>
      </c>
      <c r="I80" s="471">
        <v>5.3</v>
      </c>
      <c r="J80" s="471">
        <v>0.5</v>
      </c>
    </row>
    <row r="81" spans="3:10">
      <c r="C81" s="471">
        <v>2009</v>
      </c>
      <c r="D81" s="471">
        <v>22</v>
      </c>
      <c r="E81" s="471">
        <v>8</v>
      </c>
      <c r="F81" s="471">
        <v>2.1</v>
      </c>
      <c r="G81" s="471">
        <v>2.7</v>
      </c>
      <c r="H81" s="471">
        <v>0.18</v>
      </c>
      <c r="I81" s="471">
        <v>2.5</v>
      </c>
      <c r="J81" s="471">
        <v>0.36</v>
      </c>
    </row>
    <row r="82" spans="3:10">
      <c r="C82" s="471">
        <v>1981</v>
      </c>
      <c r="D82" s="471">
        <v>20</v>
      </c>
      <c r="E82" s="471">
        <v>7.3</v>
      </c>
      <c r="F82" s="471">
        <v>0.5</v>
      </c>
      <c r="G82" s="471">
        <v>3.5</v>
      </c>
      <c r="H82" s="471" t="s">
        <v>934</v>
      </c>
      <c r="I82" s="471">
        <v>11.5</v>
      </c>
      <c r="J82" s="471">
        <v>0.75</v>
      </c>
    </row>
    <row r="83" spans="3:10">
      <c r="C83" s="471">
        <v>1985</v>
      </c>
      <c r="D83" s="471">
        <v>21</v>
      </c>
      <c r="E83" s="471">
        <v>7.6</v>
      </c>
      <c r="F83" s="471">
        <v>0.9</v>
      </c>
      <c r="G83" s="471">
        <v>3.2</v>
      </c>
      <c r="H83" s="471"/>
      <c r="I83" s="471">
        <v>11.2</v>
      </c>
      <c r="J83" s="471">
        <v>0.41</v>
      </c>
    </row>
    <row r="84" spans="3:10">
      <c r="C84" s="471">
        <v>1989</v>
      </c>
      <c r="D84" s="471">
        <v>25</v>
      </c>
      <c r="E84" s="471">
        <v>5.8</v>
      </c>
      <c r="F84" s="471">
        <v>2.4</v>
      </c>
      <c r="G84" s="471">
        <v>3</v>
      </c>
      <c r="H84" s="471">
        <v>0.36</v>
      </c>
      <c r="I84" s="471">
        <v>7.6</v>
      </c>
      <c r="J84" s="471">
        <v>0.31</v>
      </c>
    </row>
    <row r="85" spans="3:10">
      <c r="C85" s="471">
        <v>1993</v>
      </c>
      <c r="D85" s="471">
        <v>27</v>
      </c>
      <c r="E85" s="471">
        <v>7.8</v>
      </c>
      <c r="F85" s="471">
        <v>1</v>
      </c>
      <c r="G85" s="471">
        <v>2.7</v>
      </c>
      <c r="H85" s="471">
        <v>0.1</v>
      </c>
      <c r="I85" s="471">
        <v>3.6</v>
      </c>
      <c r="J85" s="471">
        <v>0.3</v>
      </c>
    </row>
    <row r="86" spans="3:10">
      <c r="C86" s="471">
        <v>1997</v>
      </c>
      <c r="D86" s="471">
        <v>24</v>
      </c>
      <c r="E86" s="471">
        <v>8.3000000000000007</v>
      </c>
      <c r="F86" s="471">
        <v>0.96</v>
      </c>
      <c r="G86" s="471">
        <v>3.5</v>
      </c>
      <c r="H86" s="471">
        <v>0.1</v>
      </c>
      <c r="I86" s="471">
        <v>4.0999999999999996</v>
      </c>
      <c r="J86" s="471">
        <v>0.28000000000000003</v>
      </c>
    </row>
    <row r="87" spans="3:10">
      <c r="C87" s="471">
        <v>2001</v>
      </c>
      <c r="D87" s="471">
        <v>23</v>
      </c>
      <c r="E87" s="471">
        <v>8.1999999999999993</v>
      </c>
      <c r="F87" s="471">
        <v>1.4</v>
      </c>
      <c r="G87" s="471">
        <v>3</v>
      </c>
      <c r="H87" s="471">
        <v>0.12</v>
      </c>
      <c r="I87" s="471">
        <v>3</v>
      </c>
      <c r="J87" s="471">
        <v>0.31</v>
      </c>
    </row>
    <row r="88" spans="3:10">
      <c r="C88" s="471">
        <v>2005</v>
      </c>
      <c r="D88" s="471">
        <v>32</v>
      </c>
      <c r="E88" s="471">
        <v>8.8000000000000007</v>
      </c>
      <c r="F88" s="471">
        <v>1.3</v>
      </c>
      <c r="G88" s="471">
        <v>3.5</v>
      </c>
      <c r="H88" s="471">
        <v>0.13</v>
      </c>
      <c r="I88" s="471">
        <v>5.0999999999999996</v>
      </c>
      <c r="J88" s="471">
        <v>0.44</v>
      </c>
    </row>
    <row r="89" spans="3:10">
      <c r="C89" s="471">
        <v>2009</v>
      </c>
      <c r="D89" s="471"/>
      <c r="E89" s="471">
        <v>7.4</v>
      </c>
      <c r="F89" s="471">
        <v>1.7</v>
      </c>
      <c r="G89" s="471">
        <v>3.6</v>
      </c>
      <c r="H89" s="471">
        <v>0.12</v>
      </c>
      <c r="I89" s="471">
        <v>4.0999999999999996</v>
      </c>
      <c r="J89" s="471">
        <v>0.35</v>
      </c>
    </row>
    <row r="90" spans="3:10">
      <c r="C90" s="471"/>
      <c r="D90" s="1140">
        <f>AVERAGE(D74:D89)</f>
        <v>25.6</v>
      </c>
      <c r="E90" s="1140">
        <f t="shared" ref="E90:J90" si="16">AVERAGE(E74:E89)</f>
        <v>7.5687499999999996</v>
      </c>
      <c r="F90" s="1140">
        <f t="shared" si="16"/>
        <v>1.1087499999999999</v>
      </c>
      <c r="G90" s="1140">
        <f t="shared" si="16"/>
        <v>3.7062500000000003</v>
      </c>
      <c r="H90" s="1140">
        <f t="shared" si="16"/>
        <v>0.16333333333333336</v>
      </c>
      <c r="I90" s="1140">
        <f t="shared" si="16"/>
        <v>5.674999999999998</v>
      </c>
      <c r="J90" s="1140">
        <f t="shared" si="16"/>
        <v>0.36266666666666669</v>
      </c>
    </row>
  </sheetData>
  <sheetProtection sheet="1" objects="1" scenarios="1"/>
  <protectedRanges>
    <protectedRange sqref="G29" name="Område4"/>
    <protectedRange sqref="I12:K12 B25:H27 M25:M27" name="Område1"/>
    <protectedRange sqref="M16:M27" name="Område2"/>
    <protectedRange sqref="B26:H27" name="Område3"/>
  </protectedRanges>
  <pageMargins left="0.7" right="0.7" top="0.75" bottom="0.75" header="0.3" footer="0.3"/>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tabColor theme="3" tint="0.59999389629810485"/>
  </sheetPr>
  <dimension ref="A1:IM265"/>
  <sheetViews>
    <sheetView topLeftCell="F57" zoomScale="80" zoomScaleNormal="80" workbookViewId="0">
      <selection activeCell="I99" sqref="I99"/>
    </sheetView>
  </sheetViews>
  <sheetFormatPr defaultRowHeight="12.75" outlineLevelRow="1" outlineLevelCol="1"/>
  <cols>
    <col min="1" max="1" width="33.85546875" style="223" hidden="1" customWidth="1" outlineLevel="1"/>
    <col min="2" max="2" width="23.42578125" hidden="1" customWidth="1" outlineLevel="1"/>
    <col min="3" max="3" width="32.28515625" hidden="1" customWidth="1" outlineLevel="1"/>
    <col min="4" max="4" width="37.5703125" hidden="1" customWidth="1" outlineLevel="1"/>
    <col min="5" max="5" width="28.7109375" hidden="1" customWidth="1" outlineLevel="1"/>
    <col min="6" max="6" width="4.5703125" customWidth="1" collapsed="1"/>
    <col min="7" max="7" width="8.140625" style="104" customWidth="1"/>
    <col min="8" max="8" width="9.28515625" customWidth="1"/>
    <col min="9" max="9" width="11.7109375" customWidth="1"/>
    <col min="10" max="11" width="8.7109375" customWidth="1"/>
    <col min="12" max="12" width="5.85546875" style="20" bestFit="1" customWidth="1"/>
    <col min="14" max="14" width="11.28515625" customWidth="1"/>
    <col min="15" max="16" width="8.7109375" customWidth="1"/>
    <col min="17" max="17" width="5.85546875" style="20" bestFit="1" customWidth="1"/>
    <col min="19" max="19" width="10.85546875" customWidth="1"/>
    <col min="20" max="21" width="8.7109375" customWidth="1"/>
    <col min="22" max="22" width="8.42578125" style="20" customWidth="1"/>
    <col min="24" max="24" width="10.5703125" customWidth="1"/>
    <col min="25" max="26" width="8.7109375" customWidth="1"/>
    <col min="27" max="27" width="5.42578125" style="20" customWidth="1"/>
    <col min="29" max="29" width="11.140625" customWidth="1"/>
    <col min="30" max="31" width="8.7109375" customWidth="1"/>
    <col min="32" max="32" width="5.85546875" style="20" bestFit="1" customWidth="1"/>
    <col min="34" max="34" width="10.28515625" customWidth="1"/>
    <col min="35" max="36" width="8.7109375" customWidth="1"/>
    <col min="37" max="37" width="5" style="20" bestFit="1" customWidth="1"/>
    <col min="38" max="38" width="10.42578125" customWidth="1"/>
    <col min="39" max="41" width="8.7109375" customWidth="1"/>
    <col min="42" max="42" width="5.85546875" style="20" bestFit="1" customWidth="1"/>
    <col min="44" max="44" width="10.28515625" customWidth="1"/>
    <col min="45" max="46" width="8.7109375" customWidth="1"/>
    <col min="47" max="47" width="5.42578125" style="20" customWidth="1"/>
    <col min="49" max="49" width="10.85546875" customWidth="1"/>
    <col min="50" max="51" width="8.7109375" customWidth="1"/>
    <col min="52" max="52" width="5.42578125" style="20" customWidth="1"/>
    <col min="53" max="53" width="9.140625" style="20"/>
    <col min="54" max="54" width="8.7109375" customWidth="1"/>
    <col min="55" max="55" width="8.5703125" customWidth="1"/>
    <col min="56" max="62" width="8.7109375" customWidth="1"/>
    <col min="63" max="66" width="8.7109375" style="73" customWidth="1"/>
    <col min="67" max="67" width="8.5703125" style="73" customWidth="1"/>
    <col min="68" max="68" width="8.7109375" style="73" customWidth="1"/>
    <col min="69" max="69" width="0.140625" style="73" customWidth="1"/>
    <col min="70" max="70" width="9.140625" style="73"/>
    <col min="71" max="72" width="8.85546875" style="73" customWidth="1"/>
    <col min="73" max="74" width="8.7109375" style="73" customWidth="1"/>
    <col min="75" max="75" width="8.85546875" style="73" customWidth="1"/>
    <col min="76" max="76" width="8.7109375" style="73" customWidth="1"/>
    <col min="77" max="78" width="8.85546875" style="73" customWidth="1"/>
    <col min="79" max="80" width="8.7109375" style="73" customWidth="1"/>
    <col min="81" max="85" width="8.85546875" style="73" customWidth="1"/>
    <col min="86" max="86" width="2.85546875" style="73" customWidth="1"/>
    <col min="87" max="87" width="9.140625" style="73"/>
    <col min="88" max="102" width="8.7109375" style="73" customWidth="1"/>
    <col min="103" max="103" width="2.85546875" style="73" customWidth="1"/>
    <col min="104" max="122" width="9.140625" style="73"/>
  </cols>
  <sheetData>
    <row r="1" spans="1:39" customFormat="1" ht="20.100000000000001" hidden="1" customHeight="1" outlineLevel="1">
      <c r="A1" s="165" t="s">
        <v>396</v>
      </c>
      <c r="B1" s="166"/>
      <c r="C1" s="73"/>
      <c r="D1" s="167"/>
      <c r="E1" s="168"/>
      <c r="F1" s="167"/>
      <c r="G1" s="128"/>
      <c r="H1" s="73"/>
      <c r="I1" s="73"/>
      <c r="J1" s="73"/>
      <c r="L1" s="20"/>
      <c r="Q1" s="20"/>
      <c r="V1" s="20"/>
      <c r="AA1" s="20"/>
      <c r="AF1" s="20"/>
      <c r="AK1" s="20"/>
    </row>
    <row r="2" spans="1:39" customFormat="1" ht="20.100000000000001" hidden="1" customHeight="1" outlineLevel="1">
      <c r="A2" s="170"/>
      <c r="B2" s="171"/>
      <c r="C2" s="172"/>
      <c r="D2" s="172"/>
      <c r="E2" s="171"/>
      <c r="F2" s="172"/>
      <c r="G2" s="173"/>
      <c r="H2" s="174"/>
      <c r="I2" s="172"/>
      <c r="J2" s="171"/>
      <c r="L2" s="20"/>
      <c r="Q2" s="20"/>
      <c r="V2" s="20"/>
      <c r="AA2" s="20"/>
      <c r="AF2" s="20"/>
      <c r="AK2" s="20"/>
    </row>
    <row r="3" spans="1:39" customFormat="1" ht="20.100000000000001" hidden="1" customHeight="1" outlineLevel="1">
      <c r="A3" s="175"/>
      <c r="B3" s="175"/>
      <c r="C3" s="176" t="s">
        <v>397</v>
      </c>
      <c r="D3" s="177" t="s">
        <v>398</v>
      </c>
      <c r="E3" s="178" t="s">
        <v>399</v>
      </c>
      <c r="F3" s="179"/>
      <c r="G3" s="176" t="s">
        <v>400</v>
      </c>
      <c r="H3" s="178" t="s">
        <v>401</v>
      </c>
      <c r="I3" s="176"/>
      <c r="J3" s="180" t="s">
        <v>402</v>
      </c>
      <c r="K3" s="177"/>
      <c r="L3" s="20"/>
      <c r="N3" s="181"/>
      <c r="O3" s="181"/>
      <c r="P3" s="181"/>
      <c r="Q3" s="20"/>
      <c r="S3" s="182"/>
      <c r="V3" s="20"/>
      <c r="AA3" s="20"/>
      <c r="AF3" s="20"/>
      <c r="AK3" s="20"/>
    </row>
    <row r="4" spans="1:39" customFormat="1" ht="20.100000000000001" hidden="1" customHeight="1" outlineLevel="1">
      <c r="A4" s="178" t="s">
        <v>403</v>
      </c>
      <c r="B4" s="183"/>
      <c r="C4" s="184"/>
      <c r="D4" s="185"/>
      <c r="E4" s="186"/>
      <c r="F4" s="187"/>
      <c r="G4" s="187"/>
      <c r="H4" s="473"/>
      <c r="I4" s="1718" t="s">
        <v>406</v>
      </c>
      <c r="J4" s="179">
        <v>89</v>
      </c>
      <c r="K4" s="473"/>
      <c r="L4" s="20"/>
      <c r="O4" s="188"/>
      <c r="P4" s="181"/>
      <c r="Q4" s="20"/>
      <c r="S4" s="182"/>
      <c r="V4" s="20"/>
      <c r="AA4" s="20"/>
      <c r="AF4" s="20"/>
      <c r="AI4" s="104"/>
      <c r="AJ4" s="104"/>
      <c r="AK4" s="20"/>
      <c r="AM4" s="104"/>
    </row>
    <row r="5" spans="1:39" customFormat="1" ht="20.100000000000001" hidden="1" customHeight="1" outlineLevel="1">
      <c r="A5" s="178"/>
      <c r="B5" s="183" t="s">
        <v>404</v>
      </c>
      <c r="C5" s="184">
        <v>4.18</v>
      </c>
      <c r="D5" s="189"/>
      <c r="E5" s="189"/>
      <c r="F5" s="183" t="s">
        <v>405</v>
      </c>
      <c r="G5" s="184">
        <f>Gröddata!Q3</f>
        <v>9.14</v>
      </c>
      <c r="H5" s="186"/>
      <c r="I5" s="1718" t="s">
        <v>410</v>
      </c>
      <c r="J5" s="1717">
        <v>51</v>
      </c>
      <c r="K5" s="175"/>
      <c r="L5" s="20"/>
      <c r="N5" s="182"/>
      <c r="O5" s="187"/>
      <c r="P5" s="190"/>
      <c r="Q5" s="20"/>
      <c r="S5" s="191"/>
      <c r="V5" s="20"/>
      <c r="AA5" s="20"/>
      <c r="AF5" s="20"/>
      <c r="AH5" s="104"/>
      <c r="AI5" s="104"/>
      <c r="AJ5" s="104"/>
      <c r="AK5" s="20"/>
      <c r="AM5" s="104"/>
    </row>
    <row r="6" spans="1:39" customFormat="1" ht="20.100000000000001" hidden="1" customHeight="1" outlineLevel="1">
      <c r="A6" s="178"/>
      <c r="B6" s="183"/>
      <c r="C6" s="192"/>
      <c r="D6" s="193"/>
      <c r="E6" s="189"/>
      <c r="F6" s="183" t="s">
        <v>407</v>
      </c>
      <c r="G6" s="184">
        <f>Gröddata!Q4</f>
        <v>19.04</v>
      </c>
      <c r="H6" s="177"/>
      <c r="I6" s="1718" t="s">
        <v>1013</v>
      </c>
      <c r="J6" s="1717">
        <v>131</v>
      </c>
      <c r="K6" s="175"/>
      <c r="L6" s="20"/>
      <c r="N6" s="182"/>
      <c r="O6" s="194"/>
      <c r="P6" s="195"/>
      <c r="Q6" s="20"/>
      <c r="S6" s="191"/>
      <c r="V6" s="20"/>
      <c r="AA6" s="20"/>
      <c r="AF6" s="20"/>
      <c r="AH6" s="104"/>
      <c r="AI6" s="104"/>
      <c r="AJ6" s="104"/>
      <c r="AK6" s="20"/>
      <c r="AM6" s="104"/>
    </row>
    <row r="7" spans="1:39" customFormat="1" ht="20.100000000000001" hidden="1" customHeight="1" outlineLevel="1">
      <c r="A7" s="178"/>
      <c r="B7" s="196" t="s">
        <v>408</v>
      </c>
      <c r="C7" s="197">
        <v>4.4800000000000004</v>
      </c>
      <c r="D7" s="185"/>
      <c r="E7" s="189"/>
      <c r="F7" s="183" t="s">
        <v>409</v>
      </c>
      <c r="G7" s="184">
        <f>Gröddata!Q5</f>
        <v>7.53</v>
      </c>
      <c r="H7" s="177"/>
      <c r="I7" s="1718" t="s">
        <v>414</v>
      </c>
      <c r="J7" s="179">
        <v>406</v>
      </c>
      <c r="K7" s="175"/>
      <c r="L7" s="20"/>
      <c r="N7" s="182"/>
      <c r="O7" s="187"/>
      <c r="P7" s="195"/>
      <c r="Q7" s="20"/>
      <c r="S7" s="191"/>
      <c r="V7" s="20"/>
      <c r="AA7" s="20"/>
      <c r="AF7" s="20"/>
      <c r="AH7" s="104"/>
      <c r="AI7" s="104"/>
      <c r="AJ7" s="104"/>
      <c r="AK7" s="20"/>
      <c r="AM7" s="104"/>
    </row>
    <row r="8" spans="1:39" customFormat="1" ht="20.100000000000001" hidden="1" customHeight="1" outlineLevel="1">
      <c r="A8" s="178"/>
      <c r="B8" s="183" t="s">
        <v>411</v>
      </c>
      <c r="C8" s="184">
        <v>4.38</v>
      </c>
      <c r="D8" s="189"/>
      <c r="E8" s="189"/>
      <c r="F8" s="183" t="s">
        <v>412</v>
      </c>
      <c r="G8" s="184">
        <f>I102</f>
        <v>1.5</v>
      </c>
      <c r="H8" s="177"/>
      <c r="I8" s="1720" t="s">
        <v>417</v>
      </c>
      <c r="J8" s="1721">
        <v>744</v>
      </c>
      <c r="K8" s="473"/>
      <c r="L8" s="20"/>
      <c r="N8" s="182"/>
      <c r="O8" s="187"/>
      <c r="P8" s="190"/>
      <c r="Q8" s="20"/>
      <c r="S8" s="191"/>
      <c r="V8" s="20"/>
      <c r="AA8" s="20"/>
      <c r="AF8" s="20"/>
      <c r="AH8" s="104"/>
      <c r="AI8" s="104"/>
      <c r="AJ8" s="104"/>
      <c r="AK8" s="20"/>
      <c r="AM8" s="104"/>
    </row>
    <row r="9" spans="1:39" customFormat="1" ht="20.100000000000001" hidden="1" customHeight="1" outlineLevel="1">
      <c r="A9" s="178"/>
      <c r="B9" s="183" t="s">
        <v>413</v>
      </c>
      <c r="C9" s="184">
        <v>495</v>
      </c>
      <c r="D9" s="189"/>
      <c r="E9" s="189"/>
      <c r="F9" s="183"/>
      <c r="G9" s="192"/>
      <c r="H9" s="177"/>
      <c r="I9" s="1718" t="s">
        <v>1019</v>
      </c>
      <c r="J9" s="1717">
        <v>316</v>
      </c>
      <c r="K9" s="175"/>
      <c r="L9" s="20"/>
      <c r="N9" s="182"/>
      <c r="O9" s="187"/>
      <c r="P9" s="187"/>
      <c r="Q9" s="20"/>
      <c r="S9" s="191"/>
      <c r="V9" s="20"/>
      <c r="AA9" s="20"/>
      <c r="AF9" s="20"/>
      <c r="AH9" s="104"/>
      <c r="AI9" s="104"/>
      <c r="AJ9" s="104"/>
      <c r="AK9" s="20"/>
      <c r="AM9" s="104"/>
    </row>
    <row r="10" spans="1:39" customFormat="1" ht="20.100000000000001" hidden="1" customHeight="1" outlineLevel="1">
      <c r="A10" s="178"/>
      <c r="B10" s="183" t="s">
        <v>415</v>
      </c>
      <c r="C10" s="184">
        <v>4.8</v>
      </c>
      <c r="D10" s="189"/>
      <c r="E10" s="189"/>
      <c r="F10" s="183"/>
      <c r="G10" s="192"/>
      <c r="H10" s="175"/>
      <c r="I10" s="1718" t="s">
        <v>1016</v>
      </c>
      <c r="J10" s="179">
        <v>40</v>
      </c>
      <c r="K10" s="175"/>
      <c r="L10" s="20"/>
      <c r="N10" s="182"/>
      <c r="O10" s="194"/>
      <c r="P10" s="187"/>
      <c r="Q10" s="20"/>
      <c r="S10" s="198"/>
      <c r="V10" s="20"/>
      <c r="AA10" s="20"/>
      <c r="AF10" s="20"/>
      <c r="AH10" s="104"/>
      <c r="AI10" s="104"/>
      <c r="AJ10" s="104"/>
      <c r="AK10" s="20"/>
      <c r="AM10" s="104"/>
    </row>
    <row r="11" spans="1:39" customFormat="1" ht="20.100000000000001" hidden="1" customHeight="1" outlineLevel="1">
      <c r="A11" s="178"/>
      <c r="B11" s="183" t="s">
        <v>416</v>
      </c>
      <c r="C11" s="184">
        <v>4.6500000000000004</v>
      </c>
      <c r="D11" s="189"/>
      <c r="E11" s="189"/>
      <c r="F11" s="183"/>
      <c r="G11" s="192"/>
      <c r="H11" s="175"/>
      <c r="I11" s="1718" t="s">
        <v>1017</v>
      </c>
      <c r="J11" s="179">
        <v>1760</v>
      </c>
      <c r="K11" s="175"/>
      <c r="L11" s="20"/>
      <c r="N11" s="182"/>
      <c r="O11" s="187"/>
      <c r="P11" s="187"/>
      <c r="Q11" s="20"/>
      <c r="S11" s="187"/>
      <c r="V11" s="20"/>
      <c r="AA11" s="20"/>
      <c r="AF11" s="20"/>
      <c r="AH11" s="104"/>
      <c r="AI11" s="104"/>
      <c r="AJ11" s="104"/>
      <c r="AK11" s="20"/>
      <c r="AM11" s="104"/>
    </row>
    <row r="12" spans="1:39" customFormat="1" ht="20.100000000000001" hidden="1" customHeight="1" outlineLevel="1">
      <c r="A12" s="178"/>
      <c r="B12" s="183" t="s">
        <v>418</v>
      </c>
      <c r="C12" s="184">
        <v>4.75</v>
      </c>
      <c r="D12" s="189"/>
      <c r="E12" s="189"/>
      <c r="F12" s="183"/>
      <c r="G12" s="192"/>
      <c r="H12" s="175"/>
      <c r="I12" s="1718" t="s">
        <v>1018</v>
      </c>
      <c r="J12" s="179">
        <v>197</v>
      </c>
      <c r="K12" s="175"/>
      <c r="L12" s="20"/>
      <c r="N12" s="182"/>
      <c r="O12" s="187"/>
      <c r="P12" s="187"/>
      <c r="Q12" s="20"/>
      <c r="S12" s="187"/>
      <c r="V12" s="20"/>
      <c r="AA12" s="20"/>
      <c r="AF12" s="20"/>
      <c r="AH12" s="104"/>
      <c r="AI12" s="104"/>
      <c r="AJ12" s="104"/>
      <c r="AK12" s="20"/>
      <c r="AM12" s="104"/>
    </row>
    <row r="13" spans="1:39" customFormat="1" ht="20.100000000000001" hidden="1" customHeight="1" outlineLevel="1">
      <c r="A13" s="178"/>
      <c r="B13" s="183" t="s">
        <v>419</v>
      </c>
      <c r="C13" s="184">
        <v>4.72</v>
      </c>
      <c r="D13" s="193"/>
      <c r="E13" s="189"/>
      <c r="F13" s="183"/>
      <c r="G13" s="192"/>
      <c r="H13" s="175"/>
      <c r="I13" s="1718" t="s">
        <v>1014</v>
      </c>
      <c r="J13" s="1719">
        <v>700</v>
      </c>
      <c r="K13" s="175" t="s">
        <v>1020</v>
      </c>
      <c r="L13" s="20"/>
      <c r="N13" s="182"/>
      <c r="O13" s="187"/>
      <c r="P13" s="187"/>
      <c r="Q13" s="20"/>
      <c r="S13" s="187"/>
      <c r="V13" s="20"/>
      <c r="AA13" s="20"/>
      <c r="AF13" s="20"/>
      <c r="AH13" s="104"/>
      <c r="AI13" s="104"/>
      <c r="AJ13" s="104"/>
      <c r="AK13" s="20"/>
      <c r="AM13" s="104"/>
    </row>
    <row r="14" spans="1:39" customFormat="1" ht="20.100000000000001" hidden="1" customHeight="1" outlineLevel="1">
      <c r="A14" s="178"/>
      <c r="B14" s="183" t="s">
        <v>421</v>
      </c>
      <c r="C14" s="184">
        <v>4.99</v>
      </c>
      <c r="D14" s="189"/>
      <c r="E14" s="189"/>
      <c r="F14" s="183"/>
      <c r="G14" s="194"/>
      <c r="H14" s="175"/>
      <c r="I14" s="1718" t="s">
        <v>420</v>
      </c>
      <c r="J14" s="179">
        <v>408</v>
      </c>
      <c r="K14" s="175"/>
      <c r="L14" s="20"/>
      <c r="N14" s="182"/>
      <c r="O14" s="187"/>
      <c r="P14" s="187"/>
      <c r="Q14" s="20"/>
      <c r="S14" s="187"/>
      <c r="V14" s="20"/>
      <c r="AA14" s="20"/>
      <c r="AF14" s="20"/>
      <c r="AH14" s="104"/>
      <c r="AI14" s="104"/>
      <c r="AJ14" s="104"/>
      <c r="AK14" s="20"/>
      <c r="AM14" s="104"/>
    </row>
    <row r="15" spans="1:39" customFormat="1" ht="20.100000000000001" hidden="1" customHeight="1" outlineLevel="1">
      <c r="A15" s="178"/>
      <c r="B15" s="183" t="s">
        <v>422</v>
      </c>
      <c r="C15" s="184">
        <v>5.35</v>
      </c>
      <c r="D15" s="189"/>
      <c r="E15" s="189"/>
      <c r="F15" s="183"/>
      <c r="G15" s="194"/>
      <c r="H15" s="175"/>
      <c r="I15" s="1718" t="s">
        <v>423</v>
      </c>
      <c r="J15" s="179">
        <v>600</v>
      </c>
      <c r="K15" s="175"/>
      <c r="L15" s="20"/>
      <c r="N15" s="182"/>
      <c r="O15" s="187"/>
      <c r="P15" s="187"/>
      <c r="Q15" s="20"/>
      <c r="S15" s="187"/>
      <c r="V15" s="20"/>
      <c r="AA15" s="20"/>
      <c r="AF15" s="20"/>
      <c r="AH15" s="104"/>
      <c r="AI15" s="104"/>
      <c r="AJ15" s="104"/>
      <c r="AK15" s="20"/>
      <c r="AM15" s="104"/>
    </row>
    <row r="16" spans="1:39" customFormat="1" ht="20.100000000000001" hidden="1" customHeight="1" outlineLevel="1">
      <c r="A16" s="199"/>
      <c r="B16" s="200"/>
      <c r="C16" s="201"/>
      <c r="D16" s="202"/>
      <c r="E16" s="203"/>
      <c r="F16" s="200"/>
      <c r="G16" s="204"/>
      <c r="H16" s="175"/>
      <c r="I16" s="1718" t="s">
        <v>424</v>
      </c>
      <c r="J16" s="1717">
        <v>163</v>
      </c>
      <c r="K16" s="175"/>
      <c r="L16" s="20"/>
      <c r="N16" s="182"/>
      <c r="O16" s="187"/>
      <c r="P16" s="187"/>
      <c r="Q16" s="20"/>
      <c r="S16" s="187"/>
      <c r="V16" s="20"/>
      <c r="AA16" s="20"/>
      <c r="AF16" s="20"/>
      <c r="AH16" s="104"/>
      <c r="AI16" s="104"/>
      <c r="AJ16" s="104"/>
      <c r="AK16" s="20"/>
      <c r="AM16" s="104"/>
    </row>
    <row r="17" spans="1:51" customFormat="1" ht="20.100000000000001" hidden="1" customHeight="1" outlineLevel="1">
      <c r="A17" s="205"/>
      <c r="B17" s="206"/>
      <c r="C17" s="207"/>
      <c r="D17" s="207"/>
      <c r="E17" s="207"/>
      <c r="F17" s="208"/>
      <c r="G17" s="209"/>
      <c r="H17" s="175"/>
      <c r="I17" s="1718" t="s">
        <v>1015</v>
      </c>
      <c r="J17" s="1717">
        <v>209</v>
      </c>
      <c r="K17" s="473"/>
      <c r="L17" s="20"/>
      <c r="N17" s="182"/>
      <c r="O17" s="187"/>
      <c r="P17" s="187"/>
      <c r="Q17" s="20"/>
      <c r="S17" s="187"/>
      <c r="V17" s="20"/>
      <c r="AA17" s="20"/>
      <c r="AF17" s="20"/>
      <c r="AH17" s="104"/>
      <c r="AI17" s="104"/>
      <c r="AJ17" s="104"/>
      <c r="AK17" s="20"/>
      <c r="AM17" s="104"/>
      <c r="AP17" s="20"/>
      <c r="AU17" s="20"/>
    </row>
    <row r="18" spans="1:51" customFormat="1" ht="20.100000000000001" hidden="1" customHeight="1" outlineLevel="1">
      <c r="A18" s="205"/>
      <c r="B18" s="206"/>
      <c r="C18" s="210"/>
      <c r="D18" s="210"/>
      <c r="E18" s="210"/>
      <c r="F18" s="211"/>
      <c r="G18" s="172"/>
      <c r="H18" s="175"/>
      <c r="I18" s="1718" t="s">
        <v>181</v>
      </c>
      <c r="J18" s="473"/>
      <c r="K18" s="473"/>
      <c r="L18" s="20"/>
      <c r="N18" s="182"/>
      <c r="O18" s="187"/>
      <c r="P18" s="187"/>
      <c r="Q18" s="20"/>
      <c r="S18" s="187"/>
      <c r="V18" s="20"/>
      <c r="AA18" s="20"/>
      <c r="AF18" s="20"/>
      <c r="AH18" s="104"/>
      <c r="AI18" s="104"/>
      <c r="AJ18" s="104"/>
      <c r="AK18" s="20"/>
      <c r="AM18" s="104"/>
      <c r="AP18" s="20"/>
      <c r="AU18" s="20"/>
    </row>
    <row r="19" spans="1:51" customFormat="1" ht="20.100000000000001" hidden="1" customHeight="1" outlineLevel="1">
      <c r="A19" s="212"/>
      <c r="B19" s="206"/>
      <c r="C19" s="213"/>
      <c r="D19" s="213"/>
      <c r="E19" s="213"/>
      <c r="F19" s="214"/>
      <c r="G19" s="215"/>
      <c r="H19" s="216"/>
      <c r="I19" s="473"/>
      <c r="J19" s="473"/>
      <c r="K19" s="473"/>
      <c r="L19" s="20"/>
      <c r="N19" s="182"/>
      <c r="O19" s="187"/>
      <c r="P19" s="187"/>
      <c r="Q19" s="20"/>
      <c r="S19" s="187"/>
      <c r="V19" s="20"/>
      <c r="AA19" s="20"/>
      <c r="AF19" s="20"/>
      <c r="AH19" s="104"/>
      <c r="AI19" s="104"/>
      <c r="AJ19" s="104"/>
      <c r="AK19" s="20"/>
      <c r="AM19" s="104"/>
      <c r="AP19" s="20"/>
      <c r="AU19" s="20"/>
    </row>
    <row r="20" spans="1:51" customFormat="1" ht="20.100000000000001" hidden="1" customHeight="1" outlineLevel="1">
      <c r="A20" s="177"/>
      <c r="B20" s="206"/>
      <c r="C20" s="213"/>
      <c r="D20" s="213"/>
      <c r="E20" s="213"/>
      <c r="F20" s="214"/>
      <c r="G20" s="215"/>
      <c r="H20" s="216"/>
      <c r="I20" s="473"/>
      <c r="J20" s="473"/>
      <c r="K20" s="473"/>
      <c r="L20" s="20"/>
      <c r="N20" s="182"/>
      <c r="O20" s="187"/>
      <c r="P20" s="187"/>
      <c r="Q20" s="20"/>
      <c r="S20" s="187"/>
      <c r="V20" s="20"/>
      <c r="AA20" s="20"/>
      <c r="AF20" s="20"/>
      <c r="AI20" s="104"/>
      <c r="AJ20" s="104"/>
      <c r="AK20" s="20"/>
      <c r="AM20" s="104"/>
      <c r="AP20" s="20"/>
      <c r="AU20" s="20"/>
    </row>
    <row r="21" spans="1:51" customFormat="1" ht="20.100000000000001" hidden="1" customHeight="1" outlineLevel="1">
      <c r="A21" s="177"/>
      <c r="B21" s="206"/>
      <c r="C21" s="213"/>
      <c r="D21" s="213"/>
      <c r="E21" s="213"/>
      <c r="F21" s="214"/>
      <c r="G21" s="215"/>
      <c r="H21" s="217"/>
      <c r="I21" s="473"/>
      <c r="J21" s="473"/>
      <c r="K21" s="473"/>
      <c r="L21" s="20"/>
      <c r="N21" s="182"/>
      <c r="O21" s="187"/>
      <c r="P21" s="187"/>
      <c r="Q21" s="20"/>
      <c r="S21" s="187"/>
      <c r="T21" s="196"/>
      <c r="U21" s="104"/>
      <c r="V21" s="20"/>
      <c r="X21" s="104"/>
      <c r="Y21" s="104"/>
      <c r="Z21" s="104"/>
      <c r="AA21" s="20"/>
      <c r="AF21" s="20"/>
      <c r="AK21" s="20"/>
      <c r="AP21" s="20"/>
      <c r="AU21" s="20"/>
    </row>
    <row r="22" spans="1:51" customFormat="1" ht="20.100000000000001" hidden="1" customHeight="1" outlineLevel="1">
      <c r="A22" s="175"/>
      <c r="B22" s="206"/>
      <c r="C22" s="213"/>
      <c r="D22" s="213"/>
      <c r="E22" s="213"/>
      <c r="F22" s="214"/>
      <c r="G22" s="215"/>
      <c r="H22" s="218"/>
      <c r="I22" s="473"/>
      <c r="J22" s="473"/>
      <c r="K22" s="473"/>
      <c r="L22" s="20"/>
      <c r="N22" s="182"/>
      <c r="O22" s="187"/>
      <c r="P22" s="187"/>
      <c r="Q22" s="20"/>
      <c r="S22" s="187"/>
      <c r="T22" s="196"/>
      <c r="U22" s="104"/>
      <c r="V22" s="20"/>
      <c r="X22" s="104"/>
      <c r="Y22" s="104"/>
      <c r="Z22" s="104"/>
      <c r="AA22" s="20"/>
      <c r="AF22" s="20"/>
      <c r="AK22" s="20"/>
      <c r="AP22" s="20"/>
      <c r="AU22" s="20"/>
    </row>
    <row r="23" spans="1:51" customFormat="1" ht="20.100000000000001" hidden="1" customHeight="1" outlineLevel="1">
      <c r="A23" s="175"/>
      <c r="B23" s="206"/>
      <c r="C23" s="213"/>
      <c r="D23" s="213"/>
      <c r="E23" s="213"/>
      <c r="F23" s="214"/>
      <c r="G23" s="172" t="s">
        <v>425</v>
      </c>
      <c r="H23" s="219">
        <v>215</v>
      </c>
      <c r="I23" s="178" t="s">
        <v>426</v>
      </c>
      <c r="J23" s="189">
        <v>0.05</v>
      </c>
      <c r="K23" s="189"/>
      <c r="L23" s="148"/>
      <c r="M23" s="26"/>
      <c r="N23" s="187">
        <v>0.6</v>
      </c>
      <c r="O23" s="189" t="s">
        <v>427</v>
      </c>
      <c r="P23" s="187">
        <f>J23*N23</f>
        <v>0.03</v>
      </c>
      <c r="Q23" s="148"/>
      <c r="R23" s="26"/>
      <c r="S23" s="220">
        <f>P23</f>
        <v>0.03</v>
      </c>
      <c r="U23" s="25"/>
      <c r="V23" s="20"/>
      <c r="Y23" s="104"/>
      <c r="Z23" s="104"/>
      <c r="AA23" s="20"/>
      <c r="AF23" s="20"/>
      <c r="AK23" s="20"/>
      <c r="AP23" s="20"/>
      <c r="AU23" s="20"/>
    </row>
    <row r="24" spans="1:51" customFormat="1" ht="20.100000000000001" hidden="1" customHeight="1" outlineLevel="1">
      <c r="A24" s="175"/>
      <c r="B24" s="206"/>
      <c r="C24" s="213"/>
      <c r="D24" s="213"/>
      <c r="E24" s="213"/>
      <c r="F24" s="214"/>
      <c r="G24" s="215"/>
      <c r="H24" s="221"/>
      <c r="I24" s="178" t="s">
        <v>428</v>
      </c>
      <c r="J24" s="222">
        <v>0.06</v>
      </c>
      <c r="K24" s="189"/>
      <c r="L24" s="148"/>
      <c r="M24" s="26"/>
      <c r="N24" s="187">
        <v>0.4</v>
      </c>
      <c r="O24" s="189" t="s">
        <v>429</v>
      </c>
      <c r="P24" s="187">
        <f>J23*N24</f>
        <v>2.0000000000000004E-2</v>
      </c>
      <c r="Q24" s="148"/>
      <c r="R24" s="26"/>
      <c r="S24" s="220">
        <f>P24</f>
        <v>2.0000000000000004E-2</v>
      </c>
      <c r="T24" s="196"/>
      <c r="U24" s="25"/>
      <c r="V24" s="20"/>
      <c r="X24" s="104"/>
      <c r="Y24" s="104"/>
      <c r="Z24" s="104"/>
      <c r="AA24" s="20"/>
      <c r="AF24" s="20"/>
      <c r="AK24" s="20"/>
      <c r="AP24" s="20"/>
      <c r="AU24" s="20"/>
    </row>
    <row r="25" spans="1:51" customFormat="1" ht="20.100000000000001" hidden="1" customHeight="1" outlineLevel="1">
      <c r="A25" s="223"/>
      <c r="C25" s="104" t="s">
        <v>430</v>
      </c>
      <c r="D25" s="104" t="s">
        <v>431</v>
      </c>
      <c r="E25" s="104" t="s">
        <v>432</v>
      </c>
      <c r="F25" s="104" t="s">
        <v>433</v>
      </c>
      <c r="G25" s="128"/>
      <c r="H25" s="166"/>
      <c r="I25" s="224"/>
      <c r="J25" s="167"/>
      <c r="K25" s="166"/>
      <c r="L25" s="20"/>
      <c r="N25" s="73"/>
      <c r="O25" s="167"/>
      <c r="P25" s="167"/>
      <c r="Q25" s="20"/>
      <c r="S25" s="167"/>
      <c r="T25" s="196"/>
      <c r="U25" s="25"/>
      <c r="V25" s="20"/>
      <c r="X25" s="225"/>
      <c r="Y25" s="104"/>
      <c r="Z25" s="104"/>
      <c r="AA25" s="20"/>
      <c r="AF25" s="20"/>
      <c r="AK25" s="20"/>
      <c r="AP25" s="20"/>
      <c r="AU25" s="20"/>
    </row>
    <row r="26" spans="1:51" customFormat="1" ht="20.100000000000001" hidden="1" customHeight="1" outlineLevel="1">
      <c r="A26" s="223"/>
      <c r="C26" s="104">
        <v>-10</v>
      </c>
      <c r="D26" s="104">
        <v>0</v>
      </c>
      <c r="E26" s="104">
        <v>10</v>
      </c>
      <c r="F26" s="104">
        <v>20</v>
      </c>
      <c r="G26" s="104"/>
      <c r="I26" s="224"/>
      <c r="J26" s="167"/>
      <c r="K26" s="166"/>
      <c r="L26" s="20"/>
      <c r="N26" s="73"/>
      <c r="O26" s="167"/>
      <c r="P26" s="167"/>
      <c r="Q26" s="20"/>
      <c r="S26" s="167"/>
      <c r="T26" s="196"/>
      <c r="U26" s="104"/>
      <c r="V26" s="20"/>
      <c r="X26" s="104"/>
      <c r="Y26" s="104"/>
      <c r="Z26" s="104"/>
      <c r="AA26" s="20"/>
      <c r="AF26" s="20"/>
      <c r="AK26" s="20"/>
      <c r="AP26" s="20"/>
      <c r="AU26" s="20"/>
    </row>
    <row r="27" spans="1:51" customFormat="1" ht="55.5" hidden="1" customHeight="1" collapsed="1">
      <c r="A27" s="223"/>
      <c r="C27" s="104"/>
      <c r="D27" s="104"/>
      <c r="E27" s="104"/>
      <c r="F27" s="663"/>
      <c r="G27" s="663"/>
      <c r="H27" s="665"/>
      <c r="I27" s="1318"/>
      <c r="J27" s="1319"/>
      <c r="K27" s="1320"/>
      <c r="L27" s="665"/>
      <c r="M27" s="665"/>
      <c r="N27" s="526"/>
      <c r="O27" s="1319"/>
      <c r="P27" s="1319"/>
      <c r="Q27" s="665"/>
      <c r="R27" s="665"/>
      <c r="S27" s="1319"/>
      <c r="T27" s="1321"/>
      <c r="U27" s="663"/>
      <c r="V27" s="665"/>
      <c r="W27" s="665"/>
      <c r="X27" s="663"/>
      <c r="Y27" s="663"/>
      <c r="Z27" s="663"/>
      <c r="AA27" s="665"/>
      <c r="AB27" s="665"/>
      <c r="AC27" s="665"/>
      <c r="AD27" s="665"/>
      <c r="AE27" s="665"/>
      <c r="AF27" s="665"/>
      <c r="AG27" s="665"/>
      <c r="AH27" s="665"/>
      <c r="AI27" s="665"/>
      <c r="AJ27" s="665"/>
      <c r="AK27" s="665"/>
      <c r="AL27" s="665"/>
      <c r="AM27" s="665"/>
      <c r="AN27" s="665"/>
      <c r="AO27" s="665"/>
      <c r="AP27" s="665"/>
      <c r="AQ27" s="665"/>
      <c r="AR27" s="665"/>
      <c r="AS27" s="665"/>
      <c r="AT27" s="665"/>
      <c r="AU27" s="665"/>
      <c r="AV27" s="665"/>
      <c r="AW27" s="665"/>
      <c r="AX27" s="665"/>
      <c r="AY27" s="665"/>
    </row>
    <row r="28" spans="1:51" customFormat="1" ht="27.75" hidden="1" customHeight="1">
      <c r="A28" s="223"/>
      <c r="C28" s="104"/>
      <c r="D28" s="104"/>
      <c r="E28" s="104"/>
      <c r="F28" s="663"/>
      <c r="G28" s="663"/>
      <c r="H28" s="3013" t="s">
        <v>73</v>
      </c>
      <c r="I28" s="3014"/>
      <c r="J28" s="3014"/>
      <c r="K28" s="3014"/>
      <c r="L28" s="3014"/>
      <c r="M28" s="3014"/>
      <c r="N28" s="3014"/>
      <c r="O28" s="3014"/>
      <c r="P28" s="3014"/>
      <c r="Q28" s="3015"/>
      <c r="R28" s="862"/>
      <c r="S28" s="1322"/>
      <c r="T28" s="1321"/>
      <c r="U28" s="663"/>
      <c r="V28" s="665"/>
      <c r="W28" s="665"/>
      <c r="X28" s="663"/>
      <c r="Y28" s="663"/>
      <c r="Z28" s="663"/>
      <c r="AA28" s="665"/>
      <c r="AB28" s="665"/>
      <c r="AC28" s="665"/>
      <c r="AD28" s="665"/>
      <c r="AE28" s="665"/>
      <c r="AF28" s="665"/>
      <c r="AG28" s="665"/>
      <c r="AH28" s="665"/>
      <c r="AI28" s="665"/>
      <c r="AJ28" s="665"/>
      <c r="AK28" s="665"/>
      <c r="AL28" s="665"/>
      <c r="AM28" s="665"/>
      <c r="AN28" s="665"/>
      <c r="AO28" s="665"/>
      <c r="AP28" s="665"/>
      <c r="AQ28" s="665"/>
      <c r="AR28" s="665"/>
      <c r="AS28" s="665"/>
      <c r="AT28" s="665"/>
      <c r="AU28" s="665"/>
      <c r="AV28" s="665"/>
      <c r="AW28" s="665"/>
      <c r="AX28" s="665"/>
      <c r="AY28" s="665"/>
    </row>
    <row r="29" spans="1:51" customFormat="1" ht="30.75" hidden="1" customHeight="1" thickBot="1">
      <c r="A29" s="223"/>
      <c r="C29" s="104"/>
      <c r="D29" s="104"/>
      <c r="E29" s="104"/>
      <c r="F29" s="663"/>
      <c r="G29" s="663"/>
      <c r="H29" s="665"/>
      <c r="I29" s="1318"/>
      <c r="J29" s="1319"/>
      <c r="K29" s="1320"/>
      <c r="L29" s="665"/>
      <c r="M29" s="665"/>
      <c r="N29" s="526"/>
      <c r="O29" s="1319"/>
      <c r="P29" s="1319"/>
      <c r="Q29" s="665"/>
      <c r="R29" s="665"/>
      <c r="S29" s="1319"/>
      <c r="T29" s="1321"/>
      <c r="U29" s="663"/>
      <c r="V29" s="665"/>
      <c r="W29" s="665"/>
      <c r="X29" s="663"/>
      <c r="Y29" s="663"/>
      <c r="Z29" s="663"/>
      <c r="AA29" s="665"/>
      <c r="AB29" s="665"/>
      <c r="AC29" s="665"/>
      <c r="AD29" s="665"/>
      <c r="AE29" s="665"/>
      <c r="AF29" s="665"/>
      <c r="AG29" s="665"/>
      <c r="AH29" s="665"/>
      <c r="AI29" s="665"/>
      <c r="AJ29" s="665"/>
      <c r="AK29" s="665"/>
      <c r="AL29" s="665"/>
      <c r="AM29" s="665"/>
      <c r="AN29" s="665"/>
      <c r="AO29" s="665"/>
      <c r="AP29" s="665"/>
      <c r="AQ29" s="665"/>
      <c r="AR29" s="665"/>
      <c r="AS29" s="665"/>
      <c r="AT29" s="665"/>
      <c r="AU29" s="665"/>
      <c r="AV29" s="665"/>
      <c r="AW29" s="665"/>
      <c r="AX29" s="665"/>
      <c r="AY29" s="665"/>
    </row>
    <row r="30" spans="1:51" customFormat="1" ht="13.5" hidden="1" thickBot="1">
      <c r="A30" s="223"/>
      <c r="F30" s="665"/>
      <c r="G30" s="1323"/>
      <c r="H30" s="773"/>
      <c r="I30" s="1324"/>
      <c r="J30" s="1325"/>
      <c r="K30" s="674"/>
      <c r="L30" s="665"/>
      <c r="M30" s="1326"/>
      <c r="N30" s="674"/>
      <c r="O30" s="1327"/>
      <c r="P30" s="674"/>
      <c r="Q30" s="808"/>
      <c r="R30" s="1327"/>
      <c r="S30" s="674"/>
      <c r="T30" s="665"/>
      <c r="U30" s="665"/>
      <c r="V30" s="665"/>
      <c r="W30" s="665"/>
      <c r="X30" s="665"/>
      <c r="Y30" s="663"/>
      <c r="Z30" s="663"/>
      <c r="AA30" s="665"/>
      <c r="AB30" s="665"/>
      <c r="AC30" s="665"/>
      <c r="AD30" s="665"/>
      <c r="AE30" s="665"/>
      <c r="AF30" s="665"/>
      <c r="AG30" s="665"/>
      <c r="AH30" s="665"/>
      <c r="AI30" s="665"/>
      <c r="AJ30" s="665"/>
      <c r="AK30" s="665"/>
      <c r="AL30" s="665"/>
      <c r="AM30" s="665"/>
      <c r="AN30" s="665"/>
      <c r="AO30" s="665"/>
      <c r="AP30" s="665"/>
      <c r="AQ30" s="665"/>
      <c r="AR30" s="665"/>
      <c r="AS30" s="665"/>
      <c r="AT30" s="665"/>
      <c r="AU30" s="665"/>
      <c r="AV30" s="665"/>
      <c r="AW30" s="665"/>
      <c r="AX30" s="665"/>
      <c r="AY30" s="665"/>
    </row>
    <row r="31" spans="1:51" customFormat="1" ht="17.25" hidden="1" customHeight="1" thickBot="1">
      <c r="A31" s="223"/>
      <c r="F31" s="665"/>
      <c r="G31" s="1328"/>
      <c r="H31" s="773"/>
      <c r="I31" s="1324"/>
      <c r="J31" s="1325"/>
      <c r="K31" s="674"/>
      <c r="L31" s="665"/>
      <c r="M31" s="665"/>
      <c r="N31" s="674"/>
      <c r="O31" s="526"/>
      <c r="P31" s="665"/>
      <c r="Q31" s="665"/>
      <c r="R31" s="665"/>
      <c r="S31" s="526"/>
      <c r="T31" s="674"/>
      <c r="U31" s="674"/>
      <c r="V31" s="665"/>
      <c r="W31" s="665"/>
      <c r="X31" s="665"/>
      <c r="Y31" s="663"/>
      <c r="Z31" s="663"/>
      <c r="AA31" s="665"/>
      <c r="AB31" s="665"/>
      <c r="AC31" s="665"/>
      <c r="AD31" s="665"/>
      <c r="AE31" s="665"/>
      <c r="AF31" s="665"/>
      <c r="AG31" s="665"/>
      <c r="AH31" s="665"/>
      <c r="AI31" s="665"/>
      <c r="AJ31" s="665"/>
      <c r="AK31" s="665"/>
      <c r="AL31" s="665"/>
      <c r="AM31" s="665"/>
      <c r="AN31" s="665"/>
      <c r="AO31" s="665"/>
      <c r="AP31" s="665"/>
      <c r="AQ31" s="665"/>
      <c r="AR31" s="665"/>
      <c r="AS31" s="665"/>
      <c r="AT31" s="665"/>
      <c r="AU31" s="665"/>
      <c r="AV31" s="665"/>
      <c r="AW31" s="665"/>
      <c r="AX31" s="665"/>
      <c r="AY31" s="665"/>
    </row>
    <row r="32" spans="1:51" customFormat="1" ht="16.5" hidden="1" thickBot="1">
      <c r="A32" s="223"/>
      <c r="F32" s="665"/>
      <c r="G32" s="1323"/>
      <c r="H32" s="773"/>
      <c r="I32" s="1324"/>
      <c r="J32" s="1325"/>
      <c r="K32" s="674"/>
      <c r="L32" s="665"/>
      <c r="M32" s="1329">
        <f>Grunddata!C28+Grunddata!C29</f>
        <v>0.38999999999999996</v>
      </c>
      <c r="N32" s="1232" t="s">
        <v>430</v>
      </c>
      <c r="O32" s="1329">
        <v>1</v>
      </c>
      <c r="P32" s="674" t="s">
        <v>434</v>
      </c>
      <c r="Q32" s="665"/>
      <c r="R32" s="1329">
        <f>Grunddata!C31</f>
        <v>0.22</v>
      </c>
      <c r="S32" s="674" t="s">
        <v>435</v>
      </c>
      <c r="T32" s="1329">
        <v>0</v>
      </c>
      <c r="U32" s="674" t="s">
        <v>436</v>
      </c>
      <c r="V32" s="1330"/>
      <c r="W32" s="665"/>
      <c r="X32" s="665"/>
      <c r="Y32" s="665"/>
      <c r="Z32" s="665"/>
      <c r="AA32" s="665"/>
      <c r="AB32" s="665"/>
      <c r="AC32" s="665"/>
      <c r="AD32" s="665"/>
      <c r="AE32" s="665"/>
      <c r="AF32" s="665"/>
      <c r="AG32" s="665"/>
      <c r="AH32" s="665"/>
      <c r="AI32" s="665"/>
      <c r="AJ32" s="665"/>
      <c r="AK32" s="665"/>
      <c r="AL32" s="665"/>
      <c r="AM32" s="665"/>
      <c r="AN32" s="665"/>
      <c r="AO32" s="665"/>
      <c r="AP32" s="665"/>
      <c r="AQ32" s="665"/>
      <c r="AR32" s="665"/>
      <c r="AS32" s="665"/>
      <c r="AT32" s="665"/>
      <c r="AU32" s="665"/>
      <c r="AV32" s="665"/>
      <c r="AW32" s="665"/>
      <c r="AX32" s="665"/>
      <c r="AY32" s="665"/>
    </row>
    <row r="33" spans="1:122" ht="17.25" hidden="1" customHeight="1">
      <c r="F33" s="665"/>
      <c r="G33" s="1328"/>
      <c r="H33" s="773"/>
      <c r="I33" s="1324"/>
      <c r="J33" s="1325"/>
      <c r="K33" s="674"/>
      <c r="L33" s="665"/>
      <c r="M33" s="665"/>
      <c r="N33" s="674"/>
      <c r="O33" s="526"/>
      <c r="P33" s="665"/>
      <c r="Q33" s="665"/>
      <c r="R33" s="665"/>
      <c r="S33" s="526"/>
      <c r="T33" s="674"/>
      <c r="U33" s="674"/>
      <c r="V33" s="665"/>
      <c r="W33" s="665"/>
      <c r="X33" s="665"/>
      <c r="Y33" s="663"/>
      <c r="Z33" s="663"/>
      <c r="AA33" s="665"/>
      <c r="AB33" s="665"/>
      <c r="AC33" s="665"/>
      <c r="AD33" s="665"/>
      <c r="AE33" s="665"/>
      <c r="AF33" s="665"/>
      <c r="AG33" s="665"/>
      <c r="AH33" s="665"/>
      <c r="AI33" s="665"/>
      <c r="AJ33" s="665"/>
      <c r="AK33" s="665"/>
      <c r="AL33" s="665"/>
      <c r="AM33" s="665"/>
      <c r="AN33" s="665"/>
      <c r="AO33" s="665"/>
      <c r="AP33" s="665"/>
      <c r="AQ33" s="665"/>
      <c r="AR33" s="665"/>
      <c r="AS33" s="665"/>
      <c r="AT33" s="665"/>
      <c r="AU33" s="665"/>
      <c r="AV33" s="665"/>
      <c r="AW33" s="665"/>
      <c r="AX33" s="665"/>
      <c r="AY33" s="665"/>
    </row>
    <row r="34" spans="1:122" ht="13.5" hidden="1" thickBot="1">
      <c r="F34" s="665"/>
      <c r="G34" s="1323"/>
      <c r="H34" s="773"/>
      <c r="I34" s="1324"/>
      <c r="J34" s="1325"/>
      <c r="K34" s="674"/>
      <c r="L34" s="665"/>
      <c r="M34" s="665"/>
      <c r="N34" s="674"/>
      <c r="O34" s="674"/>
      <c r="P34" s="526"/>
      <c r="Q34" s="665"/>
      <c r="R34" s="665"/>
      <c r="S34" s="526"/>
      <c r="T34" s="665"/>
      <c r="U34" s="665"/>
      <c r="V34" s="665"/>
      <c r="W34" s="665"/>
      <c r="X34" s="665"/>
      <c r="Y34" s="665"/>
      <c r="Z34" s="665"/>
      <c r="AA34" s="665"/>
      <c r="AB34" s="665"/>
      <c r="AC34" s="665"/>
      <c r="AD34" s="665"/>
      <c r="AE34" s="665"/>
      <c r="AF34" s="665"/>
      <c r="AG34" s="665"/>
      <c r="AH34" s="665"/>
      <c r="AI34" s="665"/>
      <c r="AJ34" s="665"/>
      <c r="AK34" s="665"/>
      <c r="AL34" s="665"/>
      <c r="AM34" s="665"/>
      <c r="AN34" s="665"/>
      <c r="AO34" s="665"/>
      <c r="AP34" s="665"/>
      <c r="AQ34" s="665"/>
      <c r="AR34" s="665"/>
      <c r="AS34" s="665"/>
      <c r="AT34" s="665"/>
      <c r="AU34" s="665"/>
      <c r="AV34" s="665"/>
      <c r="AW34" s="665"/>
      <c r="AX34" s="665"/>
      <c r="AY34" s="665"/>
    </row>
    <row r="35" spans="1:122" ht="25.5" hidden="1" customHeight="1" thickBot="1">
      <c r="F35" s="665"/>
      <c r="G35" s="663"/>
      <c r="H35" s="665"/>
      <c r="I35" s="526"/>
      <c r="J35" s="526"/>
      <c r="K35" s="526"/>
      <c r="L35" s="665"/>
      <c r="M35" s="665"/>
      <c r="N35" s="526"/>
      <c r="O35" s="526"/>
      <c r="P35" s="526"/>
      <c r="Q35" s="665"/>
      <c r="R35" s="665"/>
      <c r="S35" s="526"/>
      <c r="T35" s="665"/>
      <c r="U35" s="665"/>
      <c r="V35" s="665"/>
      <c r="W35" s="665"/>
      <c r="X35" s="665"/>
      <c r="Y35" s="665"/>
      <c r="Z35" s="665"/>
      <c r="AA35" s="665"/>
      <c r="AB35" s="665"/>
      <c r="AC35" s="665"/>
      <c r="AD35" s="665"/>
      <c r="AE35" s="665"/>
      <c r="AF35" s="665"/>
      <c r="AG35" s="665"/>
      <c r="AH35" s="665"/>
      <c r="AI35" s="665"/>
      <c r="AJ35" s="665"/>
      <c r="AK35" s="665"/>
      <c r="AL35" s="665"/>
      <c r="AM35" s="665"/>
      <c r="AN35" s="665"/>
      <c r="AO35" s="665"/>
      <c r="AP35" s="665"/>
      <c r="AQ35" s="665"/>
      <c r="AR35" s="665"/>
      <c r="AS35" s="665"/>
      <c r="AT35" s="665"/>
      <c r="AU35" s="665"/>
      <c r="AV35" s="665"/>
      <c r="AW35" s="665"/>
      <c r="AX35" s="665"/>
      <c r="AY35" s="665"/>
    </row>
    <row r="36" spans="1:122" s="227" customFormat="1" ht="19.5" hidden="1">
      <c r="A36" s="226"/>
      <c r="F36" s="1331"/>
      <c r="G36" s="1332"/>
      <c r="H36" s="1331"/>
      <c r="I36" s="3010" t="s">
        <v>437</v>
      </c>
      <c r="J36" s="3011"/>
      <c r="K36" s="3012"/>
      <c r="L36" s="1331"/>
      <c r="M36" s="1331"/>
      <c r="N36" s="3010" t="s">
        <v>437</v>
      </c>
      <c r="O36" s="3011"/>
      <c r="P36" s="3012"/>
      <c r="Q36" s="1331"/>
      <c r="R36" s="1331"/>
      <c r="S36" s="3010" t="s">
        <v>411</v>
      </c>
      <c r="T36" s="3011"/>
      <c r="U36" s="3012"/>
      <c r="V36" s="1331"/>
      <c r="W36" s="1331"/>
      <c r="X36" s="3010" t="s">
        <v>416</v>
      </c>
      <c r="Y36" s="3011"/>
      <c r="Z36" s="3012"/>
      <c r="AA36" s="1331"/>
      <c r="AB36" s="1331"/>
      <c r="AC36" s="3010" t="s">
        <v>415</v>
      </c>
      <c r="AD36" s="3011"/>
      <c r="AE36" s="3012"/>
      <c r="AF36" s="1331"/>
      <c r="AG36" s="1331"/>
      <c r="AH36" s="3010" t="s">
        <v>438</v>
      </c>
      <c r="AI36" s="3011"/>
      <c r="AJ36" s="3012"/>
      <c r="AK36" s="1331"/>
      <c r="AL36" s="1331"/>
      <c r="AM36" s="3010" t="s">
        <v>438</v>
      </c>
      <c r="AN36" s="3011"/>
      <c r="AO36" s="3012"/>
      <c r="AP36" s="1331"/>
      <c r="AQ36" s="1331"/>
      <c r="AR36" s="3010" t="s">
        <v>421</v>
      </c>
      <c r="AS36" s="3011"/>
      <c r="AT36" s="3012"/>
      <c r="AU36" s="1331"/>
      <c r="AV36" s="1331"/>
      <c r="AW36" s="3010" t="s">
        <v>422</v>
      </c>
      <c r="AX36" s="3011"/>
      <c r="AY36" s="3012"/>
      <c r="AZ36" s="20"/>
      <c r="BA36" s="20"/>
      <c r="BB36"/>
      <c r="BC36"/>
      <c r="BD36"/>
      <c r="BE36"/>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c r="CZ36" s="228"/>
      <c r="DA36" s="228"/>
      <c r="DB36" s="228"/>
      <c r="DC36" s="228"/>
      <c r="DD36" s="228"/>
      <c r="DE36" s="228"/>
      <c r="DF36" s="228"/>
      <c r="DG36" s="228"/>
      <c r="DH36" s="228"/>
      <c r="DI36" s="228"/>
      <c r="DJ36" s="228"/>
      <c r="DK36" s="228"/>
      <c r="DL36" s="228"/>
      <c r="DM36" s="228"/>
    </row>
    <row r="37" spans="1:122" s="227" customFormat="1" ht="20.25" hidden="1" thickBot="1">
      <c r="A37" s="226"/>
      <c r="F37" s="1331"/>
      <c r="G37" s="1332"/>
      <c r="H37" s="1331"/>
      <c r="I37" s="3007" t="s">
        <v>439</v>
      </c>
      <c r="J37" s="3008"/>
      <c r="K37" s="3009"/>
      <c r="L37" s="1331"/>
      <c r="M37" s="1331"/>
      <c r="N37" s="3007" t="s">
        <v>440</v>
      </c>
      <c r="O37" s="3008"/>
      <c r="P37" s="3009"/>
      <c r="Q37" s="1331"/>
      <c r="R37" s="1331"/>
      <c r="S37" s="3007" t="s">
        <v>441</v>
      </c>
      <c r="T37" s="3008"/>
      <c r="U37" s="3009"/>
      <c r="V37" s="1331"/>
      <c r="W37" s="1331"/>
      <c r="X37" s="3007"/>
      <c r="Y37" s="3008"/>
      <c r="Z37" s="3009"/>
      <c r="AA37" s="1331"/>
      <c r="AB37" s="1331"/>
      <c r="AC37" s="3007"/>
      <c r="AD37" s="3008"/>
      <c r="AE37" s="3009"/>
      <c r="AF37" s="1331"/>
      <c r="AG37" s="1331"/>
      <c r="AH37" s="3007" t="s">
        <v>442</v>
      </c>
      <c r="AI37" s="3008"/>
      <c r="AJ37" s="3009"/>
      <c r="AK37" s="1331"/>
      <c r="AL37" s="1331"/>
      <c r="AM37" s="3007" t="s">
        <v>443</v>
      </c>
      <c r="AN37" s="3008"/>
      <c r="AO37" s="3009"/>
      <c r="AP37" s="1331"/>
      <c r="AQ37" s="1331"/>
      <c r="AR37" s="3007" t="s">
        <v>444</v>
      </c>
      <c r="AS37" s="3008"/>
      <c r="AT37" s="3009"/>
      <c r="AU37" s="1331"/>
      <c r="AV37" s="1331"/>
      <c r="AW37" s="3007"/>
      <c r="AX37" s="3008"/>
      <c r="AY37" s="3009"/>
      <c r="AZ37" s="20"/>
      <c r="BA37" s="20"/>
      <c r="BB37"/>
      <c r="BC37"/>
      <c r="BD37"/>
      <c r="BE37"/>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c r="CZ37" s="228"/>
      <c r="DA37" s="228"/>
      <c r="DB37" s="228"/>
      <c r="DC37" s="228"/>
      <c r="DD37" s="228"/>
      <c r="DE37" s="228"/>
      <c r="DF37" s="228"/>
      <c r="DG37" s="228"/>
      <c r="DH37" s="228"/>
      <c r="DI37" s="228"/>
      <c r="DJ37" s="228"/>
      <c r="DK37" s="228"/>
      <c r="DL37" s="228"/>
      <c r="DM37" s="228"/>
    </row>
    <row r="38" spans="1:122" s="169" customFormat="1" ht="20.25" hidden="1" customHeight="1">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665"/>
      <c r="AM38" s="665"/>
      <c r="AN38" s="665"/>
      <c r="AO38" s="665"/>
      <c r="AP38" s="665"/>
      <c r="AQ38" s="665"/>
      <c r="AR38" s="665"/>
      <c r="AS38" s="665"/>
      <c r="AT38" s="665"/>
      <c r="AU38" s="665"/>
      <c r="AV38" s="665"/>
      <c r="AW38" s="665"/>
      <c r="AX38" s="665"/>
      <c r="AY38" s="665"/>
      <c r="AZ38" s="20"/>
      <c r="BA38" s="20"/>
      <c r="BB38"/>
      <c r="BC38"/>
      <c r="BD38"/>
      <c r="BE38"/>
    </row>
    <row r="39" spans="1:122" ht="4.5" hidden="1" customHeight="1" thickBot="1">
      <c r="F39" s="665"/>
      <c r="G39" s="663"/>
      <c r="H39" s="665"/>
      <c r="I39" s="665"/>
      <c r="J39" s="526"/>
      <c r="K39" s="526"/>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665"/>
      <c r="AL39" s="665"/>
      <c r="AM39" s="665"/>
      <c r="AN39" s="665"/>
      <c r="AO39" s="665"/>
      <c r="AP39" s="665"/>
      <c r="AQ39" s="665"/>
      <c r="AR39" s="665"/>
      <c r="AS39" s="665"/>
      <c r="AT39" s="665"/>
      <c r="AU39" s="665"/>
      <c r="AV39" s="665"/>
      <c r="AW39" s="665"/>
      <c r="AX39" s="665"/>
      <c r="AY39" s="665"/>
      <c r="BF39" s="73"/>
      <c r="BG39" s="73"/>
      <c r="BH39" s="73"/>
      <c r="BI39" s="73"/>
      <c r="BJ39" s="73"/>
      <c r="DN39"/>
      <c r="DO39"/>
      <c r="DP39"/>
      <c r="DQ39"/>
      <c r="DR39"/>
    </row>
    <row r="40" spans="1:122" ht="21.75" hidden="1" customHeight="1" thickBot="1">
      <c r="F40" s="665"/>
      <c r="G40" s="663"/>
      <c r="H40" s="665"/>
      <c r="I40" s="1333">
        <f>Gröddata!C10</f>
        <v>8000</v>
      </c>
      <c r="J40" s="862" t="s">
        <v>445</v>
      </c>
      <c r="K40" s="1247"/>
      <c r="L40" s="665"/>
      <c r="M40" s="665"/>
      <c r="N40" s="1333">
        <f>Gröddata!C11</f>
        <v>8500</v>
      </c>
      <c r="O40" s="862" t="s">
        <v>445</v>
      </c>
      <c r="P40" s="1247"/>
      <c r="Q40" s="665"/>
      <c r="R40" s="665"/>
      <c r="S40" s="1333">
        <f>Gröddata!C12</f>
        <v>6000</v>
      </c>
      <c r="T40" s="862" t="s">
        <v>445</v>
      </c>
      <c r="U40" s="1247"/>
      <c r="V40" s="665"/>
      <c r="W40" s="665"/>
      <c r="X40" s="1333">
        <f>Gröddata!C13</f>
        <v>6000</v>
      </c>
      <c r="Y40" s="862" t="s">
        <v>445</v>
      </c>
      <c r="Z40" s="1247"/>
      <c r="AA40" s="665"/>
      <c r="AB40" s="665"/>
      <c r="AC40" s="1333">
        <f>Gröddata!C14</f>
        <v>6000</v>
      </c>
      <c r="AD40" s="862" t="s">
        <v>445</v>
      </c>
      <c r="AE40" s="1247"/>
      <c r="AF40" s="665"/>
      <c r="AG40" s="665"/>
      <c r="AH40" s="1333">
        <f>Gröddata!C15</f>
        <v>5500</v>
      </c>
      <c r="AI40" s="862" t="s">
        <v>445</v>
      </c>
      <c r="AJ40" s="1247"/>
      <c r="AK40" s="665"/>
      <c r="AL40" s="665"/>
      <c r="AM40" s="1333">
        <f>Gröddata!C16</f>
        <v>5500</v>
      </c>
      <c r="AN40" s="862" t="s">
        <v>445</v>
      </c>
      <c r="AO40" s="1247"/>
      <c r="AP40" s="665"/>
      <c r="AQ40" s="665"/>
      <c r="AR40" s="1333">
        <f>Gröddata!C17</f>
        <v>5000</v>
      </c>
      <c r="AS40" s="862" t="s">
        <v>445</v>
      </c>
      <c r="AT40" s="1247"/>
      <c r="AU40" s="665"/>
      <c r="AV40" s="665"/>
      <c r="AW40" s="1333">
        <f>Gröddata!C18</f>
        <v>5500</v>
      </c>
      <c r="AX40" s="862" t="s">
        <v>445</v>
      </c>
      <c r="AY40" s="1247"/>
      <c r="BF40" s="73"/>
      <c r="BG40" s="73"/>
      <c r="BH40" s="73"/>
      <c r="BI40" s="73"/>
      <c r="BJ40" s="73"/>
      <c r="DN40"/>
      <c r="DO40"/>
      <c r="DP40"/>
      <c r="DQ40"/>
      <c r="DR40"/>
    </row>
    <row r="41" spans="1:122" ht="11.25" hidden="1" customHeight="1" thickBot="1">
      <c r="A41"/>
      <c r="F41" s="665"/>
      <c r="G41" s="663"/>
      <c r="H41" s="665"/>
      <c r="I41" s="665"/>
      <c r="J41" s="1334"/>
      <c r="K41" s="665"/>
      <c r="L41" s="665"/>
      <c r="M41" s="665"/>
      <c r="N41" s="665"/>
      <c r="O41" s="1334"/>
      <c r="P41" s="665"/>
      <c r="Q41" s="665"/>
      <c r="R41" s="665"/>
      <c r="S41" s="665"/>
      <c r="T41" s="1334"/>
      <c r="U41" s="665"/>
      <c r="V41" s="665"/>
      <c r="W41" s="665"/>
      <c r="X41" s="665"/>
      <c r="Y41" s="1334"/>
      <c r="Z41" s="665"/>
      <c r="AA41" s="665"/>
      <c r="AB41" s="665"/>
      <c r="AC41" s="665"/>
      <c r="AD41" s="1334"/>
      <c r="AE41" s="665"/>
      <c r="AF41" s="665"/>
      <c r="AG41" s="665"/>
      <c r="AH41" s="665"/>
      <c r="AI41" s="1334"/>
      <c r="AJ41" s="665"/>
      <c r="AK41" s="665"/>
      <c r="AL41" s="665"/>
      <c r="AM41" s="665"/>
      <c r="AN41" s="1334"/>
      <c r="AO41" s="665"/>
      <c r="AP41" s="665"/>
      <c r="AQ41" s="665"/>
      <c r="AR41" s="665"/>
      <c r="AS41" s="1334"/>
      <c r="AT41" s="665"/>
      <c r="AU41" s="665"/>
      <c r="AV41" s="665"/>
      <c r="AW41" s="665"/>
      <c r="AX41" s="1334"/>
      <c r="AY41" s="665"/>
      <c r="BF41" s="73"/>
      <c r="BG41" s="73"/>
      <c r="BH41" s="73"/>
      <c r="BI41" s="73"/>
      <c r="BJ41" s="73"/>
      <c r="DN41"/>
      <c r="DO41"/>
      <c r="DP41"/>
      <c r="DQ41"/>
      <c r="DR41"/>
    </row>
    <row r="42" spans="1:122" ht="18.75" hidden="1" customHeight="1" thickBot="1">
      <c r="A42"/>
      <c r="F42" s="665"/>
      <c r="G42" s="663"/>
      <c r="H42" s="665"/>
      <c r="I42" s="665"/>
      <c r="J42" s="1702">
        <f>Gröddata!D10</f>
        <v>1.47</v>
      </c>
      <c r="K42" s="862" t="s">
        <v>446</v>
      </c>
      <c r="L42" s="665"/>
      <c r="M42" s="665"/>
      <c r="N42" s="665"/>
      <c r="O42" s="1702">
        <f>Gröddata!D11</f>
        <v>1.4</v>
      </c>
      <c r="P42" s="862" t="s">
        <v>446</v>
      </c>
      <c r="Q42" s="665"/>
      <c r="R42" s="665"/>
      <c r="S42" s="665"/>
      <c r="T42" s="1702">
        <f>Gröddata!D12</f>
        <v>1.1299999999999999</v>
      </c>
      <c r="U42" s="862" t="s">
        <v>446</v>
      </c>
      <c r="V42" s="665"/>
      <c r="W42" s="665"/>
      <c r="X42" s="665"/>
      <c r="Y42" s="1702">
        <f>Gröddata!D13</f>
        <v>1.25</v>
      </c>
      <c r="Z42" s="862" t="s">
        <v>446</v>
      </c>
      <c r="AA42" s="665"/>
      <c r="AB42" s="665"/>
      <c r="AC42" s="665"/>
      <c r="AD42" s="1702">
        <f>Gröddata!D14</f>
        <v>1.1299999999999999</v>
      </c>
      <c r="AE42" s="862" t="s">
        <v>446</v>
      </c>
      <c r="AF42" s="665"/>
      <c r="AG42" s="665"/>
      <c r="AH42" s="665"/>
      <c r="AI42" s="1702">
        <f>Gröddata!D15</f>
        <v>1.31</v>
      </c>
      <c r="AJ42" s="862" t="s">
        <v>446</v>
      </c>
      <c r="AK42" s="665"/>
      <c r="AL42" s="665"/>
      <c r="AM42" s="665"/>
      <c r="AN42" s="1702">
        <f>Gröddata!D16</f>
        <v>1.62</v>
      </c>
      <c r="AO42" s="862" t="s">
        <v>446</v>
      </c>
      <c r="AP42" s="665"/>
      <c r="AQ42" s="665"/>
      <c r="AR42" s="665"/>
      <c r="AS42" s="1702">
        <f>Gröddata!D17</f>
        <v>1.56</v>
      </c>
      <c r="AT42" s="862" t="s">
        <v>446</v>
      </c>
      <c r="AU42" s="665"/>
      <c r="AV42" s="665"/>
      <c r="AW42" s="665"/>
      <c r="AX42" s="1702">
        <f>Gröddata!D18</f>
        <v>1.6</v>
      </c>
      <c r="AY42" s="862" t="s">
        <v>446</v>
      </c>
      <c r="BF42" s="73"/>
      <c r="BG42" s="73"/>
      <c r="BH42" s="73"/>
      <c r="BI42" s="73"/>
      <c r="BJ42" s="73"/>
      <c r="DN42"/>
      <c r="DO42"/>
      <c r="DP42"/>
      <c r="DQ42"/>
      <c r="DR42"/>
    </row>
    <row r="43" spans="1:122" ht="11.25" hidden="1" customHeight="1" thickBot="1">
      <c r="A43"/>
      <c r="F43" s="665"/>
      <c r="G43" s="663"/>
      <c r="H43" s="665"/>
      <c r="I43" s="665"/>
      <c r="J43" s="1335"/>
      <c r="K43" s="665"/>
      <c r="L43" s="665"/>
      <c r="M43" s="665"/>
      <c r="N43" s="665"/>
      <c r="O43" s="1335"/>
      <c r="P43" s="665"/>
      <c r="Q43" s="665"/>
      <c r="R43" s="665"/>
      <c r="S43" s="665"/>
      <c r="T43" s="1335"/>
      <c r="U43" s="665"/>
      <c r="V43" s="665"/>
      <c r="W43" s="665"/>
      <c r="X43" s="665"/>
      <c r="Y43" s="1335"/>
      <c r="Z43" s="665"/>
      <c r="AA43" s="665"/>
      <c r="AB43" s="665"/>
      <c r="AC43" s="665"/>
      <c r="AD43" s="1335"/>
      <c r="AE43" s="665"/>
      <c r="AF43" s="665"/>
      <c r="AG43" s="665"/>
      <c r="AH43" s="665"/>
      <c r="AI43" s="1335"/>
      <c r="AJ43" s="665"/>
      <c r="AK43" s="665"/>
      <c r="AL43" s="665"/>
      <c r="AM43" s="665"/>
      <c r="AN43" s="1335"/>
      <c r="AO43" s="665"/>
      <c r="AP43" s="665"/>
      <c r="AQ43" s="665"/>
      <c r="AR43" s="665"/>
      <c r="AS43" s="1335"/>
      <c r="AT43" s="665"/>
      <c r="AU43" s="665"/>
      <c r="AV43" s="665"/>
      <c r="AW43" s="665"/>
      <c r="AX43" s="1335"/>
      <c r="AY43" s="665"/>
      <c r="BF43" s="73"/>
      <c r="BG43" s="73"/>
      <c r="BH43" s="73"/>
      <c r="BI43" s="73"/>
      <c r="BJ43" s="73"/>
      <c r="DN43"/>
      <c r="DO43"/>
      <c r="DP43"/>
      <c r="DQ43"/>
      <c r="DR43"/>
    </row>
    <row r="44" spans="1:122" ht="15.75" hidden="1" customHeight="1" thickBot="1">
      <c r="A44"/>
      <c r="F44" s="665"/>
      <c r="G44" s="663"/>
      <c r="H44" s="665"/>
      <c r="I44" s="1336" t="s">
        <v>447</v>
      </c>
      <c r="J44" s="1337">
        <f>K92</f>
        <v>5136.38</v>
      </c>
      <c r="K44" s="862" t="s">
        <v>448</v>
      </c>
      <c r="L44" s="665"/>
      <c r="M44" s="665"/>
      <c r="N44" s="1336" t="s">
        <v>447</v>
      </c>
      <c r="O44" s="1337">
        <f>P92</f>
        <v>4541.5949999999993</v>
      </c>
      <c r="P44" s="862" t="s">
        <v>448</v>
      </c>
      <c r="Q44" s="665"/>
      <c r="R44" s="665"/>
      <c r="S44" s="1336" t="s">
        <v>447</v>
      </c>
      <c r="T44" s="1337">
        <f>U92</f>
        <v>528.91999999999916</v>
      </c>
      <c r="U44" s="862" t="s">
        <v>448</v>
      </c>
      <c r="V44" s="665"/>
      <c r="W44" s="665"/>
      <c r="X44" s="1336" t="s">
        <v>447</v>
      </c>
      <c r="Y44" s="1337">
        <f>Z92</f>
        <v>1932.4700000000003</v>
      </c>
      <c r="Z44" s="862" t="s">
        <v>448</v>
      </c>
      <c r="AA44" s="665"/>
      <c r="AB44" s="665"/>
      <c r="AC44" s="1336" t="s">
        <v>447</v>
      </c>
      <c r="AD44" s="1337">
        <f>AE92</f>
        <v>2289.2700000000004</v>
      </c>
      <c r="AE44" s="862" t="s">
        <v>448</v>
      </c>
      <c r="AF44" s="665"/>
      <c r="AG44" s="665"/>
      <c r="AH44" s="1336" t="s">
        <v>447</v>
      </c>
      <c r="AI44" s="1337">
        <f>AJ92</f>
        <v>2476.5150000000003</v>
      </c>
      <c r="AJ44" s="862" t="s">
        <v>448</v>
      </c>
      <c r="AK44" s="665"/>
      <c r="AL44" s="665"/>
      <c r="AM44" s="1336" t="s">
        <v>447</v>
      </c>
      <c r="AN44" s="1337">
        <f>AO92</f>
        <v>5341.5650000000005</v>
      </c>
      <c r="AO44" s="862" t="s">
        <v>448</v>
      </c>
      <c r="AP44" s="665"/>
      <c r="AQ44" s="665"/>
      <c r="AR44" s="1336" t="s">
        <v>447</v>
      </c>
      <c r="AS44" s="1337">
        <f>AT92</f>
        <v>2038.7499999999991</v>
      </c>
      <c r="AT44" s="862" t="s">
        <v>448</v>
      </c>
      <c r="AU44" s="665"/>
      <c r="AV44" s="665"/>
      <c r="AW44" s="1336" t="s">
        <v>447</v>
      </c>
      <c r="AX44" s="1337">
        <f>AY92</f>
        <v>2522.165</v>
      </c>
      <c r="AY44" s="862" t="s">
        <v>448</v>
      </c>
      <c r="BF44" s="73"/>
      <c r="BG44" s="73"/>
      <c r="BH44" s="73"/>
      <c r="BI44" s="73"/>
      <c r="BJ44" s="73"/>
      <c r="DN44"/>
      <c r="DO44"/>
      <c r="DP44"/>
      <c r="DQ44"/>
      <c r="DR44"/>
    </row>
    <row r="45" spans="1:122" ht="21" hidden="1" customHeight="1" thickBot="1">
      <c r="A45"/>
      <c r="F45" s="665"/>
      <c r="G45" s="663"/>
      <c r="H45" s="665"/>
      <c r="I45" s="665"/>
      <c r="J45" s="1335"/>
      <c r="K45" s="665"/>
      <c r="L45" s="665"/>
      <c r="M45" s="665"/>
      <c r="N45" s="665"/>
      <c r="O45" s="1335"/>
      <c r="P45" s="665"/>
      <c r="Q45" s="665"/>
      <c r="R45" s="665"/>
      <c r="S45" s="665"/>
      <c r="T45" s="1335"/>
      <c r="U45" s="665"/>
      <c r="V45" s="665"/>
      <c r="W45" s="665"/>
      <c r="X45" s="665"/>
      <c r="Y45" s="1335"/>
      <c r="Z45" s="665"/>
      <c r="AA45" s="665"/>
      <c r="AB45" s="665"/>
      <c r="AC45" s="665"/>
      <c r="AD45" s="1335"/>
      <c r="AE45" s="665"/>
      <c r="AF45" s="665"/>
      <c r="AG45" s="665"/>
      <c r="AH45" s="665"/>
      <c r="AI45" s="1335"/>
      <c r="AJ45" s="665"/>
      <c r="AK45" s="665"/>
      <c r="AL45" s="665"/>
      <c r="AM45" s="665"/>
      <c r="AN45" s="1335"/>
      <c r="AO45" s="665"/>
      <c r="AP45" s="665"/>
      <c r="AQ45" s="665"/>
      <c r="AR45" s="665"/>
      <c r="AS45" s="1335"/>
      <c r="AT45" s="665"/>
      <c r="AU45" s="665"/>
      <c r="AV45" s="665"/>
      <c r="AW45" s="665"/>
      <c r="AX45" s="1335"/>
      <c r="AY45" s="665"/>
      <c r="BF45" s="73"/>
      <c r="BG45" s="73"/>
      <c r="BH45" s="73"/>
      <c r="BI45" s="73"/>
      <c r="BJ45" s="73"/>
      <c r="DN45"/>
      <c r="DO45"/>
      <c r="DP45"/>
      <c r="DQ45"/>
      <c r="DR45"/>
    </row>
    <row r="46" spans="1:122" s="230" customFormat="1" ht="17.25" hidden="1" customHeight="1" thickBot="1">
      <c r="A46" s="229"/>
      <c r="F46" s="1241"/>
      <c r="G46" s="1242"/>
      <c r="H46" s="1241"/>
      <c r="I46" s="1241"/>
      <c r="J46" s="1338">
        <f>G64</f>
        <v>0</v>
      </c>
      <c r="K46" s="1339" t="s">
        <v>449</v>
      </c>
      <c r="L46" s="1241"/>
      <c r="M46" s="1241"/>
      <c r="N46" s="1241"/>
      <c r="O46" s="1338">
        <f>L64</f>
        <v>0</v>
      </c>
      <c r="P46" s="1339" t="s">
        <v>449</v>
      </c>
      <c r="Q46" s="1241"/>
      <c r="R46" s="1241"/>
      <c r="S46" s="1241"/>
      <c r="T46" s="1338">
        <f>Q64</f>
        <v>0</v>
      </c>
      <c r="U46" s="1339" t="s">
        <v>449</v>
      </c>
      <c r="V46" s="1241"/>
      <c r="W46" s="1241"/>
      <c r="X46" s="1241"/>
      <c r="Y46" s="1338">
        <f>V64</f>
        <v>0</v>
      </c>
      <c r="Z46" s="1339" t="s">
        <v>449</v>
      </c>
      <c r="AA46" s="1241"/>
      <c r="AB46" s="1241"/>
      <c r="AC46" s="1241"/>
      <c r="AD46" s="1338">
        <f>AA64</f>
        <v>0</v>
      </c>
      <c r="AE46" s="1339" t="s">
        <v>449</v>
      </c>
      <c r="AF46" s="1241"/>
      <c r="AG46" s="1241"/>
      <c r="AH46" s="1241"/>
      <c r="AI46" s="1338">
        <f>AF64</f>
        <v>0</v>
      </c>
      <c r="AJ46" s="1339" t="s">
        <v>449</v>
      </c>
      <c r="AK46" s="1241"/>
      <c r="AL46" s="1241"/>
      <c r="AM46" s="1241"/>
      <c r="AN46" s="1338">
        <f>AK64</f>
        <v>0</v>
      </c>
      <c r="AO46" s="1339" t="s">
        <v>449</v>
      </c>
      <c r="AP46" s="1241"/>
      <c r="AQ46" s="1241"/>
      <c r="AR46" s="1241"/>
      <c r="AS46" s="1338">
        <f>AP64</f>
        <v>0</v>
      </c>
      <c r="AT46" s="1339" t="s">
        <v>449</v>
      </c>
      <c r="AU46" s="1241"/>
      <c r="AV46" s="1241"/>
      <c r="AW46" s="1241"/>
      <c r="AX46" s="1338">
        <f>AU64</f>
        <v>0</v>
      </c>
      <c r="AY46" s="1339" t="s">
        <v>449</v>
      </c>
      <c r="AZ46" s="363"/>
      <c r="BA46" s="363"/>
      <c r="BB46" s="232"/>
      <c r="BC46" s="232"/>
      <c r="BD46" s="232"/>
      <c r="BE46" s="232"/>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row>
    <row r="47" spans="1:122" s="230" customFormat="1" ht="21.75" customHeight="1">
      <c r="A47" s="301"/>
      <c r="B47" s="231"/>
      <c r="C47" s="231"/>
      <c r="D47" s="231"/>
      <c r="E47" s="231"/>
      <c r="F47" s="1241"/>
      <c r="G47" s="1242"/>
      <c r="H47" s="1241"/>
      <c r="I47" s="1241"/>
      <c r="J47" s="1244"/>
      <c r="K47" s="1245"/>
      <c r="L47" s="1241"/>
      <c r="M47" s="1241"/>
      <c r="N47" s="1241"/>
      <c r="O47" s="1244"/>
      <c r="P47" s="1245"/>
      <c r="Q47" s="1241"/>
      <c r="R47" s="1241"/>
      <c r="S47" s="1241"/>
      <c r="T47" s="1244"/>
      <c r="U47" s="1245"/>
      <c r="V47" s="1241"/>
      <c r="W47" s="1241"/>
      <c r="X47" s="1241"/>
      <c r="Y47" s="1244"/>
      <c r="Z47" s="1245"/>
      <c r="AA47" s="1241"/>
      <c r="AB47" s="1241"/>
      <c r="AC47" s="1241"/>
      <c r="AD47" s="1244"/>
      <c r="AE47" s="1245"/>
      <c r="AF47" s="1241"/>
      <c r="AG47" s="1241"/>
      <c r="AH47" s="1241"/>
      <c r="AI47" s="1244"/>
      <c r="AJ47" s="1245"/>
      <c r="AK47" s="1241"/>
      <c r="AL47" s="1241"/>
      <c r="AM47" s="1241"/>
      <c r="AN47" s="1244"/>
      <c r="AO47" s="1245"/>
      <c r="AP47" s="1241"/>
      <c r="AQ47" s="1241"/>
      <c r="AR47" s="1241"/>
      <c r="AS47" s="1244"/>
      <c r="AT47" s="1245"/>
      <c r="AU47" s="1241"/>
      <c r="AV47" s="1241"/>
      <c r="AW47" s="1241"/>
      <c r="AX47" s="1244"/>
      <c r="AY47" s="1245"/>
      <c r="AZ47" s="363"/>
      <c r="BA47" s="363"/>
      <c r="BB47" s="232"/>
      <c r="BC47" s="232"/>
      <c r="BD47" s="232"/>
      <c r="BE47" s="232"/>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row>
    <row r="48" spans="1:122" s="230" customFormat="1" ht="15.75" customHeight="1">
      <c r="A48" s="301"/>
      <c r="B48" s="231"/>
      <c r="C48" s="231"/>
      <c r="D48" s="231"/>
      <c r="E48" s="231"/>
      <c r="F48" s="1241"/>
      <c r="G48" s="1242"/>
      <c r="H48" s="2974" t="s">
        <v>1871</v>
      </c>
      <c r="I48" s="1241"/>
      <c r="J48" s="1244"/>
      <c r="K48" s="1245"/>
      <c r="L48" s="1241"/>
      <c r="M48" s="1241"/>
      <c r="N48" s="1241"/>
      <c r="O48" s="1244"/>
      <c r="P48" s="1245"/>
      <c r="Q48" s="1241"/>
      <c r="R48" s="1241"/>
      <c r="S48" s="1241"/>
      <c r="T48" s="1244"/>
      <c r="U48" s="1245"/>
      <c r="V48" s="1241"/>
      <c r="W48" s="1241"/>
      <c r="X48" s="1241"/>
      <c r="Y48" s="1244"/>
      <c r="Z48" s="1245"/>
      <c r="AA48" s="1241"/>
      <c r="AB48" s="1241"/>
      <c r="AC48" s="1241"/>
      <c r="AD48" s="1244"/>
      <c r="AE48" s="1245"/>
      <c r="AF48" s="1241"/>
      <c r="AG48" s="1241"/>
      <c r="AH48" s="1241"/>
      <c r="AI48" s="1244"/>
      <c r="AJ48" s="1245"/>
      <c r="AK48" s="1241"/>
      <c r="AL48" s="1241"/>
      <c r="AM48" s="1241"/>
      <c r="AN48" s="1244"/>
      <c r="AO48" s="1245"/>
      <c r="AP48" s="1241"/>
      <c r="AQ48" s="1241"/>
      <c r="AR48" s="1241"/>
      <c r="AS48" s="1244"/>
      <c r="AT48" s="1245"/>
      <c r="AU48" s="1241"/>
      <c r="AV48" s="1241"/>
      <c r="AW48" s="1241"/>
      <c r="AX48" s="1244"/>
      <c r="AY48" s="1245"/>
      <c r="AZ48" s="363"/>
      <c r="BA48" s="363"/>
      <c r="BB48" s="232"/>
      <c r="BC48" s="232"/>
      <c r="BD48" s="232"/>
      <c r="BE48" s="232"/>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row>
    <row r="49" spans="1:242" s="230" customFormat="1" ht="15.75" customHeight="1">
      <c r="A49" s="301"/>
      <c r="B49" s="231"/>
      <c r="C49" s="231"/>
      <c r="D49" s="231"/>
      <c r="E49" s="231"/>
      <c r="F49" s="1241"/>
      <c r="G49" s="1242"/>
      <c r="H49" s="2974"/>
      <c r="I49" s="1241"/>
      <c r="J49" s="1244"/>
      <c r="K49" s="1245"/>
      <c r="L49" s="1241"/>
      <c r="M49" s="1241"/>
      <c r="N49" s="1241"/>
      <c r="O49" s="1244"/>
      <c r="P49" s="1245"/>
      <c r="Q49" s="1241"/>
      <c r="R49" s="1241"/>
      <c r="S49" s="1241"/>
      <c r="T49" s="1244"/>
      <c r="U49" s="1245"/>
      <c r="V49" s="1241"/>
      <c r="W49" s="1241"/>
      <c r="X49" s="1241"/>
      <c r="Y49" s="1244"/>
      <c r="Z49" s="1245"/>
      <c r="AA49" s="1241"/>
      <c r="AB49" s="1241"/>
      <c r="AC49" s="1241"/>
      <c r="AD49" s="1244"/>
      <c r="AE49" s="1245"/>
      <c r="AF49" s="1241"/>
      <c r="AG49" s="1241"/>
      <c r="AH49" s="1241"/>
      <c r="AI49" s="1244"/>
      <c r="AJ49" s="1245"/>
      <c r="AK49" s="1241"/>
      <c r="AL49" s="1241"/>
      <c r="AM49" s="1241"/>
      <c r="AN49" s="1244"/>
      <c r="AO49" s="1245"/>
      <c r="AP49" s="1241"/>
      <c r="AQ49" s="1241"/>
      <c r="AR49" s="1241"/>
      <c r="AS49" s="1244"/>
      <c r="AT49" s="1245"/>
      <c r="AU49" s="1241"/>
      <c r="AV49" s="1241"/>
      <c r="AW49" s="1241"/>
      <c r="AX49" s="1244"/>
      <c r="AY49" s="1245"/>
      <c r="AZ49" s="363"/>
      <c r="BA49" s="363"/>
      <c r="BB49" s="232"/>
      <c r="BC49" s="232"/>
      <c r="BD49" s="232"/>
      <c r="BE49" s="232"/>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row>
    <row r="50" spans="1:242" s="230" customFormat="1" ht="15.75" customHeight="1">
      <c r="A50" s="301"/>
      <c r="B50" s="231"/>
      <c r="C50" s="231"/>
      <c r="D50" s="231"/>
      <c r="E50" s="231"/>
      <c r="F50" s="1241"/>
      <c r="G50" s="1242"/>
      <c r="H50" s="2974"/>
      <c r="I50" s="1241"/>
      <c r="J50" s="1244"/>
      <c r="K50" s="1245"/>
      <c r="L50" s="1241"/>
      <c r="M50" s="1241"/>
      <c r="N50" s="1241"/>
      <c r="O50" s="1244"/>
      <c r="P50" s="1245"/>
      <c r="Q50" s="1241"/>
      <c r="R50" s="1241"/>
      <c r="S50" s="1241"/>
      <c r="T50" s="1244"/>
      <c r="U50" s="1245"/>
      <c r="V50" s="1241"/>
      <c r="W50" s="1241"/>
      <c r="X50" s="1241"/>
      <c r="Y50" s="1244"/>
      <c r="Z50" s="1245"/>
      <c r="AA50" s="1241"/>
      <c r="AB50" s="1241"/>
      <c r="AC50" s="1241"/>
      <c r="AD50" s="1244"/>
      <c r="AE50" s="1245"/>
      <c r="AF50" s="1241"/>
      <c r="AG50" s="1241"/>
      <c r="AH50" s="1241"/>
      <c r="AI50" s="1244"/>
      <c r="AJ50" s="1245"/>
      <c r="AK50" s="1241"/>
      <c r="AL50" s="1241"/>
      <c r="AM50" s="1241"/>
      <c r="AN50" s="1244"/>
      <c r="AO50" s="1245"/>
      <c r="AP50" s="1241"/>
      <c r="AQ50" s="1241"/>
      <c r="AR50" s="1241"/>
      <c r="AS50" s="1244"/>
      <c r="AT50" s="1245"/>
      <c r="AU50" s="1241"/>
      <c r="AV50" s="1241"/>
      <c r="AW50" s="1241"/>
      <c r="AX50" s="1244"/>
      <c r="AY50" s="1245"/>
      <c r="AZ50" s="363"/>
      <c r="BA50" s="363"/>
      <c r="BB50" s="232"/>
      <c r="BC50" s="232"/>
      <c r="BD50" s="232"/>
      <c r="BE50" s="232"/>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row>
    <row r="51" spans="1:242" s="230" customFormat="1" ht="20.25" customHeight="1">
      <c r="A51" s="301"/>
      <c r="B51" s="231"/>
      <c r="C51" s="231"/>
      <c r="D51" s="231"/>
      <c r="E51" s="231"/>
      <c r="F51" s="1241"/>
      <c r="G51" s="1242"/>
      <c r="H51" s="2974"/>
      <c r="I51" s="1241"/>
      <c r="J51" s="1244"/>
      <c r="K51" s="1245"/>
      <c r="L51" s="1241"/>
      <c r="M51" s="1241"/>
      <c r="N51" s="1241"/>
      <c r="O51" s="1244"/>
      <c r="P51" s="1245"/>
      <c r="Q51" s="1241"/>
      <c r="R51" s="1241"/>
      <c r="S51" s="1241"/>
      <c r="T51" s="1244"/>
      <c r="U51" s="1245"/>
      <c r="V51" s="1241"/>
      <c r="W51" s="1241"/>
      <c r="X51" s="1241"/>
      <c r="Y51" s="1244"/>
      <c r="Z51" s="1245"/>
      <c r="AA51" s="1241"/>
      <c r="AB51" s="1241"/>
      <c r="AC51" s="1241"/>
      <c r="AD51" s="1244"/>
      <c r="AE51" s="1245"/>
      <c r="AF51" s="1241"/>
      <c r="AG51" s="1241"/>
      <c r="AH51" s="1241"/>
      <c r="AI51" s="1244"/>
      <c r="AJ51" s="1245"/>
      <c r="AK51" s="1241"/>
      <c r="AL51" s="1241"/>
      <c r="AM51" s="1241"/>
      <c r="AN51" s="1244"/>
      <c r="AO51" s="1245"/>
      <c r="AP51" s="1241"/>
      <c r="AQ51" s="1241"/>
      <c r="AR51" s="1241"/>
      <c r="AS51" s="1244"/>
      <c r="AT51" s="1245"/>
      <c r="AU51" s="1241"/>
      <c r="AV51" s="1241"/>
      <c r="AW51" s="1241"/>
      <c r="AX51" s="1244"/>
      <c r="AY51" s="1245"/>
      <c r="AZ51" s="363"/>
      <c r="BA51" s="363"/>
      <c r="BB51" s="232"/>
      <c r="BC51" s="232"/>
      <c r="BD51" s="232"/>
      <c r="BE51" s="232"/>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row>
    <row r="52" spans="1:242" ht="18" customHeight="1" thickBot="1">
      <c r="A52" s="262"/>
      <c r="B52" s="169"/>
      <c r="C52" s="169"/>
      <c r="D52" s="169"/>
      <c r="E52" s="169"/>
      <c r="F52" s="665"/>
      <c r="G52" s="663"/>
      <c r="H52" s="665"/>
      <c r="I52" s="665"/>
      <c r="J52" s="665"/>
      <c r="K52" s="665"/>
      <c r="L52" s="665"/>
      <c r="M52" s="665"/>
      <c r="N52" s="665"/>
      <c r="O52" s="665"/>
      <c r="P52" s="665"/>
      <c r="Q52" s="665"/>
      <c r="R52" s="665"/>
      <c r="S52" s="665"/>
      <c r="T52" s="665"/>
      <c r="U52" s="665"/>
      <c r="V52" s="665"/>
      <c r="W52" s="1246"/>
      <c r="X52" s="1246"/>
      <c r="Y52" s="1246"/>
      <c r="Z52" s="1246"/>
      <c r="AA52" s="1246"/>
      <c r="AB52" s="1246"/>
      <c r="AC52" s="1246"/>
      <c r="AD52" s="1246"/>
      <c r="AE52" s="1246"/>
      <c r="AF52" s="1246"/>
      <c r="AG52" s="1246"/>
      <c r="AH52" s="1246"/>
      <c r="AI52" s="1246"/>
      <c r="AJ52" s="1246"/>
      <c r="AK52" s="1246"/>
      <c r="AL52" s="1246"/>
      <c r="AM52" s="1246"/>
      <c r="AN52" s="1246"/>
      <c r="AO52" s="1246"/>
      <c r="AP52" s="1246"/>
      <c r="AQ52" s="1246"/>
      <c r="AR52" s="1246"/>
      <c r="AS52" s="1246"/>
      <c r="AT52" s="1246"/>
      <c r="AU52" s="1246"/>
      <c r="AV52" s="1246"/>
      <c r="AW52" s="1246"/>
      <c r="AX52" s="1246"/>
      <c r="AY52" s="1246"/>
      <c r="BF52" s="73"/>
      <c r="BG52" s="73"/>
      <c r="BH52" s="73"/>
      <c r="BI52" s="73"/>
      <c r="BJ52" s="73"/>
      <c r="DN52"/>
      <c r="DO52"/>
      <c r="DP52"/>
      <c r="DQ52"/>
      <c r="DR52"/>
    </row>
    <row r="53" spans="1:242">
      <c r="A53" s="196"/>
      <c r="B53" s="97"/>
      <c r="C53" s="97"/>
      <c r="E53" s="97"/>
      <c r="F53" s="1247"/>
      <c r="G53" s="663"/>
      <c r="H53" s="1248"/>
      <c r="I53" s="528"/>
      <c r="J53" s="1249" t="s">
        <v>437</v>
      </c>
      <c r="K53" s="530"/>
      <c r="L53" s="665"/>
      <c r="M53" s="1248"/>
      <c r="N53" s="528"/>
      <c r="O53" s="1250" t="s">
        <v>450</v>
      </c>
      <c r="P53" s="530"/>
      <c r="Q53" s="665"/>
      <c r="R53" s="1248"/>
      <c r="S53" s="528"/>
      <c r="T53" s="1250" t="s">
        <v>1829</v>
      </c>
      <c r="U53" s="530"/>
      <c r="V53" s="665"/>
      <c r="W53" s="1248"/>
      <c r="X53" s="1251" t="s">
        <v>416</v>
      </c>
      <c r="Y53" s="1252"/>
      <c r="Z53" s="1253"/>
      <c r="AA53" s="665"/>
      <c r="AB53" s="1248"/>
      <c r="AC53" s="528"/>
      <c r="AD53" s="1250" t="s">
        <v>415</v>
      </c>
      <c r="AE53" s="530"/>
      <c r="AF53" s="665"/>
      <c r="AG53" s="1248"/>
      <c r="AH53" s="528"/>
      <c r="AI53" s="1250" t="s">
        <v>438</v>
      </c>
      <c r="AJ53" s="530"/>
      <c r="AK53" s="665"/>
      <c r="AL53" s="1248"/>
      <c r="AM53" s="528"/>
      <c r="AN53" s="1250" t="s">
        <v>438</v>
      </c>
      <c r="AO53" s="530"/>
      <c r="AP53" s="665"/>
      <c r="AQ53" s="1248"/>
      <c r="AR53" s="528"/>
      <c r="AS53" s="1250" t="s">
        <v>421</v>
      </c>
      <c r="AT53" s="530"/>
      <c r="AU53" s="665"/>
      <c r="AV53" s="1248"/>
      <c r="AW53" s="528"/>
      <c r="AX53" s="1250" t="s">
        <v>422</v>
      </c>
      <c r="AY53" s="530" t="s">
        <v>442</v>
      </c>
      <c r="BF53" s="73"/>
      <c r="BG53" s="234"/>
      <c r="BH53" s="73"/>
      <c r="BI53" s="73"/>
      <c r="BJ53" s="234"/>
      <c r="BM53" s="234"/>
      <c r="BO53" s="234"/>
      <c r="BR53" s="234"/>
      <c r="BU53" s="234"/>
      <c r="BX53" s="234"/>
      <c r="CA53" s="234"/>
      <c r="CD53" s="234"/>
      <c r="CF53" s="234"/>
      <c r="CI53" s="234"/>
      <c r="CL53" s="234"/>
      <c r="CO53" s="234"/>
      <c r="CR53" s="234"/>
      <c r="CU53" s="234"/>
      <c r="CW53" s="234"/>
      <c r="CZ53" s="234"/>
      <c r="DB53" s="235"/>
      <c r="DC53" s="235"/>
      <c r="DD53" s="236"/>
      <c r="DN53"/>
      <c r="DO53"/>
      <c r="DP53"/>
      <c r="DQ53"/>
      <c r="DR53"/>
      <c r="DZ53" s="97"/>
    </row>
    <row r="54" spans="1:242" s="239" customFormat="1" ht="15.75" customHeight="1">
      <c r="A54" s="196"/>
      <c r="B54" s="97"/>
      <c r="C54" s="97"/>
      <c r="D54"/>
      <c r="E54" s="97"/>
      <c r="F54" s="1247"/>
      <c r="G54" s="1254"/>
      <c r="H54" s="1255"/>
      <c r="I54" s="1255"/>
      <c r="J54" s="1256" t="s">
        <v>451</v>
      </c>
      <c r="K54" s="1257">
        <v>0.125</v>
      </c>
      <c r="L54" s="1254"/>
      <c r="M54" s="1255"/>
      <c r="N54" s="1255"/>
      <c r="O54" s="1256" t="s">
        <v>452</v>
      </c>
      <c r="P54" s="1257">
        <v>0.1</v>
      </c>
      <c r="Q54" s="1254"/>
      <c r="R54" s="1255"/>
      <c r="S54" s="1255"/>
      <c r="T54" s="1256" t="s">
        <v>453</v>
      </c>
      <c r="U54" s="1257">
        <v>0.1</v>
      </c>
      <c r="V54" s="1254"/>
      <c r="W54" s="1255"/>
      <c r="X54" s="1255"/>
      <c r="Y54" s="1256"/>
      <c r="Z54" s="1257">
        <v>0.1</v>
      </c>
      <c r="AA54" s="1254"/>
      <c r="AB54" s="1255"/>
      <c r="AC54" s="1255"/>
      <c r="AD54" s="1256"/>
      <c r="AE54" s="1257">
        <v>0.1</v>
      </c>
      <c r="AF54" s="1254"/>
      <c r="AG54" s="1255"/>
      <c r="AH54" s="1255"/>
      <c r="AI54" s="1256" t="s">
        <v>452</v>
      </c>
      <c r="AJ54" s="1257">
        <v>0.1</v>
      </c>
      <c r="AK54" s="1254"/>
      <c r="AL54" s="1255"/>
      <c r="AM54" s="1255"/>
      <c r="AN54" s="1256" t="s">
        <v>454</v>
      </c>
      <c r="AO54" s="1257">
        <v>0.1</v>
      </c>
      <c r="AP54" s="1254"/>
      <c r="AQ54" s="1255"/>
      <c r="AR54" s="1255"/>
      <c r="AS54" s="1256"/>
      <c r="AT54" s="1257">
        <v>0.13500000000000001</v>
      </c>
      <c r="AU54" s="1254"/>
      <c r="AV54" s="1255"/>
      <c r="AW54" s="1255"/>
      <c r="AX54" s="1256"/>
      <c r="AY54" s="1257">
        <v>0.1</v>
      </c>
      <c r="AZ54" s="20"/>
      <c r="BA54" s="20"/>
      <c r="BB54"/>
      <c r="BC54"/>
      <c r="BD54"/>
      <c r="BE54"/>
      <c r="BF54" s="234"/>
      <c r="BG54" s="234"/>
      <c r="BH54" s="234"/>
      <c r="BI54" s="234"/>
      <c r="BJ54" s="234"/>
      <c r="BK54" s="234"/>
      <c r="BL54" s="73"/>
      <c r="BM54" s="234"/>
      <c r="BN54" s="235"/>
      <c r="BO54" s="235"/>
      <c r="BP54" s="235"/>
      <c r="BQ54" s="234"/>
      <c r="BR54" s="234"/>
      <c r="BS54" s="234"/>
      <c r="BT54" s="234"/>
      <c r="BU54" s="234"/>
      <c r="BV54" s="234"/>
      <c r="BW54" s="234"/>
      <c r="BX54" s="234"/>
      <c r="BY54" s="234"/>
      <c r="BZ54" s="234"/>
      <c r="CA54" s="234"/>
      <c r="CB54" s="234"/>
      <c r="CC54" s="73"/>
      <c r="CD54" s="234"/>
      <c r="CE54" s="234"/>
      <c r="CF54" s="234"/>
      <c r="CG54" s="234"/>
      <c r="CH54" s="234"/>
      <c r="CI54" s="234"/>
      <c r="CJ54" s="237"/>
      <c r="CK54" s="234"/>
      <c r="CL54" s="234"/>
      <c r="CM54" s="234"/>
      <c r="CN54" s="234"/>
      <c r="CO54" s="234"/>
      <c r="CP54" s="234"/>
      <c r="CQ54" s="234"/>
      <c r="CR54" s="234"/>
      <c r="CS54" s="234"/>
      <c r="CT54" s="73"/>
      <c r="CU54" s="234"/>
      <c r="CV54" s="234"/>
      <c r="CW54" s="234"/>
      <c r="CX54" s="234"/>
      <c r="CY54" s="234"/>
      <c r="CZ54" s="234"/>
      <c r="DA54" s="234"/>
      <c r="DB54" s="234"/>
      <c r="DC54" s="234"/>
      <c r="DD54" s="234"/>
      <c r="DE54" s="73"/>
      <c r="DF54" s="73"/>
      <c r="DG54" s="238"/>
      <c r="DH54" s="166"/>
      <c r="DI54" s="167"/>
      <c r="DJ54" s="166"/>
      <c r="DK54" s="73"/>
      <c r="DL54" s="73"/>
      <c r="DM54" s="73"/>
      <c r="DN54"/>
      <c r="DO54"/>
      <c r="DP54"/>
      <c r="DQ54"/>
      <c r="DR54"/>
      <c r="DS54"/>
      <c r="DT54"/>
      <c r="DU54"/>
      <c r="DV54"/>
      <c r="DW54"/>
      <c r="DX54"/>
      <c r="DY54"/>
      <c r="DZ54" s="97"/>
      <c r="EA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row>
    <row r="55" spans="1:242" ht="14.25" customHeight="1">
      <c r="A55" s="196"/>
      <c r="B55" s="97"/>
      <c r="C55" s="97"/>
      <c r="D55" s="240"/>
      <c r="E55" s="97"/>
      <c r="F55" s="1247"/>
      <c r="G55" s="663"/>
      <c r="H55" s="1258"/>
      <c r="I55" s="1259" t="s">
        <v>455</v>
      </c>
      <c r="J55" s="1260" t="s">
        <v>456</v>
      </c>
      <c r="K55" s="1261" t="s">
        <v>457</v>
      </c>
      <c r="L55" s="665"/>
      <c r="M55" s="1258"/>
      <c r="N55" s="1259" t="s">
        <v>455</v>
      </c>
      <c r="O55" s="1260" t="s">
        <v>456</v>
      </c>
      <c r="P55" s="1261" t="s">
        <v>457</v>
      </c>
      <c r="Q55" s="665"/>
      <c r="R55" s="1258"/>
      <c r="S55" s="1259" t="s">
        <v>455</v>
      </c>
      <c r="T55" s="1260" t="s">
        <v>456</v>
      </c>
      <c r="U55" s="1261" t="s">
        <v>457</v>
      </c>
      <c r="V55" s="665"/>
      <c r="W55" s="1258"/>
      <c r="X55" s="1259" t="s">
        <v>455</v>
      </c>
      <c r="Y55" s="1260" t="s">
        <v>456</v>
      </c>
      <c r="Z55" s="1261" t="s">
        <v>457</v>
      </c>
      <c r="AA55" s="665"/>
      <c r="AB55" s="1258"/>
      <c r="AC55" s="1259" t="s">
        <v>455</v>
      </c>
      <c r="AD55" s="1260" t="s">
        <v>456</v>
      </c>
      <c r="AE55" s="1261" t="s">
        <v>457</v>
      </c>
      <c r="AF55" s="665"/>
      <c r="AG55" s="1258"/>
      <c r="AH55" s="1259" t="s">
        <v>455</v>
      </c>
      <c r="AI55" s="1260" t="s">
        <v>456</v>
      </c>
      <c r="AJ55" s="1261" t="s">
        <v>457</v>
      </c>
      <c r="AK55" s="665"/>
      <c r="AL55" s="1258"/>
      <c r="AM55" s="1259" t="s">
        <v>455</v>
      </c>
      <c r="AN55" s="1260" t="s">
        <v>456</v>
      </c>
      <c r="AO55" s="1261" t="s">
        <v>457</v>
      </c>
      <c r="AP55" s="665"/>
      <c r="AQ55" s="1258"/>
      <c r="AR55" s="1259" t="s">
        <v>455</v>
      </c>
      <c r="AS55" s="1260" t="s">
        <v>456</v>
      </c>
      <c r="AT55" s="1261" t="s">
        <v>457</v>
      </c>
      <c r="AU55" s="665"/>
      <c r="AV55" s="1258"/>
      <c r="AW55" s="1259" t="s">
        <v>455</v>
      </c>
      <c r="AX55" s="1260" t="s">
        <v>456</v>
      </c>
      <c r="AY55" s="1261" t="s">
        <v>457</v>
      </c>
      <c r="BF55" s="168"/>
      <c r="BG55" s="241"/>
      <c r="BH55" s="241"/>
      <c r="BI55" s="168"/>
      <c r="BJ55" s="241"/>
      <c r="BK55" s="241"/>
      <c r="BM55" s="168"/>
      <c r="BN55" s="168"/>
      <c r="BO55" s="241"/>
      <c r="BP55" s="241"/>
      <c r="BQ55" s="168"/>
      <c r="BR55" s="241"/>
      <c r="BS55" s="241"/>
      <c r="BT55" s="168"/>
      <c r="BU55" s="241"/>
      <c r="BV55" s="241"/>
      <c r="BW55" s="168"/>
      <c r="BX55" s="241"/>
      <c r="BY55" s="241"/>
      <c r="BZ55" s="168"/>
      <c r="CA55" s="241"/>
      <c r="CB55" s="241"/>
      <c r="CD55" s="168"/>
      <c r="CE55" s="168"/>
      <c r="CF55" s="241"/>
      <c r="CG55" s="241"/>
      <c r="CH55" s="168"/>
      <c r="CI55" s="241"/>
      <c r="CJ55" s="241"/>
      <c r="CK55" s="168"/>
      <c r="CL55" s="241"/>
      <c r="CM55" s="241"/>
      <c r="CN55" s="168"/>
      <c r="CO55" s="241"/>
      <c r="CP55" s="241"/>
      <c r="CQ55" s="168"/>
      <c r="CR55" s="241"/>
      <c r="CS55" s="241"/>
      <c r="CU55" s="168"/>
      <c r="CV55" s="168"/>
      <c r="CW55" s="241"/>
      <c r="CX55" s="241"/>
      <c r="CY55" s="168"/>
      <c r="CZ55" s="241"/>
      <c r="DA55" s="241"/>
      <c r="DB55" s="168"/>
      <c r="DC55" s="241"/>
      <c r="DD55" s="241"/>
      <c r="DG55" s="167"/>
      <c r="DI55" s="242"/>
      <c r="DK55" s="242"/>
      <c r="DN55"/>
      <c r="DO55"/>
      <c r="DP55"/>
      <c r="DQ55"/>
      <c r="DR55"/>
      <c r="DZ55" s="97"/>
      <c r="HU55" s="73"/>
      <c r="HV55" s="73"/>
      <c r="HW55" s="73"/>
      <c r="HX55" s="73"/>
      <c r="HY55" s="73"/>
      <c r="HZ55" s="73"/>
      <c r="IA55" s="73"/>
      <c r="IB55" s="73"/>
      <c r="IC55" s="73"/>
      <c r="ID55" s="73"/>
      <c r="IE55" s="73"/>
      <c r="IF55" s="73"/>
      <c r="IG55" s="73"/>
      <c r="IH55" s="73"/>
    </row>
    <row r="56" spans="1:242" ht="14.25" customHeight="1">
      <c r="A56" s="196"/>
      <c r="B56" s="97"/>
      <c r="C56" s="97"/>
      <c r="E56" s="97"/>
      <c r="F56" s="1247"/>
      <c r="G56" s="663"/>
      <c r="H56" s="1262" t="s">
        <v>458</v>
      </c>
      <c r="I56" s="1263">
        <f>I40</f>
        <v>8000</v>
      </c>
      <c r="J56" s="1722">
        <f>J42</f>
        <v>1.47</v>
      </c>
      <c r="K56" s="1265">
        <f>$J$56*I56</f>
        <v>11760</v>
      </c>
      <c r="L56" s="665"/>
      <c r="M56" s="1262" t="s">
        <v>458</v>
      </c>
      <c r="N56" s="1263">
        <f>N40</f>
        <v>8500</v>
      </c>
      <c r="O56" s="1264">
        <f>O42</f>
        <v>1.4</v>
      </c>
      <c r="P56" s="1265">
        <f>$O$56*N56</f>
        <v>11900</v>
      </c>
      <c r="Q56" s="665"/>
      <c r="R56" s="1262" t="s">
        <v>458</v>
      </c>
      <c r="S56" s="1263">
        <f>S40</f>
        <v>6000</v>
      </c>
      <c r="T56" s="1264">
        <f>T42</f>
        <v>1.1299999999999999</v>
      </c>
      <c r="U56" s="1265">
        <f>$T$56*S56</f>
        <v>6779.9999999999991</v>
      </c>
      <c r="V56" s="665"/>
      <c r="W56" s="1262" t="s">
        <v>458</v>
      </c>
      <c r="X56" s="1263">
        <f>X40</f>
        <v>6000</v>
      </c>
      <c r="Y56" s="1264">
        <f>Y42</f>
        <v>1.25</v>
      </c>
      <c r="Z56" s="1266">
        <f>$Y$56*X56</f>
        <v>7500</v>
      </c>
      <c r="AA56" s="665"/>
      <c r="AB56" s="1262" t="s">
        <v>458</v>
      </c>
      <c r="AC56" s="1263">
        <f>AC40</f>
        <v>6000</v>
      </c>
      <c r="AD56" s="1264">
        <v>1.31</v>
      </c>
      <c r="AE56" s="1265">
        <f>$AD$56*AC56</f>
        <v>7860</v>
      </c>
      <c r="AF56" s="665"/>
      <c r="AG56" s="1262" t="s">
        <v>458</v>
      </c>
      <c r="AH56" s="1263">
        <f>AH40</f>
        <v>5500</v>
      </c>
      <c r="AI56" s="1264">
        <f>AI42</f>
        <v>1.31</v>
      </c>
      <c r="AJ56" s="1266">
        <f>$AI$56*AH56</f>
        <v>7205</v>
      </c>
      <c r="AK56" s="665"/>
      <c r="AL56" s="1262" t="s">
        <v>458</v>
      </c>
      <c r="AM56" s="1263">
        <f>AM40</f>
        <v>5500</v>
      </c>
      <c r="AN56" s="1264">
        <f>AN42</f>
        <v>1.62</v>
      </c>
      <c r="AO56" s="1265">
        <f>$AN$56*AM56</f>
        <v>8910</v>
      </c>
      <c r="AP56" s="665"/>
      <c r="AQ56" s="1262" t="s">
        <v>458</v>
      </c>
      <c r="AR56" s="1263">
        <f>AR40</f>
        <v>5000</v>
      </c>
      <c r="AS56" s="1264">
        <f>AS42</f>
        <v>1.56</v>
      </c>
      <c r="AT56" s="1266">
        <f>$AS$56*AR56</f>
        <v>7800</v>
      </c>
      <c r="AU56" s="665"/>
      <c r="AV56" s="1262" t="s">
        <v>458</v>
      </c>
      <c r="AW56" s="1263">
        <f>AW40</f>
        <v>5500</v>
      </c>
      <c r="AX56" s="1264">
        <v>1.33</v>
      </c>
      <c r="AY56" s="1266">
        <f>$AX$56*AW56</f>
        <v>7315</v>
      </c>
      <c r="BF56" s="166"/>
      <c r="BG56" s="167"/>
      <c r="BH56" s="243"/>
      <c r="BI56" s="166"/>
      <c r="BJ56" s="167"/>
      <c r="BK56" s="243"/>
      <c r="BM56" s="168"/>
      <c r="BN56" s="166"/>
      <c r="BO56" s="167"/>
      <c r="BP56" s="243"/>
      <c r="BQ56" s="166"/>
      <c r="BR56" s="167"/>
      <c r="BS56" s="243"/>
      <c r="BT56" s="166"/>
      <c r="BU56" s="167"/>
      <c r="BV56" s="167"/>
      <c r="BW56" s="166"/>
      <c r="BX56" s="243"/>
      <c r="BY56" s="243"/>
      <c r="BZ56" s="166"/>
      <c r="CA56" s="243"/>
      <c r="CB56" s="243"/>
      <c r="CD56" s="168"/>
      <c r="CE56" s="244"/>
      <c r="CF56" s="167"/>
      <c r="CG56" s="243"/>
      <c r="CH56" s="166"/>
      <c r="CI56" s="167"/>
      <c r="CJ56" s="167"/>
      <c r="CK56" s="166"/>
      <c r="CL56" s="167"/>
      <c r="CM56" s="167"/>
      <c r="CN56" s="166"/>
      <c r="CO56" s="167"/>
      <c r="CP56" s="167"/>
      <c r="CQ56" s="166"/>
      <c r="CR56" s="167"/>
      <c r="CS56" s="167"/>
      <c r="CU56" s="168"/>
      <c r="CV56" s="166"/>
      <c r="CW56" s="167"/>
      <c r="CX56" s="243"/>
      <c r="CY56" s="166"/>
      <c r="CZ56" s="167"/>
      <c r="DA56" s="243"/>
      <c r="DB56" s="166"/>
      <c r="DC56" s="167"/>
      <c r="DD56" s="167"/>
      <c r="DG56" s="167"/>
      <c r="DN56"/>
      <c r="DO56"/>
      <c r="DP56"/>
      <c r="DQ56"/>
      <c r="DR56"/>
      <c r="DY56" s="240"/>
      <c r="DZ56" s="97"/>
      <c r="HU56" s="73"/>
      <c r="HV56" s="73"/>
      <c r="HW56" s="73"/>
      <c r="HX56" s="73"/>
      <c r="HY56" s="73"/>
      <c r="HZ56" s="73"/>
      <c r="IA56" s="73"/>
      <c r="IB56" s="73"/>
      <c r="IC56" s="73"/>
      <c r="ID56" s="73"/>
      <c r="IE56" s="73"/>
      <c r="IF56" s="73"/>
      <c r="IG56" s="73"/>
      <c r="IH56" s="73"/>
    </row>
    <row r="57" spans="1:242" ht="14.25" customHeight="1">
      <c r="A57"/>
      <c r="B57" s="97"/>
      <c r="C57" s="97"/>
      <c r="D57" s="196"/>
      <c r="E57" s="97"/>
      <c r="F57" s="1267"/>
      <c r="G57" s="1268"/>
      <c r="H57" s="1262"/>
      <c r="I57" s="1269"/>
      <c r="J57" s="1270"/>
      <c r="K57" s="1271"/>
      <c r="L57" s="665"/>
      <c r="M57" s="1262"/>
      <c r="N57" s="1269"/>
      <c r="O57" s="1270"/>
      <c r="P57" s="1271"/>
      <c r="Q57" s="665"/>
      <c r="R57" s="1262"/>
      <c r="S57" s="1269"/>
      <c r="T57" s="1270"/>
      <c r="U57" s="1271"/>
      <c r="V57" s="665"/>
      <c r="W57" s="1262"/>
      <c r="X57" s="1269"/>
      <c r="Y57" s="1270"/>
      <c r="Z57" s="1271"/>
      <c r="AA57" s="665"/>
      <c r="AB57" s="1262"/>
      <c r="AC57" s="1272"/>
      <c r="AD57" s="1270"/>
      <c r="AE57" s="1271"/>
      <c r="AF57" s="665"/>
      <c r="AG57" s="1262"/>
      <c r="AH57" s="1272"/>
      <c r="AI57" s="1270"/>
      <c r="AJ57" s="1271"/>
      <c r="AK57" s="665"/>
      <c r="AL57" s="1723" t="s">
        <v>1021</v>
      </c>
      <c r="AM57" s="1269">
        <v>1020</v>
      </c>
      <c r="AN57" s="1724">
        <f>AI56</f>
        <v>1.31</v>
      </c>
      <c r="AO57" s="1725">
        <f>$AN$57*AM57</f>
        <v>1336.2</v>
      </c>
      <c r="AP57" s="665"/>
      <c r="AQ57" s="1262"/>
      <c r="AR57" s="1272"/>
      <c r="AS57" s="1270"/>
      <c r="AT57" s="1271"/>
      <c r="AU57" s="665"/>
      <c r="AV57" s="1262"/>
      <c r="AW57" s="1272"/>
      <c r="AX57" s="1270"/>
      <c r="AY57" s="1271"/>
      <c r="BF57" s="166"/>
      <c r="BG57" s="167"/>
      <c r="BH57" s="243"/>
      <c r="BI57" s="166"/>
      <c r="BJ57" s="167"/>
      <c r="BK57" s="243"/>
      <c r="BM57" s="168"/>
      <c r="BN57" s="166"/>
      <c r="BO57" s="167"/>
      <c r="BP57" s="167"/>
      <c r="BQ57" s="166"/>
      <c r="BR57" s="167"/>
      <c r="BS57" s="167"/>
      <c r="BT57" s="166"/>
      <c r="BU57" s="167"/>
      <c r="BV57" s="167"/>
      <c r="BW57" s="166"/>
      <c r="BX57" s="167"/>
      <c r="BY57" s="167"/>
      <c r="BZ57" s="166"/>
      <c r="CA57" s="167"/>
      <c r="CB57" s="243"/>
      <c r="CD57" s="168"/>
      <c r="CE57" s="166"/>
      <c r="CF57" s="167"/>
      <c r="CG57" s="243"/>
      <c r="CH57" s="166"/>
      <c r="CI57" s="245"/>
      <c r="CJ57" s="243"/>
      <c r="CK57" s="166"/>
      <c r="CL57" s="167"/>
      <c r="CM57" s="243"/>
      <c r="CN57" s="166"/>
      <c r="CO57" s="167"/>
      <c r="CP57" s="243"/>
      <c r="CQ57" s="166"/>
      <c r="CR57" s="167"/>
      <c r="CS57" s="243"/>
      <c r="CU57" s="246"/>
      <c r="CV57" s="166"/>
      <c r="CW57" s="167"/>
      <c r="CX57" s="243"/>
      <c r="CY57" s="166"/>
      <c r="CZ57" s="167"/>
      <c r="DA57" s="243"/>
      <c r="DB57" s="166"/>
      <c r="DC57" s="167"/>
      <c r="DD57" s="167"/>
      <c r="DG57" s="242"/>
      <c r="DI57" s="242"/>
      <c r="DJ57" s="242"/>
      <c r="DK57" s="242"/>
      <c r="DL57" s="242"/>
      <c r="DN57"/>
      <c r="DO57"/>
      <c r="DP57"/>
      <c r="DQ57"/>
      <c r="DR57"/>
      <c r="DY57" s="196"/>
      <c r="DZ57" s="97"/>
      <c r="EA57" s="240"/>
      <c r="HU57" s="73"/>
      <c r="HV57" s="73"/>
      <c r="HW57" s="73"/>
      <c r="HX57" s="73"/>
      <c r="HY57" s="73"/>
      <c r="HZ57" s="73"/>
      <c r="IA57" s="73"/>
      <c r="IB57" s="73"/>
      <c r="IC57" s="73"/>
      <c r="ID57" s="73"/>
      <c r="IE57" s="73"/>
      <c r="IF57" s="73"/>
      <c r="IG57" s="73"/>
      <c r="IH57" s="73"/>
    </row>
    <row r="58" spans="1:242" ht="14.25" customHeight="1">
      <c r="A58"/>
      <c r="B58" s="97"/>
      <c r="C58" s="97"/>
      <c r="D58" s="196"/>
      <c r="E58" s="97"/>
      <c r="F58" s="1267"/>
      <c r="G58" s="1268"/>
      <c r="H58" s="1273" t="s">
        <v>459</v>
      </c>
      <c r="I58" s="1274"/>
      <c r="J58" s="1275"/>
      <c r="K58" s="1276">
        <f>SUM(K56:K57)</f>
        <v>11760</v>
      </c>
      <c r="L58" s="665"/>
      <c r="M58" s="1273" t="s">
        <v>459</v>
      </c>
      <c r="N58" s="1274"/>
      <c r="O58" s="1275"/>
      <c r="P58" s="1276">
        <f>SUM(P56:P57)</f>
        <v>11900</v>
      </c>
      <c r="Q58" s="665"/>
      <c r="R58" s="1273" t="s">
        <v>459</v>
      </c>
      <c r="S58" s="1274"/>
      <c r="T58" s="1275"/>
      <c r="U58" s="1276">
        <f>SUM(U56:U57)</f>
        <v>6779.9999999999991</v>
      </c>
      <c r="V58" s="665"/>
      <c r="W58" s="1273" t="s">
        <v>459</v>
      </c>
      <c r="X58" s="1274"/>
      <c r="Y58" s="1275"/>
      <c r="Z58" s="1276">
        <f>SUM(Z56:Z57)</f>
        <v>7500</v>
      </c>
      <c r="AA58" s="665"/>
      <c r="AB58" s="1273" t="s">
        <v>459</v>
      </c>
      <c r="AC58" s="1274"/>
      <c r="AD58" s="1275"/>
      <c r="AE58" s="1276">
        <f>SUM(AE56:AE57)</f>
        <v>7860</v>
      </c>
      <c r="AF58" s="665"/>
      <c r="AG58" s="1273" t="s">
        <v>459</v>
      </c>
      <c r="AH58" s="1274"/>
      <c r="AI58" s="1275"/>
      <c r="AJ58" s="1276">
        <f>SUM(AJ56:AJ57)</f>
        <v>7205</v>
      </c>
      <c r="AK58" s="665"/>
      <c r="AL58" s="1273" t="s">
        <v>459</v>
      </c>
      <c r="AM58" s="1274"/>
      <c r="AN58" s="1275"/>
      <c r="AO58" s="1293">
        <f>SUM(AO56:AO57)</f>
        <v>10246.200000000001</v>
      </c>
      <c r="AP58" s="665"/>
      <c r="AQ58" s="1273" t="s">
        <v>459</v>
      </c>
      <c r="AR58" s="1274"/>
      <c r="AS58" s="1275"/>
      <c r="AT58" s="1276">
        <f>SUM(AT56:AT57)</f>
        <v>7800</v>
      </c>
      <c r="AU58" s="665"/>
      <c r="AV58" s="1273" t="s">
        <v>459</v>
      </c>
      <c r="AW58" s="1274"/>
      <c r="AX58" s="1275"/>
      <c r="AY58" s="1276">
        <f>SUM(AY56:AY57)</f>
        <v>7315</v>
      </c>
      <c r="BF58" s="166"/>
      <c r="BG58" s="167"/>
      <c r="BH58" s="247"/>
      <c r="BI58" s="166"/>
      <c r="BJ58" s="167"/>
      <c r="BK58" s="247"/>
      <c r="BM58" s="168"/>
      <c r="BN58" s="166"/>
      <c r="BO58" s="167"/>
      <c r="BP58" s="247"/>
      <c r="BQ58" s="166"/>
      <c r="BR58" s="167"/>
      <c r="BS58" s="247"/>
      <c r="BT58" s="166"/>
      <c r="BU58" s="167"/>
      <c r="BV58" s="241"/>
      <c r="BW58" s="166"/>
      <c r="BX58" s="167"/>
      <c r="BY58" s="247"/>
      <c r="BZ58" s="166"/>
      <c r="CA58" s="167"/>
      <c r="CB58" s="247"/>
      <c r="CD58" s="168"/>
      <c r="CE58" s="166"/>
      <c r="CF58" s="167"/>
      <c r="CG58" s="247"/>
      <c r="CH58" s="166"/>
      <c r="CI58" s="167"/>
      <c r="CJ58" s="247"/>
      <c r="CK58" s="166"/>
      <c r="CL58" s="167"/>
      <c r="CM58" s="247"/>
      <c r="CN58" s="166"/>
      <c r="CO58" s="167"/>
      <c r="CP58" s="247"/>
      <c r="CQ58" s="166"/>
      <c r="CR58" s="167"/>
      <c r="CS58" s="247"/>
      <c r="CU58" s="168"/>
      <c r="CV58" s="166"/>
      <c r="CW58" s="167"/>
      <c r="CX58" s="247"/>
      <c r="CY58" s="166"/>
      <c r="CZ58" s="167"/>
      <c r="DA58" s="247"/>
      <c r="DB58" s="166"/>
      <c r="DC58" s="167"/>
      <c r="DD58" s="241"/>
      <c r="DG58" s="242"/>
      <c r="DI58" s="242"/>
      <c r="DJ58" s="242"/>
      <c r="DK58" s="242"/>
      <c r="DM58" s="242"/>
      <c r="DN58"/>
      <c r="DO58"/>
      <c r="DP58"/>
      <c r="DQ58"/>
      <c r="DR58"/>
      <c r="DY58" s="196"/>
      <c r="DZ58" s="97"/>
      <c r="EA58" s="196"/>
      <c r="HU58" s="73"/>
      <c r="HV58" s="73"/>
      <c r="HW58" s="73"/>
      <c r="HX58" s="73"/>
      <c r="HY58" s="73"/>
      <c r="HZ58" s="73"/>
      <c r="IA58" s="73"/>
      <c r="IB58" s="73"/>
      <c r="IC58" s="73"/>
      <c r="ID58" s="73"/>
      <c r="IE58" s="73"/>
      <c r="IF58" s="73"/>
      <c r="IG58" s="73"/>
      <c r="IH58" s="73"/>
    </row>
    <row r="59" spans="1:242" ht="14.25" customHeight="1">
      <c r="A59"/>
      <c r="B59" s="97"/>
      <c r="C59" s="97"/>
      <c r="D59" s="196"/>
      <c r="E59" s="97"/>
      <c r="F59" s="1267"/>
      <c r="G59" s="1268"/>
      <c r="H59" s="1277"/>
      <c r="I59" s="1278"/>
      <c r="J59" s="1279"/>
      <c r="K59" s="1280"/>
      <c r="L59" s="665"/>
      <c r="M59" s="1277"/>
      <c r="N59" s="1278"/>
      <c r="O59" s="1279"/>
      <c r="P59" s="1280"/>
      <c r="Q59" s="665"/>
      <c r="R59" s="1277"/>
      <c r="S59" s="1278"/>
      <c r="T59" s="1279"/>
      <c r="U59" s="1280"/>
      <c r="V59" s="665"/>
      <c r="W59" s="1277"/>
      <c r="X59" s="1278"/>
      <c r="Y59" s="1279"/>
      <c r="Z59" s="1280"/>
      <c r="AA59" s="665"/>
      <c r="AB59" s="1277"/>
      <c r="AC59" s="1278"/>
      <c r="AD59" s="1279"/>
      <c r="AE59" s="1280"/>
      <c r="AF59" s="665"/>
      <c r="AG59" s="1277"/>
      <c r="AH59" s="1278"/>
      <c r="AI59" s="1279"/>
      <c r="AJ59" s="1280"/>
      <c r="AK59" s="665"/>
      <c r="AL59" s="1277"/>
      <c r="AM59" s="1278"/>
      <c r="AN59" s="1279"/>
      <c r="AO59" s="1280"/>
      <c r="AP59" s="665"/>
      <c r="AQ59" s="1277"/>
      <c r="AR59" s="1278"/>
      <c r="AS59" s="1279"/>
      <c r="AT59" s="1280"/>
      <c r="AU59" s="665"/>
      <c r="AV59" s="1277"/>
      <c r="AW59" s="1278"/>
      <c r="AX59" s="1279"/>
      <c r="AY59" s="1280"/>
      <c r="BF59" s="166"/>
      <c r="BG59" s="167"/>
      <c r="BH59" s="247"/>
      <c r="BI59" s="166"/>
      <c r="BJ59" s="167"/>
      <c r="BK59" s="247"/>
      <c r="BM59" s="168"/>
      <c r="BN59" s="166"/>
      <c r="BO59" s="167"/>
      <c r="BP59" s="247"/>
      <c r="BQ59" s="166"/>
      <c r="BR59" s="167"/>
      <c r="BS59" s="247"/>
      <c r="BT59" s="166"/>
      <c r="BU59" s="167"/>
      <c r="BV59" s="241"/>
      <c r="BW59" s="166"/>
      <c r="BX59" s="167"/>
      <c r="BY59" s="247"/>
      <c r="BZ59" s="166"/>
      <c r="CA59" s="167"/>
      <c r="CB59" s="247"/>
      <c r="CD59" s="168"/>
      <c r="CE59" s="166"/>
      <c r="CF59" s="167"/>
      <c r="CG59" s="247"/>
      <c r="CH59" s="166"/>
      <c r="CI59" s="167"/>
      <c r="CJ59" s="247"/>
      <c r="CK59" s="166"/>
      <c r="CL59" s="167"/>
      <c r="CM59" s="247"/>
      <c r="CN59" s="166"/>
      <c r="CO59" s="167"/>
      <c r="CP59" s="247"/>
      <c r="CQ59" s="166"/>
      <c r="CR59" s="167"/>
      <c r="CS59" s="247"/>
      <c r="CU59" s="168"/>
      <c r="CV59" s="166"/>
      <c r="CW59" s="167"/>
      <c r="CX59" s="247"/>
      <c r="CY59" s="166"/>
      <c r="CZ59" s="167"/>
      <c r="DA59" s="247"/>
      <c r="DB59" s="166"/>
      <c r="DC59" s="167"/>
      <c r="DD59" s="241"/>
      <c r="DG59" s="242"/>
      <c r="DI59" s="242"/>
      <c r="DJ59" s="242"/>
      <c r="DK59" s="242"/>
      <c r="DM59" s="242"/>
      <c r="DN59"/>
      <c r="DO59"/>
      <c r="DP59"/>
      <c r="DQ59"/>
      <c r="DR59"/>
      <c r="DY59" s="196"/>
      <c r="DZ59" s="97"/>
      <c r="EA59" s="196"/>
      <c r="HU59" s="73"/>
      <c r="HV59" s="73"/>
      <c r="HW59" s="73"/>
      <c r="HX59" s="73"/>
      <c r="HY59" s="73"/>
      <c r="HZ59" s="73"/>
      <c r="IA59" s="73"/>
      <c r="IB59" s="73"/>
      <c r="IC59" s="73"/>
      <c r="ID59" s="73"/>
      <c r="IE59" s="73"/>
      <c r="IF59" s="73"/>
      <c r="IG59" s="73"/>
      <c r="IH59" s="73"/>
    </row>
    <row r="60" spans="1:242" ht="14.25" customHeight="1">
      <c r="A60"/>
      <c r="B60" s="97"/>
      <c r="C60" s="97"/>
      <c r="D60" s="196"/>
      <c r="E60" s="97"/>
      <c r="F60" s="1267"/>
      <c r="G60" s="1268"/>
      <c r="H60" s="1273" t="s">
        <v>483</v>
      </c>
      <c r="I60" s="1274"/>
      <c r="J60" s="1275"/>
      <c r="K60" s="1280"/>
      <c r="L60" s="665"/>
      <c r="M60" s="1273" t="s">
        <v>483</v>
      </c>
      <c r="N60" s="1278"/>
      <c r="O60" s="1279"/>
      <c r="P60" s="1280"/>
      <c r="Q60" s="665"/>
      <c r="R60" s="1273" t="s">
        <v>483</v>
      </c>
      <c r="S60" s="1278"/>
      <c r="T60" s="1279"/>
      <c r="U60" s="1280"/>
      <c r="V60" s="665"/>
      <c r="W60" s="1273" t="s">
        <v>483</v>
      </c>
      <c r="X60" s="1278"/>
      <c r="Y60" s="1279"/>
      <c r="Z60" s="1280"/>
      <c r="AA60" s="665"/>
      <c r="AB60" s="1273" t="s">
        <v>483</v>
      </c>
      <c r="AC60" s="1278"/>
      <c r="AD60" s="1279"/>
      <c r="AE60" s="1280"/>
      <c r="AF60" s="665"/>
      <c r="AG60" s="1273" t="s">
        <v>483</v>
      </c>
      <c r="AH60" s="1278"/>
      <c r="AI60" s="1279"/>
      <c r="AJ60" s="1280"/>
      <c r="AK60" s="665"/>
      <c r="AL60" s="1273" t="s">
        <v>483</v>
      </c>
      <c r="AM60" s="1278"/>
      <c r="AN60" s="1279"/>
      <c r="AO60" s="1280"/>
      <c r="AP60" s="665"/>
      <c r="AQ60" s="1273" t="s">
        <v>483</v>
      </c>
      <c r="AR60" s="1278"/>
      <c r="AS60" s="1279"/>
      <c r="AT60" s="1280"/>
      <c r="AU60" s="665"/>
      <c r="AV60" s="1273" t="s">
        <v>483</v>
      </c>
      <c r="AW60" s="1278"/>
      <c r="AX60" s="1279"/>
      <c r="AY60" s="1280"/>
      <c r="BF60" s="166"/>
      <c r="BG60" s="167"/>
      <c r="BH60" s="247"/>
      <c r="BI60" s="166"/>
      <c r="BJ60" s="167"/>
      <c r="BK60" s="247"/>
      <c r="BM60" s="168"/>
      <c r="BN60" s="166"/>
      <c r="BO60" s="167"/>
      <c r="BP60" s="247"/>
      <c r="BQ60" s="166"/>
      <c r="BR60" s="167"/>
      <c r="BS60" s="247"/>
      <c r="BT60" s="166"/>
      <c r="BU60" s="167"/>
      <c r="BV60" s="241"/>
      <c r="BW60" s="166"/>
      <c r="BX60" s="167"/>
      <c r="BY60" s="247"/>
      <c r="BZ60" s="166"/>
      <c r="CA60" s="167"/>
      <c r="CB60" s="247"/>
      <c r="CD60" s="168"/>
      <c r="CE60" s="166"/>
      <c r="CF60" s="167"/>
      <c r="CG60" s="247"/>
      <c r="CH60" s="166"/>
      <c r="CI60" s="167"/>
      <c r="CJ60" s="247"/>
      <c r="CK60" s="166"/>
      <c r="CL60" s="167"/>
      <c r="CM60" s="247"/>
      <c r="CN60" s="166"/>
      <c r="CO60" s="167"/>
      <c r="CP60" s="247"/>
      <c r="CQ60" s="166"/>
      <c r="CR60" s="167"/>
      <c r="CS60" s="247"/>
      <c r="CU60" s="168"/>
      <c r="CV60" s="166"/>
      <c r="CW60" s="167"/>
      <c r="CX60" s="247"/>
      <c r="CY60" s="166"/>
      <c r="CZ60" s="167"/>
      <c r="DA60" s="247"/>
      <c r="DB60" s="166"/>
      <c r="DC60" s="167"/>
      <c r="DD60" s="241"/>
      <c r="DG60" s="242"/>
      <c r="DI60" s="242"/>
      <c r="DJ60" s="242"/>
      <c r="DK60" s="242"/>
      <c r="DM60" s="242"/>
      <c r="DN60"/>
      <c r="DO60"/>
      <c r="DP60"/>
      <c r="DQ60"/>
      <c r="DR60"/>
      <c r="DY60" s="196"/>
      <c r="DZ60" s="97"/>
      <c r="EA60" s="196"/>
      <c r="HU60" s="73"/>
      <c r="HV60" s="73"/>
      <c r="HW60" s="73"/>
      <c r="HX60" s="73"/>
      <c r="HY60" s="73"/>
      <c r="HZ60" s="73"/>
      <c r="IA60" s="73"/>
      <c r="IB60" s="73"/>
      <c r="IC60" s="73"/>
      <c r="ID60" s="73"/>
      <c r="IE60" s="73"/>
      <c r="IF60" s="73"/>
      <c r="IG60" s="73"/>
      <c r="IH60" s="73"/>
    </row>
    <row r="61" spans="1:242">
      <c r="A61"/>
      <c r="B61" s="97"/>
      <c r="C61" s="97"/>
      <c r="D61" s="196"/>
      <c r="F61" s="1267"/>
      <c r="G61" s="1268"/>
      <c r="H61" s="1277"/>
      <c r="I61" s="1259" t="s">
        <v>460</v>
      </c>
      <c r="J61" s="1260" t="s">
        <v>461</v>
      </c>
      <c r="K61" s="1276"/>
      <c r="L61" s="665"/>
      <c r="M61" s="1277"/>
      <c r="N61" s="1259" t="s">
        <v>460</v>
      </c>
      <c r="O61" s="1260" t="s">
        <v>461</v>
      </c>
      <c r="P61" s="1280"/>
      <c r="Q61" s="665"/>
      <c r="R61" s="1277"/>
      <c r="S61" s="1259" t="s">
        <v>460</v>
      </c>
      <c r="T61" s="1260" t="s">
        <v>461</v>
      </c>
      <c r="U61" s="1280"/>
      <c r="V61" s="665"/>
      <c r="W61" s="1277"/>
      <c r="X61" s="1259" t="s">
        <v>460</v>
      </c>
      <c r="Y61" s="1260" t="s">
        <v>461</v>
      </c>
      <c r="Z61" s="1280"/>
      <c r="AA61" s="665"/>
      <c r="AB61" s="1277"/>
      <c r="AC61" s="1259" t="s">
        <v>460</v>
      </c>
      <c r="AD61" s="1260" t="s">
        <v>461</v>
      </c>
      <c r="AE61" s="1280"/>
      <c r="AF61" s="665"/>
      <c r="AG61" s="1277"/>
      <c r="AH61" s="1259" t="s">
        <v>460</v>
      </c>
      <c r="AI61" s="1260" t="s">
        <v>461</v>
      </c>
      <c r="AJ61" s="1280"/>
      <c r="AK61" s="665"/>
      <c r="AL61" s="1277"/>
      <c r="AM61" s="1259" t="s">
        <v>460</v>
      </c>
      <c r="AN61" s="1260" t="s">
        <v>461</v>
      </c>
      <c r="AO61" s="1280"/>
      <c r="AP61" s="665"/>
      <c r="AQ61" s="1277"/>
      <c r="AR61" s="1259" t="s">
        <v>460</v>
      </c>
      <c r="AS61" s="1260" t="s">
        <v>461</v>
      </c>
      <c r="AT61" s="1280"/>
      <c r="AU61" s="665"/>
      <c r="AV61" s="1277"/>
      <c r="AW61" s="1259" t="s">
        <v>460</v>
      </c>
      <c r="AX61" s="1260" t="s">
        <v>461</v>
      </c>
      <c r="AY61" s="1280"/>
      <c r="BF61" s="166"/>
      <c r="BG61" s="167"/>
      <c r="BH61" s="247"/>
      <c r="BI61" s="166"/>
      <c r="BJ61" s="167"/>
      <c r="BK61" s="247"/>
      <c r="BM61" s="168"/>
      <c r="BN61" s="166"/>
      <c r="BO61" s="167"/>
      <c r="BP61" s="247"/>
      <c r="BQ61" s="166"/>
      <c r="BR61" s="167"/>
      <c r="BS61" s="247"/>
      <c r="BT61" s="166"/>
      <c r="BU61" s="167"/>
      <c r="BV61" s="241"/>
      <c r="BW61" s="166"/>
      <c r="BX61" s="167"/>
      <c r="BY61" s="247"/>
      <c r="BZ61" s="166"/>
      <c r="CA61" s="167"/>
      <c r="CB61" s="247"/>
      <c r="CD61" s="168"/>
      <c r="CE61" s="166"/>
      <c r="CF61" s="167"/>
      <c r="CG61" s="247"/>
      <c r="CH61" s="166"/>
      <c r="CI61" s="167"/>
      <c r="CJ61" s="247"/>
      <c r="CK61" s="166"/>
      <c r="CL61" s="167"/>
      <c r="CM61" s="247"/>
      <c r="CN61" s="166"/>
      <c r="CO61" s="167"/>
      <c r="CP61" s="247"/>
      <c r="CQ61" s="166"/>
      <c r="CR61" s="167"/>
      <c r="CS61" s="247"/>
      <c r="CU61" s="168"/>
      <c r="CV61" s="166"/>
      <c r="CW61" s="167"/>
      <c r="CX61" s="247"/>
      <c r="CY61" s="166"/>
      <c r="CZ61" s="167"/>
      <c r="DA61" s="247"/>
      <c r="DB61" s="166"/>
      <c r="DC61" s="167"/>
      <c r="DD61" s="241"/>
      <c r="DG61" s="242"/>
      <c r="DI61" s="242"/>
      <c r="DJ61" s="242"/>
      <c r="DK61" s="242"/>
      <c r="DM61" s="242"/>
      <c r="DN61"/>
      <c r="DO61"/>
      <c r="DP61"/>
      <c r="DQ61"/>
      <c r="DR61"/>
      <c r="DY61" s="196"/>
      <c r="DZ61" s="97"/>
      <c r="EA61" s="196"/>
      <c r="HU61" s="73"/>
      <c r="HV61" s="73"/>
      <c r="HW61" s="73"/>
      <c r="HX61" s="73"/>
      <c r="HY61" s="73"/>
      <c r="HZ61" s="73"/>
      <c r="IA61" s="73"/>
      <c r="IB61" s="73"/>
      <c r="IC61" s="73"/>
      <c r="ID61" s="73"/>
      <c r="IE61" s="73"/>
      <c r="IF61" s="73"/>
      <c r="IG61" s="73"/>
      <c r="IH61" s="73"/>
    </row>
    <row r="62" spans="1:242" ht="6" customHeight="1">
      <c r="A62" s="196"/>
      <c r="B62" s="97"/>
      <c r="C62" s="97"/>
      <c r="D62" s="196"/>
      <c r="F62" s="1267"/>
      <c r="G62" s="1268"/>
      <c r="H62" s="2942"/>
      <c r="I62" s="2945"/>
      <c r="J62" s="1288"/>
      <c r="K62" s="2946"/>
      <c r="L62" s="665"/>
      <c r="M62" s="1277"/>
      <c r="N62" s="1278"/>
      <c r="O62" s="1264"/>
      <c r="P62" s="1266"/>
      <c r="Q62" s="665"/>
      <c r="R62" s="1277"/>
      <c r="S62" s="1278"/>
      <c r="T62" s="1264"/>
      <c r="U62" s="1266"/>
      <c r="V62" s="665"/>
      <c r="W62" s="1277"/>
      <c r="X62" s="1278"/>
      <c r="Y62" s="1264"/>
      <c r="Z62" s="1266"/>
      <c r="AA62" s="665"/>
      <c r="AB62" s="1277"/>
      <c r="AC62" s="1278"/>
      <c r="AD62" s="1264"/>
      <c r="AE62" s="1266"/>
      <c r="AF62" s="665"/>
      <c r="AG62" s="1277"/>
      <c r="AH62" s="1278"/>
      <c r="AI62" s="1264"/>
      <c r="AJ62" s="1266"/>
      <c r="AK62" s="665"/>
      <c r="AL62" s="1277"/>
      <c r="AM62" s="1278"/>
      <c r="AN62" s="1264"/>
      <c r="AO62" s="1266"/>
      <c r="AP62" s="665"/>
      <c r="AQ62" s="1277"/>
      <c r="AR62" s="1278"/>
      <c r="AS62" s="1264"/>
      <c r="AT62" s="1266"/>
      <c r="AU62" s="665"/>
      <c r="AV62" s="1277"/>
      <c r="AW62" s="1278"/>
      <c r="AX62" s="1264"/>
      <c r="AY62" s="1266"/>
      <c r="BF62" s="166"/>
      <c r="BG62" s="167"/>
      <c r="BH62" s="167"/>
      <c r="BI62" s="166"/>
      <c r="BJ62" s="167"/>
      <c r="BK62" s="167"/>
      <c r="BM62" s="168"/>
      <c r="BN62" s="166"/>
      <c r="BO62" s="167"/>
      <c r="BP62" s="167"/>
      <c r="BQ62" s="166"/>
      <c r="BR62" s="167"/>
      <c r="BS62" s="167"/>
      <c r="BT62" s="166"/>
      <c r="BU62" s="167"/>
      <c r="BV62" s="167"/>
      <c r="BW62" s="166"/>
      <c r="BX62" s="167"/>
      <c r="BY62" s="167"/>
      <c r="BZ62" s="166"/>
      <c r="CA62" s="167"/>
      <c r="CB62" s="167"/>
      <c r="CD62" s="168"/>
      <c r="CE62" s="166"/>
      <c r="CF62" s="167"/>
      <c r="CG62" s="167"/>
      <c r="CH62" s="166"/>
      <c r="CI62" s="167"/>
      <c r="CJ62" s="167"/>
      <c r="CK62" s="166"/>
      <c r="CL62" s="167"/>
      <c r="CM62" s="167"/>
      <c r="CN62" s="166"/>
      <c r="CO62" s="167"/>
      <c r="CP62" s="167"/>
      <c r="CQ62" s="166"/>
      <c r="CR62" s="167"/>
      <c r="CS62" s="167"/>
      <c r="CU62" s="168"/>
      <c r="CV62" s="166"/>
      <c r="CW62" s="167"/>
      <c r="CX62" s="167"/>
      <c r="CY62" s="166"/>
      <c r="CZ62" s="167"/>
      <c r="DA62" s="167"/>
      <c r="DB62" s="166"/>
      <c r="DC62" s="167"/>
      <c r="DD62" s="167"/>
      <c r="DG62" s="242"/>
      <c r="DI62" s="242"/>
      <c r="DJ62" s="242"/>
      <c r="DK62" s="242"/>
      <c r="DN62"/>
      <c r="DO62"/>
      <c r="DP62"/>
      <c r="DQ62"/>
      <c r="DR62"/>
      <c r="DY62" s="196"/>
      <c r="DZ62" s="97"/>
      <c r="EA62" s="196"/>
      <c r="HU62" s="73"/>
      <c r="HV62" s="73"/>
      <c r="HW62" s="73"/>
      <c r="HX62" s="73"/>
      <c r="HY62" s="73"/>
      <c r="HZ62" s="73"/>
      <c r="IA62" s="73"/>
      <c r="IB62" s="73"/>
      <c r="IC62" s="73"/>
      <c r="ID62" s="73"/>
      <c r="IE62" s="73"/>
      <c r="IF62" s="73"/>
      <c r="IG62" s="73"/>
      <c r="IH62" s="73"/>
    </row>
    <row r="63" spans="1:242">
      <c r="A63" s="196"/>
      <c r="B63" s="97"/>
      <c r="C63" s="97"/>
      <c r="D63" s="196"/>
      <c r="F63" s="1267"/>
      <c r="G63" s="1268"/>
      <c r="H63" s="2940" t="s">
        <v>462</v>
      </c>
      <c r="I63" s="2944">
        <v>210</v>
      </c>
      <c r="J63" s="2941">
        <v>4</v>
      </c>
      <c r="K63" s="1283">
        <f>I63*J63</f>
        <v>840</v>
      </c>
      <c r="L63" s="665"/>
      <c r="M63" s="1262" t="s">
        <v>462</v>
      </c>
      <c r="N63" s="1281">
        <v>210</v>
      </c>
      <c r="O63" s="1282">
        <v>3</v>
      </c>
      <c r="P63" s="1283">
        <f>N63*O63</f>
        <v>630</v>
      </c>
      <c r="Q63" s="665"/>
      <c r="R63" s="1262" t="s">
        <v>462</v>
      </c>
      <c r="S63" s="2973">
        <v>2.5</v>
      </c>
      <c r="T63" s="1282">
        <v>605</v>
      </c>
      <c r="U63" s="1283">
        <f>S63*T63</f>
        <v>1512.5</v>
      </c>
      <c r="V63" s="665"/>
      <c r="W63" s="1262" t="s">
        <v>462</v>
      </c>
      <c r="X63" s="1281">
        <v>160</v>
      </c>
      <c r="Y63" s="1282">
        <f>C11</f>
        <v>4.6500000000000004</v>
      </c>
      <c r="Z63" s="1283">
        <f>X63*Y63</f>
        <v>744</v>
      </c>
      <c r="AA63" s="665"/>
      <c r="AB63" s="1262" t="s">
        <v>462</v>
      </c>
      <c r="AC63" s="1281">
        <v>160</v>
      </c>
      <c r="AD63" s="1282">
        <f>C10</f>
        <v>4.8</v>
      </c>
      <c r="AE63" s="1283">
        <f>AC63*AD63</f>
        <v>768</v>
      </c>
      <c r="AF63" s="665"/>
      <c r="AG63" s="1262" t="s">
        <v>462</v>
      </c>
      <c r="AH63" s="1281">
        <v>170</v>
      </c>
      <c r="AI63" s="1282">
        <f>C12</f>
        <v>4.75</v>
      </c>
      <c r="AJ63" s="1283">
        <f>AH63*AI63</f>
        <v>807.5</v>
      </c>
      <c r="AK63" s="665"/>
      <c r="AL63" s="1262" t="s">
        <v>462</v>
      </c>
      <c r="AM63" s="1281">
        <v>170</v>
      </c>
      <c r="AN63" s="1282">
        <f>C13</f>
        <v>4.72</v>
      </c>
      <c r="AO63" s="1283">
        <f>AM63*AN63</f>
        <v>802.4</v>
      </c>
      <c r="AP63" s="665"/>
      <c r="AQ63" s="1262" t="s">
        <v>462</v>
      </c>
      <c r="AR63" s="1281">
        <v>210</v>
      </c>
      <c r="AS63" s="1282">
        <f>C14</f>
        <v>4.99</v>
      </c>
      <c r="AT63" s="1283">
        <f>AR63*AS63</f>
        <v>1047.9000000000001</v>
      </c>
      <c r="AU63" s="665"/>
      <c r="AV63" s="1262" t="s">
        <v>462</v>
      </c>
      <c r="AW63" s="1281">
        <v>170</v>
      </c>
      <c r="AX63" s="1282">
        <f>C15</f>
        <v>5.35</v>
      </c>
      <c r="AY63" s="1283">
        <f>AW63*AX63</f>
        <v>909.49999999999989</v>
      </c>
      <c r="BF63" s="166"/>
      <c r="BG63" s="167"/>
      <c r="BH63" s="243"/>
      <c r="BI63" s="166"/>
      <c r="BJ63" s="167"/>
      <c r="BK63" s="243"/>
      <c r="BM63" s="168"/>
      <c r="BN63" s="166"/>
      <c r="BO63" s="167"/>
      <c r="BP63" s="243"/>
      <c r="BQ63" s="166"/>
      <c r="BR63" s="167"/>
      <c r="BS63" s="243"/>
      <c r="BT63" s="166"/>
      <c r="BU63" s="167"/>
      <c r="BV63" s="243"/>
      <c r="BW63" s="166"/>
      <c r="BX63" s="167"/>
      <c r="BY63" s="243"/>
      <c r="BZ63" s="166"/>
      <c r="CA63" s="167"/>
      <c r="CB63" s="243"/>
      <c r="CD63" s="168"/>
      <c r="CE63" s="166"/>
      <c r="CF63" s="248"/>
      <c r="CG63" s="243"/>
      <c r="CH63" s="166"/>
      <c r="CI63" s="248"/>
      <c r="CJ63" s="243"/>
      <c r="CK63" s="166"/>
      <c r="CL63" s="167"/>
      <c r="CM63" s="243"/>
      <c r="CN63" s="166"/>
      <c r="CO63" s="167"/>
      <c r="CP63" s="243"/>
      <c r="CQ63" s="166"/>
      <c r="CR63" s="167"/>
      <c r="CS63" s="243"/>
      <c r="CU63" s="168"/>
      <c r="CV63" s="166"/>
      <c r="CW63" s="167"/>
      <c r="CX63" s="243"/>
      <c r="CY63" s="166"/>
      <c r="CZ63" s="167"/>
      <c r="DA63" s="243"/>
      <c r="DB63" s="166"/>
      <c r="DC63" s="167"/>
      <c r="DD63" s="243"/>
      <c r="DG63" s="242"/>
      <c r="DI63" s="242"/>
      <c r="DJ63" s="242"/>
      <c r="DK63" s="242"/>
      <c r="DN63"/>
      <c r="DO63"/>
      <c r="DP63"/>
      <c r="DQ63"/>
      <c r="DR63"/>
      <c r="DY63" s="196"/>
      <c r="DZ63" s="97"/>
      <c r="EA63" s="196"/>
      <c r="HU63" s="73"/>
      <c r="HV63" s="73"/>
      <c r="HW63" s="73"/>
      <c r="HX63" s="73"/>
      <c r="HY63" s="73"/>
      <c r="HZ63" s="73"/>
      <c r="IA63" s="73"/>
      <c r="IB63" s="73"/>
      <c r="IC63" s="73"/>
      <c r="ID63" s="73"/>
      <c r="IE63" s="73"/>
      <c r="IF63" s="73"/>
      <c r="IG63" s="73"/>
      <c r="IH63" s="73"/>
    </row>
    <row r="64" spans="1:242">
      <c r="A64" s="196"/>
      <c r="B64" s="97"/>
      <c r="C64" s="97"/>
      <c r="D64" s="196"/>
      <c r="F64" s="1313"/>
      <c r="G64" s="1969"/>
      <c r="H64" s="2940" t="s">
        <v>463</v>
      </c>
      <c r="I64" s="2943">
        <f>IF(OR(Grunddata!$E22="Götalands södra slättbygder",Grunddata!$E22="Götalands mellanbygder"),'NPK-rekommendationer'!M6,'NPK-rekommendationer'!M18)</f>
        <v>185</v>
      </c>
      <c r="J64" s="2941">
        <f>$G$5</f>
        <v>9.14</v>
      </c>
      <c r="K64" s="1283">
        <f>I64*J64</f>
        <v>1690.9</v>
      </c>
      <c r="L64" s="1281"/>
      <c r="M64" s="1262" t="s">
        <v>463</v>
      </c>
      <c r="N64" s="2943">
        <f>IF(OR(Grunddata!$E22="Götalands södra slättbygder",Grunddata!$E22="Götalands mellanbygder"),'NPK-rekommendationer'!M7,'NPK-rekommendationer'!M19)</f>
        <v>185</v>
      </c>
      <c r="O64" s="1282">
        <f>$G$5</f>
        <v>9.14</v>
      </c>
      <c r="P64" s="1283">
        <f>N64*O64</f>
        <v>1690.9</v>
      </c>
      <c r="Q64" s="1281"/>
      <c r="R64" s="1262" t="s">
        <v>463</v>
      </c>
      <c r="S64" s="2943">
        <f>IF(OR(Grunddata!$E22="Götalands södra slättbygder",Grunddata!$E22="Götalands mellanbygder"),'NPK-rekommendationer'!$M8,'NPK-rekommendationer'!$M20)</f>
        <v>115</v>
      </c>
      <c r="T64" s="1282">
        <f>$G$5</f>
        <v>9.14</v>
      </c>
      <c r="U64" s="1283">
        <f>S64*T64</f>
        <v>1051.1000000000001</v>
      </c>
      <c r="V64" s="1281"/>
      <c r="W64" s="1262" t="s">
        <v>463</v>
      </c>
      <c r="X64" s="2943">
        <f>IF(OR(Grunddata!$E22="Götalands södra slättbygder",Grunddata!$E22="Götalands mellanbygder"),'NPK-rekommendationer'!$M9,'NPK-rekommendationer'!$M21)</f>
        <v>130</v>
      </c>
      <c r="Y64" s="1282">
        <f>$G$5</f>
        <v>9.14</v>
      </c>
      <c r="Z64" s="1283">
        <f>X64*Y64</f>
        <v>1188.2</v>
      </c>
      <c r="AA64" s="1281"/>
      <c r="AB64" s="1262" t="s">
        <v>463</v>
      </c>
      <c r="AC64" s="2943">
        <f>IF(OR(Grunddata!$E22="Götalands södra slättbygder",Grunddata!$E22="Götalands mellanbygder"),'NPK-rekommendationer'!$M10,'NPK-rekommendationer'!$M22)</f>
        <v>130</v>
      </c>
      <c r="AD64" s="1282">
        <f>$G$5</f>
        <v>9.14</v>
      </c>
      <c r="AE64" s="1283">
        <f>AC64*AD64</f>
        <v>1188.2</v>
      </c>
      <c r="AF64" s="1281"/>
      <c r="AG64" s="1262" t="s">
        <v>463</v>
      </c>
      <c r="AH64" s="2943">
        <f>IF(OR(Grunddata!$E22="Götalands södra slättbygder",Grunddata!$E22="Götalands mellanbygder"),'NPK-rekommendationer'!$M11,'NPK-rekommendationer'!$M23)</f>
        <v>90</v>
      </c>
      <c r="AI64" s="1282">
        <f>$G$5</f>
        <v>9.14</v>
      </c>
      <c r="AJ64" s="1283">
        <f>AH64*AI64</f>
        <v>822.6</v>
      </c>
      <c r="AK64" s="1281"/>
      <c r="AL64" s="1262" t="s">
        <v>463</v>
      </c>
      <c r="AM64" s="2943">
        <f>IF(OR(Grunddata!$E22="Götalands södra slättbygder",Grunddata!$E22="Götalands mellanbygder"),'NPK-rekommendationer'!$M12,'NPK-rekommendationer'!$M24)</f>
        <v>95</v>
      </c>
      <c r="AN64" s="1282">
        <f>$G$5</f>
        <v>9.14</v>
      </c>
      <c r="AO64" s="1283">
        <f>AM64*AN64</f>
        <v>868.30000000000007</v>
      </c>
      <c r="AP64" s="1281"/>
      <c r="AQ64" s="1262" t="s">
        <v>463</v>
      </c>
      <c r="AR64" s="2943">
        <f>IF(OR(Grunddata!$E22="Götalands södra slättbygder",Grunddata!$E22="Götalands mellanbygder"),'NPK-rekommendationer'!$M13,'NPK-rekommendationer'!$M25)</f>
        <v>145</v>
      </c>
      <c r="AS64" s="1282">
        <f>$G$5</f>
        <v>9.14</v>
      </c>
      <c r="AT64" s="1283">
        <f>AR64*AS64</f>
        <v>1325.3000000000002</v>
      </c>
      <c r="AU64" s="1281"/>
      <c r="AV64" s="1262" t="s">
        <v>463</v>
      </c>
      <c r="AW64" s="2943">
        <f>IF(OR(Grunddata!$E22="Götalands södra slättbygder",Grunddata!$E22="Götalands mellanbygder"),'NPK-rekommendationer'!$M14,'NPK-rekommendationer'!$M26)</f>
        <v>85</v>
      </c>
      <c r="AX64" s="1282">
        <f>$G$5</f>
        <v>9.14</v>
      </c>
      <c r="AY64" s="1283">
        <f>AW64*AX64</f>
        <v>776.90000000000009</v>
      </c>
      <c r="BF64" s="166"/>
      <c r="BG64" s="167"/>
      <c r="BH64" s="243"/>
      <c r="BI64" s="166"/>
      <c r="BJ64" s="167"/>
      <c r="BK64" s="243"/>
      <c r="BM64" s="168"/>
      <c r="BN64" s="166"/>
      <c r="BO64" s="167"/>
      <c r="BP64" s="243"/>
      <c r="BQ64" s="166"/>
      <c r="BR64" s="167"/>
      <c r="BS64" s="243"/>
      <c r="BT64" s="166"/>
      <c r="BU64" s="167"/>
      <c r="BV64" s="243"/>
      <c r="BW64" s="166"/>
      <c r="BX64" s="167"/>
      <c r="BY64" s="243"/>
      <c r="BZ64" s="166"/>
      <c r="CA64" s="167"/>
      <c r="CB64" s="243"/>
      <c r="CD64" s="168"/>
      <c r="CE64" s="249"/>
      <c r="CF64" s="167"/>
      <c r="CG64" s="243"/>
      <c r="CH64" s="249"/>
      <c r="CI64" s="167"/>
      <c r="CJ64" s="243"/>
      <c r="CK64" s="166"/>
      <c r="CL64" s="167"/>
      <c r="CM64" s="243"/>
      <c r="CN64" s="166"/>
      <c r="CO64" s="167"/>
      <c r="CP64" s="243"/>
      <c r="CQ64" s="166"/>
      <c r="CR64" s="167"/>
      <c r="CS64" s="243"/>
      <c r="CU64" s="168"/>
      <c r="CV64" s="166"/>
      <c r="CW64" s="167"/>
      <c r="CX64" s="243"/>
      <c r="CY64" s="166"/>
      <c r="CZ64" s="167"/>
      <c r="DA64" s="243"/>
      <c r="DB64" s="166"/>
      <c r="DC64" s="167"/>
      <c r="DD64" s="243"/>
      <c r="DG64" s="242"/>
      <c r="DI64" s="242"/>
      <c r="DJ64" s="242"/>
      <c r="DK64" s="242"/>
      <c r="DN64"/>
      <c r="DO64"/>
      <c r="DP64"/>
      <c r="DQ64"/>
      <c r="DR64"/>
      <c r="DY64" s="196"/>
      <c r="DZ64" s="97"/>
      <c r="EA64" s="196"/>
      <c r="HU64" s="73"/>
      <c r="HV64" s="73"/>
      <c r="HW64" s="73"/>
      <c r="HX64" s="73"/>
      <c r="HY64" s="73"/>
      <c r="HZ64" s="73"/>
      <c r="IA64" s="73"/>
      <c r="IB64" s="73"/>
      <c r="IC64" s="73"/>
      <c r="ID64" s="73"/>
      <c r="IE64" s="73"/>
      <c r="IF64" s="73"/>
      <c r="IG64" s="73"/>
      <c r="IH64" s="73"/>
    </row>
    <row r="65" spans="1:242">
      <c r="A65" s="196"/>
      <c r="B65" s="97"/>
      <c r="C65" s="97"/>
      <c r="D65" s="196"/>
      <c r="F65" s="1313"/>
      <c r="G65" s="1970"/>
      <c r="H65" s="2940" t="s">
        <v>464</v>
      </c>
      <c r="I65" s="2943">
        <f>'NPK-rekommendationer'!U104</f>
        <v>13</v>
      </c>
      <c r="J65" s="2941">
        <f>$G$6</f>
        <v>19.04</v>
      </c>
      <c r="K65" s="1283">
        <f t="shared" ref="K65:K67" si="0">I65*J65</f>
        <v>247.51999999999998</v>
      </c>
      <c r="L65" s="1285"/>
      <c r="M65" s="1262" t="s">
        <v>464</v>
      </c>
      <c r="N65" s="2943">
        <f>'NPK-rekommendationer'!U105</f>
        <v>14.5</v>
      </c>
      <c r="O65" s="1282">
        <f>$G$6</f>
        <v>19.04</v>
      </c>
      <c r="P65" s="1283">
        <f t="shared" ref="P65:P67" si="1">N65*O65</f>
        <v>276.08</v>
      </c>
      <c r="Q65" s="1285"/>
      <c r="R65" s="1262" t="s">
        <v>464</v>
      </c>
      <c r="S65" s="2943">
        <f>'NPK-rekommendationer'!$U106</f>
        <v>2</v>
      </c>
      <c r="T65" s="1282">
        <f>$G$6</f>
        <v>19.04</v>
      </c>
      <c r="U65" s="1283">
        <f t="shared" ref="U65:U67" si="2">S65*T65</f>
        <v>38.08</v>
      </c>
      <c r="V65" s="1285"/>
      <c r="W65" s="1262" t="s">
        <v>464</v>
      </c>
      <c r="X65" s="2943">
        <f>'NPK-rekommendationer'!$U107</f>
        <v>2</v>
      </c>
      <c r="Y65" s="1282">
        <f>$G$6</f>
        <v>19.04</v>
      </c>
      <c r="Z65" s="1283">
        <f t="shared" ref="Z65:Z67" si="3">X65*Y65</f>
        <v>38.08</v>
      </c>
      <c r="AA65" s="1285"/>
      <c r="AB65" s="1262" t="s">
        <v>464</v>
      </c>
      <c r="AC65" s="2943">
        <f>'NPK-rekommendationer'!$U108</f>
        <v>2</v>
      </c>
      <c r="AD65" s="1282">
        <f>$G$6</f>
        <v>19.04</v>
      </c>
      <c r="AE65" s="1283">
        <f t="shared" ref="AE65:AE67" si="4">AC65*AD65</f>
        <v>38.08</v>
      </c>
      <c r="AF65" s="1285"/>
      <c r="AG65" s="1262" t="s">
        <v>464</v>
      </c>
      <c r="AH65" s="2943">
        <f>'NPK-rekommendationer'!$U109</f>
        <v>6.5</v>
      </c>
      <c r="AI65" s="1282">
        <f>$G$6</f>
        <v>19.04</v>
      </c>
      <c r="AJ65" s="1283">
        <f t="shared" ref="AJ65:AJ67" si="5">AH65*AI65</f>
        <v>123.75999999999999</v>
      </c>
      <c r="AK65" s="1285"/>
      <c r="AL65" s="1262" t="s">
        <v>464</v>
      </c>
      <c r="AM65" s="2943">
        <f>'NPK-rekommendationer'!$U110</f>
        <v>6.5</v>
      </c>
      <c r="AN65" s="1282">
        <f>$G$6</f>
        <v>19.04</v>
      </c>
      <c r="AO65" s="1283">
        <f t="shared" ref="AO65:AO67" si="6">AM65*AN65</f>
        <v>123.75999999999999</v>
      </c>
      <c r="AP65" s="1285"/>
      <c r="AQ65" s="1262" t="s">
        <v>464</v>
      </c>
      <c r="AR65" s="2943">
        <f>'NPK-rekommendationer'!$U111</f>
        <v>5</v>
      </c>
      <c r="AS65" s="1282">
        <f>$G$6</f>
        <v>19.04</v>
      </c>
      <c r="AT65" s="1283">
        <f t="shared" ref="AT65:AT67" si="7">AR65*AS65</f>
        <v>95.199999999999989</v>
      </c>
      <c r="AU65" s="1285"/>
      <c r="AV65" s="1262" t="s">
        <v>464</v>
      </c>
      <c r="AW65" s="2943">
        <f>'NPK-rekommendationer'!$U112</f>
        <v>6.5</v>
      </c>
      <c r="AX65" s="1282">
        <f>$G$6</f>
        <v>19.04</v>
      </c>
      <c r="AY65" s="1283">
        <f t="shared" ref="AY65:AY67" si="8">AW65*AX65</f>
        <v>123.75999999999999</v>
      </c>
      <c r="BF65" s="166"/>
      <c r="BG65" s="167"/>
      <c r="BH65" s="243"/>
      <c r="BI65" s="166"/>
      <c r="BJ65" s="167"/>
      <c r="BK65" s="243"/>
      <c r="BM65" s="168"/>
      <c r="BN65" s="166"/>
      <c r="BO65" s="167"/>
      <c r="BP65" s="243"/>
      <c r="BQ65" s="166"/>
      <c r="BR65" s="167"/>
      <c r="BS65" s="243"/>
      <c r="BT65" s="166"/>
      <c r="BU65" s="167"/>
      <c r="BV65" s="243"/>
      <c r="BW65" s="166"/>
      <c r="BX65" s="167"/>
      <c r="BY65" s="243"/>
      <c r="BZ65" s="166"/>
      <c r="CA65" s="167"/>
      <c r="CB65" s="243"/>
      <c r="CD65" s="168"/>
      <c r="CE65" s="166"/>
      <c r="CF65" s="167"/>
      <c r="CG65" s="243"/>
      <c r="CH65" s="166"/>
      <c r="CI65" s="167"/>
      <c r="CJ65" s="243"/>
      <c r="CK65" s="166"/>
      <c r="CL65" s="167"/>
      <c r="CM65" s="243"/>
      <c r="CN65" s="166"/>
      <c r="CO65" s="167"/>
      <c r="CP65" s="243"/>
      <c r="CQ65" s="166"/>
      <c r="CR65" s="167"/>
      <c r="CS65" s="243"/>
      <c r="CU65" s="168"/>
      <c r="CV65" s="166"/>
      <c r="CW65" s="167"/>
      <c r="CX65" s="243"/>
      <c r="CY65" s="166"/>
      <c r="CZ65" s="167"/>
      <c r="DA65" s="243"/>
      <c r="DB65" s="166"/>
      <c r="DC65" s="167"/>
      <c r="DD65" s="243"/>
      <c r="DG65" s="242"/>
      <c r="DI65" s="242"/>
      <c r="DJ65" s="242"/>
      <c r="DK65" s="242"/>
      <c r="DN65"/>
      <c r="DO65"/>
      <c r="DP65"/>
      <c r="DQ65"/>
      <c r="DR65"/>
      <c r="DY65" s="196"/>
      <c r="DZ65" s="97"/>
      <c r="EA65" s="196"/>
      <c r="HU65" s="73"/>
      <c r="HV65" s="73"/>
      <c r="HW65" s="73"/>
      <c r="HX65" s="73"/>
      <c r="HY65" s="73"/>
      <c r="HZ65" s="73"/>
      <c r="IA65" s="73"/>
      <c r="IB65" s="73"/>
      <c r="IC65" s="73"/>
      <c r="ID65" s="73"/>
      <c r="IE65" s="73"/>
      <c r="IF65" s="73"/>
      <c r="IG65" s="73"/>
      <c r="IH65" s="73"/>
    </row>
    <row r="66" spans="1:242">
      <c r="A66" s="196"/>
      <c r="B66" s="97"/>
      <c r="C66" s="97"/>
      <c r="D66" s="196"/>
      <c r="F66" s="1313"/>
      <c r="G66" s="1970"/>
      <c r="H66" s="2940" t="s">
        <v>465</v>
      </c>
      <c r="I66" s="2943">
        <f>'NPK-rekommendationer'!Y104</f>
        <v>25</v>
      </c>
      <c r="J66" s="2941">
        <f>$G$7</f>
        <v>7.53</v>
      </c>
      <c r="K66" s="1283">
        <f t="shared" si="0"/>
        <v>188.25</v>
      </c>
      <c r="L66" s="1285"/>
      <c r="M66" s="1262" t="s">
        <v>465</v>
      </c>
      <c r="N66" s="2943">
        <f>'NPK-rekommendationer'!Y105</f>
        <v>27.5</v>
      </c>
      <c r="O66" s="1282">
        <f>$G$7</f>
        <v>7.53</v>
      </c>
      <c r="P66" s="1283">
        <f t="shared" si="1"/>
        <v>207.07500000000002</v>
      </c>
      <c r="Q66" s="1285"/>
      <c r="R66" s="1262" t="s">
        <v>465</v>
      </c>
      <c r="S66" s="2943">
        <f>'NPK-rekommendationer'!$Y106</f>
        <v>15</v>
      </c>
      <c r="T66" s="1282">
        <f>$G$7</f>
        <v>7.53</v>
      </c>
      <c r="U66" s="1283">
        <f t="shared" si="2"/>
        <v>112.95</v>
      </c>
      <c r="V66" s="1285"/>
      <c r="W66" s="1262" t="s">
        <v>465</v>
      </c>
      <c r="X66" s="2943">
        <f>'NPK-rekommendationer'!$Y107</f>
        <v>15</v>
      </c>
      <c r="Y66" s="1282">
        <f>$G$7</f>
        <v>7.53</v>
      </c>
      <c r="Z66" s="1283">
        <f t="shared" si="3"/>
        <v>112.95</v>
      </c>
      <c r="AA66" s="1285"/>
      <c r="AB66" s="1262" t="s">
        <v>465</v>
      </c>
      <c r="AC66" s="2943">
        <f>'NPK-rekommendationer'!$Y107</f>
        <v>15</v>
      </c>
      <c r="AD66" s="1282">
        <f>$G$7</f>
        <v>7.53</v>
      </c>
      <c r="AE66" s="1283">
        <f t="shared" si="4"/>
        <v>112.95</v>
      </c>
      <c r="AF66" s="1285"/>
      <c r="AG66" s="1262" t="s">
        <v>465</v>
      </c>
      <c r="AH66" s="2943">
        <f>'NPK-rekommendationer'!$Y109</f>
        <v>12.5</v>
      </c>
      <c r="AI66" s="1282">
        <f>$G$7</f>
        <v>7.53</v>
      </c>
      <c r="AJ66" s="1283">
        <f t="shared" si="5"/>
        <v>94.125</v>
      </c>
      <c r="AK66" s="1285"/>
      <c r="AL66" s="1262" t="s">
        <v>465</v>
      </c>
      <c r="AM66" s="2943">
        <f>'NPK-rekommendationer'!$Y110</f>
        <v>12.5</v>
      </c>
      <c r="AN66" s="1282">
        <f>$G$7</f>
        <v>7.53</v>
      </c>
      <c r="AO66" s="1283">
        <f t="shared" si="6"/>
        <v>94.125</v>
      </c>
      <c r="AP66" s="1285"/>
      <c r="AQ66" s="1262" t="s">
        <v>465</v>
      </c>
      <c r="AR66" s="2943">
        <f>'NPK-rekommendationer'!$Y111</f>
        <v>10</v>
      </c>
      <c r="AS66" s="1282">
        <f>$G$7</f>
        <v>7.53</v>
      </c>
      <c r="AT66" s="1283">
        <f t="shared" si="7"/>
        <v>75.3</v>
      </c>
      <c r="AU66" s="1285"/>
      <c r="AV66" s="1262" t="s">
        <v>465</v>
      </c>
      <c r="AW66" s="2943">
        <f>'NPK-rekommendationer'!$Y112</f>
        <v>12.5</v>
      </c>
      <c r="AX66" s="1282">
        <f>$G$7</f>
        <v>7.53</v>
      </c>
      <c r="AY66" s="1283">
        <f t="shared" si="8"/>
        <v>94.125</v>
      </c>
      <c r="BF66" s="166"/>
      <c r="BG66" s="167"/>
      <c r="BH66" s="243"/>
      <c r="BI66" s="166"/>
      <c r="BJ66" s="167"/>
      <c r="BK66" s="243"/>
      <c r="BM66" s="168"/>
      <c r="BN66" s="166"/>
      <c r="BO66" s="167"/>
      <c r="BP66" s="243"/>
      <c r="BQ66" s="166"/>
      <c r="BR66" s="167"/>
      <c r="BS66" s="243"/>
      <c r="BT66" s="166"/>
      <c r="BU66" s="167"/>
      <c r="BV66" s="243"/>
      <c r="BW66" s="166"/>
      <c r="BX66" s="167"/>
      <c r="BY66" s="243"/>
      <c r="BZ66" s="166"/>
      <c r="CA66" s="167"/>
      <c r="CB66" s="243"/>
      <c r="CD66" s="168"/>
      <c r="CE66" s="166"/>
      <c r="CF66" s="167"/>
      <c r="CG66" s="243"/>
      <c r="CH66" s="166"/>
      <c r="CI66" s="167"/>
      <c r="CJ66" s="243"/>
      <c r="CK66" s="166"/>
      <c r="CL66" s="167"/>
      <c r="CM66" s="243"/>
      <c r="CN66" s="166"/>
      <c r="CO66" s="167"/>
      <c r="CP66" s="243"/>
      <c r="CQ66" s="166"/>
      <c r="CR66" s="167"/>
      <c r="CS66" s="243"/>
      <c r="CU66" s="168"/>
      <c r="CV66" s="166"/>
      <c r="CW66" s="167"/>
      <c r="CX66" s="243"/>
      <c r="CY66" s="166"/>
      <c r="CZ66" s="167"/>
      <c r="DA66" s="243"/>
      <c r="DB66" s="166"/>
      <c r="DC66" s="167"/>
      <c r="DD66" s="243"/>
      <c r="DG66" s="242"/>
      <c r="DI66" s="242"/>
      <c r="DJ66" s="242"/>
      <c r="DK66" s="242"/>
      <c r="DN66"/>
      <c r="DO66"/>
      <c r="DP66"/>
      <c r="DQ66"/>
      <c r="DR66"/>
      <c r="DY66" s="196"/>
      <c r="DZ66" s="97"/>
      <c r="EA66" s="196"/>
      <c r="HU66" s="73"/>
      <c r="HV66" s="73"/>
      <c r="HW66" s="73"/>
      <c r="HX66" s="73"/>
      <c r="HY66" s="73"/>
      <c r="HZ66" s="73"/>
      <c r="IA66" s="73"/>
      <c r="IB66" s="73"/>
      <c r="IC66" s="73"/>
      <c r="ID66" s="73"/>
      <c r="IE66" s="73"/>
      <c r="IF66" s="73"/>
      <c r="IG66" s="73"/>
      <c r="IH66" s="73"/>
    </row>
    <row r="67" spans="1:242">
      <c r="A67"/>
      <c r="B67" s="97"/>
      <c r="C67" s="97"/>
      <c r="D67" s="196"/>
      <c r="F67" s="1313"/>
      <c r="G67" s="1970"/>
      <c r="H67" s="531" t="s">
        <v>466</v>
      </c>
      <c r="I67" s="1285">
        <f>0.1*I64</f>
        <v>18.5</v>
      </c>
      <c r="J67" s="1282">
        <f>$G$8</f>
        <v>1.5</v>
      </c>
      <c r="K67" s="1283">
        <f t="shared" si="0"/>
        <v>27.75</v>
      </c>
      <c r="L67" s="1285"/>
      <c r="M67" s="1286" t="s">
        <v>466</v>
      </c>
      <c r="N67" s="1285">
        <f>0.1*N64</f>
        <v>18.5</v>
      </c>
      <c r="O67" s="1282">
        <f>$G$8</f>
        <v>1.5</v>
      </c>
      <c r="P67" s="1283">
        <f t="shared" si="1"/>
        <v>27.75</v>
      </c>
      <c r="Q67" s="1285"/>
      <c r="R67" s="1286" t="s">
        <v>466</v>
      </c>
      <c r="S67" s="1285">
        <f>0.1*S64</f>
        <v>11.5</v>
      </c>
      <c r="T67" s="1282">
        <f>$G$8</f>
        <v>1.5</v>
      </c>
      <c r="U67" s="1283">
        <f t="shared" si="2"/>
        <v>17.25</v>
      </c>
      <c r="V67" s="1285"/>
      <c r="W67" s="1286" t="s">
        <v>466</v>
      </c>
      <c r="X67" s="1285">
        <f>0.1*X64</f>
        <v>13</v>
      </c>
      <c r="Y67" s="1282">
        <f>$G$8</f>
        <v>1.5</v>
      </c>
      <c r="Z67" s="1283">
        <f t="shared" si="3"/>
        <v>19.5</v>
      </c>
      <c r="AA67" s="1285"/>
      <c r="AB67" s="1286" t="s">
        <v>466</v>
      </c>
      <c r="AC67" s="1285">
        <f>0.1*AC64</f>
        <v>13</v>
      </c>
      <c r="AD67" s="1282">
        <f>$G$8</f>
        <v>1.5</v>
      </c>
      <c r="AE67" s="1283">
        <f t="shared" si="4"/>
        <v>19.5</v>
      </c>
      <c r="AF67" s="1285"/>
      <c r="AG67" s="1286" t="s">
        <v>466</v>
      </c>
      <c r="AH67" s="1285">
        <f>0.1*AH64</f>
        <v>9</v>
      </c>
      <c r="AI67" s="1282">
        <f>$G$8</f>
        <v>1.5</v>
      </c>
      <c r="AJ67" s="1283">
        <f t="shared" si="5"/>
        <v>13.5</v>
      </c>
      <c r="AK67" s="1285"/>
      <c r="AL67" s="1286" t="s">
        <v>466</v>
      </c>
      <c r="AM67" s="1285">
        <f>0.1*AM64</f>
        <v>9.5</v>
      </c>
      <c r="AN67" s="1282">
        <f>$G$8</f>
        <v>1.5</v>
      </c>
      <c r="AO67" s="1283">
        <f t="shared" si="6"/>
        <v>14.25</v>
      </c>
      <c r="AP67" s="1285"/>
      <c r="AQ67" s="1286" t="s">
        <v>466</v>
      </c>
      <c r="AR67" s="1285">
        <f>0.1*AR64</f>
        <v>14.5</v>
      </c>
      <c r="AS67" s="1282">
        <f>$G$8</f>
        <v>1.5</v>
      </c>
      <c r="AT67" s="1283">
        <f t="shared" si="7"/>
        <v>21.75</v>
      </c>
      <c r="AU67" s="1285"/>
      <c r="AV67" s="1286" t="s">
        <v>466</v>
      </c>
      <c r="AW67" s="1285">
        <f>0.1*AW64</f>
        <v>8.5</v>
      </c>
      <c r="AX67" s="1282">
        <f>$G$8</f>
        <v>1.5</v>
      </c>
      <c r="AY67" s="1283">
        <f t="shared" si="8"/>
        <v>12.75</v>
      </c>
      <c r="BF67" s="166"/>
      <c r="BG67" s="167"/>
      <c r="BH67" s="243"/>
      <c r="BI67" s="166"/>
      <c r="BJ67" s="167"/>
      <c r="BK67" s="243"/>
      <c r="BN67" s="166"/>
      <c r="BO67" s="167"/>
      <c r="BP67" s="243"/>
      <c r="BQ67" s="166"/>
      <c r="BR67" s="167"/>
      <c r="BS67" s="243"/>
      <c r="BT67" s="166"/>
      <c r="BU67" s="167"/>
      <c r="BV67" s="243"/>
      <c r="BW67" s="166"/>
      <c r="BX67" s="167"/>
      <c r="BY67" s="243"/>
      <c r="BZ67" s="166"/>
      <c r="CA67" s="167"/>
      <c r="CB67" s="243"/>
      <c r="CD67" s="168"/>
      <c r="CE67" s="166"/>
      <c r="CF67" s="167"/>
      <c r="CG67" s="243"/>
      <c r="CH67" s="166"/>
      <c r="CI67" s="167"/>
      <c r="CJ67" s="243"/>
      <c r="CK67" s="166"/>
      <c r="CL67" s="167"/>
      <c r="CM67" s="243"/>
      <c r="CN67" s="166"/>
      <c r="CO67" s="167"/>
      <c r="CP67" s="243"/>
      <c r="CQ67" s="166"/>
      <c r="CR67" s="167"/>
      <c r="CS67" s="243"/>
      <c r="CU67" s="168"/>
      <c r="CV67" s="166"/>
      <c r="CW67" s="167"/>
      <c r="CX67" s="243"/>
      <c r="CY67" s="166"/>
      <c r="CZ67" s="167"/>
      <c r="DA67" s="243"/>
      <c r="DB67" s="166"/>
      <c r="DC67" s="167"/>
      <c r="DD67" s="243"/>
      <c r="DG67" s="242"/>
      <c r="DI67" s="242"/>
      <c r="DJ67" s="242"/>
      <c r="DK67" s="242"/>
      <c r="DN67"/>
      <c r="DO67"/>
      <c r="DP67"/>
      <c r="DQ67"/>
      <c r="DR67"/>
      <c r="DY67" s="196"/>
      <c r="DZ67" s="97"/>
      <c r="EA67" s="196"/>
      <c r="HU67" s="73"/>
      <c r="HV67" s="73"/>
      <c r="HW67" s="73"/>
      <c r="HX67" s="73"/>
      <c r="HY67" s="73"/>
      <c r="HZ67" s="73"/>
      <c r="IA67" s="73"/>
      <c r="IB67" s="73"/>
      <c r="IC67" s="73"/>
      <c r="ID67" s="73"/>
      <c r="IE67" s="73"/>
      <c r="IF67" s="73"/>
      <c r="IG67" s="73"/>
      <c r="IH67" s="73"/>
    </row>
    <row r="68" spans="1:242">
      <c r="A68"/>
      <c r="B68" s="97"/>
      <c r="C68" s="97"/>
      <c r="D68" s="196"/>
      <c r="F68" s="1267"/>
      <c r="G68" s="1268"/>
      <c r="H68" s="2940" t="s">
        <v>467</v>
      </c>
      <c r="I68" s="1285" t="s">
        <v>346</v>
      </c>
      <c r="J68" s="2972">
        <v>1</v>
      </c>
      <c r="K68" s="1283">
        <v>215</v>
      </c>
      <c r="L68" s="665"/>
      <c r="M68" s="1262" t="s">
        <v>467</v>
      </c>
      <c r="N68" s="1285" t="s">
        <v>346</v>
      </c>
      <c r="O68" s="2972">
        <v>1</v>
      </c>
      <c r="P68" s="1283">
        <v>215</v>
      </c>
      <c r="Q68" s="665"/>
      <c r="R68" s="1262" t="s">
        <v>467</v>
      </c>
      <c r="S68" s="1285" t="s">
        <v>346</v>
      </c>
      <c r="T68" s="2972">
        <v>1</v>
      </c>
      <c r="U68" s="1283">
        <v>215</v>
      </c>
      <c r="V68" s="665"/>
      <c r="W68" s="1262" t="s">
        <v>467</v>
      </c>
      <c r="X68" s="1285" t="s">
        <v>346</v>
      </c>
      <c r="Y68" s="2972">
        <v>1</v>
      </c>
      <c r="Z68" s="1283">
        <v>215</v>
      </c>
      <c r="AA68" s="665"/>
      <c r="AB68" s="1262" t="s">
        <v>467</v>
      </c>
      <c r="AC68" s="1285" t="s">
        <v>346</v>
      </c>
      <c r="AD68" s="2972">
        <v>1</v>
      </c>
      <c r="AE68" s="1283">
        <v>215</v>
      </c>
      <c r="AF68" s="665"/>
      <c r="AG68" s="1262" t="s">
        <v>467</v>
      </c>
      <c r="AH68" s="1285" t="s">
        <v>346</v>
      </c>
      <c r="AI68" s="2972">
        <v>1</v>
      </c>
      <c r="AJ68" s="1283">
        <v>80</v>
      </c>
      <c r="AK68" s="665"/>
      <c r="AL68" s="1262" t="s">
        <v>467</v>
      </c>
      <c r="AM68" s="1285" t="s">
        <v>346</v>
      </c>
      <c r="AN68" s="2972">
        <v>1</v>
      </c>
      <c r="AO68" s="1283">
        <v>80</v>
      </c>
      <c r="AP68" s="665"/>
      <c r="AQ68" s="1262" t="s">
        <v>467</v>
      </c>
      <c r="AR68" s="1285" t="s">
        <v>346</v>
      </c>
      <c r="AS68" s="2972">
        <v>1</v>
      </c>
      <c r="AT68" s="1283">
        <v>230</v>
      </c>
      <c r="AU68" s="665"/>
      <c r="AV68" s="1262" t="s">
        <v>467</v>
      </c>
      <c r="AW68" s="1285" t="s">
        <v>346</v>
      </c>
      <c r="AX68" s="2972">
        <v>1</v>
      </c>
      <c r="AY68" s="1283">
        <v>80</v>
      </c>
      <c r="BF68" s="166"/>
      <c r="BG68" s="167"/>
      <c r="BH68" s="243"/>
      <c r="BI68" s="166"/>
      <c r="BJ68" s="167"/>
      <c r="BK68" s="243"/>
      <c r="BM68" s="168"/>
      <c r="BN68" s="166"/>
      <c r="BO68" s="167"/>
      <c r="BP68" s="243"/>
      <c r="BQ68" s="166"/>
      <c r="BR68" s="167"/>
      <c r="BS68" s="243"/>
      <c r="BT68" s="166"/>
      <c r="BU68" s="167"/>
      <c r="BV68" s="243"/>
      <c r="BW68" s="166"/>
      <c r="BX68" s="167"/>
      <c r="BY68" s="243"/>
      <c r="BZ68" s="166"/>
      <c r="CA68" s="167"/>
      <c r="CB68" s="243"/>
      <c r="CD68" s="168"/>
      <c r="CE68" s="166"/>
      <c r="CF68" s="167"/>
      <c r="CG68" s="243"/>
      <c r="CH68" s="166"/>
      <c r="CI68" s="167"/>
      <c r="CJ68" s="243"/>
      <c r="CK68" s="166"/>
      <c r="CL68" s="167"/>
      <c r="CM68" s="243"/>
      <c r="CN68" s="166"/>
      <c r="CO68" s="167"/>
      <c r="CP68" s="243"/>
      <c r="CQ68" s="166"/>
      <c r="CR68" s="167"/>
      <c r="CS68" s="243"/>
      <c r="CU68" s="168"/>
      <c r="CV68" s="166"/>
      <c r="CW68" s="167"/>
      <c r="CX68" s="243"/>
      <c r="CY68" s="166"/>
      <c r="CZ68" s="167"/>
      <c r="DA68" s="243"/>
      <c r="DB68" s="166"/>
      <c r="DC68" s="167"/>
      <c r="DD68" s="243"/>
      <c r="DG68" s="242"/>
      <c r="DI68" s="242"/>
      <c r="DJ68" s="242"/>
      <c r="DK68" s="242"/>
      <c r="DN68"/>
      <c r="DO68"/>
      <c r="DP68"/>
      <c r="DQ68"/>
      <c r="DR68"/>
      <c r="DY68" s="196"/>
      <c r="DZ68" s="97"/>
      <c r="EA68" s="196"/>
      <c r="HU68" s="73"/>
      <c r="HV68" s="73"/>
      <c r="HW68" s="73"/>
      <c r="HX68" s="73"/>
      <c r="HY68" s="73"/>
      <c r="HZ68" s="73"/>
      <c r="IA68" s="73"/>
      <c r="IB68" s="73"/>
      <c r="IC68" s="73"/>
      <c r="ID68" s="73"/>
      <c r="IE68" s="73"/>
      <c r="IF68" s="73"/>
      <c r="IG68" s="73"/>
      <c r="IH68" s="73"/>
    </row>
    <row r="69" spans="1:242">
      <c r="A69" s="196"/>
      <c r="B69" s="97"/>
      <c r="C69" s="97"/>
      <c r="D69" s="196"/>
      <c r="E69" s="97"/>
      <c r="F69" s="1267"/>
      <c r="G69" s="1268"/>
      <c r="H69" s="2940"/>
      <c r="I69" s="1285" t="s">
        <v>1816</v>
      </c>
      <c r="J69" s="2971">
        <v>0.2</v>
      </c>
      <c r="K69" s="1283">
        <v>56</v>
      </c>
      <c r="L69" s="665"/>
      <c r="M69" s="1262"/>
      <c r="N69" s="1285" t="s">
        <v>1816</v>
      </c>
      <c r="O69" s="2971">
        <v>0.2</v>
      </c>
      <c r="P69" s="1283">
        <v>56</v>
      </c>
      <c r="Q69" s="665"/>
      <c r="R69" s="1262"/>
      <c r="S69" s="1285" t="s">
        <v>1816</v>
      </c>
      <c r="T69" s="2971">
        <v>0.2</v>
      </c>
      <c r="U69" s="1283">
        <v>56</v>
      </c>
      <c r="V69" s="665"/>
      <c r="W69" s="1262"/>
      <c r="X69" s="1285" t="s">
        <v>1816</v>
      </c>
      <c r="Y69" s="2971">
        <v>0.2</v>
      </c>
      <c r="Z69" s="1283">
        <v>56</v>
      </c>
      <c r="AA69" s="665"/>
      <c r="AB69" s="1262"/>
      <c r="AC69" s="1285"/>
      <c r="AD69" s="2972"/>
      <c r="AE69" s="1283"/>
      <c r="AF69" s="665"/>
      <c r="AG69" s="1262"/>
      <c r="AH69" s="1285"/>
      <c r="AI69" s="2972"/>
      <c r="AJ69" s="1283"/>
      <c r="AK69" s="665"/>
      <c r="AL69" s="1262"/>
      <c r="AM69" s="1285"/>
      <c r="AN69" s="2972"/>
      <c r="AO69" s="1283"/>
      <c r="AP69" s="665"/>
      <c r="AQ69" s="1262"/>
      <c r="AR69" s="1285"/>
      <c r="AS69" s="2972"/>
      <c r="AT69" s="1283"/>
      <c r="AU69" s="665"/>
      <c r="AV69" s="1262"/>
      <c r="AW69" s="1285"/>
      <c r="AX69" s="2972"/>
      <c r="AY69" s="1283"/>
      <c r="BF69" s="166"/>
      <c r="BG69" s="167"/>
      <c r="BH69" s="243"/>
      <c r="BI69" s="166"/>
      <c r="BJ69" s="167"/>
      <c r="BK69" s="243"/>
      <c r="BM69" s="168"/>
      <c r="BN69" s="166"/>
      <c r="BO69" s="167"/>
      <c r="BP69" s="243"/>
      <c r="BQ69" s="166"/>
      <c r="BR69" s="167"/>
      <c r="BS69" s="243"/>
      <c r="BT69" s="166"/>
      <c r="BU69" s="167"/>
      <c r="BV69" s="243"/>
      <c r="BW69" s="166"/>
      <c r="BX69" s="167"/>
      <c r="BY69" s="243"/>
      <c r="BZ69" s="166"/>
      <c r="CA69" s="167"/>
      <c r="CB69" s="243"/>
      <c r="CD69" s="168"/>
      <c r="CE69" s="166"/>
      <c r="CF69" s="167"/>
      <c r="CG69" s="243"/>
      <c r="CH69" s="166"/>
      <c r="CI69" s="167"/>
      <c r="CJ69" s="243"/>
      <c r="CK69" s="166"/>
      <c r="CL69" s="167"/>
      <c r="CM69" s="243"/>
      <c r="CN69" s="166"/>
      <c r="CO69" s="167"/>
      <c r="CP69" s="243"/>
      <c r="CQ69" s="166"/>
      <c r="CR69" s="167"/>
      <c r="CS69" s="243"/>
      <c r="CU69" s="168"/>
      <c r="CV69" s="166"/>
      <c r="CW69" s="167"/>
      <c r="CX69" s="243"/>
      <c r="CY69" s="166"/>
      <c r="CZ69" s="167"/>
      <c r="DA69" s="243"/>
      <c r="DB69" s="166"/>
      <c r="DC69" s="167"/>
      <c r="DD69" s="243"/>
      <c r="DG69" s="242"/>
      <c r="DI69" s="242"/>
      <c r="DJ69" s="242"/>
      <c r="DK69" s="242"/>
      <c r="DN69"/>
      <c r="DO69"/>
      <c r="DP69"/>
      <c r="DQ69"/>
      <c r="DR69"/>
      <c r="DY69" s="196"/>
      <c r="DZ69" s="97"/>
      <c r="EA69" s="196"/>
      <c r="HU69" s="73"/>
      <c r="HV69" s="73"/>
      <c r="HW69" s="73"/>
      <c r="HX69" s="73"/>
      <c r="HY69" s="73"/>
      <c r="HZ69" s="73"/>
      <c r="IA69" s="73"/>
      <c r="IB69" s="73"/>
      <c r="IC69" s="73"/>
      <c r="ID69" s="73"/>
      <c r="IE69" s="73"/>
      <c r="IF69" s="73"/>
      <c r="IG69" s="73"/>
      <c r="IH69" s="73"/>
    </row>
    <row r="70" spans="1:242">
      <c r="A70" s="196"/>
      <c r="B70" s="97"/>
      <c r="C70" s="97"/>
      <c r="D70" s="196"/>
      <c r="E70" s="97"/>
      <c r="F70" s="1267"/>
      <c r="G70" s="1268"/>
      <c r="H70" s="2940"/>
      <c r="I70" s="1285"/>
      <c r="J70" s="2972"/>
      <c r="K70" s="1283"/>
      <c r="L70" s="665"/>
      <c r="M70" s="1262"/>
      <c r="N70" s="1285"/>
      <c r="O70" s="2972"/>
      <c r="P70" s="1283"/>
      <c r="Q70" s="665"/>
      <c r="R70" s="1262"/>
      <c r="S70" s="1285"/>
      <c r="T70" s="2972"/>
      <c r="U70" s="1283"/>
      <c r="V70" s="665"/>
      <c r="W70" s="1262"/>
      <c r="X70" s="1285"/>
      <c r="Y70" s="2972"/>
      <c r="Z70" s="1283"/>
      <c r="AA70" s="665"/>
      <c r="AB70" s="1262"/>
      <c r="AC70" s="1285"/>
      <c r="AD70" s="2972"/>
      <c r="AE70" s="1283"/>
      <c r="AF70" s="665"/>
      <c r="AG70" s="1262"/>
      <c r="AH70" s="1285"/>
      <c r="AI70" s="2972"/>
      <c r="AJ70" s="1283"/>
      <c r="AK70" s="665"/>
      <c r="AL70" s="1262"/>
      <c r="AM70" s="1285"/>
      <c r="AN70" s="2972"/>
      <c r="AO70" s="1283"/>
      <c r="AP70" s="665"/>
      <c r="AQ70" s="1262"/>
      <c r="AR70" s="1285"/>
      <c r="AS70" s="2972"/>
      <c r="AT70" s="1283"/>
      <c r="AU70" s="665"/>
      <c r="AV70" s="1262"/>
      <c r="AW70" s="1285"/>
      <c r="AX70" s="2972"/>
      <c r="AY70" s="1283"/>
      <c r="BF70" s="166"/>
      <c r="BG70" s="167"/>
      <c r="BH70" s="243"/>
      <c r="BI70" s="166"/>
      <c r="BJ70" s="167"/>
      <c r="BK70" s="243"/>
      <c r="BM70" s="168"/>
      <c r="BN70" s="166"/>
      <c r="BO70" s="248"/>
      <c r="BP70" s="243"/>
      <c r="BQ70" s="166"/>
      <c r="BR70" s="248"/>
      <c r="BS70" s="243"/>
      <c r="BT70" s="166"/>
      <c r="BU70" s="248"/>
      <c r="BV70" s="243"/>
      <c r="BW70" s="166"/>
      <c r="BX70" s="167"/>
      <c r="BY70" s="243"/>
      <c r="BZ70" s="166"/>
      <c r="CA70" s="167"/>
      <c r="CB70" s="243"/>
      <c r="CD70" s="168"/>
      <c r="CE70" s="166"/>
      <c r="CF70" s="167"/>
      <c r="CG70" s="243"/>
      <c r="CH70" s="166"/>
      <c r="CI70" s="167"/>
      <c r="CJ70" s="243"/>
      <c r="CK70" s="166"/>
      <c r="CL70" s="167"/>
      <c r="CM70" s="243"/>
      <c r="CN70" s="166"/>
      <c r="CO70" s="167"/>
      <c r="CP70" s="243"/>
      <c r="CQ70" s="166"/>
      <c r="CR70" s="167"/>
      <c r="CS70" s="243"/>
      <c r="CU70" s="168"/>
      <c r="CV70" s="166"/>
      <c r="CW70" s="167"/>
      <c r="CX70" s="243"/>
      <c r="CY70" s="166"/>
      <c r="CZ70" s="167"/>
      <c r="DA70" s="243"/>
      <c r="DB70" s="166"/>
      <c r="DC70" s="167"/>
      <c r="DD70" s="243"/>
      <c r="DG70" s="242"/>
      <c r="DI70" s="242"/>
      <c r="DJ70" s="242"/>
      <c r="DK70" s="242"/>
      <c r="DN70"/>
      <c r="DO70"/>
      <c r="DP70"/>
      <c r="DQ70"/>
      <c r="DR70"/>
      <c r="DY70" s="196"/>
      <c r="DZ70" s="97"/>
      <c r="EA70" s="196"/>
      <c r="HU70" s="73"/>
      <c r="HV70" s="73"/>
      <c r="HW70" s="73"/>
      <c r="HX70" s="73"/>
      <c r="HY70" s="73"/>
      <c r="HZ70" s="73"/>
      <c r="IA70" s="73"/>
      <c r="IB70" s="73"/>
      <c r="IC70" s="73"/>
      <c r="ID70" s="73"/>
      <c r="IE70" s="73"/>
      <c r="IF70" s="73"/>
      <c r="IG70" s="73"/>
      <c r="IH70" s="73"/>
    </row>
    <row r="71" spans="1:242">
      <c r="A71" s="196"/>
      <c r="B71" s="97"/>
      <c r="C71" s="97"/>
      <c r="D71" s="196"/>
      <c r="E71" s="97"/>
      <c r="F71" s="1267"/>
      <c r="G71" s="1268"/>
      <c r="H71" s="2940"/>
      <c r="I71" s="1285"/>
      <c r="J71" s="2972"/>
      <c r="K71" s="1283"/>
      <c r="L71" s="665"/>
      <c r="M71" s="1262"/>
      <c r="N71" s="1285"/>
      <c r="O71" s="2972"/>
      <c r="P71" s="1283"/>
      <c r="Q71" s="665"/>
      <c r="R71" s="1290"/>
      <c r="S71" s="1285"/>
      <c r="T71" s="2972"/>
      <c r="U71" s="1283"/>
      <c r="V71" s="665"/>
      <c r="W71" s="1262"/>
      <c r="X71" s="1285"/>
      <c r="Y71" s="2972"/>
      <c r="Z71" s="1283"/>
      <c r="AA71" s="665"/>
      <c r="AB71" s="1262"/>
      <c r="AC71" s="1285"/>
      <c r="AD71" s="2972"/>
      <c r="AE71" s="1283"/>
      <c r="AF71" s="665"/>
      <c r="AG71" s="1262"/>
      <c r="AH71" s="1285"/>
      <c r="AI71" s="2972"/>
      <c r="AJ71" s="1283"/>
      <c r="AK71" s="665"/>
      <c r="AL71" s="1262"/>
      <c r="AM71" s="1285"/>
      <c r="AN71" s="2972"/>
      <c r="AO71" s="1283"/>
      <c r="AP71" s="665"/>
      <c r="AQ71" s="1262"/>
      <c r="AR71" s="1285"/>
      <c r="AS71" s="2972"/>
      <c r="AT71" s="1283"/>
      <c r="AU71" s="665"/>
      <c r="AV71" s="1262"/>
      <c r="AW71" s="1285"/>
      <c r="AX71" s="2972"/>
      <c r="AY71" s="1283"/>
      <c r="BF71" s="166"/>
      <c r="BG71" s="167"/>
      <c r="BH71" s="243"/>
      <c r="BI71" s="166"/>
      <c r="BJ71" s="167"/>
      <c r="BK71" s="243"/>
      <c r="BM71" s="168"/>
      <c r="BN71" s="166"/>
      <c r="BO71" s="248"/>
      <c r="BP71" s="243"/>
      <c r="BQ71" s="166"/>
      <c r="BR71" s="248"/>
      <c r="BS71" s="243"/>
      <c r="BT71" s="166"/>
      <c r="BU71" s="248"/>
      <c r="BV71" s="243"/>
      <c r="BW71" s="166"/>
      <c r="BX71" s="167"/>
      <c r="BY71" s="243"/>
      <c r="BZ71" s="166"/>
      <c r="CA71" s="167"/>
      <c r="CB71" s="243"/>
      <c r="CD71" s="168"/>
      <c r="CE71" s="166"/>
      <c r="CF71" s="167"/>
      <c r="CG71" s="243"/>
      <c r="CH71" s="166"/>
      <c r="CI71" s="167"/>
      <c r="CJ71" s="243"/>
      <c r="CK71" s="166"/>
      <c r="CL71" s="167"/>
      <c r="CM71" s="243"/>
      <c r="CN71" s="166"/>
      <c r="CO71" s="167"/>
      <c r="CP71" s="243"/>
      <c r="CQ71" s="166"/>
      <c r="CR71" s="167"/>
      <c r="CS71" s="243"/>
      <c r="CU71" s="168"/>
      <c r="CV71" s="166"/>
      <c r="CW71" s="167"/>
      <c r="CX71" s="243"/>
      <c r="CY71" s="166"/>
      <c r="CZ71" s="167"/>
      <c r="DA71" s="243"/>
      <c r="DB71" s="166"/>
      <c r="DC71" s="167"/>
      <c r="DD71" s="243"/>
      <c r="DG71" s="242"/>
      <c r="DI71" s="242"/>
      <c r="DJ71" s="242"/>
      <c r="DK71" s="242"/>
      <c r="DN71"/>
      <c r="DO71"/>
      <c r="DP71"/>
      <c r="DQ71"/>
      <c r="DR71"/>
      <c r="DY71" s="196"/>
      <c r="DZ71" s="97"/>
      <c r="EA71" s="196"/>
      <c r="HU71" s="73"/>
      <c r="HV71" s="73"/>
      <c r="HW71" s="73"/>
      <c r="HX71" s="73"/>
      <c r="HY71" s="73"/>
      <c r="HZ71" s="73"/>
      <c r="IA71" s="73"/>
      <c r="IB71" s="73"/>
      <c r="IC71" s="73"/>
      <c r="ID71" s="73"/>
      <c r="IE71" s="73"/>
      <c r="IF71" s="73"/>
      <c r="IG71" s="73"/>
      <c r="IH71" s="73"/>
    </row>
    <row r="72" spans="1:242">
      <c r="A72" s="196"/>
      <c r="B72" s="97"/>
      <c r="C72" s="97"/>
      <c r="D72" s="196"/>
      <c r="E72" s="97"/>
      <c r="F72" s="1267"/>
      <c r="G72" s="1268"/>
      <c r="H72" s="531" t="s">
        <v>468</v>
      </c>
      <c r="I72" s="1285" t="s">
        <v>346</v>
      </c>
      <c r="J72" s="2972">
        <v>1</v>
      </c>
      <c r="K72" s="1283">
        <v>438</v>
      </c>
      <c r="L72" s="665"/>
      <c r="M72" s="1286" t="s">
        <v>468</v>
      </c>
      <c r="N72" s="1285" t="s">
        <v>346</v>
      </c>
      <c r="O72" s="2972">
        <v>1</v>
      </c>
      <c r="P72" s="1283">
        <v>438</v>
      </c>
      <c r="Q72" s="665"/>
      <c r="R72" s="1716" t="s">
        <v>468</v>
      </c>
      <c r="S72" s="1285" t="s">
        <v>346</v>
      </c>
      <c r="T72" s="2972">
        <v>1</v>
      </c>
      <c r="U72" s="1283">
        <v>175</v>
      </c>
      <c r="V72" s="665"/>
      <c r="W72" s="1286" t="s">
        <v>468</v>
      </c>
      <c r="X72" s="1285" t="s">
        <v>346</v>
      </c>
      <c r="Y72" s="2972">
        <v>1</v>
      </c>
      <c r="Z72" s="1283">
        <v>438</v>
      </c>
      <c r="AA72" s="665"/>
      <c r="AB72" s="1286" t="s">
        <v>468</v>
      </c>
      <c r="AC72" s="1285" t="s">
        <v>346</v>
      </c>
      <c r="AD72" s="2972">
        <v>1</v>
      </c>
      <c r="AE72" s="1283">
        <v>360</v>
      </c>
      <c r="AF72" s="665"/>
      <c r="AG72" s="1286" t="s">
        <v>468</v>
      </c>
      <c r="AH72" s="1285" t="s">
        <v>346</v>
      </c>
      <c r="AI72" s="1282">
        <v>0.6</v>
      </c>
      <c r="AJ72" s="1283">
        <v>216</v>
      </c>
      <c r="AK72" s="665"/>
      <c r="AL72" s="1286" t="s">
        <v>468</v>
      </c>
      <c r="AM72" s="1285" t="s">
        <v>346</v>
      </c>
      <c r="AN72" s="1282">
        <v>0.6</v>
      </c>
      <c r="AO72" s="1283">
        <v>216</v>
      </c>
      <c r="AP72" s="665"/>
      <c r="AQ72" s="1286" t="s">
        <v>468</v>
      </c>
      <c r="AR72" s="1285" t="s">
        <v>346</v>
      </c>
      <c r="AS72" s="1282">
        <v>0.7</v>
      </c>
      <c r="AT72" s="1283">
        <v>307</v>
      </c>
      <c r="AU72" s="665"/>
      <c r="AV72" s="1286" t="s">
        <v>468</v>
      </c>
      <c r="AW72" s="1285" t="s">
        <v>346</v>
      </c>
      <c r="AX72" s="2972">
        <v>1</v>
      </c>
      <c r="AY72" s="1283">
        <v>120</v>
      </c>
      <c r="BF72" s="166"/>
      <c r="BG72" s="167"/>
      <c r="BH72" s="243"/>
      <c r="BI72" s="166"/>
      <c r="BJ72" s="167"/>
      <c r="BK72" s="243"/>
      <c r="BM72" s="168"/>
      <c r="BN72" s="250"/>
      <c r="BO72" s="167"/>
      <c r="BP72" s="243"/>
      <c r="BQ72" s="250"/>
      <c r="BR72" s="167"/>
      <c r="BS72" s="243"/>
      <c r="BT72" s="166"/>
      <c r="BU72" s="167"/>
      <c r="BV72" s="243"/>
      <c r="BW72" s="166"/>
      <c r="BX72" s="167"/>
      <c r="BY72" s="243"/>
      <c r="BZ72" s="166"/>
      <c r="CA72" s="167"/>
      <c r="CB72" s="243"/>
      <c r="CD72" s="168"/>
      <c r="CE72" s="166"/>
      <c r="CF72" s="167"/>
      <c r="CG72" s="243"/>
      <c r="CH72" s="166"/>
      <c r="CI72" s="167"/>
      <c r="CJ72" s="243"/>
      <c r="CK72" s="166"/>
      <c r="CL72" s="167"/>
      <c r="CM72" s="243"/>
      <c r="CN72" s="166"/>
      <c r="CO72" s="167"/>
      <c r="CP72" s="243"/>
      <c r="CQ72" s="166"/>
      <c r="CR72" s="167"/>
      <c r="CS72" s="243"/>
      <c r="CU72" s="168"/>
      <c r="CV72" s="166"/>
      <c r="CW72" s="167"/>
      <c r="CX72" s="243"/>
      <c r="CY72" s="166"/>
      <c r="CZ72" s="167"/>
      <c r="DA72" s="243"/>
      <c r="DB72" s="166"/>
      <c r="DC72" s="167"/>
      <c r="DD72" s="243"/>
      <c r="DG72" s="242"/>
      <c r="DI72" s="242"/>
      <c r="DJ72" s="242"/>
      <c r="DK72" s="242"/>
      <c r="DN72"/>
      <c r="DO72"/>
      <c r="DP72"/>
      <c r="DQ72"/>
      <c r="DR72"/>
      <c r="DY72" s="196"/>
      <c r="DZ72" s="97"/>
      <c r="EA72" s="196"/>
      <c r="HU72" s="73"/>
      <c r="HV72" s="73"/>
      <c r="HW72" s="73"/>
      <c r="HX72" s="73"/>
      <c r="HY72" s="73"/>
      <c r="HZ72" s="73"/>
      <c r="IA72" s="73"/>
      <c r="IB72" s="73"/>
      <c r="IC72" s="73"/>
      <c r="ID72" s="73"/>
      <c r="IE72" s="73"/>
      <c r="IF72" s="73"/>
      <c r="IG72" s="73"/>
      <c r="IH72" s="73"/>
    </row>
    <row r="73" spans="1:242">
      <c r="A73" s="196"/>
      <c r="B73" s="97"/>
      <c r="C73" s="97"/>
      <c r="D73" s="196"/>
      <c r="E73" s="97"/>
      <c r="F73" s="1267"/>
      <c r="G73" s="1268"/>
      <c r="H73" s="525"/>
      <c r="I73" s="1285" t="s">
        <v>1817</v>
      </c>
      <c r="J73" s="2972">
        <v>0.1</v>
      </c>
      <c r="K73" s="1283">
        <v>38</v>
      </c>
      <c r="L73" s="665"/>
      <c r="M73" s="1289"/>
      <c r="N73" s="1285" t="s">
        <v>1817</v>
      </c>
      <c r="O73" s="2971">
        <v>0.1</v>
      </c>
      <c r="P73" s="1283">
        <v>38</v>
      </c>
      <c r="Q73" s="665"/>
      <c r="R73" s="1290"/>
      <c r="S73" s="1285"/>
      <c r="T73" s="2972"/>
      <c r="U73" s="1283"/>
      <c r="V73" s="665"/>
      <c r="W73" s="1289"/>
      <c r="X73" s="1285"/>
      <c r="Y73" s="2972"/>
      <c r="Z73" s="1283"/>
      <c r="AA73" s="665"/>
      <c r="AB73" s="1289"/>
      <c r="AC73" s="1285"/>
      <c r="AD73" s="2972"/>
      <c r="AE73" s="1283"/>
      <c r="AF73" s="665"/>
      <c r="AG73" s="1289"/>
      <c r="AH73" s="1285"/>
      <c r="AI73" s="2972"/>
      <c r="AJ73" s="1283"/>
      <c r="AK73" s="665"/>
      <c r="AL73" s="1289"/>
      <c r="AM73" s="1285"/>
      <c r="AN73" s="2972"/>
      <c r="AO73" s="1283"/>
      <c r="AP73" s="665"/>
      <c r="AQ73" s="1289"/>
      <c r="AR73" s="1285"/>
      <c r="AS73" s="2972"/>
      <c r="AT73" s="1283"/>
      <c r="AU73" s="665"/>
      <c r="AV73" s="1289"/>
      <c r="AW73" s="1285"/>
      <c r="AX73" s="2972"/>
      <c r="AY73" s="1283"/>
      <c r="BF73" s="166"/>
      <c r="BG73" s="167"/>
      <c r="BH73" s="243"/>
      <c r="BI73" s="166"/>
      <c r="BJ73" s="167"/>
      <c r="BK73" s="243"/>
      <c r="BM73" s="168"/>
      <c r="BN73" s="166"/>
      <c r="BO73" s="167"/>
      <c r="BP73" s="243"/>
      <c r="BQ73" s="166"/>
      <c r="BR73" s="167"/>
      <c r="BS73" s="243"/>
      <c r="BT73" s="166"/>
      <c r="BU73" s="167"/>
      <c r="BV73" s="243"/>
      <c r="BW73" s="166"/>
      <c r="BX73" s="167"/>
      <c r="BY73" s="243"/>
      <c r="BZ73" s="166"/>
      <c r="CA73" s="167"/>
      <c r="CB73" s="243"/>
      <c r="CD73" s="168"/>
      <c r="CE73" s="166"/>
      <c r="CF73" s="167"/>
      <c r="CG73" s="243"/>
      <c r="CH73" s="166"/>
      <c r="CI73" s="167"/>
      <c r="CJ73" s="243"/>
      <c r="CK73" s="166"/>
      <c r="CL73" s="167"/>
      <c r="CM73" s="243"/>
      <c r="CN73" s="166"/>
      <c r="CO73" s="167"/>
      <c r="CP73" s="243"/>
      <c r="CQ73" s="166"/>
      <c r="CR73" s="167"/>
      <c r="CS73" s="243"/>
      <c r="CU73" s="168"/>
      <c r="CV73" s="166"/>
      <c r="CW73" s="167"/>
      <c r="CX73" s="243"/>
      <c r="CY73" s="166"/>
      <c r="CZ73" s="167"/>
      <c r="DA73" s="243"/>
      <c r="DB73" s="166"/>
      <c r="DC73" s="167"/>
      <c r="DD73" s="243"/>
      <c r="DG73" s="242"/>
      <c r="DI73" s="242"/>
      <c r="DJ73" s="242"/>
      <c r="DK73" s="242"/>
      <c r="DN73"/>
      <c r="DO73"/>
      <c r="DP73"/>
      <c r="DQ73"/>
      <c r="DR73"/>
      <c r="DY73" s="196"/>
      <c r="DZ73" s="97"/>
      <c r="EA73" s="196"/>
      <c r="HU73" s="73"/>
      <c r="HV73" s="73"/>
      <c r="HW73" s="73"/>
      <c r="HX73" s="73"/>
      <c r="HY73" s="73"/>
      <c r="HZ73" s="234"/>
      <c r="IA73" s="73"/>
      <c r="IB73" s="234"/>
      <c r="IC73" s="73"/>
      <c r="ID73" s="73"/>
      <c r="IE73" s="73"/>
      <c r="IF73" s="73"/>
      <c r="IG73" s="73"/>
      <c r="IH73" s="73"/>
    </row>
    <row r="74" spans="1:242">
      <c r="A74" s="196"/>
      <c r="B74" s="97"/>
      <c r="C74" s="97"/>
      <c r="D74" s="196"/>
      <c r="E74" s="97"/>
      <c r="F74" s="1267"/>
      <c r="G74" s="1268"/>
      <c r="H74" s="2940"/>
      <c r="I74" s="1285"/>
      <c r="J74" s="2972"/>
      <c r="K74" s="1283"/>
      <c r="L74" s="665"/>
      <c r="M74" s="1262"/>
      <c r="N74" s="1285"/>
      <c r="O74" s="2972"/>
      <c r="P74" s="1283"/>
      <c r="Q74" s="665"/>
      <c r="R74" s="1262"/>
      <c r="S74" s="1285"/>
      <c r="T74" s="2972"/>
      <c r="U74" s="1283"/>
      <c r="V74" s="665"/>
      <c r="W74" s="1262"/>
      <c r="X74" s="1285"/>
      <c r="Y74" s="2972"/>
      <c r="Z74" s="1283"/>
      <c r="AA74" s="665"/>
      <c r="AB74" s="1262"/>
      <c r="AC74" s="1285"/>
      <c r="AD74" s="2972"/>
      <c r="AE74" s="1283"/>
      <c r="AF74" s="665"/>
      <c r="AG74" s="1262"/>
      <c r="AH74" s="1285"/>
      <c r="AI74" s="2972"/>
      <c r="AJ74" s="1283"/>
      <c r="AK74" s="665"/>
      <c r="AL74" s="1262"/>
      <c r="AM74" s="1285"/>
      <c r="AN74" s="2972"/>
      <c r="AO74" s="1283"/>
      <c r="AP74" s="665"/>
      <c r="AQ74" s="1262"/>
      <c r="AR74" s="1285"/>
      <c r="AS74" s="2972"/>
      <c r="AT74" s="1283"/>
      <c r="AU74" s="665"/>
      <c r="AV74" s="1262"/>
      <c r="AW74" s="1285"/>
      <c r="AX74" s="2972"/>
      <c r="AY74" s="1283"/>
      <c r="BF74" s="166"/>
      <c r="BG74" s="167"/>
      <c r="BH74" s="243"/>
      <c r="BI74" s="166"/>
      <c r="BJ74" s="167"/>
      <c r="BK74" s="243"/>
      <c r="BM74" s="168"/>
      <c r="BN74" s="166"/>
      <c r="BO74" s="167"/>
      <c r="BP74" s="243"/>
      <c r="BQ74" s="166"/>
      <c r="BR74" s="167"/>
      <c r="BS74" s="243"/>
      <c r="BT74" s="166"/>
      <c r="BU74" s="167"/>
      <c r="BV74" s="243"/>
      <c r="BW74" s="166"/>
      <c r="BX74" s="167"/>
      <c r="BY74" s="243"/>
      <c r="BZ74" s="166"/>
      <c r="CA74" s="167"/>
      <c r="CB74" s="243"/>
      <c r="CD74" s="168"/>
      <c r="CE74" s="166"/>
      <c r="CF74" s="167"/>
      <c r="CG74" s="243"/>
      <c r="CH74" s="166"/>
      <c r="CI74" s="167"/>
      <c r="CJ74" s="243"/>
      <c r="CK74" s="166"/>
      <c r="CL74" s="167"/>
      <c r="CM74" s="243"/>
      <c r="CN74" s="166"/>
      <c r="CO74" s="167"/>
      <c r="CP74" s="243"/>
      <c r="CQ74" s="166"/>
      <c r="CR74" s="167"/>
      <c r="CS74" s="243"/>
      <c r="CU74" s="168"/>
      <c r="CV74" s="166"/>
      <c r="CW74" s="167"/>
      <c r="CX74" s="243"/>
      <c r="CY74" s="166"/>
      <c r="CZ74" s="167"/>
      <c r="DA74" s="243"/>
      <c r="DB74" s="166"/>
      <c r="DC74" s="167"/>
      <c r="DD74" s="243"/>
      <c r="DG74" s="242"/>
      <c r="DI74" s="242"/>
      <c r="DJ74" s="242"/>
      <c r="DK74" s="242"/>
      <c r="DN74"/>
      <c r="DO74"/>
      <c r="DP74"/>
      <c r="DQ74"/>
      <c r="DR74"/>
      <c r="DY74" s="196"/>
      <c r="DZ74" s="97"/>
      <c r="EA74" s="196"/>
      <c r="HU74" s="73"/>
      <c r="HV74" s="73"/>
      <c r="HW74" s="73"/>
      <c r="HX74" s="73"/>
      <c r="HY74" s="73"/>
      <c r="HZ74" s="234"/>
      <c r="IA74" s="234"/>
      <c r="IB74" s="234"/>
      <c r="IC74" s="234"/>
      <c r="ID74" s="73"/>
      <c r="IE74" s="73"/>
      <c r="IF74" s="73"/>
      <c r="IG74" s="73"/>
      <c r="IH74" s="73"/>
    </row>
    <row r="75" spans="1:242">
      <c r="A75"/>
      <c r="B75" s="251"/>
      <c r="C75" s="251"/>
      <c r="D75" s="196"/>
      <c r="E75" s="97"/>
      <c r="F75" s="1267"/>
      <c r="G75" s="1268"/>
      <c r="H75" s="2940" t="s">
        <v>470</v>
      </c>
      <c r="I75" s="1285" t="s">
        <v>1815</v>
      </c>
      <c r="J75" s="1282">
        <v>0.1</v>
      </c>
      <c r="K75" s="1283">
        <v>19</v>
      </c>
      <c r="L75" s="665"/>
      <c r="M75" s="1262" t="s">
        <v>470</v>
      </c>
      <c r="N75" s="1285" t="s">
        <v>1815</v>
      </c>
      <c r="O75" s="1282">
        <v>0.1</v>
      </c>
      <c r="P75" s="1283">
        <v>19</v>
      </c>
      <c r="Q75" s="665"/>
      <c r="R75" s="1286" t="s">
        <v>469</v>
      </c>
      <c r="S75" s="1285" t="s">
        <v>1815</v>
      </c>
      <c r="T75" s="1282">
        <v>0.7</v>
      </c>
      <c r="U75" s="1283">
        <v>130</v>
      </c>
      <c r="V75" s="665"/>
      <c r="W75" s="1262" t="s">
        <v>470</v>
      </c>
      <c r="X75" s="1285" t="s">
        <v>1815</v>
      </c>
      <c r="Y75" s="1282">
        <v>0.2</v>
      </c>
      <c r="Z75" s="1283">
        <v>37</v>
      </c>
      <c r="AA75" s="665"/>
      <c r="AB75" s="1262" t="s">
        <v>470</v>
      </c>
      <c r="AC75" s="1285" t="s">
        <v>1815</v>
      </c>
      <c r="AD75" s="1282">
        <v>0.1</v>
      </c>
      <c r="AE75" s="1283">
        <v>19</v>
      </c>
      <c r="AF75" s="665"/>
      <c r="AG75" s="1262" t="s">
        <v>470</v>
      </c>
      <c r="AH75" s="1285" t="s">
        <v>1824</v>
      </c>
      <c r="AI75" s="1282">
        <v>0.4</v>
      </c>
      <c r="AJ75" s="1283">
        <v>14</v>
      </c>
      <c r="AK75" s="665"/>
      <c r="AL75" s="1262" t="s">
        <v>470</v>
      </c>
      <c r="AM75" s="1285" t="s">
        <v>1824</v>
      </c>
      <c r="AN75" s="1282">
        <v>0.4</v>
      </c>
      <c r="AO75" s="1283">
        <v>14</v>
      </c>
      <c r="AP75" s="665"/>
      <c r="AQ75" s="1262" t="s">
        <v>470</v>
      </c>
      <c r="AR75" s="1285" t="s">
        <v>1828</v>
      </c>
      <c r="AS75" s="1282">
        <v>0.3</v>
      </c>
      <c r="AT75" s="1283">
        <v>11</v>
      </c>
      <c r="AU75" s="1290"/>
      <c r="AV75" s="1262" t="s">
        <v>470</v>
      </c>
      <c r="AW75" s="1285" t="s">
        <v>1812</v>
      </c>
      <c r="AX75" s="1282">
        <v>0.4</v>
      </c>
      <c r="AY75" s="1283">
        <v>14</v>
      </c>
      <c r="BF75" s="166"/>
      <c r="BG75" s="167"/>
      <c r="BH75" s="243"/>
      <c r="BI75" s="166"/>
      <c r="BJ75" s="167"/>
      <c r="BK75" s="243"/>
      <c r="BM75" s="168"/>
      <c r="BN75" s="166"/>
      <c r="BO75" s="167"/>
      <c r="BP75" s="243"/>
      <c r="BQ75" s="166"/>
      <c r="BR75" s="167"/>
      <c r="BS75" s="243"/>
      <c r="BT75" s="166"/>
      <c r="BU75" s="167"/>
      <c r="BV75" s="243"/>
      <c r="BW75" s="166"/>
      <c r="BX75" s="167"/>
      <c r="BY75" s="243"/>
      <c r="BZ75" s="166"/>
      <c r="CA75" s="167"/>
      <c r="CB75" s="243"/>
      <c r="CD75" s="168"/>
      <c r="CE75" s="166"/>
      <c r="CF75" s="167"/>
      <c r="CG75" s="243"/>
      <c r="CH75" s="166"/>
      <c r="CI75" s="167"/>
      <c r="CJ75" s="243"/>
      <c r="CK75" s="166"/>
      <c r="CL75" s="167"/>
      <c r="CM75" s="243"/>
      <c r="CN75" s="166"/>
      <c r="CO75" s="167"/>
      <c r="CP75" s="243"/>
      <c r="CQ75" s="166"/>
      <c r="CR75" s="167"/>
      <c r="CS75" s="243"/>
      <c r="CU75" s="168"/>
      <c r="CV75" s="166"/>
      <c r="CW75" s="167"/>
      <c r="CX75" s="243"/>
      <c r="CY75" s="166"/>
      <c r="CZ75" s="243"/>
      <c r="DA75" s="243"/>
      <c r="DB75" s="166"/>
      <c r="DC75" s="167"/>
      <c r="DD75" s="243"/>
      <c r="DG75" s="242"/>
      <c r="DI75" s="242"/>
      <c r="DJ75" s="242"/>
      <c r="DK75" s="242"/>
      <c r="DL75" s="242"/>
      <c r="DN75"/>
      <c r="DO75"/>
      <c r="DP75"/>
      <c r="DQ75"/>
      <c r="DR75"/>
      <c r="DY75" s="196"/>
      <c r="DZ75" s="97"/>
      <c r="EA75" s="196"/>
      <c r="HU75" s="73"/>
      <c r="HV75" s="73"/>
      <c r="HW75" s="73"/>
      <c r="HX75" s="73"/>
      <c r="HY75" s="73"/>
      <c r="HZ75" s="168"/>
      <c r="IA75" s="168"/>
      <c r="IB75" s="241"/>
      <c r="IC75" s="241"/>
      <c r="ID75" s="73"/>
      <c r="IE75" s="73"/>
      <c r="IF75" s="73"/>
      <c r="IG75" s="252"/>
      <c r="IH75" s="242"/>
    </row>
    <row r="76" spans="1:242">
      <c r="A76"/>
      <c r="B76" s="251"/>
      <c r="C76" s="251"/>
      <c r="D76" s="196"/>
      <c r="E76" s="97"/>
      <c r="F76" s="1267"/>
      <c r="G76" s="1268"/>
      <c r="H76" s="2940"/>
      <c r="I76" s="1285"/>
      <c r="J76" s="1282">
        <v>0.5</v>
      </c>
      <c r="K76" s="1283">
        <v>36</v>
      </c>
      <c r="L76" s="665"/>
      <c r="M76" s="1262"/>
      <c r="N76" s="1285"/>
      <c r="O76" s="1282">
        <v>0.1</v>
      </c>
      <c r="P76" s="1283">
        <v>38</v>
      </c>
      <c r="Q76" s="665"/>
      <c r="R76" s="1262"/>
      <c r="S76" s="1285"/>
      <c r="T76" s="1282"/>
      <c r="U76" s="1283">
        <v>0</v>
      </c>
      <c r="V76" s="665"/>
      <c r="W76" s="1262"/>
      <c r="X76" s="1285"/>
      <c r="Y76" s="1282">
        <v>0.3</v>
      </c>
      <c r="Z76" s="1283">
        <v>11</v>
      </c>
      <c r="AA76" s="665"/>
      <c r="AB76" s="1262"/>
      <c r="AC76" s="1285"/>
      <c r="AD76" s="1282"/>
      <c r="AE76" s="1283">
        <v>0</v>
      </c>
      <c r="AF76" s="665"/>
      <c r="AG76" s="1262"/>
      <c r="AH76" s="1285"/>
      <c r="AI76" s="1282"/>
      <c r="AJ76" s="1283">
        <v>0</v>
      </c>
      <c r="AK76" s="665"/>
      <c r="AL76" s="1262"/>
      <c r="AM76" s="1285"/>
      <c r="AN76" s="1282"/>
      <c r="AO76" s="1283">
        <v>0</v>
      </c>
      <c r="AP76" s="665"/>
      <c r="AQ76" s="1262"/>
      <c r="AR76" s="1285"/>
      <c r="AS76" s="1282"/>
      <c r="AT76" s="1283">
        <v>0</v>
      </c>
      <c r="AU76" s="526"/>
      <c r="AV76" s="1262"/>
      <c r="AW76" s="1285" t="s">
        <v>1813</v>
      </c>
      <c r="AX76" s="1282">
        <v>0.01</v>
      </c>
      <c r="AY76" s="1283">
        <v>0</v>
      </c>
      <c r="BF76" s="166"/>
      <c r="BG76" s="167"/>
      <c r="BH76" s="243"/>
      <c r="BI76" s="166"/>
      <c r="BJ76" s="167"/>
      <c r="BK76" s="243"/>
      <c r="BM76" s="168"/>
      <c r="BN76" s="166"/>
      <c r="BO76" s="167"/>
      <c r="BP76" s="243"/>
      <c r="BQ76" s="166"/>
      <c r="BR76" s="167"/>
      <c r="BS76" s="243"/>
      <c r="BT76" s="166"/>
      <c r="BU76" s="167"/>
      <c r="BV76" s="243"/>
      <c r="BW76" s="166"/>
      <c r="BX76" s="167"/>
      <c r="BY76" s="243"/>
      <c r="BZ76" s="166"/>
      <c r="CA76" s="167"/>
      <c r="CB76" s="243"/>
      <c r="CD76" s="168"/>
      <c r="CE76" s="166"/>
      <c r="CF76" s="167"/>
      <c r="CG76" s="243"/>
      <c r="CH76" s="166"/>
      <c r="CI76" s="167"/>
      <c r="CJ76" s="243"/>
      <c r="CK76" s="166"/>
      <c r="CL76" s="167"/>
      <c r="CM76" s="243"/>
      <c r="CN76" s="166"/>
      <c r="CO76" s="167"/>
      <c r="CP76" s="243"/>
      <c r="CQ76" s="166"/>
      <c r="CR76" s="167"/>
      <c r="CS76" s="243"/>
      <c r="CU76" s="168"/>
      <c r="CV76" s="166"/>
      <c r="CW76" s="167"/>
      <c r="CX76" s="243"/>
      <c r="CY76" s="166"/>
      <c r="CZ76" s="243"/>
      <c r="DA76" s="243"/>
      <c r="DB76" s="166"/>
      <c r="DC76" s="167"/>
      <c r="DD76" s="243"/>
      <c r="DG76" s="242"/>
      <c r="DI76" s="242"/>
      <c r="DJ76" s="242"/>
      <c r="DK76" s="242"/>
      <c r="DL76" s="242"/>
      <c r="DN76"/>
      <c r="DO76"/>
      <c r="DP76"/>
      <c r="DQ76"/>
      <c r="DR76"/>
      <c r="DY76" s="196"/>
      <c r="DZ76" s="97"/>
      <c r="EA76" s="196"/>
      <c r="HU76" s="73"/>
      <c r="HV76" s="73"/>
      <c r="HW76" s="73"/>
      <c r="HX76" s="73"/>
      <c r="HY76" s="73"/>
      <c r="HZ76" s="168"/>
      <c r="IA76" s="168"/>
      <c r="IB76" s="241"/>
      <c r="IC76" s="241"/>
      <c r="ID76" s="73"/>
      <c r="IE76" s="73"/>
      <c r="IF76" s="73"/>
      <c r="IG76" s="252"/>
      <c r="IH76" s="242"/>
    </row>
    <row r="77" spans="1:242">
      <c r="A77"/>
      <c r="B77" s="251"/>
      <c r="C77" s="251"/>
      <c r="D77" s="196"/>
      <c r="E77" s="97"/>
      <c r="F77" s="1267"/>
      <c r="G77" s="1268"/>
      <c r="H77" s="2940" t="s">
        <v>1004</v>
      </c>
      <c r="I77" s="1287"/>
      <c r="J77" s="1700"/>
      <c r="K77" s="1283">
        <f>800/4*J77</f>
        <v>0</v>
      </c>
      <c r="L77" s="665"/>
      <c r="M77" s="1262" t="s">
        <v>1004</v>
      </c>
      <c r="N77" s="1287"/>
      <c r="O77" s="1700"/>
      <c r="P77" s="1283">
        <f>800/4*O77</f>
        <v>0</v>
      </c>
      <c r="Q77" s="665"/>
      <c r="R77" s="1262" t="s">
        <v>1004</v>
      </c>
      <c r="S77" s="1287"/>
      <c r="T77" s="1700"/>
      <c r="U77" s="1283">
        <f>800/4*T77</f>
        <v>0</v>
      </c>
      <c r="V77" s="665"/>
      <c r="W77" s="1262" t="s">
        <v>1004</v>
      </c>
      <c r="X77" s="1287"/>
      <c r="Y77" s="1700"/>
      <c r="Z77" s="1283">
        <f>800/4*Y77</f>
        <v>0</v>
      </c>
      <c r="AA77" s="665"/>
      <c r="AB77" s="1262" t="s">
        <v>1004</v>
      </c>
      <c r="AC77" s="1287"/>
      <c r="AD77" s="1700"/>
      <c r="AE77" s="1283">
        <f>800/4*AD77</f>
        <v>0</v>
      </c>
      <c r="AF77" s="665"/>
      <c r="AG77" s="1262" t="s">
        <v>1004</v>
      </c>
      <c r="AH77" s="1287"/>
      <c r="AI77" s="1700"/>
      <c r="AJ77" s="1283">
        <f>800/4*AI77</f>
        <v>0</v>
      </c>
      <c r="AK77" s="665"/>
      <c r="AL77" s="1262" t="s">
        <v>1004</v>
      </c>
      <c r="AM77" s="1287"/>
      <c r="AN77" s="1700"/>
      <c r="AO77" s="1283">
        <f>800/4*AN77</f>
        <v>0</v>
      </c>
      <c r="AP77" s="665"/>
      <c r="AQ77" s="1262" t="s">
        <v>1004</v>
      </c>
      <c r="AR77" s="1287"/>
      <c r="AS77" s="1700"/>
      <c r="AT77" s="1283">
        <f>800/4*AS77</f>
        <v>0</v>
      </c>
      <c r="AU77" s="526"/>
      <c r="AV77" s="1262" t="s">
        <v>1814</v>
      </c>
      <c r="AW77" s="1287"/>
      <c r="AX77" s="1700"/>
      <c r="AY77" s="1283">
        <v>0</v>
      </c>
      <c r="BF77" s="166"/>
      <c r="BG77" s="167"/>
      <c r="BH77" s="243"/>
      <c r="BI77" s="166"/>
      <c r="BJ77" s="167"/>
      <c r="BK77" s="243"/>
      <c r="BM77" s="168"/>
      <c r="BN77" s="166"/>
      <c r="BO77" s="167"/>
      <c r="BP77" s="243"/>
      <c r="BQ77" s="166"/>
      <c r="BR77" s="167"/>
      <c r="BS77" s="243"/>
      <c r="BT77" s="166"/>
      <c r="BU77" s="167"/>
      <c r="BV77" s="243"/>
      <c r="BW77" s="166"/>
      <c r="BX77" s="167"/>
      <c r="BY77" s="243"/>
      <c r="BZ77" s="166"/>
      <c r="CA77" s="167"/>
      <c r="CB77" s="243"/>
      <c r="CD77" s="168"/>
      <c r="CE77" s="166"/>
      <c r="CF77" s="167"/>
      <c r="CG77" s="243"/>
      <c r="CH77" s="166"/>
      <c r="CI77" s="167"/>
      <c r="CJ77" s="243"/>
      <c r="CK77" s="166"/>
      <c r="CL77" s="167"/>
      <c r="CM77" s="243"/>
      <c r="CN77" s="166"/>
      <c r="CO77" s="167"/>
      <c r="CP77" s="243"/>
      <c r="CQ77" s="166"/>
      <c r="CR77" s="167"/>
      <c r="CS77" s="243"/>
      <c r="CU77" s="168"/>
      <c r="CV77" s="166"/>
      <c r="CW77" s="167"/>
      <c r="CX77" s="243"/>
      <c r="CY77" s="166"/>
      <c r="CZ77" s="243"/>
      <c r="DA77" s="243"/>
      <c r="DB77" s="166"/>
      <c r="DC77" s="167"/>
      <c r="DD77" s="243"/>
      <c r="DG77" s="242"/>
      <c r="DI77" s="242"/>
      <c r="DJ77" s="242"/>
      <c r="DK77" s="242"/>
      <c r="DL77" s="242"/>
      <c r="DN77"/>
      <c r="DO77"/>
      <c r="DP77"/>
      <c r="DQ77"/>
      <c r="DR77"/>
      <c r="DY77" s="196"/>
      <c r="DZ77" s="97"/>
      <c r="EA77" s="196"/>
      <c r="HU77" s="73"/>
      <c r="HV77" s="73"/>
      <c r="HW77" s="73"/>
      <c r="HX77" s="73"/>
      <c r="HY77" s="73"/>
      <c r="HZ77" s="168"/>
      <c r="IA77" s="168"/>
      <c r="IB77" s="241"/>
      <c r="IC77" s="241"/>
      <c r="ID77" s="73"/>
      <c r="IE77" s="73"/>
      <c r="IF77" s="73"/>
      <c r="IG77" s="252"/>
      <c r="IH77" s="242"/>
    </row>
    <row r="78" spans="1:242">
      <c r="A78"/>
      <c r="B78" s="251"/>
      <c r="C78" s="251"/>
      <c r="D78" s="196"/>
      <c r="E78" s="97"/>
      <c r="F78" s="1267"/>
      <c r="G78" s="1268"/>
      <c r="H78" s="1262" t="s">
        <v>1006</v>
      </c>
      <c r="I78" s="1287"/>
      <c r="J78" s="1700">
        <v>5</v>
      </c>
      <c r="K78" s="1283">
        <f>J78*I56/1000</f>
        <v>40</v>
      </c>
      <c r="L78" s="665"/>
      <c r="M78" s="1262" t="s">
        <v>1006</v>
      </c>
      <c r="N78" s="1287"/>
      <c r="O78" s="1700">
        <v>5</v>
      </c>
      <c r="P78" s="1283">
        <f>O78*N56/1000</f>
        <v>42.5</v>
      </c>
      <c r="Q78" s="665"/>
      <c r="R78" s="1262" t="s">
        <v>1006</v>
      </c>
      <c r="S78" s="1287"/>
      <c r="T78" s="1700">
        <v>5</v>
      </c>
      <c r="U78" s="1283">
        <f>T78*S56/1000</f>
        <v>30</v>
      </c>
      <c r="V78" s="665"/>
      <c r="W78" s="1262" t="s">
        <v>1006</v>
      </c>
      <c r="X78" s="1287"/>
      <c r="Y78" s="1700">
        <v>5</v>
      </c>
      <c r="Z78" s="1283">
        <f>Y78*X56/1000</f>
        <v>30</v>
      </c>
      <c r="AA78" s="665"/>
      <c r="AB78" s="1262" t="s">
        <v>1006</v>
      </c>
      <c r="AC78" s="1287"/>
      <c r="AD78" s="1700">
        <v>5</v>
      </c>
      <c r="AE78" s="1283">
        <f>AD78*AC56/1000</f>
        <v>30</v>
      </c>
      <c r="AF78" s="665"/>
      <c r="AG78" s="1262" t="s">
        <v>1006</v>
      </c>
      <c r="AH78" s="1287"/>
      <c r="AI78" s="1700">
        <v>5</v>
      </c>
      <c r="AJ78" s="1283">
        <f>AI78*AH56/1000</f>
        <v>27.5</v>
      </c>
      <c r="AK78" s="665"/>
      <c r="AL78" s="1262" t="s">
        <v>1006</v>
      </c>
      <c r="AM78" s="1287"/>
      <c r="AN78" s="1700">
        <v>5</v>
      </c>
      <c r="AO78" s="1283">
        <f>AN78*AM56/1000</f>
        <v>27.5</v>
      </c>
      <c r="AP78" s="665"/>
      <c r="AQ78" s="1262" t="s">
        <v>1006</v>
      </c>
      <c r="AR78" s="1287"/>
      <c r="AS78" s="1700">
        <v>5</v>
      </c>
      <c r="AT78" s="1283">
        <f>AS78*AR56/1000</f>
        <v>25</v>
      </c>
      <c r="AU78" s="526"/>
      <c r="AV78" s="1262" t="s">
        <v>1006</v>
      </c>
      <c r="AW78" s="1287"/>
      <c r="AX78" s="1700">
        <v>5</v>
      </c>
      <c r="AY78" s="1283">
        <f>AX78*AW56/1000</f>
        <v>27.5</v>
      </c>
      <c r="BF78" s="166"/>
      <c r="BG78" s="167"/>
      <c r="BH78" s="243"/>
      <c r="BI78" s="166"/>
      <c r="BJ78" s="167"/>
      <c r="BK78" s="243"/>
      <c r="BM78" s="168"/>
      <c r="BN78" s="166"/>
      <c r="BO78" s="167"/>
      <c r="BP78" s="243"/>
      <c r="BQ78" s="166"/>
      <c r="BR78" s="167"/>
      <c r="BS78" s="243"/>
      <c r="BT78" s="166"/>
      <c r="BU78" s="167"/>
      <c r="BV78" s="243"/>
      <c r="BW78" s="166"/>
      <c r="BX78" s="167"/>
      <c r="BY78" s="243"/>
      <c r="BZ78" s="166"/>
      <c r="CA78" s="167"/>
      <c r="CB78" s="243"/>
      <c r="CD78" s="168"/>
      <c r="CE78" s="166"/>
      <c r="CF78" s="167"/>
      <c r="CG78" s="243"/>
      <c r="CH78" s="166"/>
      <c r="CI78" s="167"/>
      <c r="CJ78" s="243"/>
      <c r="CK78" s="166"/>
      <c r="CL78" s="167"/>
      <c r="CM78" s="243"/>
      <c r="CN78" s="166"/>
      <c r="CO78" s="167"/>
      <c r="CP78" s="243"/>
      <c r="CQ78" s="166"/>
      <c r="CR78" s="167"/>
      <c r="CS78" s="243"/>
      <c r="CU78" s="168"/>
      <c r="CV78" s="166"/>
      <c r="CW78" s="167"/>
      <c r="CX78" s="243"/>
      <c r="CY78" s="166"/>
      <c r="CZ78" s="243"/>
      <c r="DA78" s="243"/>
      <c r="DB78" s="166"/>
      <c r="DC78" s="167"/>
      <c r="DD78" s="243"/>
      <c r="DG78" s="242"/>
      <c r="DI78" s="242"/>
      <c r="DJ78" s="242"/>
      <c r="DK78" s="242"/>
      <c r="DL78" s="242"/>
      <c r="DN78"/>
      <c r="DO78"/>
      <c r="DP78"/>
      <c r="DQ78"/>
      <c r="DR78"/>
      <c r="DY78" s="196"/>
      <c r="DZ78" s="97"/>
      <c r="EA78" s="196"/>
      <c r="HU78" s="73"/>
      <c r="HV78" s="73"/>
      <c r="HW78" s="73"/>
      <c r="HX78" s="73"/>
      <c r="HY78" s="73"/>
      <c r="HZ78" s="168"/>
      <c r="IA78" s="168"/>
      <c r="IB78" s="241"/>
      <c r="IC78" s="241"/>
      <c r="ID78" s="73"/>
      <c r="IE78" s="73"/>
      <c r="IF78" s="73"/>
      <c r="IG78" s="252"/>
      <c r="IH78" s="242"/>
    </row>
    <row r="79" spans="1:242">
      <c r="A79"/>
      <c r="B79" s="251"/>
      <c r="C79" s="251"/>
      <c r="D79" s="196"/>
      <c r="E79" s="97"/>
      <c r="F79" s="1267"/>
      <c r="G79" s="1268"/>
      <c r="H79" s="1262" t="s">
        <v>473</v>
      </c>
      <c r="I79" s="1287"/>
      <c r="J79" s="1700">
        <v>99</v>
      </c>
      <c r="K79" s="1283">
        <f>J79*I56/1000</f>
        <v>792</v>
      </c>
      <c r="L79" s="665"/>
      <c r="M79" s="1262" t="s">
        <v>473</v>
      </c>
      <c r="N79" s="1287"/>
      <c r="O79" s="1700">
        <v>99</v>
      </c>
      <c r="P79" s="1283">
        <f>O79*N56/1000</f>
        <v>841.5</v>
      </c>
      <c r="Q79" s="665"/>
      <c r="R79" s="1262" t="s">
        <v>473</v>
      </c>
      <c r="S79" s="1287"/>
      <c r="T79" s="1700">
        <v>99</v>
      </c>
      <c r="U79" s="1283">
        <f>T79*S56/1000</f>
        <v>594</v>
      </c>
      <c r="V79" s="665"/>
      <c r="W79" s="1262" t="s">
        <v>473</v>
      </c>
      <c r="X79" s="1287"/>
      <c r="Y79" s="1700">
        <v>99</v>
      </c>
      <c r="Z79" s="1283">
        <f>Y79*X56/1000</f>
        <v>594</v>
      </c>
      <c r="AA79" s="665"/>
      <c r="AB79" s="1262" t="s">
        <v>473</v>
      </c>
      <c r="AC79" s="1287"/>
      <c r="AD79" s="1700">
        <v>99</v>
      </c>
      <c r="AE79" s="1283">
        <f>AD79*AC56/1000</f>
        <v>594</v>
      </c>
      <c r="AF79" s="665"/>
      <c r="AG79" s="1262" t="s">
        <v>473</v>
      </c>
      <c r="AH79" s="1287"/>
      <c r="AI79" s="1700">
        <v>99</v>
      </c>
      <c r="AJ79" s="1283">
        <f>AI79*AH56/1000</f>
        <v>544.5</v>
      </c>
      <c r="AK79" s="665"/>
      <c r="AL79" s="1262" t="s">
        <v>473</v>
      </c>
      <c r="AM79" s="1287"/>
      <c r="AN79" s="1700">
        <v>99</v>
      </c>
      <c r="AO79" s="1283">
        <f>AN79*AM56/1000</f>
        <v>544.5</v>
      </c>
      <c r="AP79" s="665"/>
      <c r="AQ79" s="1262" t="s">
        <v>473</v>
      </c>
      <c r="AR79" s="1287"/>
      <c r="AS79" s="1700">
        <v>99</v>
      </c>
      <c r="AT79" s="1283">
        <f>AS79*AR56/1000</f>
        <v>495</v>
      </c>
      <c r="AU79" s="526"/>
      <c r="AV79" s="1262" t="s">
        <v>473</v>
      </c>
      <c r="AW79" s="1287"/>
      <c r="AX79" s="1700">
        <v>99</v>
      </c>
      <c r="AY79" s="1283">
        <f>AX79*AW56/1000</f>
        <v>544.5</v>
      </c>
      <c r="BF79" s="166"/>
      <c r="BG79" s="167"/>
      <c r="BH79" s="243"/>
      <c r="BI79" s="166"/>
      <c r="BJ79" s="167"/>
      <c r="BK79" s="243"/>
      <c r="BM79" s="168"/>
      <c r="BN79" s="166"/>
      <c r="BO79" s="167"/>
      <c r="BP79" s="243"/>
      <c r="BQ79" s="166"/>
      <c r="BR79" s="167"/>
      <c r="BS79" s="243"/>
      <c r="BT79" s="166"/>
      <c r="BU79" s="167"/>
      <c r="BV79" s="243"/>
      <c r="BW79" s="166"/>
      <c r="BX79" s="167"/>
      <c r="BY79" s="243"/>
      <c r="BZ79" s="166"/>
      <c r="CA79" s="167"/>
      <c r="CB79" s="243"/>
      <c r="CD79" s="168"/>
      <c r="CE79" s="166"/>
      <c r="CF79" s="167"/>
      <c r="CG79" s="243"/>
      <c r="CH79" s="166"/>
      <c r="CI79" s="167"/>
      <c r="CJ79" s="243"/>
      <c r="CK79" s="166"/>
      <c r="CL79" s="167"/>
      <c r="CM79" s="243"/>
      <c r="CN79" s="166"/>
      <c r="CO79" s="167"/>
      <c r="CP79" s="243"/>
      <c r="CQ79" s="166"/>
      <c r="CR79" s="167"/>
      <c r="CS79" s="243"/>
      <c r="CU79" s="168"/>
      <c r="CV79" s="166"/>
      <c r="CW79" s="167"/>
      <c r="CX79" s="243"/>
      <c r="CY79" s="166"/>
      <c r="CZ79" s="243"/>
      <c r="DA79" s="243"/>
      <c r="DB79" s="166"/>
      <c r="DC79" s="167"/>
      <c r="DD79" s="243"/>
      <c r="DG79" s="242"/>
      <c r="DI79" s="242"/>
      <c r="DJ79" s="242"/>
      <c r="DK79" s="242"/>
      <c r="DL79" s="242"/>
      <c r="DN79"/>
      <c r="DO79"/>
      <c r="DP79"/>
      <c r="DQ79"/>
      <c r="DR79"/>
      <c r="DY79" s="196"/>
      <c r="DZ79" s="97"/>
      <c r="EA79" s="196"/>
      <c r="HU79" s="73"/>
      <c r="HV79" s="73"/>
      <c r="HW79" s="73"/>
      <c r="HX79" s="73"/>
      <c r="HY79" s="73"/>
      <c r="HZ79" s="168"/>
      <c r="IA79" s="168"/>
      <c r="IB79" s="241"/>
      <c r="IC79" s="241"/>
      <c r="ID79" s="73"/>
      <c r="IE79" s="73"/>
      <c r="IF79" s="73"/>
      <c r="IG79" s="252"/>
      <c r="IH79" s="242"/>
    </row>
    <row r="80" spans="1:242">
      <c r="A80"/>
      <c r="B80" s="251"/>
      <c r="C80" s="251"/>
      <c r="D80" s="196"/>
      <c r="E80" s="97"/>
      <c r="F80" s="1267"/>
      <c r="G80" s="1268"/>
      <c r="H80" s="1262" t="s">
        <v>1007</v>
      </c>
      <c r="I80" s="1287"/>
      <c r="J80" s="1701"/>
      <c r="K80" s="1283">
        <v>37</v>
      </c>
      <c r="L80" s="665"/>
      <c r="M80" s="1262" t="s">
        <v>1007</v>
      </c>
      <c r="N80" s="1287"/>
      <c r="O80" s="1701"/>
      <c r="P80" s="1283">
        <v>21</v>
      </c>
      <c r="Q80" s="665"/>
      <c r="R80" s="1262" t="s">
        <v>1007</v>
      </c>
      <c r="S80" s="1287"/>
      <c r="T80" s="1701"/>
      <c r="U80" s="1283">
        <v>30</v>
      </c>
      <c r="V80" s="665"/>
      <c r="W80" s="1262" t="s">
        <v>1007</v>
      </c>
      <c r="X80" s="1287"/>
      <c r="Y80" s="1701"/>
      <c r="Z80" s="1283">
        <v>16</v>
      </c>
      <c r="AA80" s="665"/>
      <c r="AB80" s="1262" t="s">
        <v>1007</v>
      </c>
      <c r="AC80" s="1287"/>
      <c r="AD80" s="1701"/>
      <c r="AE80" s="1283">
        <v>17</v>
      </c>
      <c r="AF80" s="665"/>
      <c r="AG80" s="1262" t="s">
        <v>1007</v>
      </c>
      <c r="AH80" s="1287"/>
      <c r="AI80" s="1701"/>
      <c r="AJ80" s="1283">
        <v>17</v>
      </c>
      <c r="AK80" s="665"/>
      <c r="AL80" s="1262" t="s">
        <v>1007</v>
      </c>
      <c r="AM80" s="1287"/>
      <c r="AN80" s="1701"/>
      <c r="AO80" s="1283">
        <v>59</v>
      </c>
      <c r="AP80" s="665"/>
      <c r="AQ80" s="1262" t="s">
        <v>1007</v>
      </c>
      <c r="AR80" s="1287"/>
      <c r="AS80" s="1701"/>
      <c r="AT80" s="1283">
        <v>28</v>
      </c>
      <c r="AU80" s="526"/>
      <c r="AV80" s="1262" t="s">
        <v>1007</v>
      </c>
      <c r="AW80" s="1287"/>
      <c r="AX80" s="1701"/>
      <c r="AY80" s="1283">
        <v>28</v>
      </c>
      <c r="BF80" s="166"/>
      <c r="BG80" s="167"/>
      <c r="BH80" s="243"/>
      <c r="BI80" s="166"/>
      <c r="BJ80" s="167"/>
      <c r="BK80" s="243"/>
      <c r="BM80" s="168"/>
      <c r="BN80" s="166"/>
      <c r="BO80" s="167"/>
      <c r="BP80" s="243"/>
      <c r="BQ80" s="166"/>
      <c r="BR80" s="167"/>
      <c r="BS80" s="243"/>
      <c r="BT80" s="166"/>
      <c r="BU80" s="167"/>
      <c r="BV80" s="243"/>
      <c r="BW80" s="166"/>
      <c r="BX80" s="167"/>
      <c r="BY80" s="243"/>
      <c r="BZ80" s="166"/>
      <c r="CA80" s="167"/>
      <c r="CB80" s="243"/>
      <c r="CD80" s="168"/>
      <c r="CE80" s="166"/>
      <c r="CF80" s="167"/>
      <c r="CG80" s="243"/>
      <c r="CH80" s="166"/>
      <c r="CI80" s="167"/>
      <c r="CJ80" s="243"/>
      <c r="CK80" s="166"/>
      <c r="CL80" s="167"/>
      <c r="CM80" s="243"/>
      <c r="CN80" s="166"/>
      <c r="CO80" s="167"/>
      <c r="CP80" s="243"/>
      <c r="CQ80" s="166"/>
      <c r="CR80" s="167"/>
      <c r="CS80" s="243"/>
      <c r="CU80" s="168"/>
      <c r="CV80" s="166"/>
      <c r="CW80" s="167"/>
      <c r="CX80" s="243"/>
      <c r="CY80" s="166"/>
      <c r="CZ80" s="243"/>
      <c r="DA80" s="243"/>
      <c r="DB80" s="166"/>
      <c r="DC80" s="167"/>
      <c r="DD80" s="243"/>
      <c r="DG80" s="242"/>
      <c r="DI80" s="242"/>
      <c r="DJ80" s="242"/>
      <c r="DK80" s="242"/>
      <c r="DL80" s="242"/>
      <c r="DN80"/>
      <c r="DO80"/>
      <c r="DP80"/>
      <c r="DQ80"/>
      <c r="DR80"/>
      <c r="DY80" s="196"/>
      <c r="DZ80" s="97"/>
      <c r="EA80" s="196"/>
      <c r="HU80" s="73"/>
      <c r="HV80" s="73"/>
      <c r="HW80" s="73"/>
      <c r="HX80" s="73"/>
      <c r="HY80" s="73"/>
      <c r="HZ80" s="168"/>
      <c r="IA80" s="168"/>
      <c r="IB80" s="241"/>
      <c r="IC80" s="241"/>
      <c r="ID80" s="73"/>
      <c r="IE80" s="73"/>
      <c r="IF80" s="73"/>
      <c r="IG80" s="252"/>
      <c r="IH80" s="242"/>
    </row>
    <row r="81" spans="1:242">
      <c r="A81"/>
      <c r="B81" s="251"/>
      <c r="C81" s="251"/>
      <c r="D81" s="196"/>
      <c r="E81" s="97"/>
      <c r="F81" s="1267"/>
      <c r="G81" s="1268"/>
      <c r="H81" s="1262" t="s">
        <v>474</v>
      </c>
      <c r="I81" s="1287" t="s">
        <v>475</v>
      </c>
      <c r="J81" s="1288"/>
      <c r="K81" s="1283">
        <v>522</v>
      </c>
      <c r="L81" s="665"/>
      <c r="M81" s="1262" t="s">
        <v>474</v>
      </c>
      <c r="N81" s="1287" t="s">
        <v>475</v>
      </c>
      <c r="O81" s="1288"/>
      <c r="P81" s="1283">
        <v>522</v>
      </c>
      <c r="Q81" s="665"/>
      <c r="R81" s="1262" t="s">
        <v>474</v>
      </c>
      <c r="S81" s="1287" t="s">
        <v>475</v>
      </c>
      <c r="T81" s="1288"/>
      <c r="U81" s="1283">
        <v>522</v>
      </c>
      <c r="V81" s="665"/>
      <c r="W81" s="1262" t="s">
        <v>474</v>
      </c>
      <c r="X81" s="1287" t="s">
        <v>475</v>
      </c>
      <c r="Y81" s="1288"/>
      <c r="Z81" s="1283">
        <v>417</v>
      </c>
      <c r="AA81" s="665"/>
      <c r="AB81" s="1262" t="s">
        <v>474</v>
      </c>
      <c r="AC81" s="1287" t="s">
        <v>475</v>
      </c>
      <c r="AD81" s="1288"/>
      <c r="AE81" s="1283">
        <v>522</v>
      </c>
      <c r="AF81" s="665"/>
      <c r="AG81" s="1262" t="s">
        <v>474</v>
      </c>
      <c r="AH81" s="1287" t="s">
        <v>475</v>
      </c>
      <c r="AI81" s="1288"/>
      <c r="AJ81" s="1283">
        <v>417</v>
      </c>
      <c r="AK81" s="665"/>
      <c r="AL81" s="1262" t="s">
        <v>474</v>
      </c>
      <c r="AM81" s="1287" t="s">
        <v>475</v>
      </c>
      <c r="AN81" s="1288"/>
      <c r="AO81" s="1283">
        <v>417</v>
      </c>
      <c r="AP81" s="665"/>
      <c r="AQ81" s="1262" t="s">
        <v>474</v>
      </c>
      <c r="AR81" s="1287" t="s">
        <v>475</v>
      </c>
      <c r="AS81" s="1288"/>
      <c r="AT81" s="1283">
        <v>417</v>
      </c>
      <c r="AU81" s="526"/>
      <c r="AV81" s="1262" t="s">
        <v>474</v>
      </c>
      <c r="AW81" s="1287" t="s">
        <v>475</v>
      </c>
      <c r="AX81" s="1288"/>
      <c r="AY81" s="1283">
        <v>417</v>
      </c>
      <c r="BF81" s="166"/>
      <c r="BG81" s="167"/>
      <c r="BH81" s="243"/>
      <c r="BI81" s="166"/>
      <c r="BJ81" s="167"/>
      <c r="BK81" s="243"/>
      <c r="BM81" s="168"/>
      <c r="BN81" s="166"/>
      <c r="BO81" s="167"/>
      <c r="BP81" s="243"/>
      <c r="BQ81" s="166"/>
      <c r="BR81" s="167"/>
      <c r="BS81" s="243"/>
      <c r="BT81" s="166"/>
      <c r="BU81" s="167"/>
      <c r="BV81" s="243"/>
      <c r="BW81" s="166"/>
      <c r="BX81" s="167"/>
      <c r="BY81" s="243"/>
      <c r="BZ81" s="166"/>
      <c r="CA81" s="167"/>
      <c r="CB81" s="243"/>
      <c r="CD81" s="168"/>
      <c r="CE81" s="166"/>
      <c r="CF81" s="167"/>
      <c r="CG81" s="243"/>
      <c r="CH81" s="166"/>
      <c r="CI81" s="167"/>
      <c r="CJ81" s="243"/>
      <c r="CK81" s="166"/>
      <c r="CL81" s="167"/>
      <c r="CM81" s="243"/>
      <c r="CN81" s="166"/>
      <c r="CO81" s="167"/>
      <c r="CP81" s="243"/>
      <c r="CQ81" s="166"/>
      <c r="CR81" s="167"/>
      <c r="CS81" s="243"/>
      <c r="CU81" s="168"/>
      <c r="CV81" s="166"/>
      <c r="CW81" s="167"/>
      <c r="CX81" s="243"/>
      <c r="CY81" s="166"/>
      <c r="CZ81" s="243"/>
      <c r="DA81" s="243"/>
      <c r="DB81" s="166"/>
      <c r="DC81" s="167"/>
      <c r="DD81" s="243"/>
      <c r="DG81" s="242"/>
      <c r="DI81" s="242"/>
      <c r="DJ81" s="242"/>
      <c r="DK81" s="242"/>
      <c r="DL81" s="242"/>
      <c r="DN81"/>
      <c r="DO81"/>
      <c r="DP81"/>
      <c r="DQ81"/>
      <c r="DR81"/>
      <c r="DY81" s="196"/>
      <c r="DZ81" s="97"/>
      <c r="EA81" s="196"/>
      <c r="HU81" s="73"/>
      <c r="HV81" s="73"/>
      <c r="HW81" s="73"/>
      <c r="HX81" s="73"/>
      <c r="HY81" s="73"/>
      <c r="HZ81" s="168"/>
      <c r="IA81" s="168"/>
      <c r="IB81" s="241"/>
      <c r="IC81" s="241"/>
      <c r="ID81" s="73"/>
      <c r="IE81" s="73"/>
      <c r="IF81" s="73"/>
      <c r="IG81" s="252"/>
      <c r="IH81" s="242"/>
    </row>
    <row r="82" spans="1:242">
      <c r="A82"/>
      <c r="B82" s="251"/>
      <c r="C82" s="251"/>
      <c r="D82" s="196"/>
      <c r="E82" s="97"/>
      <c r="F82" s="1267"/>
      <c r="G82" s="1268"/>
      <c r="H82" s="1262" t="s">
        <v>1827</v>
      </c>
      <c r="I82" s="1287" t="s">
        <v>475</v>
      </c>
      <c r="J82" s="1288"/>
      <c r="K82" s="1283">
        <v>347</v>
      </c>
      <c r="L82" s="665"/>
      <c r="M82" s="1262" t="s">
        <v>1827</v>
      </c>
      <c r="N82" s="1287" t="s">
        <v>475</v>
      </c>
      <c r="O82" s="1288"/>
      <c r="P82" s="1283">
        <v>648</v>
      </c>
      <c r="Q82" s="665"/>
      <c r="R82" s="1262" t="s">
        <v>1827</v>
      </c>
      <c r="S82" s="1287" t="s">
        <v>475</v>
      </c>
      <c r="T82" s="1288"/>
      <c r="U82" s="1283">
        <v>648</v>
      </c>
      <c r="V82" s="665"/>
      <c r="W82" s="1262" t="s">
        <v>1827</v>
      </c>
      <c r="X82" s="1287" t="s">
        <v>475</v>
      </c>
      <c r="Y82" s="1288"/>
      <c r="Z82" s="1283">
        <v>612</v>
      </c>
      <c r="AA82" s="665"/>
      <c r="AB82" s="1262" t="s">
        <v>1827</v>
      </c>
      <c r="AC82" s="1287" t="s">
        <v>475</v>
      </c>
      <c r="AD82" s="1288"/>
      <c r="AE82" s="1283">
        <v>628</v>
      </c>
      <c r="AF82" s="665"/>
      <c r="AG82" s="1262" t="s">
        <v>1827</v>
      </c>
      <c r="AH82" s="1287" t="s">
        <v>475</v>
      </c>
      <c r="AI82" s="1288"/>
      <c r="AJ82" s="1283">
        <v>628</v>
      </c>
      <c r="AK82" s="665"/>
      <c r="AL82" s="1262" t="s">
        <v>1827</v>
      </c>
      <c r="AM82" s="1287" t="s">
        <v>475</v>
      </c>
      <c r="AN82" s="1288"/>
      <c r="AO82" s="1283">
        <v>628</v>
      </c>
      <c r="AP82" s="665"/>
      <c r="AQ82" s="1262" t="s">
        <v>1827</v>
      </c>
      <c r="AR82" s="1287" t="s">
        <v>475</v>
      </c>
      <c r="AS82" s="1288"/>
      <c r="AT82" s="1283">
        <v>628</v>
      </c>
      <c r="AU82" s="526"/>
      <c r="AV82" s="1262" t="s">
        <v>1827</v>
      </c>
      <c r="AW82" s="1287" t="s">
        <v>475</v>
      </c>
      <c r="AX82" s="1288"/>
      <c r="AY82" s="1283">
        <v>628</v>
      </c>
      <c r="BF82" s="166"/>
      <c r="BG82" s="167"/>
      <c r="BH82" s="243"/>
      <c r="BI82" s="166"/>
      <c r="BJ82" s="167"/>
      <c r="BK82" s="243"/>
      <c r="BM82" s="168"/>
      <c r="BN82" s="166"/>
      <c r="BO82" s="167"/>
      <c r="BP82" s="243"/>
      <c r="BQ82" s="166"/>
      <c r="BR82" s="167"/>
      <c r="BS82" s="243"/>
      <c r="BT82" s="166"/>
      <c r="BU82" s="167"/>
      <c r="BV82" s="243"/>
      <c r="BW82" s="166"/>
      <c r="BX82" s="167"/>
      <c r="BY82" s="243"/>
      <c r="BZ82" s="166"/>
      <c r="CA82" s="167"/>
      <c r="CB82" s="243"/>
      <c r="CD82" s="168"/>
      <c r="CE82" s="166"/>
      <c r="CF82" s="167"/>
      <c r="CG82" s="243"/>
      <c r="CH82" s="166"/>
      <c r="CI82" s="167"/>
      <c r="CJ82" s="243"/>
      <c r="CK82" s="166"/>
      <c r="CL82" s="167"/>
      <c r="CM82" s="243"/>
      <c r="CN82" s="166"/>
      <c r="CO82" s="167"/>
      <c r="CP82" s="243"/>
      <c r="CQ82" s="166"/>
      <c r="CR82" s="167"/>
      <c r="CS82" s="243"/>
      <c r="CU82" s="168"/>
      <c r="CV82" s="166"/>
      <c r="CW82" s="167"/>
      <c r="CX82" s="243"/>
      <c r="CY82" s="166"/>
      <c r="CZ82" s="243"/>
      <c r="DA82" s="243"/>
      <c r="DB82" s="166"/>
      <c r="DC82" s="167"/>
      <c r="DD82" s="243"/>
      <c r="DG82" s="242"/>
      <c r="DI82" s="242"/>
      <c r="DJ82" s="242"/>
      <c r="DK82" s="242"/>
      <c r="DL82" s="242"/>
      <c r="DN82"/>
      <c r="DO82"/>
      <c r="DP82"/>
      <c r="DQ82"/>
      <c r="DR82"/>
      <c r="DY82" s="196"/>
      <c r="DZ82" s="97"/>
      <c r="EA82" s="196"/>
      <c r="HU82" s="73"/>
      <c r="HV82" s="73"/>
      <c r="HW82" s="73"/>
      <c r="HX82" s="73"/>
      <c r="HY82" s="73"/>
      <c r="HZ82" s="168"/>
      <c r="IA82" s="168"/>
      <c r="IB82" s="241"/>
      <c r="IC82" s="241"/>
      <c r="ID82" s="73"/>
      <c r="IE82" s="73"/>
      <c r="IF82" s="73"/>
      <c r="IG82" s="252"/>
      <c r="IH82" s="242"/>
    </row>
    <row r="83" spans="1:242">
      <c r="A83"/>
      <c r="B83" s="251"/>
      <c r="C83" s="251"/>
      <c r="D83" s="196"/>
      <c r="E83" s="97"/>
      <c r="F83" s="1267"/>
      <c r="G83" s="1268"/>
      <c r="H83" s="1262" t="s">
        <v>1825</v>
      </c>
      <c r="I83" s="1287" t="s">
        <v>1826</v>
      </c>
      <c r="J83" s="1288"/>
      <c r="K83" s="1283">
        <v>69</v>
      </c>
      <c r="L83" s="665"/>
      <c r="M83" s="1262" t="s">
        <v>1825</v>
      </c>
      <c r="N83" s="1287" t="s">
        <v>1826</v>
      </c>
      <c r="O83" s="1288"/>
      <c r="P83" s="1283">
        <v>69</v>
      </c>
      <c r="Q83" s="665"/>
      <c r="R83" s="1262" t="s">
        <v>1825</v>
      </c>
      <c r="S83" s="1287" t="s">
        <v>1826</v>
      </c>
      <c r="T83" s="1288"/>
      <c r="U83" s="1283">
        <v>69</v>
      </c>
      <c r="V83" s="665"/>
      <c r="W83" s="1262" t="s">
        <v>1825</v>
      </c>
      <c r="X83" s="1287" t="s">
        <v>1826</v>
      </c>
      <c r="Y83" s="1288"/>
      <c r="Z83" s="1283">
        <v>69</v>
      </c>
      <c r="AA83" s="665"/>
      <c r="AB83" s="1262" t="s">
        <v>1825</v>
      </c>
      <c r="AC83" s="1287" t="s">
        <v>1826</v>
      </c>
      <c r="AD83" s="1288"/>
      <c r="AE83" s="1283">
        <v>69</v>
      </c>
      <c r="AF83" s="665"/>
      <c r="AG83" s="1262" t="s">
        <v>1825</v>
      </c>
      <c r="AH83" s="1287" t="s">
        <v>1826</v>
      </c>
      <c r="AI83" s="1288"/>
      <c r="AJ83" s="1283">
        <v>69</v>
      </c>
      <c r="AK83" s="665"/>
      <c r="AL83" s="1262" t="s">
        <v>1825</v>
      </c>
      <c r="AM83" s="1287" t="s">
        <v>1826</v>
      </c>
      <c r="AN83" s="1288"/>
      <c r="AO83" s="1283">
        <v>69</v>
      </c>
      <c r="AP83" s="665"/>
      <c r="AQ83" s="1262" t="s">
        <v>1825</v>
      </c>
      <c r="AR83" s="1287" t="s">
        <v>1826</v>
      </c>
      <c r="AS83" s="1288"/>
      <c r="AT83" s="1283">
        <v>69</v>
      </c>
      <c r="AU83" s="526"/>
      <c r="AV83" s="1262" t="s">
        <v>1825</v>
      </c>
      <c r="AW83" s="1287" t="s">
        <v>1826</v>
      </c>
      <c r="AX83" s="1288"/>
      <c r="AY83" s="1283">
        <v>69</v>
      </c>
      <c r="BF83" s="166"/>
      <c r="BG83" s="167"/>
      <c r="BH83" s="243"/>
      <c r="BI83" s="166"/>
      <c r="BJ83" s="167"/>
      <c r="BK83" s="243"/>
      <c r="BM83" s="168"/>
      <c r="BN83" s="166"/>
      <c r="BO83" s="167"/>
      <c r="BP83" s="243"/>
      <c r="BQ83" s="166"/>
      <c r="BR83" s="167"/>
      <c r="BS83" s="243"/>
      <c r="BT83" s="166"/>
      <c r="BU83" s="167"/>
      <c r="BV83" s="243"/>
      <c r="BW83" s="166"/>
      <c r="BX83" s="167"/>
      <c r="BY83" s="243"/>
      <c r="BZ83" s="166"/>
      <c r="CA83" s="167"/>
      <c r="CB83" s="243"/>
      <c r="CD83" s="168"/>
      <c r="CE83" s="166"/>
      <c r="CF83" s="167"/>
      <c r="CG83" s="243"/>
      <c r="CH83" s="166"/>
      <c r="CI83" s="167"/>
      <c r="CJ83" s="243"/>
      <c r="CK83" s="166"/>
      <c r="CL83" s="167"/>
      <c r="CM83" s="243"/>
      <c r="CN83" s="166"/>
      <c r="CO83" s="167"/>
      <c r="CP83" s="243"/>
      <c r="CQ83" s="166"/>
      <c r="CR83" s="167"/>
      <c r="CS83" s="243"/>
      <c r="CU83" s="168"/>
      <c r="CV83" s="166"/>
      <c r="CW83" s="167"/>
      <c r="CX83" s="243"/>
      <c r="CY83" s="166"/>
      <c r="CZ83" s="243"/>
      <c r="DA83" s="243"/>
      <c r="DB83" s="166"/>
      <c r="DC83" s="167"/>
      <c r="DD83" s="243"/>
      <c r="DG83" s="242"/>
      <c r="DI83" s="242"/>
      <c r="DJ83" s="242"/>
      <c r="DK83" s="242"/>
      <c r="DL83" s="242"/>
      <c r="DN83"/>
      <c r="DO83"/>
      <c r="DP83"/>
      <c r="DQ83"/>
      <c r="DR83"/>
      <c r="DY83" s="196"/>
      <c r="DZ83" s="97"/>
      <c r="EA83" s="196"/>
      <c r="HU83" s="73"/>
      <c r="HV83" s="73"/>
      <c r="HW83" s="73"/>
      <c r="HX83" s="73"/>
      <c r="HY83" s="73"/>
      <c r="HZ83" s="168"/>
      <c r="IA83" s="168"/>
      <c r="IB83" s="241"/>
      <c r="IC83" s="241"/>
      <c r="ID83" s="73"/>
      <c r="IE83" s="73"/>
      <c r="IF83" s="73"/>
      <c r="IG83" s="252"/>
      <c r="IH83" s="242"/>
    </row>
    <row r="84" spans="1:242">
      <c r="A84"/>
      <c r="B84" s="251"/>
      <c r="C84" s="251"/>
      <c r="D84" s="196"/>
      <c r="E84" s="97"/>
      <c r="F84" s="1267"/>
      <c r="G84" s="1268"/>
      <c r="H84" s="1262"/>
      <c r="I84" s="1287"/>
      <c r="J84" s="1270"/>
      <c r="K84" s="1283"/>
      <c r="L84" s="665"/>
      <c r="M84" s="1262"/>
      <c r="N84" s="1287"/>
      <c r="O84" s="1270"/>
      <c r="P84" s="1283"/>
      <c r="Q84" s="665"/>
      <c r="R84" s="1262"/>
      <c r="S84" s="1287"/>
      <c r="T84" s="1270"/>
      <c r="U84" s="1283"/>
      <c r="V84" s="665"/>
      <c r="W84" s="1262"/>
      <c r="X84" s="1287"/>
      <c r="Y84" s="1270"/>
      <c r="Z84" s="1283"/>
      <c r="AA84" s="665"/>
      <c r="AB84" s="1262"/>
      <c r="AC84" s="1287"/>
      <c r="AD84" s="1270"/>
      <c r="AE84" s="1283"/>
      <c r="AF84" s="665"/>
      <c r="AG84" s="1262"/>
      <c r="AH84" s="1287"/>
      <c r="AI84" s="1270"/>
      <c r="AJ84" s="1283"/>
      <c r="AK84" s="665"/>
      <c r="AL84" s="1262"/>
      <c r="AM84" s="1287"/>
      <c r="AN84" s="1270"/>
      <c r="AO84" s="1283"/>
      <c r="AP84" s="665"/>
      <c r="AQ84" s="1262"/>
      <c r="AR84" s="1287"/>
      <c r="AS84" s="1270"/>
      <c r="AT84" s="1283"/>
      <c r="AU84" s="526"/>
      <c r="AV84" s="1262"/>
      <c r="AW84" s="1287"/>
      <c r="AX84" s="1270"/>
      <c r="AY84" s="1283"/>
      <c r="BF84" s="166"/>
      <c r="BG84" s="167"/>
      <c r="BH84" s="243"/>
      <c r="BI84" s="166"/>
      <c r="BJ84" s="167"/>
      <c r="BK84" s="243"/>
      <c r="BM84" s="168"/>
      <c r="BN84" s="166"/>
      <c r="BO84" s="167"/>
      <c r="BP84" s="243"/>
      <c r="BQ84" s="166"/>
      <c r="BR84" s="167"/>
      <c r="BS84" s="243"/>
      <c r="BT84" s="166"/>
      <c r="BU84" s="167"/>
      <c r="BV84" s="243"/>
      <c r="BW84" s="166"/>
      <c r="BX84" s="167"/>
      <c r="BY84" s="243"/>
      <c r="BZ84" s="166"/>
      <c r="CA84" s="167"/>
      <c r="CB84" s="243"/>
      <c r="CD84" s="168"/>
      <c r="CE84" s="166"/>
      <c r="CF84" s="167"/>
      <c r="CG84" s="243"/>
      <c r="CH84" s="166"/>
      <c r="CI84" s="167"/>
      <c r="CJ84" s="243"/>
      <c r="CK84" s="166"/>
      <c r="CL84" s="167"/>
      <c r="CM84" s="243"/>
      <c r="CN84" s="166"/>
      <c r="CO84" s="167"/>
      <c r="CP84" s="243"/>
      <c r="CQ84" s="166"/>
      <c r="CR84" s="167"/>
      <c r="CS84" s="243"/>
      <c r="CU84" s="168"/>
      <c r="CV84" s="166"/>
      <c r="CW84" s="167"/>
      <c r="CX84" s="243"/>
      <c r="CY84" s="166"/>
      <c r="CZ84" s="243"/>
      <c r="DA84" s="243"/>
      <c r="DB84" s="166"/>
      <c r="DC84" s="167"/>
      <c r="DD84" s="243"/>
      <c r="DG84" s="242"/>
      <c r="DI84" s="242"/>
      <c r="DJ84" s="242"/>
      <c r="DK84" s="242"/>
      <c r="DL84" s="242"/>
      <c r="DN84"/>
      <c r="DO84"/>
      <c r="DP84"/>
      <c r="DQ84"/>
      <c r="DR84"/>
      <c r="DY84" s="196"/>
      <c r="DZ84" s="97"/>
      <c r="EA84" s="196"/>
      <c r="HU84" s="73"/>
      <c r="HV84" s="73"/>
      <c r="HW84" s="73"/>
      <c r="HX84" s="73"/>
      <c r="HY84" s="73"/>
      <c r="HZ84" s="168"/>
      <c r="IA84" s="168"/>
      <c r="IB84" s="241"/>
      <c r="IC84" s="241"/>
      <c r="ID84" s="73"/>
      <c r="IE84" s="73"/>
      <c r="IF84" s="73"/>
      <c r="IG84" s="252"/>
      <c r="IH84" s="242"/>
    </row>
    <row r="85" spans="1:242">
      <c r="A85" s="196"/>
      <c r="B85" s="97"/>
      <c r="C85" s="97"/>
      <c r="D85" s="196"/>
      <c r="E85" s="97"/>
      <c r="F85" s="1267"/>
      <c r="G85" s="1268"/>
      <c r="H85" s="1273" t="s">
        <v>471</v>
      </c>
      <c r="I85" s="1274"/>
      <c r="J85" s="1291"/>
      <c r="K85" s="1292">
        <f>SUM(K62:K84)</f>
        <v>5603.42</v>
      </c>
      <c r="L85" s="665"/>
      <c r="M85" s="1273" t="s">
        <v>471</v>
      </c>
      <c r="N85" s="1274"/>
      <c r="O85" s="1291"/>
      <c r="P85" s="1292">
        <f>SUM(P62:P84)</f>
        <v>5779.8050000000003</v>
      </c>
      <c r="Q85" s="665"/>
      <c r="R85" s="1273" t="s">
        <v>471</v>
      </c>
      <c r="S85" s="1274"/>
      <c r="T85" s="1291"/>
      <c r="U85" s="1292">
        <f>SUM(U62:U84)</f>
        <v>5200.88</v>
      </c>
      <c r="V85" s="665"/>
      <c r="W85" s="1273" t="s">
        <v>471</v>
      </c>
      <c r="X85" s="1274"/>
      <c r="Y85" s="1291"/>
      <c r="Z85" s="1292">
        <f>SUM(Z62:Z84)</f>
        <v>4597.7299999999996</v>
      </c>
      <c r="AA85" s="665"/>
      <c r="AB85" s="1273" t="s">
        <v>471</v>
      </c>
      <c r="AC85" s="1274"/>
      <c r="AD85" s="1291"/>
      <c r="AE85" s="1292">
        <f>SUM(AE62:AE84)</f>
        <v>4580.7299999999996</v>
      </c>
      <c r="AF85" s="665"/>
      <c r="AG85" s="1273" t="s">
        <v>471</v>
      </c>
      <c r="AH85" s="1274"/>
      <c r="AI85" s="1291"/>
      <c r="AJ85" s="1292">
        <f>SUM(AJ62:AJ84)</f>
        <v>3874.4849999999997</v>
      </c>
      <c r="AK85" s="665"/>
      <c r="AL85" s="1273" t="s">
        <v>471</v>
      </c>
      <c r="AM85" s="1274"/>
      <c r="AN85" s="1291"/>
      <c r="AO85" s="1292">
        <f>SUM(AO62:AO84)</f>
        <v>3957.835</v>
      </c>
      <c r="AP85" s="665"/>
      <c r="AQ85" s="1273" t="s">
        <v>471</v>
      </c>
      <c r="AR85" s="1274"/>
      <c r="AS85" s="1291"/>
      <c r="AT85" s="1292">
        <f>SUM(AT62:AT84)</f>
        <v>4775.4500000000007</v>
      </c>
      <c r="AU85" s="665"/>
      <c r="AV85" s="1273" t="s">
        <v>471</v>
      </c>
      <c r="AW85" s="1274"/>
      <c r="AX85" s="1291"/>
      <c r="AY85" s="1292">
        <f>SUM(AY62:AY84)</f>
        <v>3845.0349999999999</v>
      </c>
      <c r="BF85" s="166"/>
      <c r="BG85" s="167"/>
      <c r="BH85" s="247"/>
      <c r="BI85" s="166"/>
      <c r="BJ85" s="167"/>
      <c r="BK85" s="247"/>
      <c r="BM85" s="168"/>
      <c r="BN85" s="166"/>
      <c r="BO85" s="167"/>
      <c r="BP85" s="247"/>
      <c r="BQ85" s="166"/>
      <c r="BR85" s="167"/>
      <c r="BS85" s="247"/>
      <c r="BT85" s="166"/>
      <c r="BU85" s="167"/>
      <c r="BV85" s="247"/>
      <c r="BW85" s="166"/>
      <c r="BX85" s="167"/>
      <c r="BY85" s="247"/>
      <c r="BZ85" s="166"/>
      <c r="CA85" s="167"/>
      <c r="CB85" s="247"/>
      <c r="CD85" s="168"/>
      <c r="CE85" s="166"/>
      <c r="CF85" s="167"/>
      <c r="CG85" s="247"/>
      <c r="CH85" s="166"/>
      <c r="CI85" s="167"/>
      <c r="CJ85" s="247"/>
      <c r="CK85" s="166"/>
      <c r="CL85" s="167"/>
      <c r="CM85" s="247"/>
      <c r="CN85" s="166"/>
      <c r="CO85" s="167"/>
      <c r="CP85" s="247"/>
      <c r="CQ85" s="166"/>
      <c r="CR85" s="167"/>
      <c r="CS85" s="247"/>
      <c r="CU85" s="168"/>
      <c r="CV85" s="166"/>
      <c r="CW85" s="167"/>
      <c r="CX85" s="247"/>
      <c r="CY85" s="166"/>
      <c r="CZ85" s="167"/>
      <c r="DA85" s="247"/>
      <c r="DB85" s="166"/>
      <c r="DC85" s="167"/>
      <c r="DD85" s="247"/>
      <c r="DG85" s="242"/>
      <c r="DI85" s="242"/>
      <c r="DJ85" s="242"/>
      <c r="DK85" s="242"/>
      <c r="DL85" s="242"/>
      <c r="DM85" s="242"/>
      <c r="DN85"/>
      <c r="DO85"/>
      <c r="DP85"/>
      <c r="DQ85"/>
      <c r="DR85"/>
      <c r="DY85" s="196"/>
      <c r="DZ85" s="97"/>
      <c r="HU85" s="73"/>
      <c r="HV85" s="73"/>
      <c r="HW85" s="73"/>
      <c r="HX85" s="73"/>
      <c r="HY85" s="73"/>
      <c r="HZ85" s="168"/>
      <c r="IA85" s="166"/>
      <c r="IB85" s="167"/>
      <c r="IC85" s="243"/>
      <c r="ID85" s="234"/>
      <c r="IE85" s="234"/>
      <c r="IF85" s="234"/>
      <c r="IG85" s="252"/>
      <c r="IH85" s="242"/>
    </row>
    <row r="86" spans="1:242">
      <c r="A86" s="196"/>
      <c r="B86" s="97"/>
      <c r="C86" s="97"/>
      <c r="D86" s="196"/>
      <c r="E86" s="97"/>
      <c r="F86" s="1267"/>
      <c r="G86" s="1268"/>
      <c r="H86" s="1262" t="s">
        <v>426</v>
      </c>
      <c r="I86" s="1287" t="s">
        <v>472</v>
      </c>
      <c r="J86" s="1264"/>
      <c r="K86" s="1283">
        <v>69</v>
      </c>
      <c r="L86" s="665"/>
      <c r="M86" s="1262" t="s">
        <v>426</v>
      </c>
      <c r="N86" s="1287" t="s">
        <v>472</v>
      </c>
      <c r="O86" s="1264"/>
      <c r="P86" s="1283">
        <v>604.20000000000005</v>
      </c>
      <c r="Q86" s="665"/>
      <c r="R86" s="1262" t="s">
        <v>426</v>
      </c>
      <c r="S86" s="1287" t="s">
        <v>472</v>
      </c>
      <c r="T86" s="1264"/>
      <c r="U86" s="1283">
        <v>99</v>
      </c>
      <c r="V86" s="665"/>
      <c r="W86" s="1262" t="s">
        <v>426</v>
      </c>
      <c r="X86" s="1287" t="s">
        <v>472</v>
      </c>
      <c r="Y86" s="1264"/>
      <c r="Z86" s="1283">
        <v>65</v>
      </c>
      <c r="AA86" s="665"/>
      <c r="AB86" s="1262" t="s">
        <v>426</v>
      </c>
      <c r="AC86" s="1287" t="s">
        <v>472</v>
      </c>
      <c r="AD86" s="1264"/>
      <c r="AE86" s="1283">
        <v>62</v>
      </c>
      <c r="AF86" s="665"/>
      <c r="AG86" s="1262" t="s">
        <v>426</v>
      </c>
      <c r="AH86" s="1287" t="s">
        <v>472</v>
      </c>
      <c r="AI86" s="1264"/>
      <c r="AJ86" s="1283">
        <v>42</v>
      </c>
      <c r="AK86" s="665"/>
      <c r="AL86" s="1262" t="s">
        <v>426</v>
      </c>
      <c r="AM86" s="1287" t="s">
        <v>472</v>
      </c>
      <c r="AN86" s="1264"/>
      <c r="AO86" s="1283">
        <v>42</v>
      </c>
      <c r="AP86" s="665"/>
      <c r="AQ86" s="1262" t="s">
        <v>426</v>
      </c>
      <c r="AR86" s="1287" t="s">
        <v>472</v>
      </c>
      <c r="AS86" s="1264"/>
      <c r="AT86" s="1283">
        <v>81</v>
      </c>
      <c r="AU86" s="665"/>
      <c r="AV86" s="1262" t="s">
        <v>426</v>
      </c>
      <c r="AW86" s="1287" t="s">
        <v>472</v>
      </c>
      <c r="AX86" s="1264"/>
      <c r="AY86" s="1283">
        <v>43</v>
      </c>
      <c r="BF86" s="166"/>
      <c r="BG86" s="167"/>
      <c r="BH86" s="243"/>
      <c r="BI86" s="166"/>
      <c r="BJ86" s="167"/>
      <c r="BK86" s="243"/>
      <c r="BM86" s="168"/>
      <c r="BN86" s="166"/>
      <c r="BO86" s="166"/>
      <c r="BP86" s="243"/>
      <c r="BQ86" s="166"/>
      <c r="BR86" s="166"/>
      <c r="BS86" s="243"/>
      <c r="BT86" s="166"/>
      <c r="BU86" s="166"/>
      <c r="BV86" s="243"/>
      <c r="BW86" s="166"/>
      <c r="BX86" s="167"/>
      <c r="BY86" s="243"/>
      <c r="BZ86" s="166"/>
      <c r="CA86" s="167"/>
      <c r="CB86" s="243"/>
      <c r="CD86" s="168"/>
      <c r="CE86" s="166"/>
      <c r="CF86" s="167"/>
      <c r="CG86" s="243"/>
      <c r="CH86" s="166"/>
      <c r="CI86" s="167"/>
      <c r="CJ86" s="243"/>
      <c r="CK86" s="166"/>
      <c r="CL86" s="166"/>
      <c r="CM86" s="243"/>
      <c r="CN86" s="166"/>
      <c r="CO86" s="167"/>
      <c r="CP86" s="243"/>
      <c r="CQ86" s="166"/>
      <c r="CR86" s="167"/>
      <c r="CS86" s="243"/>
      <c r="CU86" s="168"/>
      <c r="CV86" s="166"/>
      <c r="CW86" s="167"/>
      <c r="CX86" s="243"/>
      <c r="CY86" s="166"/>
      <c r="CZ86" s="167"/>
      <c r="DA86" s="243"/>
      <c r="DB86" s="166"/>
      <c r="DC86" s="167"/>
      <c r="DD86" s="243"/>
      <c r="DG86" s="242"/>
      <c r="DI86" s="242"/>
      <c r="DJ86" s="242"/>
      <c r="DK86" s="242"/>
      <c r="DL86" s="242"/>
      <c r="DM86" s="242"/>
      <c r="DN86"/>
      <c r="DO86"/>
      <c r="DP86"/>
      <c r="DQ86"/>
      <c r="DR86"/>
      <c r="DY86" s="196"/>
      <c r="DZ86" s="97"/>
      <c r="EA86" s="196"/>
      <c r="HU86" s="73"/>
      <c r="HV86" s="73"/>
      <c r="HW86" s="73"/>
      <c r="HX86" s="73"/>
      <c r="HY86" s="73"/>
      <c r="HZ86" s="246"/>
      <c r="IA86" s="166"/>
      <c r="IB86" s="167"/>
      <c r="IC86" s="243"/>
      <c r="ID86" s="73"/>
      <c r="IE86" s="73"/>
      <c r="IF86" s="73"/>
      <c r="IG86" s="252"/>
      <c r="IH86" s="242"/>
    </row>
    <row r="87" spans="1:242">
      <c r="A87" s="196"/>
      <c r="B87" s="97"/>
      <c r="C87" s="254"/>
      <c r="D87" s="196"/>
      <c r="E87" s="97"/>
      <c r="F87" s="1247"/>
      <c r="G87" s="1268"/>
      <c r="H87" s="1262" t="s">
        <v>476</v>
      </c>
      <c r="I87" s="1287">
        <v>4.0999999999999996</v>
      </c>
      <c r="J87" s="1288">
        <v>232</v>
      </c>
      <c r="K87" s="1283">
        <f>J87*I87</f>
        <v>951.19999999999993</v>
      </c>
      <c r="L87" s="665"/>
      <c r="M87" s="1262" t="s">
        <v>476</v>
      </c>
      <c r="N87" s="1287">
        <v>4.2</v>
      </c>
      <c r="O87" s="1288">
        <v>232</v>
      </c>
      <c r="P87" s="1283">
        <f>O87*N87</f>
        <v>974.40000000000009</v>
      </c>
      <c r="Q87" s="665"/>
      <c r="R87" s="1262" t="s">
        <v>476</v>
      </c>
      <c r="S87" s="1287">
        <v>4.0999999999999996</v>
      </c>
      <c r="T87" s="1288">
        <v>232</v>
      </c>
      <c r="U87" s="1283">
        <f>T87*S87</f>
        <v>951.19999999999993</v>
      </c>
      <c r="V87" s="665"/>
      <c r="W87" s="1262" t="s">
        <v>476</v>
      </c>
      <c r="X87" s="1287">
        <v>3.9</v>
      </c>
      <c r="Y87" s="1288">
        <v>232</v>
      </c>
      <c r="Z87" s="1283">
        <f>Y87*X87</f>
        <v>904.8</v>
      </c>
      <c r="AA87" s="665"/>
      <c r="AB87" s="1262" t="s">
        <v>476</v>
      </c>
      <c r="AC87" s="1287">
        <v>4</v>
      </c>
      <c r="AD87" s="1288">
        <v>232</v>
      </c>
      <c r="AE87" s="1283">
        <f>AD87*AC87</f>
        <v>928</v>
      </c>
      <c r="AF87" s="665"/>
      <c r="AG87" s="1262" t="s">
        <v>476</v>
      </c>
      <c r="AH87" s="1287">
        <v>3.5</v>
      </c>
      <c r="AI87" s="1288">
        <v>232</v>
      </c>
      <c r="AJ87" s="1283">
        <f>AI87*AH87</f>
        <v>812</v>
      </c>
      <c r="AK87" s="665"/>
      <c r="AL87" s="1262" t="s">
        <v>476</v>
      </c>
      <c r="AM87" s="1287">
        <v>3.9</v>
      </c>
      <c r="AN87" s="1288">
        <v>232</v>
      </c>
      <c r="AO87" s="1283">
        <f>AN87*AM87</f>
        <v>904.8</v>
      </c>
      <c r="AP87" s="665"/>
      <c r="AQ87" s="1262" t="s">
        <v>476</v>
      </c>
      <c r="AR87" s="1287">
        <v>3.9</v>
      </c>
      <c r="AS87" s="1288">
        <v>232</v>
      </c>
      <c r="AT87" s="1283">
        <f>AS87*AR87</f>
        <v>904.8</v>
      </c>
      <c r="AU87" s="665"/>
      <c r="AV87" s="1262" t="s">
        <v>476</v>
      </c>
      <c r="AW87" s="1287">
        <v>3.9</v>
      </c>
      <c r="AX87" s="1288">
        <v>232</v>
      </c>
      <c r="AY87" s="1283">
        <f>AX87*AW87</f>
        <v>904.8</v>
      </c>
      <c r="BF87" s="166"/>
      <c r="BG87" s="167"/>
      <c r="BH87" s="243"/>
      <c r="BI87" s="166"/>
      <c r="BJ87" s="167"/>
      <c r="BK87" s="243"/>
      <c r="BM87" s="168"/>
      <c r="BN87" s="166"/>
      <c r="BO87" s="167"/>
      <c r="BP87" s="243"/>
      <c r="BQ87" s="166"/>
      <c r="BR87" s="167"/>
      <c r="BS87" s="243"/>
      <c r="BT87" s="166"/>
      <c r="BU87" s="167"/>
      <c r="BV87" s="243"/>
      <c r="BW87" s="166"/>
      <c r="BX87" s="167"/>
      <c r="BY87" s="243"/>
      <c r="BZ87" s="166"/>
      <c r="CA87" s="167"/>
      <c r="CB87" s="243"/>
      <c r="CD87" s="168"/>
      <c r="CE87" s="166"/>
      <c r="CF87" s="167"/>
      <c r="CG87" s="243"/>
      <c r="CH87" s="166"/>
      <c r="CI87" s="167"/>
      <c r="CJ87" s="243"/>
      <c r="CK87" s="166"/>
      <c r="CL87" s="167"/>
      <c r="CM87" s="243"/>
      <c r="CN87" s="166"/>
      <c r="CO87" s="167"/>
      <c r="CP87" s="243"/>
      <c r="CQ87" s="166"/>
      <c r="CR87" s="167"/>
      <c r="CS87" s="243"/>
      <c r="CU87" s="168"/>
      <c r="CV87" s="166"/>
      <c r="CW87" s="167"/>
      <c r="CX87" s="243"/>
      <c r="CY87" s="166"/>
      <c r="CZ87" s="167"/>
      <c r="DA87" s="243"/>
      <c r="DB87" s="166"/>
      <c r="DC87" s="167"/>
      <c r="DD87" s="243"/>
      <c r="DG87" s="242"/>
      <c r="DI87" s="242"/>
      <c r="DJ87" s="242"/>
      <c r="DK87" s="242"/>
      <c r="DL87" s="242"/>
      <c r="DM87" s="242"/>
      <c r="DN87"/>
      <c r="DO87"/>
      <c r="DP87"/>
      <c r="DQ87"/>
      <c r="DR87"/>
      <c r="DY87" s="196"/>
      <c r="DZ87" s="97"/>
      <c r="EA87" s="196"/>
      <c r="HU87" s="73"/>
      <c r="HV87" s="73"/>
      <c r="HW87" s="73"/>
      <c r="HX87" s="73"/>
      <c r="HY87" s="73"/>
      <c r="HZ87" s="168"/>
      <c r="IA87" s="166"/>
      <c r="IB87" s="167"/>
      <c r="IC87" s="243"/>
      <c r="ID87" s="73"/>
      <c r="IE87" s="73"/>
      <c r="IF87" s="73"/>
      <c r="IG87" s="73"/>
      <c r="IH87" s="242"/>
    </row>
    <row r="88" spans="1:242">
      <c r="A88" s="196"/>
      <c r="B88" s="97"/>
      <c r="C88" s="97"/>
      <c r="D88" s="196"/>
      <c r="E88" s="97"/>
      <c r="F88" s="1267"/>
      <c r="G88" s="1268"/>
      <c r="H88" s="1258"/>
      <c r="I88" s="1272"/>
      <c r="J88" s="1270"/>
      <c r="K88" s="1271"/>
      <c r="L88" s="665"/>
      <c r="M88" s="1258"/>
      <c r="N88" s="1272"/>
      <c r="O88" s="1270"/>
      <c r="P88" s="1271"/>
      <c r="Q88" s="665"/>
      <c r="R88" s="1258"/>
      <c r="S88" s="1272"/>
      <c r="T88" s="1270"/>
      <c r="U88" s="1271"/>
      <c r="V88" s="665"/>
      <c r="W88" s="1258"/>
      <c r="X88" s="1272"/>
      <c r="Y88" s="1270"/>
      <c r="Z88" s="1271"/>
      <c r="AA88" s="665"/>
      <c r="AB88" s="1258"/>
      <c r="AC88" s="1272"/>
      <c r="AD88" s="1270"/>
      <c r="AE88" s="1271"/>
      <c r="AF88" s="665"/>
      <c r="AG88" s="1258"/>
      <c r="AH88" s="1272"/>
      <c r="AI88" s="1270"/>
      <c r="AJ88" s="1271"/>
      <c r="AK88" s="665"/>
      <c r="AL88" s="1258"/>
      <c r="AM88" s="1272"/>
      <c r="AN88" s="1270"/>
      <c r="AO88" s="1271"/>
      <c r="AP88" s="665"/>
      <c r="AQ88" s="1258"/>
      <c r="AR88" s="1272"/>
      <c r="AS88" s="1270"/>
      <c r="AT88" s="1271"/>
      <c r="AU88" s="665"/>
      <c r="AV88" s="1258"/>
      <c r="AW88" s="1272"/>
      <c r="AX88" s="1270"/>
      <c r="AY88" s="1271"/>
      <c r="BF88" s="166"/>
      <c r="BG88" s="167"/>
      <c r="BH88" s="243"/>
      <c r="BI88" s="166"/>
      <c r="BJ88" s="167"/>
      <c r="BK88" s="243"/>
      <c r="BM88" s="168"/>
      <c r="BN88" s="166"/>
      <c r="BO88" s="167"/>
      <c r="BP88" s="243"/>
      <c r="BQ88" s="166"/>
      <c r="BR88" s="167"/>
      <c r="BS88" s="243"/>
      <c r="BT88" s="166"/>
      <c r="BU88" s="167"/>
      <c r="BV88" s="243"/>
      <c r="BW88" s="166"/>
      <c r="BX88" s="167"/>
      <c r="BY88" s="243"/>
      <c r="BZ88" s="166"/>
      <c r="CA88" s="167"/>
      <c r="CB88" s="243"/>
      <c r="CD88" s="168"/>
      <c r="CE88" s="166"/>
      <c r="CF88" s="167"/>
      <c r="CG88" s="243"/>
      <c r="CH88" s="166"/>
      <c r="CI88" s="167"/>
      <c r="CJ88" s="243"/>
      <c r="CK88" s="166"/>
      <c r="CL88" s="167"/>
      <c r="CM88" s="243"/>
      <c r="CN88" s="166"/>
      <c r="CO88" s="167"/>
      <c r="CP88" s="243"/>
      <c r="CQ88" s="166"/>
      <c r="CR88" s="167"/>
      <c r="CS88" s="243"/>
      <c r="CU88" s="168"/>
      <c r="CV88" s="166"/>
      <c r="CW88" s="167"/>
      <c r="CX88" s="243"/>
      <c r="CY88" s="166"/>
      <c r="CZ88" s="167"/>
      <c r="DA88" s="243"/>
      <c r="DB88" s="166"/>
      <c r="DC88" s="167"/>
      <c r="DD88" s="243"/>
      <c r="DG88" s="242"/>
      <c r="DI88" s="242"/>
      <c r="DJ88" s="242"/>
      <c r="DK88" s="242"/>
      <c r="DM88" s="242"/>
      <c r="DN88"/>
      <c r="DO88"/>
      <c r="DP88"/>
      <c r="DQ88"/>
      <c r="DR88"/>
      <c r="DY88" s="196"/>
      <c r="DZ88" s="97"/>
      <c r="EA88" s="196"/>
      <c r="HU88" s="73"/>
      <c r="HV88" s="73"/>
      <c r="HW88" s="73"/>
      <c r="HX88" s="73"/>
      <c r="HY88" s="73"/>
      <c r="HZ88" s="168"/>
      <c r="IA88" s="166"/>
      <c r="IB88" s="167"/>
      <c r="IC88" s="243"/>
      <c r="ID88" s="73"/>
      <c r="IE88" s="73"/>
      <c r="IF88" s="73"/>
      <c r="IG88" s="252"/>
      <c r="IH88" s="242"/>
    </row>
    <row r="89" spans="1:242" s="20" customFormat="1">
      <c r="A89" s="196"/>
      <c r="B89" s="97"/>
      <c r="C89" s="254"/>
      <c r="D89" s="196"/>
      <c r="E89" s="97"/>
      <c r="F89" s="1247"/>
      <c r="G89" s="1268"/>
      <c r="H89" s="1258" t="s">
        <v>477</v>
      </c>
      <c r="I89" s="1274"/>
      <c r="J89" s="1275"/>
      <c r="K89" s="1293">
        <f>SUM(K85:K88)</f>
        <v>6623.62</v>
      </c>
      <c r="L89" s="665"/>
      <c r="M89" s="1258" t="s">
        <v>477</v>
      </c>
      <c r="N89" s="1274"/>
      <c r="O89" s="1275"/>
      <c r="P89" s="1293">
        <f>SUM(P85:P88)</f>
        <v>7358.4050000000007</v>
      </c>
      <c r="Q89" s="665"/>
      <c r="R89" s="1258" t="s">
        <v>477</v>
      </c>
      <c r="S89" s="1274"/>
      <c r="T89" s="1275"/>
      <c r="U89" s="1293">
        <f>SUM(U85:U88)</f>
        <v>6251.08</v>
      </c>
      <c r="V89" s="665"/>
      <c r="W89" s="1258" t="s">
        <v>477</v>
      </c>
      <c r="X89" s="1274"/>
      <c r="Y89" s="1275"/>
      <c r="Z89" s="1293">
        <f>SUM(Z85:Z88)</f>
        <v>5567.53</v>
      </c>
      <c r="AA89" s="665"/>
      <c r="AB89" s="1258" t="s">
        <v>477</v>
      </c>
      <c r="AC89" s="1274"/>
      <c r="AD89" s="1275"/>
      <c r="AE89" s="1293">
        <f>SUM(AE85:AE88)</f>
        <v>5570.73</v>
      </c>
      <c r="AF89" s="665"/>
      <c r="AG89" s="1258" t="s">
        <v>477</v>
      </c>
      <c r="AH89" s="1274"/>
      <c r="AI89" s="1275"/>
      <c r="AJ89" s="1293">
        <f>SUM(AJ85:AJ88)</f>
        <v>4728.4849999999997</v>
      </c>
      <c r="AK89" s="665"/>
      <c r="AL89" s="1258" t="s">
        <v>477</v>
      </c>
      <c r="AM89" s="1274"/>
      <c r="AN89" s="1275"/>
      <c r="AO89" s="1293">
        <f>SUM(AO85:AO88)</f>
        <v>4904.6350000000002</v>
      </c>
      <c r="AP89" s="665"/>
      <c r="AQ89" s="1258" t="s">
        <v>477</v>
      </c>
      <c r="AR89" s="1274"/>
      <c r="AS89" s="1275"/>
      <c r="AT89" s="1293">
        <f>SUM(AT85:AT88)</f>
        <v>5761.2500000000009</v>
      </c>
      <c r="AU89" s="665"/>
      <c r="AV89" s="1258" t="s">
        <v>477</v>
      </c>
      <c r="AW89" s="1274"/>
      <c r="AX89" s="1275"/>
      <c r="AY89" s="1293">
        <f>SUM(AY85:AY88)</f>
        <v>4792.835</v>
      </c>
      <c r="BF89" s="277"/>
      <c r="BG89" s="278"/>
      <c r="BH89" s="279"/>
      <c r="BI89" s="277"/>
      <c r="BJ89" s="278"/>
      <c r="BK89" s="279"/>
      <c r="BL89" s="74"/>
      <c r="BM89" s="280"/>
      <c r="BN89" s="277"/>
      <c r="BO89" s="278"/>
      <c r="BP89" s="279"/>
      <c r="BQ89" s="277"/>
      <c r="BR89" s="278"/>
      <c r="BS89" s="279"/>
      <c r="BT89" s="277"/>
      <c r="BU89" s="278"/>
      <c r="BV89" s="279"/>
      <c r="BW89" s="277"/>
      <c r="BX89" s="278"/>
      <c r="BY89" s="279"/>
      <c r="BZ89" s="277"/>
      <c r="CA89" s="278"/>
      <c r="CB89" s="279"/>
      <c r="CC89" s="74"/>
      <c r="CD89" s="280"/>
      <c r="CE89" s="277"/>
      <c r="CF89" s="278"/>
      <c r="CG89" s="279"/>
      <c r="CH89" s="277"/>
      <c r="CI89" s="278"/>
      <c r="CJ89" s="279"/>
      <c r="CK89" s="277"/>
      <c r="CL89" s="278"/>
      <c r="CM89" s="279"/>
      <c r="CN89" s="277"/>
      <c r="CO89" s="278"/>
      <c r="CP89" s="279"/>
      <c r="CQ89" s="277"/>
      <c r="CR89" s="278"/>
      <c r="CS89" s="279"/>
      <c r="CT89" s="74"/>
      <c r="CU89" s="280"/>
      <c r="CV89" s="277"/>
      <c r="CW89" s="278"/>
      <c r="CX89" s="279"/>
      <c r="CY89" s="277"/>
      <c r="CZ89" s="278"/>
      <c r="DA89" s="279"/>
      <c r="DB89" s="277"/>
      <c r="DC89" s="278"/>
      <c r="DD89" s="279"/>
      <c r="DE89" s="74"/>
      <c r="DF89" s="74"/>
      <c r="DG89" s="281"/>
      <c r="DH89" s="74"/>
      <c r="DI89" s="281"/>
      <c r="DJ89" s="281"/>
      <c r="DK89" s="281"/>
      <c r="DL89" s="74"/>
      <c r="DM89" s="281"/>
      <c r="DY89" s="282"/>
      <c r="DZ89" s="283"/>
      <c r="EA89" s="282"/>
      <c r="HU89" s="74"/>
      <c r="HV89" s="74"/>
      <c r="HW89" s="74"/>
      <c r="HX89" s="74"/>
      <c r="HY89" s="74"/>
      <c r="HZ89" s="280"/>
      <c r="IA89" s="277"/>
      <c r="IB89" s="278"/>
      <c r="IC89" s="284"/>
      <c r="ID89" s="74"/>
      <c r="IE89" s="74"/>
      <c r="IF89" s="74"/>
      <c r="IG89" s="74"/>
      <c r="IH89" s="74"/>
    </row>
    <row r="90" spans="1:242" s="20" customFormat="1" ht="15.75">
      <c r="A90" s="196"/>
      <c r="B90" s="97"/>
      <c r="C90" s="253"/>
      <c r="D90" s="196"/>
      <c r="E90" s="97"/>
      <c r="F90" s="1247"/>
      <c r="G90" s="1268"/>
      <c r="H90" s="1294"/>
      <c r="I90" s="1295"/>
      <c r="J90" s="1296"/>
      <c r="K90" s="1297"/>
      <c r="L90" s="665"/>
      <c r="M90" s="1294"/>
      <c r="N90" s="1295"/>
      <c r="O90" s="1296"/>
      <c r="P90" s="1297"/>
      <c r="Q90" s="665"/>
      <c r="R90" s="1294"/>
      <c r="S90" s="1295"/>
      <c r="T90" s="1296"/>
      <c r="U90" s="1297"/>
      <c r="V90" s="665"/>
      <c r="W90" s="1294"/>
      <c r="X90" s="1295"/>
      <c r="Y90" s="1296"/>
      <c r="Z90" s="1297"/>
      <c r="AA90" s="665"/>
      <c r="AB90" s="1294"/>
      <c r="AC90" s="1295"/>
      <c r="AD90" s="1296"/>
      <c r="AE90" s="1297"/>
      <c r="AF90" s="665"/>
      <c r="AG90" s="1294"/>
      <c r="AH90" s="1295"/>
      <c r="AI90" s="1296"/>
      <c r="AJ90" s="1297"/>
      <c r="AK90" s="665"/>
      <c r="AL90" s="1294"/>
      <c r="AM90" s="1295"/>
      <c r="AN90" s="1296"/>
      <c r="AO90" s="1297"/>
      <c r="AP90" s="665"/>
      <c r="AQ90" s="1294"/>
      <c r="AR90" s="1295"/>
      <c r="AS90" s="1296"/>
      <c r="AT90" s="1297"/>
      <c r="AU90" s="665"/>
      <c r="AV90" s="1294"/>
      <c r="AW90" s="1295"/>
      <c r="AX90" s="1296"/>
      <c r="AY90" s="1297"/>
      <c r="BF90" s="285"/>
      <c r="BG90" s="286"/>
      <c r="BH90" s="286"/>
      <c r="BI90" s="285"/>
      <c r="BJ90" s="286"/>
      <c r="BK90" s="286"/>
      <c r="BL90" s="74"/>
      <c r="BM90" s="287"/>
      <c r="BN90" s="285"/>
      <c r="BO90" s="286"/>
      <c r="BP90" s="286"/>
      <c r="BQ90" s="285"/>
      <c r="BR90" s="286"/>
      <c r="BS90" s="286"/>
      <c r="BT90" s="285"/>
      <c r="BU90" s="286"/>
      <c r="BV90" s="286"/>
      <c r="BW90" s="285"/>
      <c r="BX90" s="286"/>
      <c r="BY90" s="286"/>
      <c r="BZ90" s="285"/>
      <c r="CA90" s="286"/>
      <c r="CB90" s="286"/>
      <c r="CC90" s="74"/>
      <c r="CD90" s="287"/>
      <c r="CE90" s="285"/>
      <c r="CF90" s="286"/>
      <c r="CG90" s="286"/>
      <c r="CH90" s="285"/>
      <c r="CI90" s="286"/>
      <c r="CJ90" s="286"/>
      <c r="CK90" s="285"/>
      <c r="CL90" s="286"/>
      <c r="CM90" s="286"/>
      <c r="CN90" s="285"/>
      <c r="CO90" s="286"/>
      <c r="CP90" s="286"/>
      <c r="CQ90" s="285"/>
      <c r="CR90" s="286"/>
      <c r="CS90" s="286"/>
      <c r="CT90" s="74"/>
      <c r="CU90" s="287"/>
      <c r="CV90" s="285"/>
      <c r="CW90" s="286"/>
      <c r="CX90" s="286"/>
      <c r="CY90" s="285"/>
      <c r="CZ90" s="286"/>
      <c r="DA90" s="286"/>
      <c r="DB90" s="285"/>
      <c r="DC90" s="286"/>
      <c r="DD90" s="286"/>
      <c r="DE90" s="74"/>
      <c r="DF90" s="74"/>
      <c r="DG90" s="281"/>
      <c r="DH90" s="74"/>
      <c r="DI90" s="281"/>
      <c r="DJ90" s="281"/>
      <c r="DK90" s="281"/>
      <c r="DL90" s="74"/>
      <c r="DM90" s="74"/>
      <c r="DY90" s="282"/>
      <c r="DZ90" s="283"/>
      <c r="EA90" s="282"/>
      <c r="HU90" s="74"/>
      <c r="HV90" s="74"/>
      <c r="HW90" s="74"/>
      <c r="HX90" s="74"/>
      <c r="HY90" s="74"/>
      <c r="HZ90" s="280"/>
      <c r="IA90" s="277"/>
      <c r="IB90" s="278"/>
      <c r="IC90" s="284"/>
      <c r="ID90" s="74"/>
      <c r="IE90" s="74"/>
      <c r="IF90" s="74"/>
      <c r="IG90" s="288"/>
      <c r="IH90" s="281"/>
    </row>
    <row r="91" spans="1:242" s="20" customFormat="1" ht="16.5" thickBot="1">
      <c r="A91" s="196"/>
      <c r="B91" s="97"/>
      <c r="C91" s="254"/>
      <c r="D91" s="196"/>
      <c r="E91" s="97"/>
      <c r="F91" s="1247"/>
      <c r="G91" s="1268"/>
      <c r="H91" s="1294" t="s">
        <v>478</v>
      </c>
      <c r="I91" s="1294"/>
      <c r="J91" s="1298"/>
      <c r="K91" s="1299">
        <f>K58-K85</f>
        <v>6156.58</v>
      </c>
      <c r="L91" s="665"/>
      <c r="M91" s="1294" t="s">
        <v>478</v>
      </c>
      <c r="N91" s="1294"/>
      <c r="O91" s="1298"/>
      <c r="P91" s="1300">
        <f>P58-P85</f>
        <v>6120.1949999999997</v>
      </c>
      <c r="Q91" s="665"/>
      <c r="R91" s="1294" t="s">
        <v>478</v>
      </c>
      <c r="S91" s="1294"/>
      <c r="T91" s="1298"/>
      <c r="U91" s="1300">
        <f>U58-U85</f>
        <v>1579.119999999999</v>
      </c>
      <c r="V91" s="665"/>
      <c r="W91" s="1294" t="s">
        <v>478</v>
      </c>
      <c r="X91" s="1294"/>
      <c r="Y91" s="1298"/>
      <c r="Z91" s="1300">
        <f>Z58-Z85</f>
        <v>2902.2700000000004</v>
      </c>
      <c r="AA91" s="665"/>
      <c r="AB91" s="1294" t="s">
        <v>478</v>
      </c>
      <c r="AC91" s="1294"/>
      <c r="AD91" s="1298"/>
      <c r="AE91" s="1300">
        <f>AE58-AE85</f>
        <v>3279.2700000000004</v>
      </c>
      <c r="AF91" s="665"/>
      <c r="AG91" s="1294" t="s">
        <v>478</v>
      </c>
      <c r="AH91" s="1294"/>
      <c r="AI91" s="1298"/>
      <c r="AJ91" s="1300">
        <f>AJ58-AJ85</f>
        <v>3330.5150000000003</v>
      </c>
      <c r="AK91" s="665"/>
      <c r="AL91" s="1294" t="s">
        <v>478</v>
      </c>
      <c r="AM91" s="1294"/>
      <c r="AN91" s="1298"/>
      <c r="AO91" s="1300">
        <f>AO58-AO85</f>
        <v>6288.3650000000007</v>
      </c>
      <c r="AP91" s="665"/>
      <c r="AQ91" s="1294" t="s">
        <v>478</v>
      </c>
      <c r="AR91" s="1294"/>
      <c r="AS91" s="1298"/>
      <c r="AT91" s="1300">
        <f>AT58-AT85</f>
        <v>3024.5499999999993</v>
      </c>
      <c r="AU91" s="665"/>
      <c r="AV91" s="1294" t="s">
        <v>478</v>
      </c>
      <c r="AW91" s="1294"/>
      <c r="AX91" s="1298"/>
      <c r="AY91" s="1300">
        <f>AY58-AY85</f>
        <v>3469.9650000000001</v>
      </c>
      <c r="BF91" s="287"/>
      <c r="BG91" s="289"/>
      <c r="BH91" s="290"/>
      <c r="BI91" s="287"/>
      <c r="BJ91" s="289"/>
      <c r="BK91" s="290"/>
      <c r="BL91" s="74"/>
      <c r="BM91" s="287"/>
      <c r="BN91" s="287"/>
      <c r="BO91" s="289"/>
      <c r="BP91" s="290"/>
      <c r="BQ91" s="287"/>
      <c r="BR91" s="289"/>
      <c r="BS91" s="290"/>
      <c r="BT91" s="287"/>
      <c r="BU91" s="289"/>
      <c r="BV91" s="290"/>
      <c r="BW91" s="287"/>
      <c r="BX91" s="289"/>
      <c r="BY91" s="290"/>
      <c r="BZ91" s="287"/>
      <c r="CA91" s="289"/>
      <c r="CB91" s="290"/>
      <c r="CC91" s="74"/>
      <c r="CD91" s="287"/>
      <c r="CE91" s="287"/>
      <c r="CF91" s="289"/>
      <c r="CG91" s="290"/>
      <c r="CH91" s="287"/>
      <c r="CI91" s="289"/>
      <c r="CJ91" s="290"/>
      <c r="CK91" s="287"/>
      <c r="CL91" s="289"/>
      <c r="CM91" s="290"/>
      <c r="CN91" s="287"/>
      <c r="CO91" s="289"/>
      <c r="CP91" s="290"/>
      <c r="CQ91" s="287"/>
      <c r="CR91" s="289"/>
      <c r="CS91" s="290"/>
      <c r="CT91" s="74"/>
      <c r="CU91" s="287"/>
      <c r="CV91" s="287"/>
      <c r="CW91" s="289"/>
      <c r="CX91" s="290"/>
      <c r="CY91" s="287"/>
      <c r="CZ91" s="289"/>
      <c r="DA91" s="290"/>
      <c r="DB91" s="287"/>
      <c r="DC91" s="289"/>
      <c r="DD91" s="290"/>
      <c r="DE91" s="74"/>
      <c r="DF91" s="74"/>
      <c r="DG91" s="281"/>
      <c r="DH91" s="74"/>
      <c r="DI91" s="281"/>
      <c r="DJ91" s="281"/>
      <c r="DK91" s="281"/>
      <c r="DL91" s="74"/>
      <c r="DM91" s="74"/>
      <c r="DY91" s="282"/>
      <c r="DZ91" s="283"/>
      <c r="EA91" s="282"/>
      <c r="HU91" s="74"/>
      <c r="HV91" s="74"/>
      <c r="HW91" s="74"/>
      <c r="HX91" s="74"/>
      <c r="HY91" s="74"/>
      <c r="HZ91" s="280"/>
      <c r="IA91" s="277"/>
      <c r="IB91" s="278"/>
      <c r="IC91" s="284"/>
      <c r="ID91" s="74"/>
      <c r="IE91" s="74"/>
      <c r="IF91" s="74"/>
      <c r="IG91" s="74"/>
      <c r="IH91" s="74"/>
    </row>
    <row r="92" spans="1:242" s="296" customFormat="1" ht="19.5" thickBot="1">
      <c r="A92" s="257"/>
      <c r="B92" s="258"/>
      <c r="C92" s="259"/>
      <c r="D92" s="257"/>
      <c r="E92" s="258"/>
      <c r="F92" s="1301"/>
      <c r="G92" s="1302"/>
      <c r="H92" s="1303" t="s">
        <v>447</v>
      </c>
      <c r="I92" s="1304"/>
      <c r="J92" s="1305"/>
      <c r="K92" s="1306">
        <f>K58-K89</f>
        <v>5136.38</v>
      </c>
      <c r="L92" s="1307"/>
      <c r="M92" s="1303" t="s">
        <v>447</v>
      </c>
      <c r="N92" s="1304"/>
      <c r="O92" s="1305"/>
      <c r="P92" s="1306">
        <f>P58-P89</f>
        <v>4541.5949999999993</v>
      </c>
      <c r="Q92" s="1307"/>
      <c r="R92" s="1303" t="s">
        <v>447</v>
      </c>
      <c r="S92" s="1304"/>
      <c r="T92" s="1305"/>
      <c r="U92" s="1306">
        <f>U58-U89</f>
        <v>528.91999999999916</v>
      </c>
      <c r="V92" s="1307"/>
      <c r="W92" s="1303" t="s">
        <v>447</v>
      </c>
      <c r="X92" s="1304"/>
      <c r="Y92" s="1305"/>
      <c r="Z92" s="1306">
        <f>Z58-Z89</f>
        <v>1932.4700000000003</v>
      </c>
      <c r="AA92" s="1307"/>
      <c r="AB92" s="1303" t="s">
        <v>447</v>
      </c>
      <c r="AC92" s="1304"/>
      <c r="AD92" s="1305"/>
      <c r="AE92" s="1306">
        <f>AE58-AE89</f>
        <v>2289.2700000000004</v>
      </c>
      <c r="AF92" s="1307"/>
      <c r="AG92" s="1303" t="s">
        <v>447</v>
      </c>
      <c r="AH92" s="1304"/>
      <c r="AI92" s="1305"/>
      <c r="AJ92" s="1306">
        <f>AJ58-AJ89</f>
        <v>2476.5150000000003</v>
      </c>
      <c r="AK92" s="1307"/>
      <c r="AL92" s="1303" t="s">
        <v>447</v>
      </c>
      <c r="AM92" s="1304"/>
      <c r="AN92" s="1305"/>
      <c r="AO92" s="1306">
        <f>AO58-AO89</f>
        <v>5341.5650000000005</v>
      </c>
      <c r="AP92" s="1307"/>
      <c r="AQ92" s="1303" t="s">
        <v>447</v>
      </c>
      <c r="AR92" s="1304"/>
      <c r="AS92" s="1305"/>
      <c r="AT92" s="1306">
        <f>AT58-AT89</f>
        <v>2038.7499999999991</v>
      </c>
      <c r="AU92" s="1307"/>
      <c r="AV92" s="1303" t="s">
        <v>447</v>
      </c>
      <c r="AW92" s="1304"/>
      <c r="AX92" s="1305"/>
      <c r="AY92" s="1306">
        <f>AY58-AY89</f>
        <v>2522.165</v>
      </c>
      <c r="AZ92" s="20"/>
      <c r="BA92" s="20"/>
      <c r="BB92" s="20"/>
      <c r="BC92" s="20"/>
      <c r="BD92" s="20"/>
      <c r="BE92" s="20"/>
      <c r="BF92" s="291"/>
      <c r="BG92" s="292"/>
      <c r="BH92" s="293"/>
      <c r="BI92" s="291"/>
      <c r="BJ92" s="292"/>
      <c r="BK92" s="293"/>
      <c r="BL92" s="294"/>
      <c r="BM92" s="291"/>
      <c r="BN92" s="291"/>
      <c r="BO92" s="292"/>
      <c r="BP92" s="293"/>
      <c r="BQ92" s="291"/>
      <c r="BR92" s="292"/>
      <c r="BS92" s="293"/>
      <c r="BT92" s="291"/>
      <c r="BU92" s="292"/>
      <c r="BV92" s="293"/>
      <c r="BW92" s="291"/>
      <c r="BX92" s="292"/>
      <c r="BY92" s="293"/>
      <c r="BZ92" s="291"/>
      <c r="CA92" s="292"/>
      <c r="CB92" s="293"/>
      <c r="CC92" s="294"/>
      <c r="CD92" s="291"/>
      <c r="CE92" s="291"/>
      <c r="CF92" s="292"/>
      <c r="CG92" s="293"/>
      <c r="CH92" s="291"/>
      <c r="CI92" s="292"/>
      <c r="CJ92" s="293"/>
      <c r="CK92" s="291"/>
      <c r="CL92" s="292"/>
      <c r="CM92" s="293"/>
      <c r="CN92" s="291"/>
      <c r="CO92" s="292"/>
      <c r="CP92" s="293"/>
      <c r="CQ92" s="291"/>
      <c r="CR92" s="292"/>
      <c r="CS92" s="293"/>
      <c r="CT92" s="294"/>
      <c r="CU92" s="291"/>
      <c r="CV92" s="291"/>
      <c r="CW92" s="292"/>
      <c r="CX92" s="293"/>
      <c r="CY92" s="291"/>
      <c r="CZ92" s="292"/>
      <c r="DA92" s="293"/>
      <c r="DB92" s="291"/>
      <c r="DC92" s="292"/>
      <c r="DD92" s="293"/>
      <c r="DE92" s="294"/>
      <c r="DF92" s="294"/>
      <c r="DG92" s="295"/>
      <c r="DH92" s="294"/>
      <c r="DI92" s="295"/>
      <c r="DJ92" s="295"/>
      <c r="DK92" s="295"/>
      <c r="DL92" s="294"/>
      <c r="DM92" s="294"/>
      <c r="DY92" s="297"/>
      <c r="DZ92" s="298"/>
      <c r="EA92" s="297"/>
      <c r="HU92" s="294"/>
      <c r="HV92" s="294"/>
      <c r="HW92" s="294"/>
      <c r="HX92" s="294"/>
      <c r="HY92" s="294"/>
      <c r="HZ92" s="291"/>
      <c r="IA92" s="291"/>
      <c r="IB92" s="292"/>
      <c r="IC92" s="293"/>
      <c r="ID92" s="294"/>
      <c r="IE92" s="294"/>
      <c r="IF92" s="294"/>
      <c r="IG92" s="299"/>
      <c r="IH92" s="295"/>
    </row>
    <row r="93" spans="1:242" s="20" customFormat="1" ht="8.25" customHeight="1" thickBot="1">
      <c r="A93" s="196"/>
      <c r="B93" s="97"/>
      <c r="C93" s="254"/>
      <c r="D93" s="196"/>
      <c r="E93" s="97"/>
      <c r="F93" s="1247"/>
      <c r="G93" s="1268"/>
      <c r="H93" s="1308"/>
      <c r="I93" s="1309"/>
      <c r="J93" s="1310"/>
      <c r="K93" s="1311"/>
      <c r="L93" s="665"/>
      <c r="M93" s="1308"/>
      <c r="N93" s="1309"/>
      <c r="O93" s="1310"/>
      <c r="P93" s="1312"/>
      <c r="Q93" s="665"/>
      <c r="R93" s="1308"/>
      <c r="S93" s="1309"/>
      <c r="T93" s="1310"/>
      <c r="U93" s="1312"/>
      <c r="V93" s="665"/>
      <c r="W93" s="1308"/>
      <c r="X93" s="1309"/>
      <c r="Y93" s="1310"/>
      <c r="Z93" s="1312"/>
      <c r="AA93" s="665"/>
      <c r="AB93" s="1308"/>
      <c r="AC93" s="1309"/>
      <c r="AD93" s="1310"/>
      <c r="AE93" s="1312"/>
      <c r="AF93" s="665"/>
      <c r="AG93" s="1308"/>
      <c r="AH93" s="1309"/>
      <c r="AI93" s="1310"/>
      <c r="AJ93" s="1312"/>
      <c r="AK93" s="665"/>
      <c r="AL93" s="1308"/>
      <c r="AM93" s="1309"/>
      <c r="AN93" s="1310"/>
      <c r="AO93" s="1312"/>
      <c r="AP93" s="665"/>
      <c r="AQ93" s="1308"/>
      <c r="AR93" s="1309"/>
      <c r="AS93" s="1310"/>
      <c r="AT93" s="1312"/>
      <c r="AU93" s="665"/>
      <c r="AV93" s="1308"/>
      <c r="AW93" s="1309"/>
      <c r="AX93" s="1310"/>
      <c r="AY93" s="1312"/>
      <c r="BF93" s="285"/>
      <c r="BG93" s="286"/>
      <c r="BH93" s="286"/>
      <c r="BI93" s="285"/>
      <c r="BJ93" s="286"/>
      <c r="BK93" s="286"/>
      <c r="BL93" s="74"/>
      <c r="BM93" s="287"/>
      <c r="BN93" s="285"/>
      <c r="BO93" s="286"/>
      <c r="BP93" s="286"/>
      <c r="BQ93" s="285"/>
      <c r="BR93" s="286"/>
      <c r="BS93" s="286"/>
      <c r="BT93" s="285"/>
      <c r="BU93" s="286"/>
      <c r="BV93" s="286"/>
      <c r="BW93" s="285"/>
      <c r="BX93" s="286"/>
      <c r="BY93" s="286"/>
      <c r="BZ93" s="285"/>
      <c r="CA93" s="286"/>
      <c r="CB93" s="286"/>
      <c r="CC93" s="74"/>
      <c r="CD93" s="287"/>
      <c r="CE93" s="285"/>
      <c r="CF93" s="286"/>
      <c r="CG93" s="286"/>
      <c r="CH93" s="285"/>
      <c r="CI93" s="286"/>
      <c r="CJ93" s="286"/>
      <c r="CK93" s="285"/>
      <c r="CL93" s="286"/>
      <c r="CM93" s="286"/>
      <c r="CN93" s="285"/>
      <c r="CO93" s="286"/>
      <c r="CP93" s="286"/>
      <c r="CQ93" s="285"/>
      <c r="CR93" s="286"/>
      <c r="CS93" s="286"/>
      <c r="CT93" s="74"/>
      <c r="CU93" s="287"/>
      <c r="CV93" s="285"/>
      <c r="CW93" s="286"/>
      <c r="CX93" s="286"/>
      <c r="CY93" s="285"/>
      <c r="CZ93" s="286"/>
      <c r="DA93" s="286"/>
      <c r="DB93" s="285"/>
      <c r="DC93" s="286"/>
      <c r="DD93" s="286"/>
      <c r="DE93" s="74"/>
      <c r="DF93" s="74"/>
      <c r="DG93" s="281"/>
      <c r="DH93" s="74"/>
      <c r="DI93" s="281"/>
      <c r="DJ93" s="281"/>
      <c r="DK93" s="281"/>
      <c r="DL93" s="74"/>
      <c r="DM93" s="74"/>
      <c r="DY93" s="282"/>
      <c r="DZ93" s="283"/>
      <c r="EA93" s="282"/>
      <c r="HU93" s="74"/>
      <c r="HV93" s="74"/>
      <c r="HW93" s="74"/>
      <c r="HX93" s="74"/>
      <c r="HY93" s="74"/>
      <c r="HZ93" s="280"/>
      <c r="IA93" s="277"/>
      <c r="IB93" s="278"/>
      <c r="IC93" s="284"/>
      <c r="ID93" s="74"/>
      <c r="IE93" s="74"/>
      <c r="IF93" s="74"/>
      <c r="IG93" s="288"/>
      <c r="IH93" s="281"/>
    </row>
    <row r="94" spans="1:242" s="300" customFormat="1" ht="15.75">
      <c r="A94" s="260"/>
      <c r="B94" s="261"/>
      <c r="C94" s="261"/>
      <c r="D94" s="260"/>
      <c r="E94" s="261"/>
      <c r="F94" s="1313"/>
      <c r="G94" s="708"/>
      <c r="H94" s="1314"/>
      <c r="I94" s="1314"/>
      <c r="J94" s="1315"/>
      <c r="K94" s="1316"/>
      <c r="L94" s="1316"/>
      <c r="M94" s="1316"/>
      <c r="N94" s="1314"/>
      <c r="O94" s="1315"/>
      <c r="P94" s="1317"/>
      <c r="Q94" s="1316"/>
      <c r="R94" s="1316"/>
      <c r="S94" s="1314"/>
      <c r="T94" s="1315"/>
      <c r="U94" s="1317"/>
      <c r="V94" s="1316"/>
      <c r="W94" s="1316"/>
      <c r="X94" s="1314"/>
      <c r="Y94" s="1315"/>
      <c r="Z94" s="1317"/>
      <c r="AA94" s="1316"/>
      <c r="AB94" s="1316"/>
      <c r="AC94" s="1314"/>
      <c r="AD94" s="1315"/>
      <c r="AE94" s="1317"/>
      <c r="AF94" s="1316"/>
      <c r="AG94" s="1316"/>
      <c r="AH94" s="1314"/>
      <c r="AI94" s="1315"/>
      <c r="AJ94" s="1317"/>
      <c r="AK94" s="1316"/>
      <c r="AL94" s="1316"/>
      <c r="AM94" s="1314"/>
      <c r="AN94" s="1315"/>
      <c r="AO94" s="1317"/>
      <c r="AP94" s="1316"/>
      <c r="AQ94" s="1316"/>
      <c r="AR94" s="1314"/>
      <c r="AS94" s="1315"/>
      <c r="AT94" s="1317"/>
      <c r="AU94" s="1316"/>
      <c r="AV94" s="1316"/>
      <c r="AW94" s="1314"/>
      <c r="AX94" s="1315"/>
      <c r="AY94" s="1317"/>
      <c r="AZ94" s="20"/>
      <c r="BA94" s="20"/>
      <c r="BB94" s="20"/>
      <c r="BC94" s="20"/>
      <c r="BD94" s="20"/>
      <c r="BE94" s="20"/>
      <c r="BF94" s="287"/>
      <c r="BG94" s="289"/>
      <c r="BH94" s="290"/>
      <c r="BI94" s="287"/>
      <c r="BJ94" s="289"/>
      <c r="BK94" s="290"/>
      <c r="BL94" s="74"/>
      <c r="BM94" s="287"/>
      <c r="BN94" s="287"/>
      <c r="BO94" s="289"/>
      <c r="BP94" s="290"/>
      <c r="BQ94" s="287"/>
      <c r="BR94" s="289"/>
      <c r="BS94" s="290"/>
      <c r="BT94" s="287"/>
      <c r="BU94" s="289"/>
      <c r="BV94" s="290"/>
      <c r="BW94" s="287"/>
      <c r="BX94" s="289"/>
      <c r="BY94" s="290"/>
      <c r="BZ94" s="287"/>
      <c r="CA94" s="289"/>
      <c r="CB94" s="290"/>
      <c r="CC94" s="74"/>
      <c r="CD94" s="287"/>
      <c r="CE94" s="287"/>
      <c r="CF94" s="289"/>
      <c r="CG94" s="290"/>
      <c r="CH94" s="287"/>
      <c r="CI94" s="289"/>
      <c r="CJ94" s="290"/>
      <c r="CK94" s="287"/>
      <c r="CL94" s="289"/>
      <c r="CM94" s="290"/>
      <c r="CN94" s="287"/>
      <c r="CO94" s="289"/>
      <c r="CP94" s="290"/>
      <c r="CQ94" s="287"/>
      <c r="CR94" s="289"/>
      <c r="CS94" s="290"/>
      <c r="CT94" s="74"/>
      <c r="CU94" s="287"/>
      <c r="CV94" s="287"/>
      <c r="CW94" s="289"/>
      <c r="CX94" s="290"/>
      <c r="CY94" s="287"/>
      <c r="CZ94" s="289"/>
      <c r="DA94" s="290"/>
      <c r="DB94" s="287"/>
      <c r="DC94" s="289"/>
      <c r="DD94" s="290"/>
      <c r="DE94" s="74"/>
      <c r="DF94" s="74"/>
      <c r="DG94" s="74"/>
      <c r="DH94" s="74"/>
      <c r="DI94" s="74"/>
      <c r="DJ94" s="74"/>
      <c r="DK94" s="74"/>
      <c r="DL94" s="74"/>
      <c r="DM94" s="74"/>
      <c r="DN94" s="74"/>
      <c r="DO94" s="74"/>
      <c r="DP94" s="74"/>
      <c r="DQ94" s="74"/>
      <c r="DR94" s="74"/>
      <c r="DS94" s="74"/>
      <c r="DT94" s="74"/>
      <c r="DU94" s="74"/>
      <c r="DV94" s="74"/>
      <c r="DW94" s="74"/>
      <c r="DX94" s="74"/>
      <c r="DY94" s="288"/>
      <c r="DZ94" s="281"/>
      <c r="EA94" s="288"/>
      <c r="EC94" s="74"/>
      <c r="ED94" s="74"/>
      <c r="EE94" s="74"/>
      <c r="EF94" s="74"/>
      <c r="EG94" s="74"/>
      <c r="EH94" s="74"/>
      <c r="EI94" s="74"/>
      <c r="EJ94" s="74"/>
      <c r="EK94" s="74"/>
      <c r="EL94" s="74"/>
      <c r="EM94" s="74"/>
      <c r="EN94" s="74"/>
      <c r="EO94" s="74"/>
      <c r="EP94" s="74"/>
      <c r="EQ94" s="74"/>
      <c r="ER94" s="74"/>
      <c r="ES94" s="74"/>
      <c r="ET94" s="74"/>
      <c r="EU94" s="74"/>
      <c r="EV94" s="74"/>
      <c r="EW94" s="74"/>
      <c r="EX94" s="74"/>
      <c r="EY94" s="74"/>
      <c r="EZ94" s="74"/>
      <c r="FA94" s="74"/>
      <c r="FB94" s="74"/>
      <c r="FC94" s="74"/>
      <c r="FD94" s="74"/>
      <c r="FE94" s="74"/>
      <c r="FF94" s="74"/>
      <c r="FG94" s="74"/>
      <c r="FH94" s="74"/>
      <c r="FI94" s="74"/>
      <c r="FJ94" s="74"/>
      <c r="FK94" s="74"/>
      <c r="FL94" s="74"/>
      <c r="FM94" s="74"/>
      <c r="FN94" s="74"/>
      <c r="FO94" s="74"/>
      <c r="FP94" s="74"/>
      <c r="FQ94" s="74"/>
      <c r="FR94" s="74"/>
      <c r="FS94" s="74"/>
      <c r="FT94" s="74"/>
      <c r="FU94" s="74"/>
      <c r="FV94" s="74"/>
      <c r="FW94" s="74"/>
      <c r="FX94" s="74"/>
      <c r="FY94" s="74"/>
      <c r="FZ94" s="74"/>
      <c r="GA94" s="74"/>
      <c r="GB94" s="74"/>
      <c r="GC94" s="74"/>
      <c r="GD94" s="74"/>
      <c r="GE94" s="74"/>
      <c r="GF94" s="74"/>
      <c r="GG94" s="74"/>
      <c r="GH94" s="74"/>
      <c r="GI94" s="74"/>
      <c r="GJ94" s="74"/>
      <c r="GK94" s="74"/>
      <c r="GL94" s="74"/>
      <c r="GM94" s="74"/>
      <c r="GN94" s="74"/>
      <c r="GO94" s="74"/>
      <c r="GP94" s="74"/>
      <c r="GQ94" s="74"/>
      <c r="GR94" s="74"/>
      <c r="GS94" s="74"/>
      <c r="GT94" s="74"/>
      <c r="GU94" s="74"/>
      <c r="GV94" s="74"/>
      <c r="GW94" s="74"/>
      <c r="GX94" s="74"/>
      <c r="GY94" s="74"/>
      <c r="GZ94" s="74"/>
      <c r="HA94" s="74"/>
      <c r="HB94" s="74"/>
      <c r="HC94" s="74"/>
      <c r="HD94" s="74"/>
      <c r="HE94" s="74"/>
      <c r="HF94" s="74"/>
      <c r="HG94" s="74"/>
      <c r="HH94" s="74"/>
      <c r="HI94" s="74"/>
      <c r="HJ94" s="74"/>
      <c r="HK94" s="74"/>
      <c r="HL94" s="74"/>
      <c r="HM94" s="74"/>
      <c r="HN94" s="74"/>
      <c r="HO94" s="74"/>
      <c r="HP94" s="74"/>
      <c r="HQ94" s="74"/>
      <c r="HR94" s="74"/>
      <c r="HS94" s="74"/>
      <c r="HT94" s="74"/>
      <c r="HU94" s="74"/>
      <c r="HV94" s="74"/>
      <c r="HW94" s="74"/>
      <c r="HX94" s="74"/>
      <c r="HY94" s="74"/>
      <c r="HZ94" s="280"/>
      <c r="IA94" s="277"/>
      <c r="IB94" s="278"/>
      <c r="IC94" s="284"/>
      <c r="ID94" s="74"/>
      <c r="IE94" s="74"/>
      <c r="IF94" s="74"/>
      <c r="IG94" s="288"/>
      <c r="IH94" s="281"/>
    </row>
    <row r="95" spans="1:242" s="20" customFormat="1">
      <c r="A95"/>
      <c r="B95"/>
      <c r="C95"/>
      <c r="D95"/>
      <c r="E95"/>
      <c r="F95" s="263"/>
      <c r="G95" s="9"/>
      <c r="H95" s="9"/>
      <c r="I95" s="267"/>
      <c r="J95" s="267"/>
      <c r="K95" s="267"/>
      <c r="L95" s="267"/>
      <c r="M95" s="267"/>
      <c r="N95" s="267"/>
      <c r="O95" s="267"/>
      <c r="P95" s="267"/>
      <c r="Q95" s="263"/>
      <c r="R95" s="263"/>
      <c r="S95" s="263"/>
      <c r="T95" s="263"/>
      <c r="U95" s="263"/>
      <c r="V95" s="263"/>
      <c r="W95" s="263"/>
      <c r="X95" s="263"/>
      <c r="Y95" s="263"/>
      <c r="Z95" s="263"/>
      <c r="AA95" s="263"/>
      <c r="AB95" s="263"/>
      <c r="AC95" s="263"/>
      <c r="AD95" s="263"/>
      <c r="AE95" s="263"/>
      <c r="AF95" s="263"/>
      <c r="AG95" s="263"/>
      <c r="AH95" s="263"/>
      <c r="AI95" s="263"/>
      <c r="AJ95" s="263"/>
      <c r="AK95" s="263"/>
      <c r="AL95" s="263"/>
      <c r="AM95" s="263"/>
      <c r="AN95" s="263"/>
      <c r="AO95" s="263"/>
      <c r="AP95" s="263"/>
      <c r="AQ95" s="263"/>
      <c r="AR95" s="263"/>
      <c r="AS95" s="263"/>
      <c r="AT95" s="263"/>
      <c r="AU95" s="263"/>
      <c r="AV95" s="263"/>
      <c r="AW95" s="263"/>
      <c r="AX95" s="263"/>
      <c r="AY95" s="263"/>
      <c r="HU95" s="74"/>
      <c r="HV95" s="74"/>
      <c r="HW95" s="74"/>
      <c r="HX95" s="74"/>
      <c r="HY95" s="74"/>
      <c r="HZ95" s="74"/>
      <c r="IA95" s="74"/>
      <c r="IB95" s="74"/>
      <c r="IC95" s="74"/>
      <c r="ID95" s="74"/>
      <c r="IE95" s="74"/>
      <c r="IF95" s="74"/>
      <c r="IG95" s="74"/>
      <c r="IH95" s="74"/>
    </row>
    <row r="96" spans="1:242" ht="15">
      <c r="A96"/>
      <c r="F96" s="263"/>
      <c r="G96" s="351"/>
      <c r="H96" s="352"/>
      <c r="I96" s="353"/>
      <c r="J96" s="354"/>
      <c r="K96" s="267"/>
      <c r="L96" s="267"/>
      <c r="M96" s="267"/>
      <c r="N96" s="267"/>
      <c r="O96" s="267"/>
      <c r="P96" s="267"/>
      <c r="Q96" s="263"/>
      <c r="R96" s="263"/>
      <c r="S96" s="263"/>
      <c r="T96" s="263"/>
      <c r="U96" s="263"/>
      <c r="V96" s="263"/>
      <c r="W96" s="263"/>
      <c r="X96" s="263"/>
      <c r="Y96" s="263"/>
      <c r="Z96" s="263"/>
      <c r="AA96" s="263"/>
      <c r="AB96" s="263"/>
      <c r="AC96" s="263"/>
      <c r="AD96" s="263"/>
      <c r="AE96" s="263"/>
      <c r="AF96" s="263"/>
      <c r="AG96" s="263"/>
      <c r="AH96" s="263"/>
      <c r="AI96" s="263"/>
      <c r="AJ96" s="263"/>
      <c r="AK96" s="263"/>
      <c r="AL96" s="263"/>
      <c r="AM96" s="263"/>
      <c r="AN96" s="263"/>
      <c r="AO96" s="263"/>
      <c r="AP96" s="263"/>
      <c r="AQ96" s="263"/>
      <c r="AR96" s="263"/>
      <c r="AS96" s="263"/>
      <c r="AT96" s="263"/>
      <c r="AU96" s="263"/>
      <c r="AV96" s="263"/>
      <c r="AW96" s="263"/>
      <c r="AX96" s="263"/>
      <c r="AY96" s="263"/>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HU96" s="73"/>
      <c r="HV96" s="73"/>
      <c r="HW96" s="73"/>
      <c r="HX96" s="73"/>
      <c r="HY96" s="73"/>
      <c r="HZ96" s="73"/>
      <c r="IA96" s="73"/>
      <c r="IB96" s="73"/>
      <c r="IC96" s="73"/>
      <c r="ID96" s="73"/>
      <c r="IE96" s="73"/>
      <c r="IF96" s="73"/>
      <c r="IG96" s="73"/>
      <c r="IH96" s="73"/>
    </row>
    <row r="97" spans="1:242" ht="15.75">
      <c r="A97"/>
      <c r="F97" s="263"/>
      <c r="G97" s="355"/>
      <c r="H97" s="349" t="s">
        <v>101</v>
      </c>
      <c r="I97" s="350"/>
      <c r="J97" s="356"/>
      <c r="K97" s="267"/>
      <c r="L97" s="267"/>
      <c r="M97" s="267"/>
      <c r="N97" s="267"/>
      <c r="O97" s="267"/>
      <c r="P97" s="710"/>
      <c r="Q97" s="518"/>
      <c r="R97" s="518"/>
      <c r="S97" s="1048"/>
      <c r="T97" s="1048"/>
      <c r="U97" s="263"/>
      <c r="V97" s="263"/>
      <c r="W97" s="263"/>
      <c r="X97" s="263"/>
      <c r="Y97" s="263"/>
      <c r="Z97" s="263"/>
      <c r="AA97" s="263"/>
      <c r="AB97" s="263"/>
      <c r="AC97" s="263"/>
      <c r="AD97" s="263"/>
      <c r="AE97" s="263"/>
      <c r="AF97" s="263"/>
      <c r="AG97" s="263"/>
      <c r="AH97" s="263"/>
      <c r="AI97" s="263"/>
      <c r="AJ97" s="263"/>
      <c r="AK97" s="263"/>
      <c r="AL97" s="263"/>
      <c r="AM97" s="263"/>
      <c r="AN97" s="263"/>
      <c r="AO97" s="263"/>
      <c r="AP97" s="263"/>
      <c r="AQ97" s="263"/>
      <c r="AR97" s="263"/>
      <c r="AS97" s="263"/>
      <c r="AT97" s="263"/>
      <c r="AU97" s="263"/>
      <c r="AV97" s="263"/>
      <c r="AW97" s="263"/>
      <c r="AX97" s="263"/>
      <c r="AY97" s="20"/>
      <c r="BA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HT97" s="73"/>
      <c r="HU97" s="73"/>
      <c r="HV97" s="73"/>
      <c r="HW97" s="73"/>
      <c r="HX97" s="73"/>
      <c r="HY97" s="73"/>
      <c r="HZ97" s="73"/>
      <c r="IA97" s="73"/>
      <c r="IB97" s="73"/>
      <c r="IC97" s="73"/>
      <c r="ID97" s="73"/>
      <c r="IE97" s="73"/>
      <c r="IF97" s="73"/>
      <c r="IG97" s="73"/>
    </row>
    <row r="98" spans="1:242" ht="18">
      <c r="A98"/>
      <c r="F98" s="263"/>
      <c r="G98" s="355"/>
      <c r="H98" s="309"/>
      <c r="I98" s="357" t="s">
        <v>103</v>
      </c>
      <c r="J98" s="356"/>
      <c r="K98" s="263"/>
      <c r="L98" s="263"/>
      <c r="M98" s="263"/>
      <c r="N98" s="263"/>
      <c r="O98" s="263"/>
      <c r="P98" s="1049"/>
      <c r="Q98" s="1050"/>
      <c r="R98" s="518"/>
      <c r="S98" s="1048"/>
      <c r="T98" s="1048"/>
      <c r="U98" s="263"/>
      <c r="V98" s="263"/>
      <c r="W98" s="263"/>
      <c r="X98" s="263"/>
      <c r="Y98" s="263"/>
      <c r="Z98" s="263"/>
      <c r="AA98" s="263"/>
      <c r="AB98" s="263"/>
      <c r="AC98" s="263"/>
      <c r="AD98" s="263"/>
      <c r="AE98" s="263"/>
      <c r="AF98" s="263"/>
      <c r="AG98" s="263"/>
      <c r="AH98" s="263"/>
      <c r="AI98" s="263"/>
      <c r="AJ98" s="263"/>
      <c r="AK98" s="263"/>
      <c r="AL98" s="263"/>
      <c r="AM98" s="263"/>
      <c r="AN98" s="263"/>
      <c r="AO98" s="263"/>
      <c r="AP98" s="263"/>
      <c r="AQ98" s="263"/>
      <c r="AR98" s="263"/>
      <c r="AS98" s="263"/>
      <c r="AT98" s="263"/>
      <c r="AU98" s="263"/>
      <c r="AV98" s="263"/>
      <c r="AW98" s="263"/>
      <c r="AX98" s="263"/>
      <c r="AY98" s="20"/>
      <c r="BA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HT98" s="73"/>
      <c r="HU98" s="73"/>
      <c r="HV98" s="73"/>
      <c r="HW98" s="73"/>
      <c r="HX98" s="73"/>
      <c r="HY98" s="73"/>
      <c r="HZ98" s="73"/>
      <c r="IA98" s="73"/>
      <c r="IB98" s="73"/>
      <c r="IC98" s="73"/>
      <c r="ID98" s="73"/>
      <c r="IE98" s="73"/>
      <c r="IF98" s="73"/>
      <c r="IG98" s="73"/>
    </row>
    <row r="99" spans="1:242" ht="15">
      <c r="A99"/>
      <c r="F99" s="263"/>
      <c r="G99" s="355"/>
      <c r="H99" s="350" t="s">
        <v>102</v>
      </c>
      <c r="I99" s="1102">
        <f>Gröddata!Q3</f>
        <v>9.14</v>
      </c>
      <c r="J99" s="356"/>
      <c r="K99" s="263"/>
      <c r="L99" s="263"/>
      <c r="M99" s="263"/>
      <c r="N99" s="263"/>
      <c r="O99" s="263"/>
      <c r="P99" s="888"/>
      <c r="Q99" s="518"/>
      <c r="R99" s="518"/>
      <c r="S99" s="518"/>
      <c r="T99" s="518"/>
      <c r="U99" s="518"/>
      <c r="V99" s="263"/>
      <c r="W99" s="263"/>
      <c r="X99" s="263"/>
      <c r="Y99" s="263"/>
      <c r="Z99" s="263"/>
      <c r="AA99" s="263"/>
      <c r="AB99" s="263"/>
      <c r="AC99" s="263"/>
      <c r="AD99" s="263"/>
      <c r="AE99" s="263"/>
      <c r="AF99" s="263"/>
      <c r="AG99" s="263"/>
      <c r="AH99" s="263"/>
      <c r="AI99" s="263"/>
      <c r="AJ99" s="263"/>
      <c r="AK99" s="263"/>
      <c r="AL99" s="263"/>
      <c r="AM99" s="263"/>
      <c r="AN99" s="263"/>
      <c r="AO99" s="263"/>
      <c r="AP99" s="263"/>
      <c r="AQ99" s="263"/>
      <c r="AR99" s="263"/>
      <c r="AS99" s="263"/>
      <c r="AT99" s="263"/>
      <c r="AU99" s="263"/>
      <c r="AV99" s="263"/>
      <c r="AW99" s="263"/>
      <c r="AX99" s="263"/>
      <c r="AY99" s="263"/>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HU99" s="73"/>
      <c r="HV99" s="73"/>
      <c r="HW99" s="73"/>
      <c r="HX99" s="73"/>
      <c r="HY99" s="73"/>
      <c r="HZ99" s="73"/>
      <c r="IA99" s="73"/>
      <c r="IB99" s="73"/>
      <c r="IC99" s="73"/>
      <c r="ID99" s="73"/>
      <c r="IE99" s="73"/>
      <c r="IF99" s="73"/>
      <c r="IG99" s="73"/>
      <c r="IH99" s="73"/>
    </row>
    <row r="100" spans="1:242" ht="15">
      <c r="A100"/>
      <c r="F100" s="263"/>
      <c r="G100" s="355"/>
      <c r="H100" s="350" t="s">
        <v>407</v>
      </c>
      <c r="I100" s="1102">
        <f>Gröddata!Q4</f>
        <v>19.04</v>
      </c>
      <c r="J100" s="356"/>
      <c r="K100" s="263"/>
      <c r="L100" s="263"/>
      <c r="M100" s="263"/>
      <c r="N100" s="263"/>
      <c r="O100" s="263" t="s">
        <v>1005</v>
      </c>
      <c r="P100" s="263"/>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L100" s="263"/>
      <c r="AM100" s="263"/>
      <c r="AN100" s="263"/>
      <c r="AO100" s="263"/>
      <c r="AP100" s="263"/>
      <c r="AQ100" s="263"/>
      <c r="AR100" s="263"/>
      <c r="AS100" s="263"/>
      <c r="AT100" s="263"/>
      <c r="AU100" s="263"/>
      <c r="AV100" s="263"/>
      <c r="AW100" s="263"/>
      <c r="AX100" s="263"/>
      <c r="AY100" s="263"/>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HU100" s="73"/>
      <c r="HV100" s="73"/>
      <c r="HW100" s="73"/>
      <c r="HX100" s="73"/>
      <c r="HY100" s="73"/>
      <c r="HZ100" s="73"/>
      <c r="IA100" s="73"/>
      <c r="IB100" s="73"/>
      <c r="IC100" s="73"/>
      <c r="ID100" s="73"/>
      <c r="IE100" s="73"/>
      <c r="IF100" s="73"/>
      <c r="IG100" s="73"/>
      <c r="IH100" s="73"/>
    </row>
    <row r="101" spans="1:242" ht="15">
      <c r="A101"/>
      <c r="F101" s="263"/>
      <c r="G101" s="355"/>
      <c r="H101" s="350" t="s">
        <v>409</v>
      </c>
      <c r="I101" s="1102">
        <f>Gröddata!Q5</f>
        <v>7.53</v>
      </c>
      <c r="J101" s="356"/>
      <c r="K101" s="263"/>
      <c r="L101" s="263"/>
      <c r="M101" s="263"/>
      <c r="N101" s="263"/>
      <c r="O101" s="263"/>
      <c r="P101" s="263"/>
      <c r="Q101" s="263"/>
      <c r="R101" s="263"/>
      <c r="S101" s="263"/>
      <c r="T101" s="263"/>
      <c r="U101" s="263"/>
      <c r="V101" s="263"/>
      <c r="W101" s="263"/>
      <c r="X101" s="263"/>
      <c r="Y101" s="263"/>
      <c r="Z101" s="263"/>
      <c r="AA101" s="263"/>
      <c r="AB101" s="263"/>
      <c r="AC101" s="263"/>
      <c r="AD101" s="263"/>
      <c r="AE101" s="263"/>
      <c r="AF101" s="263"/>
      <c r="AG101" s="263"/>
      <c r="AH101" s="263"/>
      <c r="AI101" s="263"/>
      <c r="AJ101" s="263"/>
      <c r="AK101" s="263"/>
      <c r="AL101" s="263"/>
      <c r="AM101" s="263"/>
      <c r="AN101" s="263"/>
      <c r="AO101" s="263"/>
      <c r="AP101" s="263"/>
      <c r="AQ101" s="263"/>
      <c r="AR101" s="263"/>
      <c r="AS101" s="263"/>
      <c r="AT101" s="263"/>
      <c r="AU101" s="263"/>
      <c r="AV101" s="263"/>
      <c r="AW101" s="263"/>
      <c r="AX101" s="263"/>
      <c r="AY101" s="263"/>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HU101" s="73"/>
      <c r="HV101" s="73"/>
      <c r="HW101" s="73"/>
      <c r="HX101" s="73"/>
      <c r="HY101" s="73"/>
      <c r="HZ101" s="73"/>
      <c r="IA101" s="73"/>
      <c r="IB101" s="73"/>
      <c r="IC101" s="73"/>
      <c r="ID101" s="73"/>
      <c r="IE101" s="73"/>
      <c r="IF101" s="73"/>
      <c r="IG101" s="73"/>
      <c r="IH101" s="73"/>
    </row>
    <row r="102" spans="1:242" ht="15">
      <c r="A102"/>
      <c r="F102" s="263"/>
      <c r="G102" s="355"/>
      <c r="H102" s="350" t="s">
        <v>412</v>
      </c>
      <c r="I102" s="1102">
        <f>Gröddata!Q6</f>
        <v>1.5</v>
      </c>
      <c r="J102" s="356"/>
      <c r="K102" s="263"/>
      <c r="L102" s="263"/>
      <c r="M102" s="263"/>
      <c r="N102" s="263"/>
      <c r="O102" s="263"/>
      <c r="P102" s="263"/>
      <c r="Q102" s="263"/>
      <c r="R102" s="263"/>
      <c r="S102" s="263"/>
      <c r="T102" s="263"/>
      <c r="U102" s="263"/>
      <c r="V102" s="263"/>
      <c r="W102" s="263"/>
      <c r="X102" s="263"/>
      <c r="Y102" s="263"/>
      <c r="Z102" s="263"/>
      <c r="AA102" s="263"/>
      <c r="AB102" s="263"/>
      <c r="AC102" s="263"/>
      <c r="AD102" s="263"/>
      <c r="AE102" s="263"/>
      <c r="AF102" s="263"/>
      <c r="AG102" s="263"/>
      <c r="AH102" s="263"/>
      <c r="AI102" s="263"/>
      <c r="AJ102" s="263"/>
      <c r="AK102" s="263"/>
      <c r="AL102" s="263"/>
      <c r="AM102" s="263"/>
      <c r="AN102" s="263"/>
      <c r="AO102" s="263"/>
      <c r="AP102" s="263"/>
      <c r="AQ102" s="263"/>
      <c r="AR102" s="263"/>
      <c r="AS102" s="263"/>
      <c r="AT102" s="263"/>
      <c r="AU102" s="263"/>
      <c r="AV102" s="263"/>
      <c r="AW102" s="263"/>
      <c r="AX102" s="263"/>
      <c r="AY102" s="263"/>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HU102" s="73"/>
      <c r="HV102" s="73"/>
      <c r="HW102" s="73"/>
      <c r="HX102" s="73"/>
      <c r="HY102" s="73"/>
      <c r="HZ102" s="73"/>
      <c r="IA102" s="73"/>
      <c r="IB102" s="73"/>
      <c r="IC102" s="73"/>
      <c r="ID102" s="73"/>
      <c r="IE102" s="73"/>
      <c r="IF102" s="73"/>
      <c r="IG102" s="73"/>
      <c r="IH102" s="73"/>
    </row>
    <row r="103" spans="1:242" ht="15">
      <c r="A103"/>
      <c r="F103" s="263"/>
      <c r="G103" s="358"/>
      <c r="H103" s="359"/>
      <c r="I103" s="359"/>
      <c r="J103" s="360"/>
      <c r="K103" s="263"/>
      <c r="L103" s="263"/>
      <c r="M103" s="263"/>
      <c r="N103" s="263"/>
      <c r="O103" s="263"/>
      <c r="P103" s="263"/>
      <c r="Q103" s="263"/>
      <c r="R103" s="263"/>
      <c r="S103" s="263"/>
      <c r="T103" s="263"/>
      <c r="U103" s="263"/>
      <c r="V103" s="263"/>
      <c r="W103" s="263"/>
      <c r="X103" s="263"/>
      <c r="Y103" s="263"/>
      <c r="Z103" s="263"/>
      <c r="AA103" s="263"/>
      <c r="AB103" s="263"/>
      <c r="AC103" s="263"/>
      <c r="AD103" s="263"/>
      <c r="AE103" s="263"/>
      <c r="AF103" s="263"/>
      <c r="AG103" s="263"/>
      <c r="AH103" s="263"/>
      <c r="AI103" s="263"/>
      <c r="AJ103" s="263"/>
      <c r="AK103" s="263"/>
      <c r="AL103" s="263"/>
      <c r="AM103" s="263"/>
      <c r="AN103" s="263"/>
      <c r="AO103" s="263"/>
      <c r="AP103" s="263"/>
      <c r="AQ103" s="263"/>
      <c r="AR103" s="263"/>
      <c r="AS103" s="263"/>
      <c r="AT103" s="263"/>
      <c r="AU103" s="263"/>
      <c r="AV103" s="263"/>
      <c r="AW103" s="263"/>
      <c r="AX103" s="263"/>
      <c r="AY103" s="26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HU103" s="73"/>
      <c r="HV103" s="73"/>
      <c r="HW103" s="73"/>
      <c r="HX103" s="73"/>
      <c r="HY103" s="73"/>
      <c r="HZ103" s="73"/>
      <c r="IA103" s="73"/>
      <c r="IB103" s="73"/>
      <c r="IC103" s="73"/>
      <c r="ID103" s="73"/>
      <c r="IE103" s="73"/>
      <c r="IF103" s="73"/>
      <c r="IG103" s="73"/>
      <c r="IH103" s="73"/>
    </row>
    <row r="104" spans="1:242">
      <c r="A104"/>
      <c r="F104" s="263"/>
      <c r="G104" s="263"/>
      <c r="H104" s="263"/>
      <c r="I104" s="263"/>
      <c r="J104" s="263"/>
      <c r="K104" s="263"/>
      <c r="M104" s="263"/>
      <c r="N104" s="263"/>
      <c r="O104" s="263"/>
      <c r="P104" s="263"/>
      <c r="R104" s="263"/>
      <c r="S104" s="263"/>
      <c r="T104" s="263"/>
      <c r="U104" s="263"/>
      <c r="W104" s="263"/>
      <c r="X104" s="263"/>
      <c r="Y104" s="263"/>
      <c r="Z104" s="263"/>
      <c r="AB104" s="263"/>
      <c r="AC104" s="263"/>
      <c r="AD104" s="263"/>
      <c r="AE104" s="263"/>
      <c r="AG104" s="263"/>
      <c r="AH104" s="263"/>
      <c r="AI104" s="263"/>
      <c r="AJ104" s="263"/>
      <c r="AL104" s="263"/>
      <c r="AM104" s="263"/>
      <c r="AN104" s="263"/>
      <c r="AO104" s="263"/>
      <c r="AQ104" s="263"/>
      <c r="AR104" s="263"/>
      <c r="AS104" s="263"/>
      <c r="AT104" s="263"/>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HU104" s="73"/>
      <c r="HV104" s="73"/>
      <c r="HW104" s="73"/>
      <c r="HX104" s="73"/>
      <c r="HY104" s="73"/>
      <c r="HZ104" s="73"/>
      <c r="IA104" s="73"/>
      <c r="IB104" s="73"/>
      <c r="IC104" s="73"/>
      <c r="ID104" s="73"/>
      <c r="IE104" s="73"/>
      <c r="IF104" s="73"/>
      <c r="IG104" s="73"/>
      <c r="IH104" s="73"/>
    </row>
    <row r="105" spans="1:242">
      <c r="A105"/>
      <c r="G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HU105" s="73"/>
      <c r="HV105" s="73"/>
      <c r="HW105" s="73"/>
      <c r="HX105" s="73"/>
      <c r="HY105" s="73"/>
      <c r="HZ105" s="73"/>
      <c r="IA105" s="73"/>
      <c r="IB105" s="73"/>
      <c r="IC105" s="73"/>
      <c r="ID105" s="73"/>
      <c r="IE105" s="73"/>
      <c r="IF105" s="73"/>
      <c r="IG105" s="73"/>
      <c r="IH105" s="73"/>
    </row>
    <row r="106" spans="1:242">
      <c r="A106"/>
      <c r="G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HU106" s="73"/>
      <c r="HV106" s="73"/>
      <c r="HW106" s="73"/>
      <c r="HX106" s="73"/>
      <c r="HY106" s="73"/>
      <c r="HZ106" s="73"/>
      <c r="IA106" s="73"/>
      <c r="IB106" s="73"/>
      <c r="IC106" s="73"/>
      <c r="ID106" s="73"/>
      <c r="IE106" s="73"/>
      <c r="IF106" s="73"/>
      <c r="IG106" s="73"/>
      <c r="IH106" s="73"/>
    </row>
    <row r="107" spans="1:242">
      <c r="A107"/>
      <c r="G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HU107" s="73"/>
      <c r="HV107" s="73"/>
      <c r="HW107" s="73"/>
      <c r="HX107" s="73"/>
      <c r="HY107" s="73"/>
      <c r="HZ107" s="73"/>
      <c r="IA107" s="73"/>
      <c r="IB107" s="73"/>
      <c r="IC107" s="73"/>
      <c r="ID107" s="73"/>
      <c r="IE107" s="73"/>
      <c r="IF107" s="73"/>
      <c r="IG107" s="73"/>
      <c r="IH107" s="73"/>
    </row>
    <row r="108" spans="1:242">
      <c r="A108"/>
      <c r="G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HU108" s="73"/>
      <c r="HV108" s="73"/>
      <c r="HW108" s="73"/>
      <c r="HX108" s="73"/>
      <c r="HY108" s="73"/>
      <c r="HZ108" s="73"/>
      <c r="IA108" s="73"/>
      <c r="IB108" s="73"/>
      <c r="IC108" s="73"/>
      <c r="ID108" s="73"/>
      <c r="IE108" s="73"/>
      <c r="IF108" s="73"/>
      <c r="IG108" s="73"/>
      <c r="IH108" s="73"/>
    </row>
    <row r="109" spans="1:242">
      <c r="A109"/>
      <c r="G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HU109" s="73"/>
      <c r="HV109" s="73"/>
      <c r="HW109" s="73"/>
      <c r="HX109" s="73"/>
      <c r="HY109" s="73"/>
      <c r="HZ109" s="73"/>
      <c r="IA109" s="73"/>
      <c r="IB109" s="73"/>
      <c r="IC109" s="73"/>
      <c r="ID109" s="73"/>
      <c r="IE109" s="73"/>
      <c r="IF109" s="73"/>
      <c r="IG109" s="73"/>
      <c r="IH109" s="73"/>
    </row>
    <row r="110" spans="1:242">
      <c r="A110"/>
      <c r="G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HU110" s="73"/>
      <c r="HV110" s="73"/>
      <c r="HW110" s="73"/>
      <c r="HX110" s="73"/>
      <c r="HY110" s="73"/>
      <c r="HZ110" s="73"/>
      <c r="IA110" s="73"/>
      <c r="IB110" s="73"/>
      <c r="IC110" s="73"/>
      <c r="ID110" s="73"/>
      <c r="IE110" s="73"/>
      <c r="IF110" s="73"/>
      <c r="IG110" s="73"/>
      <c r="IH110" s="73"/>
    </row>
    <row r="111" spans="1:242">
      <c r="A111"/>
      <c r="G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HU111" s="73"/>
      <c r="HV111" s="73"/>
      <c r="HW111" s="73"/>
      <c r="HX111" s="73"/>
      <c r="HY111" s="73"/>
      <c r="HZ111" s="73"/>
      <c r="IA111" s="73"/>
      <c r="IB111" s="73"/>
      <c r="IC111" s="73"/>
      <c r="ID111" s="73"/>
      <c r="IE111" s="73"/>
      <c r="IF111" s="73"/>
      <c r="IG111" s="73"/>
      <c r="IH111" s="73"/>
    </row>
    <row r="112" spans="1:242">
      <c r="A112"/>
      <c r="G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HU112" s="73"/>
      <c r="HV112" s="73"/>
      <c r="HW112" s="73"/>
      <c r="HX112" s="73"/>
      <c r="HY112" s="73"/>
      <c r="HZ112" s="73"/>
      <c r="IA112" s="73"/>
      <c r="IB112" s="73"/>
      <c r="IC112" s="73"/>
      <c r="ID112" s="73"/>
      <c r="IE112" s="73"/>
      <c r="IF112" s="73"/>
      <c r="IG112" s="73"/>
      <c r="IH112" s="73"/>
    </row>
    <row r="113" spans="1:247">
      <c r="A113"/>
      <c r="G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HU113" s="73"/>
      <c r="HV113" s="73"/>
      <c r="HW113" s="73"/>
      <c r="HX113" s="73"/>
      <c r="HY113" s="73"/>
      <c r="HZ113" s="73"/>
      <c r="IA113" s="73"/>
      <c r="IB113" s="73"/>
      <c r="IC113" s="73"/>
      <c r="ID113" s="73"/>
      <c r="IE113" s="73"/>
      <c r="IF113" s="73"/>
      <c r="IG113" s="73"/>
      <c r="IH113" s="73"/>
    </row>
    <row r="114" spans="1:247">
      <c r="A114"/>
      <c r="G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HU114" s="73"/>
      <c r="HV114" s="73"/>
      <c r="HW114" s="73"/>
      <c r="HX114" s="73"/>
      <c r="HY114" s="73"/>
      <c r="HZ114" s="73"/>
      <c r="IA114" s="73"/>
      <c r="IB114" s="73"/>
      <c r="IC114" s="73"/>
      <c r="ID114" s="73"/>
      <c r="IE114" s="73"/>
      <c r="IF114" s="73"/>
      <c r="IG114" s="73"/>
      <c r="IH114" s="73"/>
    </row>
    <row r="115" spans="1:247">
      <c r="A115"/>
      <c r="G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HY115" s="73"/>
      <c r="HZ115" s="73"/>
      <c r="IA115" s="73"/>
      <c r="IB115" s="73"/>
      <c r="IC115" s="73"/>
      <c r="ID115" s="73"/>
      <c r="IE115" s="73"/>
      <c r="IF115" s="73"/>
      <c r="IG115" s="73"/>
      <c r="IH115" s="73"/>
      <c r="II115" s="73"/>
      <c r="IJ115" s="73"/>
      <c r="IK115" s="73"/>
      <c r="IL115" s="73"/>
    </row>
    <row r="116" spans="1:247">
      <c r="A116"/>
      <c r="G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HY116" s="73"/>
      <c r="HZ116" s="73"/>
      <c r="IA116" s="73"/>
      <c r="IB116" s="73"/>
      <c r="IC116" s="73"/>
      <c r="ID116" s="73"/>
      <c r="IE116" s="73"/>
      <c r="IF116" s="73"/>
      <c r="IG116" s="73"/>
      <c r="IH116" s="73"/>
      <c r="II116" s="73"/>
      <c r="IJ116" s="73"/>
      <c r="IK116" s="73"/>
      <c r="IL116" s="73"/>
    </row>
    <row r="117" spans="1:247">
      <c r="A117"/>
      <c r="G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HY117" s="73"/>
      <c r="HZ117" s="73"/>
      <c r="IA117" s="73"/>
      <c r="IB117" s="73"/>
      <c r="IC117" s="73"/>
      <c r="ID117" s="73"/>
      <c r="IE117" s="73"/>
      <c r="IF117" s="73"/>
      <c r="IG117" s="73"/>
      <c r="IH117" s="73"/>
      <c r="II117" s="73"/>
      <c r="IJ117" s="73"/>
      <c r="IK117" s="73"/>
      <c r="IL117" s="73"/>
    </row>
    <row r="118" spans="1:247">
      <c r="A118"/>
      <c r="G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HY118" s="73"/>
      <c r="HZ118" s="73"/>
      <c r="IA118" s="73"/>
      <c r="IB118" s="73"/>
      <c r="IC118" s="73"/>
      <c r="ID118" s="73"/>
      <c r="IE118" s="73"/>
      <c r="IF118" s="73"/>
      <c r="IG118" s="73"/>
      <c r="IH118" s="73"/>
      <c r="II118" s="73"/>
      <c r="IJ118" s="73"/>
      <c r="IK118" s="73"/>
      <c r="IL118" s="73"/>
    </row>
    <row r="119" spans="1:247">
      <c r="A119"/>
      <c r="G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HY119" s="73"/>
      <c r="HZ119" s="73"/>
      <c r="IA119" s="73"/>
      <c r="IB119" s="73"/>
      <c r="IC119" s="73"/>
      <c r="ID119" s="73"/>
      <c r="IE119" s="73"/>
      <c r="IF119" s="73"/>
      <c r="IG119" s="73"/>
      <c r="IH119" s="73"/>
      <c r="II119" s="73"/>
      <c r="IJ119" s="73"/>
      <c r="IK119" s="73"/>
      <c r="IL119" s="73"/>
    </row>
    <row r="120" spans="1:247">
      <c r="A120"/>
      <c r="G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HY120" s="73"/>
      <c r="HZ120" s="73"/>
      <c r="IA120" s="73"/>
      <c r="IB120" s="73"/>
      <c r="IC120" s="73"/>
      <c r="ID120" s="73"/>
      <c r="IE120" s="73"/>
      <c r="IF120" s="73"/>
      <c r="IG120" s="73"/>
      <c r="IH120" s="73"/>
      <c r="II120" s="73"/>
      <c r="IJ120" s="73"/>
      <c r="IK120" s="73"/>
      <c r="IL120" s="73"/>
    </row>
    <row r="121" spans="1:247">
      <c r="A121"/>
      <c r="G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HY121" s="73"/>
      <c r="HZ121" s="73"/>
      <c r="IA121" s="73"/>
      <c r="IB121" s="73"/>
      <c r="IC121" s="73"/>
      <c r="ID121" s="73"/>
      <c r="IE121" s="73"/>
      <c r="IF121" s="73"/>
      <c r="IG121" s="73"/>
      <c r="IH121" s="73"/>
      <c r="II121" s="73"/>
      <c r="IJ121" s="73"/>
      <c r="IK121" s="73"/>
      <c r="IL121" s="73"/>
    </row>
    <row r="122" spans="1:247">
      <c r="A122"/>
      <c r="G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HY122" s="73"/>
      <c r="HZ122" s="73"/>
      <c r="IA122" s="73"/>
      <c r="IB122" s="73"/>
      <c r="IC122" s="73"/>
      <c r="ID122" s="73"/>
      <c r="IE122" s="73"/>
      <c r="IF122" s="73"/>
      <c r="IG122" s="73"/>
      <c r="IH122" s="73"/>
      <c r="II122" s="73"/>
      <c r="IJ122" s="73"/>
      <c r="IK122" s="73"/>
      <c r="IL122" s="73"/>
    </row>
    <row r="123" spans="1:247">
      <c r="A123"/>
      <c r="G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HY123" s="73"/>
      <c r="HZ123" s="73"/>
      <c r="IA123" s="73"/>
      <c r="IB123" s="73"/>
      <c r="IC123" s="73"/>
      <c r="ID123" s="73"/>
      <c r="IE123" s="73"/>
      <c r="IF123" s="73"/>
      <c r="IG123" s="73"/>
      <c r="IH123" s="73"/>
      <c r="II123" s="73"/>
      <c r="IJ123" s="73"/>
      <c r="IK123" s="73"/>
      <c r="IL123" s="73"/>
    </row>
    <row r="124" spans="1:247">
      <c r="A124"/>
      <c r="G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HY124" s="73"/>
      <c r="HZ124" s="73"/>
      <c r="IA124" s="73"/>
      <c r="IB124" s="73"/>
      <c r="IC124" s="73"/>
      <c r="ID124" s="73"/>
      <c r="IE124" s="73"/>
      <c r="IF124" s="73"/>
      <c r="IG124" s="73"/>
      <c r="IH124" s="73"/>
      <c r="II124" s="73"/>
      <c r="IJ124" s="73"/>
      <c r="IK124" s="73"/>
      <c r="IL124" s="73"/>
    </row>
    <row r="125" spans="1:247">
      <c r="A125"/>
      <c r="G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HY125" s="73"/>
      <c r="HZ125" s="73"/>
      <c r="IA125" s="73"/>
      <c r="IB125" s="73"/>
      <c r="IC125" s="73"/>
      <c r="ID125" s="73"/>
      <c r="IE125" s="73"/>
      <c r="IF125" s="73"/>
      <c r="IG125" s="73"/>
      <c r="IH125" s="73"/>
      <c r="II125" s="73"/>
      <c r="IJ125" s="73"/>
      <c r="IK125" s="73"/>
      <c r="IL125" s="73"/>
    </row>
    <row r="126" spans="1:247">
      <c r="A126"/>
      <c r="G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HY126" s="73"/>
      <c r="HZ126" s="73"/>
      <c r="IA126" s="73"/>
      <c r="IB126" s="73"/>
      <c r="IC126" s="73"/>
      <c r="ID126" s="73"/>
      <c r="IE126" s="73"/>
      <c r="IF126" s="73"/>
      <c r="IG126" s="73"/>
      <c r="IH126" s="73"/>
      <c r="II126" s="73"/>
      <c r="IJ126" s="73"/>
      <c r="IK126" s="73"/>
      <c r="IL126" s="73"/>
    </row>
    <row r="127" spans="1:247">
      <c r="A127"/>
      <c r="G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HY127" s="73"/>
      <c r="HZ127" s="73"/>
      <c r="IA127" s="73"/>
      <c r="IB127" s="73"/>
      <c r="IC127" s="73"/>
      <c r="ID127" s="73"/>
      <c r="IE127" s="73"/>
      <c r="IF127" s="73"/>
      <c r="IG127" s="73"/>
      <c r="IH127" s="73"/>
      <c r="II127" s="73"/>
      <c r="IJ127" s="73"/>
      <c r="IK127" s="73"/>
      <c r="IL127" s="73"/>
    </row>
    <row r="128" spans="1:247">
      <c r="A128"/>
      <c r="G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HZ128" s="73"/>
      <c r="IA128" s="73"/>
      <c r="IB128" s="73"/>
      <c r="IC128" s="73"/>
      <c r="ID128" s="73"/>
      <c r="IE128" s="73"/>
      <c r="IF128" s="73"/>
      <c r="IG128" s="73"/>
      <c r="IH128" s="73"/>
      <c r="II128" s="73"/>
      <c r="IJ128" s="73"/>
      <c r="IK128" s="73"/>
      <c r="IL128" s="73"/>
      <c r="IM128" s="73"/>
    </row>
    <row r="129" spans="1:247">
      <c r="A129"/>
      <c r="G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HZ129" s="73"/>
      <c r="IA129" s="73"/>
      <c r="IB129" s="73"/>
      <c r="IC129" s="73"/>
      <c r="ID129" s="73"/>
      <c r="IE129" s="73"/>
      <c r="IF129" s="73"/>
      <c r="IG129" s="73"/>
      <c r="IH129" s="73"/>
      <c r="II129" s="73"/>
      <c r="IJ129" s="73"/>
      <c r="IK129" s="73"/>
      <c r="IL129" s="73"/>
      <c r="IM129" s="73"/>
    </row>
    <row r="130" spans="1:247">
      <c r="A130"/>
      <c r="G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HZ130" s="73"/>
      <c r="IA130" s="73"/>
      <c r="IB130" s="73"/>
      <c r="IC130" s="73"/>
      <c r="ID130" s="73"/>
      <c r="IE130" s="73"/>
      <c r="IF130" s="73"/>
      <c r="IG130" s="73"/>
      <c r="IH130" s="73"/>
      <c r="II130" s="73"/>
      <c r="IJ130" s="73"/>
      <c r="IK130" s="73"/>
      <c r="IL130" s="73"/>
      <c r="IM130" s="73"/>
    </row>
    <row r="131" spans="1:247">
      <c r="HZ131" s="73"/>
      <c r="IA131" s="73"/>
      <c r="IB131" s="73"/>
      <c r="IC131" s="73"/>
      <c r="ID131" s="73"/>
      <c r="IE131" s="73"/>
      <c r="IF131" s="73"/>
      <c r="IG131" s="73"/>
      <c r="IH131" s="73"/>
      <c r="II131" s="73"/>
      <c r="IJ131" s="73"/>
      <c r="IK131" s="73"/>
      <c r="IL131" s="73"/>
      <c r="IM131" s="73"/>
    </row>
    <row r="132" spans="1:247">
      <c r="HZ132" s="73"/>
      <c r="IA132" s="73"/>
      <c r="IB132" s="73"/>
      <c r="IC132" s="73"/>
      <c r="ID132" s="73"/>
      <c r="IE132" s="73"/>
      <c r="IF132" s="73"/>
      <c r="IG132" s="73"/>
      <c r="IH132" s="73"/>
      <c r="II132" s="73"/>
      <c r="IJ132" s="73"/>
      <c r="IK132" s="73"/>
      <c r="IL132" s="73"/>
      <c r="IM132" s="73"/>
    </row>
    <row r="133" spans="1:247">
      <c r="HZ133" s="73"/>
      <c r="IA133" s="73"/>
      <c r="IB133" s="73"/>
      <c r="IC133" s="73"/>
      <c r="ID133" s="73"/>
      <c r="IE133" s="73"/>
      <c r="IF133" s="73"/>
      <c r="IG133" s="73"/>
      <c r="IH133" s="73"/>
      <c r="II133" s="73"/>
      <c r="IJ133" s="73"/>
      <c r="IK133" s="73"/>
      <c r="IL133" s="73"/>
      <c r="IM133" s="73"/>
    </row>
    <row r="134" spans="1:247">
      <c r="HZ134" s="73"/>
      <c r="IA134" s="73"/>
      <c r="IB134" s="73"/>
      <c r="IC134" s="73"/>
      <c r="ID134" s="73"/>
      <c r="IE134" s="73"/>
      <c r="IF134" s="73"/>
      <c r="IG134" s="73"/>
      <c r="IH134" s="73"/>
      <c r="II134" s="73"/>
      <c r="IJ134" s="73"/>
      <c r="IK134" s="73"/>
      <c r="IL134" s="73"/>
      <c r="IM134" s="73"/>
    </row>
    <row r="135" spans="1:247">
      <c r="HZ135" s="73"/>
      <c r="IA135" s="73"/>
      <c r="IB135" s="73"/>
      <c r="IC135" s="73"/>
      <c r="ID135" s="73"/>
      <c r="IE135" s="73"/>
      <c r="IF135" s="73"/>
      <c r="IG135" s="73"/>
      <c r="IH135" s="73"/>
      <c r="II135" s="73"/>
      <c r="IJ135" s="73"/>
      <c r="IK135" s="73"/>
      <c r="IL135" s="73"/>
      <c r="IM135" s="73"/>
    </row>
    <row r="136" spans="1:247">
      <c r="HZ136" s="73"/>
      <c r="IA136" s="73"/>
      <c r="IB136" s="73"/>
      <c r="IC136" s="73"/>
      <c r="ID136" s="73"/>
      <c r="IE136" s="73"/>
      <c r="IF136" s="73"/>
      <c r="IG136" s="73"/>
      <c r="IH136" s="73"/>
      <c r="II136" s="73"/>
      <c r="IJ136" s="73"/>
      <c r="IK136" s="73"/>
      <c r="IL136" s="73"/>
      <c r="IM136" s="73"/>
    </row>
    <row r="137" spans="1:247">
      <c r="HZ137" s="73"/>
      <c r="IA137" s="73"/>
      <c r="IB137" s="73"/>
      <c r="IC137" s="73"/>
      <c r="ID137" s="73"/>
      <c r="IE137" s="73"/>
      <c r="IF137" s="73"/>
      <c r="IG137" s="73"/>
      <c r="IH137" s="73"/>
      <c r="II137" s="73"/>
      <c r="IJ137" s="73"/>
      <c r="IK137" s="73"/>
      <c r="IL137" s="73"/>
      <c r="IM137" s="73"/>
    </row>
    <row r="138" spans="1:247">
      <c r="HZ138" s="73"/>
      <c r="IA138" s="73"/>
      <c r="IB138" s="73"/>
      <c r="IC138" s="73"/>
      <c r="ID138" s="73"/>
      <c r="IE138" s="73"/>
      <c r="IF138" s="73"/>
      <c r="IG138" s="73"/>
      <c r="IH138" s="73"/>
      <c r="II138" s="73"/>
      <c r="IJ138" s="73"/>
      <c r="IK138" s="73"/>
      <c r="IL138" s="73"/>
      <c r="IM138" s="73"/>
    </row>
    <row r="139" spans="1:247">
      <c r="HZ139" s="73"/>
      <c r="IA139" s="73"/>
      <c r="IB139" s="73"/>
      <c r="IC139" s="73"/>
      <c r="ID139" s="73"/>
      <c r="IE139" s="73"/>
      <c r="IF139" s="73"/>
      <c r="IG139" s="73"/>
      <c r="IH139" s="73"/>
      <c r="II139" s="73"/>
      <c r="IJ139" s="73"/>
      <c r="IK139" s="73"/>
      <c r="IL139" s="73"/>
      <c r="IM139" s="73"/>
    </row>
    <row r="140" spans="1:247">
      <c r="A140"/>
      <c r="HZ140" s="73"/>
      <c r="IA140" s="73"/>
      <c r="IB140" s="73"/>
      <c r="IC140" s="73"/>
      <c r="ID140" s="73"/>
      <c r="IE140" s="73"/>
      <c r="IF140" s="73"/>
      <c r="IG140" s="73"/>
      <c r="IH140" s="73"/>
      <c r="II140" s="73"/>
      <c r="IJ140" s="73"/>
      <c r="IK140" s="73"/>
      <c r="IL140" s="73"/>
      <c r="IM140" s="73"/>
    </row>
    <row r="141" spans="1:247">
      <c r="A141"/>
      <c r="HZ141" s="73"/>
      <c r="IA141" s="73"/>
      <c r="IB141" s="73"/>
      <c r="IC141" s="73"/>
      <c r="ID141" s="73"/>
      <c r="IE141" s="73"/>
      <c r="IF141" s="73"/>
      <c r="IG141" s="73"/>
      <c r="IH141" s="73"/>
      <c r="II141" s="73"/>
      <c r="IJ141" s="73"/>
      <c r="IK141" s="73"/>
      <c r="IL141" s="73"/>
      <c r="IM141" s="73"/>
    </row>
    <row r="142" spans="1:247">
      <c r="A142"/>
      <c r="HZ142" s="73"/>
      <c r="IA142" s="73"/>
      <c r="IB142" s="73"/>
      <c r="IC142" s="73"/>
      <c r="ID142" s="73"/>
      <c r="IE142" s="73"/>
      <c r="IF142" s="73"/>
      <c r="IG142" s="73"/>
      <c r="IH142" s="73"/>
      <c r="II142" s="73"/>
      <c r="IJ142" s="73"/>
      <c r="IK142" s="73"/>
      <c r="IL142" s="73"/>
      <c r="IM142" s="73"/>
    </row>
    <row r="143" spans="1:247">
      <c r="A143"/>
      <c r="HZ143" s="73"/>
      <c r="IA143" s="73"/>
      <c r="IB143" s="73"/>
      <c r="IC143" s="73"/>
      <c r="ID143" s="73"/>
      <c r="IE143" s="73"/>
      <c r="IF143" s="73"/>
      <c r="IG143" s="73"/>
      <c r="IH143" s="73"/>
      <c r="II143" s="73"/>
      <c r="IJ143" s="73"/>
      <c r="IK143" s="73"/>
      <c r="IL143" s="73"/>
      <c r="IM143" s="73"/>
    </row>
    <row r="144" spans="1:247">
      <c r="A144"/>
      <c r="HZ144" s="73"/>
      <c r="IA144" s="73"/>
      <c r="IB144" s="73"/>
      <c r="IC144" s="73"/>
      <c r="ID144" s="73"/>
      <c r="IE144" s="73"/>
      <c r="IF144" s="73"/>
      <c r="IG144" s="73"/>
      <c r="IH144" s="73"/>
      <c r="II144" s="73"/>
      <c r="IJ144" s="73"/>
      <c r="IK144" s="73"/>
      <c r="IL144" s="73"/>
      <c r="IM144" s="73"/>
    </row>
    <row r="145" spans="1:247">
      <c r="A145"/>
      <c r="HZ145" s="73"/>
      <c r="IA145" s="73"/>
      <c r="IB145" s="73"/>
      <c r="IC145" s="73"/>
      <c r="ID145" s="73"/>
      <c r="IE145" s="73"/>
      <c r="IF145" s="73"/>
      <c r="IG145" s="73"/>
      <c r="IH145" s="73"/>
      <c r="II145" s="73"/>
      <c r="IJ145" s="73"/>
      <c r="IK145" s="73"/>
      <c r="IL145" s="73"/>
      <c r="IM145" s="73"/>
    </row>
    <row r="146" spans="1:247">
      <c r="A146"/>
      <c r="HZ146" s="73"/>
      <c r="IA146" s="73"/>
      <c r="IB146" s="73"/>
      <c r="IC146" s="73"/>
      <c r="ID146" s="73"/>
      <c r="IE146" s="73"/>
      <c r="IF146" s="73"/>
      <c r="IG146" s="73"/>
      <c r="IH146" s="73"/>
      <c r="II146" s="73"/>
      <c r="IJ146" s="73"/>
      <c r="IK146" s="73"/>
      <c r="IL146" s="73"/>
      <c r="IM146" s="73"/>
    </row>
    <row r="147" spans="1:247">
      <c r="A147"/>
      <c r="HZ147" s="73"/>
      <c r="IA147" s="73"/>
      <c r="IB147" s="73"/>
      <c r="IC147" s="73"/>
      <c r="ID147" s="73"/>
      <c r="IE147" s="73"/>
      <c r="IF147" s="73"/>
      <c r="IG147" s="73"/>
      <c r="IH147" s="73"/>
      <c r="II147" s="73"/>
      <c r="IJ147" s="73"/>
      <c r="IK147" s="73"/>
      <c r="IL147" s="73"/>
      <c r="IM147" s="73"/>
    </row>
    <row r="148" spans="1:247">
      <c r="A148"/>
      <c r="HZ148" s="73"/>
      <c r="IA148" s="73"/>
      <c r="IB148" s="73"/>
      <c r="IC148" s="73"/>
      <c r="ID148" s="73"/>
      <c r="IE148" s="73"/>
      <c r="IF148" s="73"/>
      <c r="IG148" s="73"/>
      <c r="IH148" s="73"/>
      <c r="II148" s="73"/>
      <c r="IJ148" s="73"/>
      <c r="IK148" s="73"/>
      <c r="IL148" s="73"/>
      <c r="IM148" s="73"/>
    </row>
    <row r="149" spans="1:247">
      <c r="A149"/>
      <c r="HZ149" s="73"/>
      <c r="IA149" s="73"/>
      <c r="IB149" s="73"/>
      <c r="IC149" s="73"/>
      <c r="ID149" s="73"/>
      <c r="IE149" s="73"/>
      <c r="IF149" s="73"/>
      <c r="IG149" s="73"/>
      <c r="IH149" s="73"/>
      <c r="II149" s="73"/>
      <c r="IJ149" s="73"/>
      <c r="IK149" s="73"/>
      <c r="IL149" s="73"/>
      <c r="IM149" s="73"/>
    </row>
    <row r="150" spans="1:247">
      <c r="A150"/>
      <c r="HZ150" s="73"/>
      <c r="IA150" s="73"/>
      <c r="IB150" s="73"/>
      <c r="IC150" s="73"/>
      <c r="ID150" s="73"/>
      <c r="IE150" s="73"/>
      <c r="IF150" s="73"/>
      <c r="IG150" s="73"/>
      <c r="IH150" s="73"/>
      <c r="II150" s="73"/>
      <c r="IJ150" s="73"/>
      <c r="IK150" s="73"/>
      <c r="IL150" s="73"/>
      <c r="IM150" s="73"/>
    </row>
    <row r="151" spans="1:247">
      <c r="A151"/>
      <c r="HZ151" s="73"/>
      <c r="IA151" s="73"/>
      <c r="IB151" s="73"/>
      <c r="IC151" s="73"/>
      <c r="ID151" s="73"/>
      <c r="IE151" s="73"/>
      <c r="IF151" s="73"/>
      <c r="IG151" s="73"/>
      <c r="IH151" s="73"/>
      <c r="II151" s="73"/>
      <c r="IJ151" s="73"/>
      <c r="IK151" s="73"/>
      <c r="IL151" s="73"/>
      <c r="IM151" s="73"/>
    </row>
    <row r="152" spans="1:247">
      <c r="A152"/>
      <c r="HZ152" s="73"/>
      <c r="IA152" s="73"/>
      <c r="IB152" s="73"/>
      <c r="IC152" s="73"/>
      <c r="ID152" s="73"/>
      <c r="IE152" s="73"/>
      <c r="IF152" s="73"/>
      <c r="IG152" s="73"/>
      <c r="IH152" s="73"/>
      <c r="II152" s="73"/>
      <c r="IJ152" s="73"/>
      <c r="IK152" s="73"/>
      <c r="IL152" s="73"/>
      <c r="IM152" s="73"/>
    </row>
    <row r="153" spans="1:247">
      <c r="A153"/>
      <c r="HZ153" s="73"/>
      <c r="IA153" s="73"/>
      <c r="IB153" s="73"/>
      <c r="IC153" s="73"/>
      <c r="ID153" s="73"/>
      <c r="IE153" s="73"/>
      <c r="IF153" s="73"/>
      <c r="IG153" s="73"/>
      <c r="IH153" s="73"/>
      <c r="II153" s="73"/>
      <c r="IJ153" s="73"/>
      <c r="IK153" s="73"/>
      <c r="IL153" s="73"/>
      <c r="IM153" s="73"/>
    </row>
    <row r="154" spans="1:247">
      <c r="A154"/>
      <c r="HZ154" s="73"/>
      <c r="IA154" s="73"/>
      <c r="IB154" s="73"/>
      <c r="IC154" s="73"/>
      <c r="ID154" s="73"/>
      <c r="IE154" s="73"/>
      <c r="IF154" s="73"/>
      <c r="IG154" s="73"/>
      <c r="IH154" s="73"/>
      <c r="II154" s="73"/>
      <c r="IJ154" s="73"/>
      <c r="IK154" s="73"/>
      <c r="IL154" s="73"/>
      <c r="IM154" s="73"/>
    </row>
    <row r="155" spans="1:247">
      <c r="A155"/>
      <c r="HZ155" s="73"/>
      <c r="IA155" s="73"/>
      <c r="IB155" s="73"/>
      <c r="IC155" s="73"/>
      <c r="ID155" s="73"/>
      <c r="IE155" s="73"/>
      <c r="IF155" s="73"/>
      <c r="IG155" s="73"/>
      <c r="IH155" s="73"/>
      <c r="II155" s="73"/>
      <c r="IJ155" s="73"/>
      <c r="IK155" s="73"/>
      <c r="IL155" s="73"/>
      <c r="IM155" s="73"/>
    </row>
    <row r="156" spans="1:247">
      <c r="A156"/>
      <c r="HZ156" s="73"/>
      <c r="IA156" s="73"/>
      <c r="IB156" s="73"/>
      <c r="IC156" s="73"/>
      <c r="ID156" s="73"/>
      <c r="IE156" s="73"/>
      <c r="IF156" s="73"/>
      <c r="IG156" s="73"/>
      <c r="IH156" s="73"/>
      <c r="II156" s="73"/>
      <c r="IJ156" s="73"/>
      <c r="IK156" s="73"/>
      <c r="IL156" s="73"/>
      <c r="IM156" s="73"/>
    </row>
    <row r="157" spans="1:247" ht="15.75">
      <c r="A157"/>
      <c r="K157" s="256"/>
      <c r="N157" s="165"/>
      <c r="O157" s="255"/>
      <c r="S157" s="256"/>
      <c r="T157" s="256"/>
      <c r="U157" s="256"/>
      <c r="X157" s="165"/>
      <c r="Y157" s="255"/>
      <c r="Z157" s="256"/>
      <c r="AC157" s="165"/>
      <c r="AD157" s="255"/>
      <c r="AE157" s="256"/>
      <c r="AH157" s="255"/>
      <c r="AI157" s="256"/>
      <c r="AJ157" s="165"/>
      <c r="AM157" s="255"/>
      <c r="AN157" s="256"/>
      <c r="AO157" s="165"/>
      <c r="AR157" s="255"/>
      <c r="AS157" s="256"/>
      <c r="HZ157" s="73"/>
      <c r="IA157" s="73"/>
      <c r="IB157" s="73"/>
      <c r="IC157" s="73"/>
      <c r="ID157" s="73"/>
      <c r="IE157" s="73"/>
      <c r="IF157" s="73"/>
      <c r="IG157" s="73"/>
      <c r="IH157" s="73"/>
      <c r="II157" s="73"/>
      <c r="IJ157" s="73"/>
      <c r="IK157" s="73"/>
      <c r="IL157" s="73"/>
      <c r="IM157" s="73"/>
    </row>
    <row r="158" spans="1:247" ht="15.75">
      <c r="A158"/>
      <c r="K158" s="247"/>
      <c r="N158" s="168"/>
      <c r="O158" s="241"/>
      <c r="P158" s="256"/>
      <c r="S158" s="247"/>
      <c r="T158" s="247"/>
      <c r="U158" s="247"/>
      <c r="X158" s="168"/>
      <c r="Y158" s="241"/>
      <c r="Z158" s="247"/>
      <c r="AC158" s="168"/>
      <c r="AD158" s="241"/>
      <c r="AE158" s="247"/>
      <c r="AH158" s="241"/>
      <c r="AI158" s="247"/>
      <c r="AJ158" s="168"/>
      <c r="AM158" s="241"/>
      <c r="AN158" s="247"/>
      <c r="AO158" s="168"/>
      <c r="AR158" s="241"/>
      <c r="AS158" s="247"/>
      <c r="HZ158" s="73"/>
      <c r="IA158" s="73"/>
      <c r="IB158" s="73"/>
      <c r="IC158" s="73"/>
      <c r="ID158" s="73"/>
      <c r="IE158" s="73"/>
      <c r="IF158" s="73"/>
      <c r="IG158" s="73"/>
      <c r="IH158" s="73"/>
      <c r="II158" s="73"/>
      <c r="IJ158" s="73"/>
      <c r="IK158" s="73"/>
      <c r="IL158" s="73"/>
      <c r="IM158" s="73"/>
    </row>
    <row r="159" spans="1:247">
      <c r="A159"/>
      <c r="P159" s="247"/>
      <c r="HZ159" s="73"/>
      <c r="IA159" s="73"/>
      <c r="IB159" s="73"/>
      <c r="IC159" s="73"/>
      <c r="ID159" s="73"/>
      <c r="IE159" s="73"/>
      <c r="IF159" s="73"/>
      <c r="IG159" s="73"/>
      <c r="IH159" s="73"/>
      <c r="II159" s="73"/>
      <c r="IJ159" s="73"/>
      <c r="IK159" s="73"/>
      <c r="IL159" s="73"/>
      <c r="IM159" s="73"/>
    </row>
    <row r="160" spans="1:247">
      <c r="A160"/>
      <c r="HZ160" s="73"/>
      <c r="IA160" s="73"/>
      <c r="IB160" s="73"/>
      <c r="IC160" s="73"/>
      <c r="ID160" s="73"/>
      <c r="IE160" s="73"/>
      <c r="IF160" s="73"/>
      <c r="IG160" s="73"/>
      <c r="IH160" s="73"/>
      <c r="II160" s="73"/>
      <c r="IJ160" s="73"/>
      <c r="IK160" s="73"/>
      <c r="IL160" s="73"/>
      <c r="IM160" s="73"/>
    </row>
    <row r="161" spans="1:247">
      <c r="A161"/>
      <c r="HZ161" s="73"/>
      <c r="IA161" s="73"/>
      <c r="IB161" s="73"/>
      <c r="IC161" s="73"/>
      <c r="ID161" s="73"/>
      <c r="IE161" s="73"/>
      <c r="IF161" s="73"/>
      <c r="IG161" s="73"/>
      <c r="IH161" s="73"/>
      <c r="II161" s="73"/>
      <c r="IJ161" s="73"/>
      <c r="IK161" s="73"/>
      <c r="IL161" s="73"/>
      <c r="IM161" s="73"/>
    </row>
    <row r="162" spans="1:247">
      <c r="A162"/>
      <c r="HZ162" s="73"/>
      <c r="IA162" s="73"/>
      <c r="IB162" s="73"/>
      <c r="IC162" s="73"/>
      <c r="ID162" s="73"/>
      <c r="IE162" s="73"/>
      <c r="IF162" s="73"/>
      <c r="IG162" s="73"/>
      <c r="IH162" s="73"/>
      <c r="II162" s="73"/>
      <c r="IJ162" s="73"/>
      <c r="IK162" s="73"/>
      <c r="IL162" s="73"/>
      <c r="IM162" s="73"/>
    </row>
    <row r="163" spans="1:247">
      <c r="A163"/>
      <c r="G163"/>
      <c r="L163"/>
      <c r="Q163"/>
      <c r="V163"/>
      <c r="AA163"/>
      <c r="AF163"/>
      <c r="AK163"/>
      <c r="AP163"/>
      <c r="AU163"/>
      <c r="AZ163"/>
      <c r="BA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HZ163" s="73"/>
      <c r="IA163" s="73"/>
      <c r="IB163" s="73"/>
      <c r="IC163" s="73"/>
      <c r="ID163" s="73"/>
      <c r="IE163" s="73"/>
      <c r="IF163" s="73"/>
      <c r="IG163" s="73"/>
      <c r="IH163" s="73"/>
      <c r="II163" s="73"/>
      <c r="IJ163" s="73"/>
      <c r="IK163" s="73"/>
      <c r="IL163" s="73"/>
      <c r="IM163" s="73"/>
    </row>
    <row r="164" spans="1:247">
      <c r="A164"/>
      <c r="G164"/>
      <c r="L164"/>
      <c r="Q164"/>
      <c r="V164"/>
      <c r="AA164"/>
      <c r="AF164"/>
      <c r="AK164"/>
      <c r="AP164"/>
      <c r="AU164"/>
      <c r="AZ164"/>
      <c r="BA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HZ164" s="73"/>
      <c r="IA164" s="73"/>
      <c r="IB164" s="73"/>
      <c r="IC164" s="73"/>
      <c r="ID164" s="73"/>
      <c r="IE164" s="73"/>
      <c r="IF164" s="73"/>
      <c r="IG164" s="73"/>
      <c r="IH164" s="73"/>
      <c r="II164" s="73"/>
      <c r="IJ164" s="73"/>
      <c r="IK164" s="73"/>
      <c r="IL164" s="73"/>
      <c r="IM164" s="73"/>
    </row>
    <row r="205" spans="1:122">
      <c r="A205"/>
      <c r="G205"/>
      <c r="I205" s="97"/>
      <c r="J205" s="97"/>
      <c r="L205"/>
      <c r="Q205"/>
      <c r="V205"/>
      <c r="AA205"/>
      <c r="AF205"/>
      <c r="AK205"/>
      <c r="AP205"/>
      <c r="AU205"/>
      <c r="AZ205"/>
      <c r="BA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row>
    <row r="206" spans="1:122">
      <c r="A206"/>
      <c r="G206"/>
      <c r="I206" s="97"/>
      <c r="J206" s="97"/>
      <c r="L206"/>
      <c r="Q206"/>
      <c r="V206"/>
      <c r="AA206"/>
      <c r="AF206"/>
      <c r="AK206"/>
      <c r="AP206"/>
      <c r="AU206"/>
      <c r="AZ206"/>
      <c r="BA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row>
    <row r="210" spans="1:122">
      <c r="A210"/>
      <c r="G210"/>
      <c r="I210" s="97"/>
      <c r="J210" s="97"/>
      <c r="L210"/>
      <c r="Q210"/>
      <c r="V210"/>
      <c r="AA210"/>
      <c r="AF210"/>
      <c r="AK210"/>
      <c r="AP210"/>
      <c r="AU210"/>
      <c r="AZ210"/>
      <c r="BA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row>
    <row r="211" spans="1:122">
      <c r="I211" s="97"/>
      <c r="J211" s="97"/>
      <c r="L211"/>
      <c r="Q211"/>
      <c r="V211"/>
      <c r="AA211"/>
      <c r="AF211"/>
      <c r="AK211"/>
      <c r="AP211"/>
      <c r="AU211"/>
      <c r="AZ211"/>
      <c r="BA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row>
    <row r="212" spans="1:122">
      <c r="I212" s="97"/>
      <c r="J212" s="97"/>
      <c r="L212"/>
      <c r="Q212"/>
      <c r="V212"/>
      <c r="AA212"/>
      <c r="AF212"/>
      <c r="AK212"/>
      <c r="AP212"/>
      <c r="AU212"/>
      <c r="AZ212"/>
      <c r="BA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row>
    <row r="213" spans="1:122">
      <c r="A213"/>
      <c r="L213"/>
      <c r="Q213"/>
      <c r="V213"/>
      <c r="AA213"/>
      <c r="AF213"/>
      <c r="AK213"/>
      <c r="AP213"/>
      <c r="AU213"/>
      <c r="AZ213"/>
      <c r="BA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row>
    <row r="214" spans="1:122">
      <c r="I214" s="97"/>
      <c r="J214" s="97"/>
      <c r="L214"/>
      <c r="Q214"/>
      <c r="V214"/>
      <c r="AA214"/>
      <c r="AF214"/>
      <c r="AK214"/>
      <c r="AP214"/>
      <c r="AU214"/>
      <c r="AZ214"/>
      <c r="BA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row>
    <row r="215" spans="1:122">
      <c r="I215" s="97"/>
      <c r="J215" s="97"/>
      <c r="L215"/>
      <c r="Q215"/>
      <c r="V215"/>
      <c r="AA215"/>
      <c r="AF215"/>
      <c r="AK215"/>
      <c r="AP215"/>
      <c r="AU215"/>
      <c r="AZ215"/>
      <c r="BA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row>
    <row r="216" spans="1:122">
      <c r="I216" s="97"/>
      <c r="J216" s="97"/>
      <c r="L216"/>
      <c r="Q216"/>
      <c r="V216"/>
      <c r="AA216"/>
      <c r="AF216"/>
      <c r="AK216"/>
      <c r="AP216"/>
      <c r="AU216"/>
      <c r="AZ216"/>
      <c r="BA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row>
    <row r="217" spans="1:122">
      <c r="I217" s="97"/>
      <c r="J217" s="97"/>
      <c r="L217"/>
      <c r="Q217"/>
      <c r="V217"/>
      <c r="AA217"/>
      <c r="AF217"/>
      <c r="AK217"/>
      <c r="AP217"/>
      <c r="AU217"/>
      <c r="AZ217"/>
      <c r="BA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row>
    <row r="222" spans="1:122">
      <c r="I222" s="97"/>
      <c r="J222" s="97"/>
      <c r="K222" s="97"/>
      <c r="L222"/>
      <c r="Q222"/>
      <c r="V222"/>
      <c r="AA222"/>
      <c r="AF222"/>
      <c r="AK222"/>
      <c r="AP222"/>
      <c r="AU222"/>
      <c r="AZ222"/>
      <c r="BA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row>
    <row r="223" spans="1:122">
      <c r="I223" s="97"/>
      <c r="J223" s="97"/>
      <c r="K223" s="97"/>
      <c r="L223"/>
      <c r="Q223"/>
      <c r="V223"/>
      <c r="AA223"/>
      <c r="AF223"/>
      <c r="AK223"/>
      <c r="AP223"/>
      <c r="AU223"/>
      <c r="AZ223"/>
      <c r="BA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row>
    <row r="224" spans="1:122">
      <c r="I224" s="97"/>
      <c r="J224" s="97"/>
      <c r="K224" s="97"/>
      <c r="L224"/>
      <c r="Q224"/>
      <c r="V224"/>
      <c r="AA224"/>
      <c r="AF224"/>
      <c r="AK224"/>
      <c r="AP224"/>
      <c r="AU224"/>
      <c r="AZ224"/>
      <c r="BA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row>
    <row r="225" spans="1:122">
      <c r="I225" s="97"/>
      <c r="J225" s="97"/>
      <c r="K225" s="97"/>
      <c r="L225"/>
      <c r="Q225"/>
      <c r="V225"/>
      <c r="AA225"/>
      <c r="AF225"/>
      <c r="AK225"/>
      <c r="AP225"/>
      <c r="AU225"/>
      <c r="AZ225"/>
      <c r="BA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row>
    <row r="226" spans="1:122">
      <c r="I226" s="97"/>
      <c r="J226" s="97"/>
      <c r="K226" s="97"/>
      <c r="L226"/>
      <c r="Q226"/>
      <c r="V226"/>
      <c r="AA226"/>
      <c r="AF226"/>
      <c r="AK226"/>
      <c r="AP226"/>
      <c r="AU226"/>
      <c r="AZ226"/>
      <c r="BA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row>
    <row r="227" spans="1:122">
      <c r="A227"/>
      <c r="I227" s="97"/>
      <c r="J227" s="97"/>
      <c r="K227" s="97"/>
      <c r="L227"/>
      <c r="Q227"/>
      <c r="V227"/>
      <c r="AA227"/>
      <c r="AF227"/>
      <c r="AK227"/>
      <c r="AP227"/>
      <c r="AU227"/>
      <c r="AZ227"/>
      <c r="BA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row>
    <row r="228" spans="1:122">
      <c r="A228"/>
      <c r="I228" s="97"/>
      <c r="J228" s="97"/>
      <c r="K228" s="97"/>
      <c r="L228"/>
      <c r="Q228"/>
      <c r="V228"/>
      <c r="AA228"/>
      <c r="AF228"/>
      <c r="AK228"/>
      <c r="AP228"/>
      <c r="AU228"/>
      <c r="AZ228"/>
      <c r="BA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row>
    <row r="232" spans="1:122">
      <c r="A232"/>
      <c r="I232" s="97"/>
      <c r="J232" s="97"/>
      <c r="L232"/>
      <c r="Q232"/>
      <c r="V232"/>
      <c r="AA232"/>
      <c r="AF232"/>
      <c r="AK232"/>
      <c r="AP232"/>
      <c r="AU232"/>
      <c r="AZ232"/>
      <c r="BA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row>
    <row r="233" spans="1:122">
      <c r="A233"/>
      <c r="I233" s="97"/>
      <c r="J233" s="97"/>
      <c r="L233"/>
      <c r="Q233"/>
      <c r="V233"/>
      <c r="AA233"/>
      <c r="AF233"/>
      <c r="AK233"/>
      <c r="AP233"/>
      <c r="AU233"/>
      <c r="AZ233"/>
      <c r="BA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row>
    <row r="234" spans="1:122">
      <c r="A234"/>
      <c r="I234" s="97"/>
      <c r="J234" s="97"/>
      <c r="L234"/>
      <c r="Q234"/>
      <c r="V234"/>
      <c r="AA234"/>
      <c r="AF234"/>
      <c r="AK234"/>
      <c r="AP234"/>
      <c r="AU234"/>
      <c r="AZ234"/>
      <c r="BA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row>
    <row r="235" spans="1:122">
      <c r="A235"/>
      <c r="I235" s="97"/>
      <c r="J235" s="97"/>
      <c r="L235"/>
      <c r="Q235"/>
      <c r="V235"/>
      <c r="AA235"/>
      <c r="AF235"/>
      <c r="AK235"/>
      <c r="AP235"/>
      <c r="AU235"/>
      <c r="AZ235"/>
      <c r="BA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row>
    <row r="236" spans="1:122">
      <c r="A236"/>
      <c r="I236" s="97"/>
      <c r="J236" s="97"/>
      <c r="L236"/>
      <c r="Q236"/>
      <c r="V236"/>
      <c r="AA236"/>
      <c r="AF236"/>
      <c r="AK236"/>
      <c r="AP236"/>
      <c r="AU236"/>
      <c r="AZ236"/>
      <c r="BA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row>
    <row r="237" spans="1:122">
      <c r="A237"/>
      <c r="E237" s="97"/>
      <c r="F237" s="97"/>
      <c r="I237" s="97"/>
      <c r="J237" s="97"/>
      <c r="L237"/>
      <c r="Q237"/>
      <c r="V237"/>
      <c r="AA237"/>
      <c r="AF237"/>
      <c r="AK237"/>
      <c r="AP237"/>
      <c r="AU237"/>
      <c r="AZ237"/>
      <c r="BA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row>
    <row r="238" spans="1:122">
      <c r="A238"/>
      <c r="E238" s="97"/>
      <c r="F238" s="97"/>
      <c r="I238" s="97"/>
      <c r="J238" s="97"/>
      <c r="L238"/>
      <c r="Q238"/>
      <c r="V238"/>
      <c r="AA238"/>
      <c r="AF238"/>
      <c r="AK238"/>
      <c r="AP238"/>
      <c r="AU238"/>
      <c r="AZ238"/>
      <c r="BA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row>
    <row r="239" spans="1:122">
      <c r="A239"/>
      <c r="E239" s="97"/>
      <c r="F239" s="97"/>
      <c r="I239" s="97"/>
      <c r="J239" s="97"/>
      <c r="L239"/>
      <c r="Q239"/>
      <c r="V239"/>
      <c r="AA239"/>
      <c r="AF239"/>
      <c r="AK239"/>
      <c r="AP239"/>
      <c r="AU239"/>
      <c r="AZ239"/>
      <c r="BA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row>
    <row r="240" spans="1:122">
      <c r="A240"/>
      <c r="E240" s="97"/>
      <c r="F240" s="97"/>
      <c r="I240" s="97"/>
      <c r="J240" s="97"/>
      <c r="L240"/>
      <c r="Q240"/>
      <c r="V240"/>
      <c r="AA240"/>
      <c r="AF240"/>
      <c r="AK240"/>
      <c r="AP240"/>
      <c r="AU240"/>
      <c r="AZ240"/>
      <c r="BA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row>
    <row r="241" spans="1:122">
      <c r="A241"/>
      <c r="E241" s="97"/>
      <c r="F241" s="97"/>
      <c r="I241" s="97"/>
      <c r="J241" s="97"/>
      <c r="L241"/>
      <c r="Q241"/>
      <c r="V241"/>
      <c r="AA241"/>
      <c r="AF241"/>
      <c r="AK241"/>
      <c r="AP241"/>
      <c r="AU241"/>
      <c r="AZ241"/>
      <c r="BA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row>
    <row r="242" spans="1:122">
      <c r="A242"/>
      <c r="E242" s="97"/>
      <c r="F242" s="97"/>
      <c r="L242"/>
      <c r="Q242"/>
      <c r="V242"/>
      <c r="AA242"/>
      <c r="AF242"/>
      <c r="AK242"/>
      <c r="AP242"/>
      <c r="AU242"/>
      <c r="AZ242"/>
      <c r="BA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row>
    <row r="243" spans="1:122">
      <c r="A243"/>
      <c r="E243" s="97"/>
      <c r="F243" s="97"/>
      <c r="L243"/>
      <c r="Q243"/>
      <c r="V243"/>
      <c r="AA243"/>
      <c r="AF243"/>
      <c r="AK243"/>
      <c r="AP243"/>
      <c r="AU243"/>
      <c r="AZ243"/>
      <c r="BA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row>
    <row r="244" spans="1:122">
      <c r="A244"/>
      <c r="E244" s="97"/>
      <c r="F244" s="97"/>
      <c r="L244"/>
      <c r="Q244"/>
      <c r="V244"/>
      <c r="AA244"/>
      <c r="AF244"/>
      <c r="AK244"/>
      <c r="AP244"/>
      <c r="AU244"/>
      <c r="AZ244"/>
      <c r="BA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row>
    <row r="245" spans="1:122">
      <c r="A245"/>
      <c r="E245" s="97"/>
      <c r="F245" s="97"/>
      <c r="L245"/>
      <c r="Q245"/>
      <c r="V245"/>
      <c r="AA245"/>
      <c r="AF245"/>
      <c r="AK245"/>
      <c r="AP245"/>
      <c r="AU245"/>
      <c r="AZ245"/>
      <c r="BA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row>
    <row r="246" spans="1:122">
      <c r="A246"/>
      <c r="E246" s="97"/>
      <c r="F246" s="97"/>
      <c r="J246" s="97"/>
      <c r="K246" s="97"/>
      <c r="L246"/>
      <c r="Q246"/>
      <c r="V246"/>
      <c r="AA246"/>
      <c r="AF246"/>
      <c r="AK246"/>
      <c r="AP246"/>
      <c r="AU246"/>
      <c r="AZ246"/>
      <c r="BA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row>
    <row r="247" spans="1:122">
      <c r="A247"/>
      <c r="E247" s="97"/>
      <c r="F247" s="97"/>
      <c r="J247" s="97"/>
      <c r="K247" s="97"/>
      <c r="L247"/>
      <c r="Q247"/>
      <c r="V247"/>
      <c r="AA247"/>
      <c r="AF247"/>
      <c r="AK247"/>
      <c r="AP247"/>
      <c r="AU247"/>
      <c r="AZ247"/>
      <c r="BA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row>
    <row r="248" spans="1:122">
      <c r="A248"/>
      <c r="E248" s="97"/>
      <c r="F248" s="97"/>
      <c r="J248" s="97"/>
      <c r="K248" s="97"/>
      <c r="L248"/>
      <c r="Q248"/>
      <c r="V248"/>
      <c r="AA248"/>
      <c r="AF248"/>
      <c r="AK248"/>
      <c r="AP248"/>
      <c r="AU248"/>
      <c r="AZ248"/>
      <c r="BA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row>
    <row r="249" spans="1:122">
      <c r="A249"/>
      <c r="E249" s="97"/>
      <c r="F249" s="97"/>
      <c r="J249" s="97"/>
      <c r="K249" s="97"/>
      <c r="L249"/>
      <c r="Q249"/>
      <c r="V249"/>
      <c r="AA249"/>
      <c r="AF249"/>
      <c r="AK249"/>
      <c r="AP249"/>
      <c r="AU249"/>
      <c r="AZ249"/>
      <c r="BA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row>
    <row r="250" spans="1:122">
      <c r="A250"/>
      <c r="E250" s="97"/>
      <c r="F250" s="97"/>
      <c r="J250" s="97"/>
      <c r="K250" s="97"/>
      <c r="L250"/>
      <c r="Q250"/>
      <c r="V250"/>
      <c r="AA250"/>
      <c r="AF250"/>
      <c r="AK250"/>
      <c r="AP250"/>
      <c r="AU250"/>
      <c r="AZ250"/>
      <c r="BA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row>
    <row r="251" spans="1:122">
      <c r="A251"/>
      <c r="E251" s="97"/>
      <c r="F251" s="97"/>
      <c r="J251" s="97"/>
      <c r="K251" s="97"/>
      <c r="L251"/>
      <c r="Q251"/>
      <c r="V251"/>
      <c r="AA251"/>
      <c r="AF251"/>
      <c r="AK251"/>
      <c r="AP251"/>
      <c r="AU251"/>
      <c r="AZ251"/>
      <c r="BA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row>
    <row r="252" spans="1:122">
      <c r="A252"/>
      <c r="J252" s="97"/>
      <c r="K252" s="97"/>
      <c r="L252"/>
      <c r="Q252"/>
      <c r="V252"/>
      <c r="AA252"/>
      <c r="AF252"/>
      <c r="AK252"/>
      <c r="AP252"/>
      <c r="AU252"/>
      <c r="AZ252"/>
      <c r="BA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row>
    <row r="253" spans="1:122">
      <c r="A253"/>
      <c r="E253" s="97"/>
      <c r="F253" s="97"/>
      <c r="J253" s="97"/>
      <c r="K253" s="97"/>
      <c r="L253"/>
      <c r="Q253"/>
      <c r="V253"/>
      <c r="AA253"/>
      <c r="AF253"/>
      <c r="AK253"/>
      <c r="AP253"/>
      <c r="AU253"/>
      <c r="AZ253"/>
      <c r="BA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row>
    <row r="254" spans="1:122">
      <c r="A254"/>
      <c r="E254" s="97"/>
      <c r="F254" s="97"/>
      <c r="J254" s="97"/>
      <c r="K254" s="97"/>
      <c r="L254"/>
      <c r="Q254"/>
      <c r="V254"/>
      <c r="AA254"/>
      <c r="AF254"/>
      <c r="AK254"/>
      <c r="AP254"/>
      <c r="AU254"/>
      <c r="AZ254"/>
      <c r="BA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row>
    <row r="255" spans="1:122">
      <c r="A255"/>
      <c r="E255" s="97"/>
      <c r="F255" s="97"/>
      <c r="J255" s="97"/>
      <c r="K255" s="97"/>
      <c r="L255"/>
      <c r="Q255"/>
      <c r="V255"/>
      <c r="AA255"/>
      <c r="AF255"/>
      <c r="AK255"/>
      <c r="AP255"/>
      <c r="AU255"/>
      <c r="AZ255"/>
      <c r="BA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row>
    <row r="256" spans="1:122">
      <c r="A256"/>
      <c r="E256" s="97"/>
      <c r="F256" s="97"/>
      <c r="J256" s="97"/>
      <c r="K256" s="97"/>
      <c r="L256"/>
      <c r="Q256"/>
      <c r="V256"/>
      <c r="AA256"/>
      <c r="AF256"/>
      <c r="AK256"/>
      <c r="AP256"/>
      <c r="AU256"/>
      <c r="AZ256"/>
      <c r="BA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row>
    <row r="257" spans="1:122">
      <c r="A257"/>
      <c r="E257" s="97"/>
      <c r="F257" s="97"/>
      <c r="J257" s="97"/>
      <c r="K257" s="97"/>
      <c r="L257"/>
      <c r="Q257"/>
      <c r="V257"/>
      <c r="AA257"/>
      <c r="AF257"/>
      <c r="AK257"/>
      <c r="AP257"/>
      <c r="AU257"/>
      <c r="AZ257"/>
      <c r="BA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row>
    <row r="258" spans="1:122">
      <c r="A258"/>
      <c r="E258" s="97"/>
      <c r="F258" s="97"/>
      <c r="J258" s="97"/>
      <c r="K258" s="97"/>
      <c r="L258"/>
      <c r="Q258"/>
      <c r="V258"/>
      <c r="AA258"/>
      <c r="AF258"/>
      <c r="AK258"/>
      <c r="AP258"/>
      <c r="AU258"/>
      <c r="AZ258"/>
      <c r="BA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row>
    <row r="259" spans="1:122">
      <c r="A259"/>
      <c r="E259" s="97"/>
      <c r="F259" s="97"/>
      <c r="J259" s="97"/>
      <c r="K259" s="97"/>
      <c r="L259"/>
      <c r="Q259"/>
      <c r="V259"/>
      <c r="AA259"/>
      <c r="AF259"/>
      <c r="AK259"/>
      <c r="AP259"/>
      <c r="AU259"/>
      <c r="AZ259"/>
      <c r="BA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row>
    <row r="260" spans="1:122">
      <c r="A260"/>
      <c r="E260" s="97"/>
      <c r="F260" s="97"/>
      <c r="J260" s="97"/>
      <c r="K260" s="97"/>
      <c r="L260"/>
      <c r="Q260"/>
      <c r="V260"/>
      <c r="AA260"/>
      <c r="AF260"/>
      <c r="AK260"/>
      <c r="AP260"/>
      <c r="AU260"/>
      <c r="AZ260"/>
      <c r="BA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row>
    <row r="261" spans="1:122">
      <c r="A261"/>
      <c r="E261" s="97"/>
      <c r="F261" s="97"/>
      <c r="J261" s="97"/>
      <c r="K261" s="97"/>
      <c r="L261"/>
      <c r="Q261"/>
      <c r="V261"/>
      <c r="AA261"/>
      <c r="AF261"/>
      <c r="AK261"/>
      <c r="AP261"/>
      <c r="AU261"/>
      <c r="AZ261"/>
      <c r="BA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row>
    <row r="262" spans="1:122">
      <c r="A262"/>
      <c r="E262" s="97"/>
      <c r="F262" s="97"/>
      <c r="L262"/>
      <c r="Q262"/>
      <c r="V262"/>
      <c r="AA262"/>
      <c r="AF262"/>
      <c r="AK262"/>
      <c r="AP262"/>
      <c r="AU262"/>
      <c r="AZ262"/>
      <c r="BA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row>
    <row r="263" spans="1:122">
      <c r="A263"/>
      <c r="E263" s="97"/>
      <c r="F263" s="97"/>
      <c r="L263"/>
      <c r="Q263"/>
      <c r="V263"/>
      <c r="AA263"/>
      <c r="AF263"/>
      <c r="AK263"/>
      <c r="AP263"/>
      <c r="AU263"/>
      <c r="AZ263"/>
      <c r="BA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row>
    <row r="264" spans="1:122">
      <c r="A264"/>
      <c r="E264" s="97"/>
      <c r="F264" s="97"/>
      <c r="L264"/>
      <c r="Q264"/>
      <c r="V264"/>
      <c r="AA264"/>
      <c r="AF264"/>
      <c r="AK264"/>
      <c r="AP264"/>
      <c r="AU264"/>
      <c r="AZ264"/>
      <c r="BA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row>
    <row r="265" spans="1:122">
      <c r="A265"/>
      <c r="E265" s="97"/>
      <c r="F265" s="97"/>
      <c r="L265"/>
      <c r="Q265"/>
      <c r="V265"/>
      <c r="AA265"/>
      <c r="AF265"/>
      <c r="AK265"/>
      <c r="AP265"/>
      <c r="AU265"/>
      <c r="AZ265"/>
      <c r="BA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row>
  </sheetData>
  <sheetProtection sheet="1" objects="1" scenarios="1"/>
  <mergeCells count="19">
    <mergeCell ref="H28:Q28"/>
    <mergeCell ref="X36:Z36"/>
    <mergeCell ref="AC36:AE36"/>
    <mergeCell ref="AH36:AJ36"/>
    <mergeCell ref="I36:K36"/>
    <mergeCell ref="S36:U36"/>
    <mergeCell ref="N36:P36"/>
    <mergeCell ref="AW37:AY37"/>
    <mergeCell ref="AR36:AT36"/>
    <mergeCell ref="AW36:AY36"/>
    <mergeCell ref="AM36:AO36"/>
    <mergeCell ref="AC37:AE37"/>
    <mergeCell ref="AH37:AJ37"/>
    <mergeCell ref="AM37:AO37"/>
    <mergeCell ref="I37:K37"/>
    <mergeCell ref="N37:P37"/>
    <mergeCell ref="S37:U37"/>
    <mergeCell ref="X37:Z37"/>
    <mergeCell ref="AR37:AT37"/>
  </mergeCells>
  <phoneticPr fontId="24" type="noConversion"/>
  <pageMargins left="0.75" right="0.75" top="1" bottom="1" header="0.5" footer="0.5"/>
  <pageSetup paperSize="9"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tabColor theme="4" tint="0.39997558519241921"/>
  </sheetPr>
  <dimension ref="A1:HY269"/>
  <sheetViews>
    <sheetView topLeftCell="F51" zoomScale="70" zoomScaleNormal="70" workbookViewId="0">
      <selection activeCell="H54" sqref="H54"/>
    </sheetView>
  </sheetViews>
  <sheetFormatPr defaultRowHeight="12.75" outlineLevelCol="1"/>
  <cols>
    <col min="1" max="1" width="33.85546875" style="223" hidden="1" customWidth="1" outlineLevel="1"/>
    <col min="2" max="2" width="23.42578125" hidden="1" customWidth="1" outlineLevel="1"/>
    <col min="3" max="3" width="32.28515625" hidden="1" customWidth="1" outlineLevel="1"/>
    <col min="4" max="4" width="37.5703125" hidden="1" customWidth="1" outlineLevel="1"/>
    <col min="5" max="5" width="28.7109375" hidden="1" customWidth="1" outlineLevel="1"/>
    <col min="6" max="6" width="4.5703125" customWidth="1" collapsed="1"/>
    <col min="7" max="7" width="8.140625" style="104" customWidth="1"/>
    <col min="8" max="8" width="9.28515625" customWidth="1"/>
    <col min="9" max="9" width="11.7109375" customWidth="1"/>
    <col min="10" max="10" width="9.7109375" customWidth="1"/>
    <col min="11" max="11" width="8.7109375" customWidth="1"/>
    <col min="12" max="12" width="5.42578125" style="20" customWidth="1"/>
    <col min="14" max="14" width="11.28515625" customWidth="1"/>
    <col min="15" max="16" width="8.7109375" customWidth="1"/>
    <col min="17" max="17" width="5.42578125" style="20" customWidth="1"/>
    <col min="19" max="19" width="10.85546875" customWidth="1"/>
    <col min="20" max="21" width="8.7109375" customWidth="1"/>
    <col min="22" max="22" width="5.42578125" style="20" customWidth="1"/>
    <col min="24" max="24" width="10.5703125" customWidth="1"/>
    <col min="25" max="26" width="8.7109375" customWidth="1"/>
    <col min="27" max="27" width="5.42578125" style="20" customWidth="1"/>
    <col min="29" max="29" width="11.140625" customWidth="1"/>
    <col min="30" max="31" width="8.7109375" customWidth="1"/>
    <col min="32" max="32" width="5.42578125" style="20" customWidth="1"/>
    <col min="34" max="34" width="10.28515625" customWidth="1"/>
    <col min="35" max="36" width="8.7109375" customWidth="1"/>
    <col min="37" max="38" width="5.42578125" style="20" customWidth="1"/>
    <col min="39" max="39" width="9.140625" style="20"/>
    <col min="40" max="40" width="8.7109375" customWidth="1"/>
    <col min="41" max="41" width="8.5703125" customWidth="1"/>
    <col min="42" max="48" width="8.7109375" customWidth="1"/>
    <col min="49" max="52" width="8.7109375" style="73" customWidth="1"/>
    <col min="53" max="53" width="8.5703125" style="73" customWidth="1"/>
    <col min="54" max="54" width="8.7109375" style="73" customWidth="1"/>
    <col min="55" max="55" width="0.140625" style="73" customWidth="1"/>
    <col min="56" max="56" width="9.140625" style="73"/>
    <col min="57" max="58" width="8.85546875" style="73" customWidth="1"/>
    <col min="59" max="60" width="8.7109375" style="73" customWidth="1"/>
    <col min="61" max="61" width="8.85546875" style="73" customWidth="1"/>
    <col min="62" max="62" width="8.7109375" style="73" customWidth="1"/>
    <col min="63" max="64" width="8.85546875" style="73" customWidth="1"/>
    <col min="65" max="66" width="8.7109375" style="73" customWidth="1"/>
    <col min="67" max="71" width="8.85546875" style="73" customWidth="1"/>
    <col min="72" max="72" width="2.85546875" style="73" customWidth="1"/>
    <col min="73" max="73" width="9.140625" style="73"/>
    <col min="74" max="88" width="8.7109375" style="73" customWidth="1"/>
    <col min="89" max="89" width="2.85546875" style="73" customWidth="1"/>
    <col min="90" max="108" width="9.140625" style="73"/>
  </cols>
  <sheetData>
    <row r="1" spans="1:108" ht="15.75" hidden="1">
      <c r="A1" s="165" t="s">
        <v>396</v>
      </c>
      <c r="B1" s="166"/>
      <c r="C1" s="73"/>
      <c r="D1" s="167"/>
      <c r="E1" s="168"/>
      <c r="F1" s="167"/>
      <c r="G1" s="128"/>
      <c r="H1" s="73"/>
      <c r="I1" s="73"/>
      <c r="J1" s="73"/>
      <c r="AL1"/>
      <c r="AM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row>
    <row r="2" spans="1:108" hidden="1">
      <c r="A2" s="170"/>
      <c r="B2" s="171"/>
      <c r="C2" s="172"/>
      <c r="D2" s="172"/>
      <c r="E2" s="171"/>
      <c r="F2" s="172"/>
      <c r="G2" s="173"/>
      <c r="H2" s="174"/>
      <c r="I2" s="172"/>
      <c r="J2" s="171"/>
      <c r="AL2"/>
      <c r="AM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row>
    <row r="3" spans="1:108" hidden="1">
      <c r="A3" s="175"/>
      <c r="B3" s="175"/>
      <c r="C3" s="176" t="s">
        <v>397</v>
      </c>
      <c r="D3" s="177" t="s">
        <v>398</v>
      </c>
      <c r="E3" s="178" t="s">
        <v>399</v>
      </c>
      <c r="F3" s="179"/>
      <c r="G3" s="176" t="s">
        <v>400</v>
      </c>
      <c r="H3" s="178" t="s">
        <v>401</v>
      </c>
      <c r="I3" s="176"/>
      <c r="J3" s="180" t="s">
        <v>402</v>
      </c>
      <c r="K3" s="177"/>
      <c r="N3" s="181"/>
      <c r="O3" s="181"/>
      <c r="P3" s="181"/>
      <c r="S3" s="182"/>
      <c r="AL3"/>
      <c r="AM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row>
    <row r="4" spans="1:108" hidden="1">
      <c r="A4" s="178" t="s">
        <v>403</v>
      </c>
      <c r="B4" s="183"/>
      <c r="C4" s="184"/>
      <c r="D4" s="185"/>
      <c r="E4" s="186"/>
      <c r="F4" s="187"/>
      <c r="G4" s="187"/>
      <c r="H4" s="473"/>
      <c r="I4" s="1718" t="s">
        <v>1039</v>
      </c>
      <c r="J4" s="179">
        <v>111</v>
      </c>
      <c r="K4" s="473"/>
      <c r="O4" s="188"/>
      <c r="P4" s="181"/>
      <c r="S4" s="182"/>
      <c r="AI4" s="104"/>
      <c r="AJ4" s="104"/>
      <c r="AL4"/>
      <c r="AM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row>
    <row r="5" spans="1:108" hidden="1">
      <c r="A5" s="178"/>
      <c r="B5" s="183" t="s">
        <v>1022</v>
      </c>
      <c r="C5" s="184">
        <v>102</v>
      </c>
      <c r="D5" s="189"/>
      <c r="E5" s="189"/>
      <c r="F5" s="183" t="s">
        <v>405</v>
      </c>
      <c r="G5" s="184">
        <f>I103</f>
        <v>9.14</v>
      </c>
      <c r="H5" s="186"/>
      <c r="I5" s="1718" t="s">
        <v>1035</v>
      </c>
      <c r="J5" s="1717">
        <v>828</v>
      </c>
      <c r="K5" s="175"/>
      <c r="N5" s="182"/>
      <c r="O5" s="187"/>
      <c r="P5" s="190"/>
      <c r="S5" s="191"/>
      <c r="AH5" s="104"/>
      <c r="AI5" s="104"/>
      <c r="AJ5" s="104"/>
      <c r="AL5"/>
      <c r="AM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row>
    <row r="6" spans="1:108" hidden="1">
      <c r="A6" s="178"/>
      <c r="B6" s="1718" t="s">
        <v>1023</v>
      </c>
      <c r="C6" s="197">
        <v>96</v>
      </c>
      <c r="D6" s="193"/>
      <c r="E6" s="189"/>
      <c r="F6" s="183" t="s">
        <v>407</v>
      </c>
      <c r="G6" s="184">
        <f>I104</f>
        <v>19.04</v>
      </c>
      <c r="H6" s="177"/>
      <c r="I6" s="1718" t="s">
        <v>1036</v>
      </c>
      <c r="J6" s="179">
        <v>791</v>
      </c>
      <c r="K6" s="175"/>
      <c r="N6" s="182"/>
      <c r="O6" s="194"/>
      <c r="P6" s="195"/>
      <c r="S6" s="191"/>
      <c r="AH6" s="104"/>
      <c r="AI6" s="104"/>
      <c r="AJ6" s="104"/>
      <c r="AL6"/>
      <c r="AM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row>
    <row r="7" spans="1:108" hidden="1">
      <c r="A7" s="178"/>
      <c r="B7" s="183" t="s">
        <v>1024</v>
      </c>
      <c r="C7" s="184">
        <v>5.48</v>
      </c>
      <c r="D7" s="185"/>
      <c r="E7" s="189"/>
      <c r="F7" s="183" t="s">
        <v>409</v>
      </c>
      <c r="G7" s="184">
        <f>I105</f>
        <v>7.53</v>
      </c>
      <c r="H7" s="177"/>
      <c r="I7" s="1718" t="s">
        <v>1032</v>
      </c>
      <c r="J7" s="1717">
        <v>513</v>
      </c>
      <c r="K7" s="175"/>
      <c r="N7" s="182"/>
      <c r="O7" s="187"/>
      <c r="P7" s="195"/>
      <c r="S7" s="191"/>
      <c r="AH7" s="104"/>
      <c r="AI7" s="104"/>
      <c r="AJ7" s="104"/>
      <c r="AL7"/>
      <c r="AM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row>
    <row r="8" spans="1:108" hidden="1">
      <c r="A8" s="178"/>
      <c r="B8" s="183" t="s">
        <v>1025</v>
      </c>
      <c r="C8" s="184">
        <v>0</v>
      </c>
      <c r="D8" s="189"/>
      <c r="E8" s="189"/>
      <c r="F8" s="183" t="s">
        <v>412</v>
      </c>
      <c r="G8" s="184">
        <f>I106</f>
        <v>1.5</v>
      </c>
      <c r="H8" s="177"/>
      <c r="I8" s="1718" t="s">
        <v>1030</v>
      </c>
      <c r="J8" s="179">
        <v>440</v>
      </c>
      <c r="K8" s="473"/>
      <c r="N8" s="182"/>
      <c r="O8" s="187"/>
      <c r="P8" s="190"/>
      <c r="S8" s="191"/>
      <c r="AH8" s="104"/>
      <c r="AI8" s="104"/>
      <c r="AJ8" s="104"/>
      <c r="AL8"/>
      <c r="AM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row>
    <row r="9" spans="1:108" hidden="1">
      <c r="A9" s="178"/>
      <c r="B9" s="183" t="s">
        <v>1026</v>
      </c>
      <c r="C9" s="184">
        <v>185</v>
      </c>
      <c r="D9" s="189"/>
      <c r="E9" s="189"/>
      <c r="F9" s="183"/>
      <c r="G9" s="192"/>
      <c r="H9" s="177"/>
      <c r="I9" s="1718" t="s">
        <v>1037</v>
      </c>
      <c r="J9" s="179">
        <v>269</v>
      </c>
      <c r="K9" s="175"/>
      <c r="N9" s="182"/>
      <c r="O9" s="187"/>
      <c r="P9" s="187"/>
      <c r="S9" s="191"/>
      <c r="AH9" s="104"/>
      <c r="AI9" s="104"/>
      <c r="AJ9" s="104"/>
      <c r="AL9"/>
      <c r="AM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row>
    <row r="10" spans="1:108" hidden="1">
      <c r="A10" s="178"/>
      <c r="B10" s="183" t="s">
        <v>1027</v>
      </c>
      <c r="C10" s="184">
        <v>15.25</v>
      </c>
      <c r="D10" s="189"/>
      <c r="E10" s="189"/>
      <c r="F10" s="183"/>
      <c r="G10" s="192"/>
      <c r="H10" s="175"/>
      <c r="I10" s="200" t="s">
        <v>1031</v>
      </c>
      <c r="J10" s="1721">
        <v>157</v>
      </c>
      <c r="K10" s="175"/>
      <c r="N10" s="182"/>
      <c r="O10" s="194"/>
      <c r="P10" s="187"/>
      <c r="S10" s="198"/>
      <c r="AH10" s="104"/>
      <c r="AI10" s="104"/>
      <c r="AJ10" s="104"/>
      <c r="AL10"/>
      <c r="AM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row>
    <row r="11" spans="1:108" hidden="1">
      <c r="A11" s="178"/>
      <c r="B11" s="473"/>
      <c r="C11" s="473"/>
      <c r="D11" s="189"/>
      <c r="E11" s="189"/>
      <c r="F11" s="183"/>
      <c r="G11" s="192"/>
      <c r="H11" s="175"/>
      <c r="I11" s="1718" t="s">
        <v>1033</v>
      </c>
      <c r="J11" s="179">
        <v>1019</v>
      </c>
      <c r="K11" s="175"/>
      <c r="N11" s="182"/>
      <c r="O11" s="187"/>
      <c r="P11" s="187"/>
      <c r="S11" s="187"/>
      <c r="AH11" s="104"/>
      <c r="AI11" s="104"/>
      <c r="AJ11" s="104"/>
      <c r="AL11"/>
      <c r="AM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row>
    <row r="12" spans="1:108" hidden="1">
      <c r="A12" s="178"/>
      <c r="B12" s="1718"/>
      <c r="C12" s="1729"/>
      <c r="D12" s="189"/>
      <c r="E12" s="189"/>
      <c r="F12" s="183"/>
      <c r="G12" s="192"/>
      <c r="H12" s="175"/>
      <c r="I12" s="1718" t="s">
        <v>1016</v>
      </c>
      <c r="J12" s="179">
        <v>40</v>
      </c>
      <c r="K12" s="175"/>
      <c r="N12" s="182"/>
      <c r="O12" s="187"/>
      <c r="P12" s="187"/>
      <c r="S12" s="187"/>
      <c r="AH12" s="104"/>
      <c r="AI12" s="104"/>
      <c r="AJ12" s="104"/>
      <c r="AL12"/>
      <c r="AM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row>
    <row r="13" spans="1:108" hidden="1">
      <c r="A13" s="178"/>
      <c r="B13" s="183"/>
      <c r="C13" s="184"/>
      <c r="D13" s="193"/>
      <c r="E13" s="189"/>
      <c r="F13" s="183"/>
      <c r="G13" s="192"/>
      <c r="H13" s="175"/>
      <c r="I13" s="1718" t="s">
        <v>1040</v>
      </c>
      <c r="J13" s="1717">
        <v>7883</v>
      </c>
      <c r="K13" s="175"/>
      <c r="N13" s="182"/>
      <c r="O13" s="187"/>
      <c r="P13" s="187"/>
      <c r="S13" s="187"/>
      <c r="AH13" s="104"/>
      <c r="AI13" s="104"/>
      <c r="AJ13" s="104"/>
      <c r="AL13"/>
      <c r="AM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row>
    <row r="14" spans="1:108" hidden="1">
      <c r="A14" s="178"/>
      <c r="B14" s="183"/>
      <c r="C14" s="184"/>
      <c r="D14" s="189"/>
      <c r="E14" s="189"/>
      <c r="F14" s="183"/>
      <c r="G14" s="194"/>
      <c r="H14" s="175"/>
      <c r="I14" s="1718" t="s">
        <v>420</v>
      </c>
      <c r="J14" s="179">
        <v>408</v>
      </c>
      <c r="K14" s="175"/>
      <c r="N14" s="182"/>
      <c r="O14" s="187"/>
      <c r="P14" s="187"/>
      <c r="S14" s="187"/>
      <c r="AH14" s="104"/>
      <c r="AI14" s="104"/>
      <c r="AJ14" s="104"/>
      <c r="AL14"/>
      <c r="AM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row>
    <row r="15" spans="1:108" hidden="1">
      <c r="A15" s="178"/>
      <c r="B15" s="183"/>
      <c r="C15" s="184"/>
      <c r="D15" s="189"/>
      <c r="E15" s="189"/>
      <c r="F15" s="183"/>
      <c r="G15" s="194"/>
      <c r="H15" s="175"/>
      <c r="I15" s="1719" t="s">
        <v>1034</v>
      </c>
      <c r="J15" s="1717">
        <v>59</v>
      </c>
      <c r="K15" s="175"/>
      <c r="N15" s="182"/>
      <c r="O15" s="187"/>
      <c r="P15" s="187"/>
      <c r="S15" s="187"/>
      <c r="AH15" s="104"/>
      <c r="AI15" s="104"/>
      <c r="AJ15" s="104"/>
      <c r="AL15"/>
      <c r="AM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row>
    <row r="16" spans="1:108" hidden="1">
      <c r="A16" s="199"/>
      <c r="B16" s="200"/>
      <c r="C16" s="201"/>
      <c r="D16" s="202"/>
      <c r="E16" s="203"/>
      <c r="F16" s="200"/>
      <c r="G16" s="204"/>
      <c r="H16" s="175"/>
      <c r="I16" s="1718" t="s">
        <v>1038</v>
      </c>
      <c r="J16" s="1717">
        <v>607</v>
      </c>
      <c r="K16" s="175"/>
      <c r="N16" s="182"/>
      <c r="O16" s="187"/>
      <c r="P16" s="187"/>
      <c r="S16" s="187"/>
      <c r="AH16" s="104"/>
      <c r="AI16" s="104"/>
      <c r="AJ16" s="104"/>
      <c r="AL16"/>
      <c r="AM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row>
    <row r="17" spans="1:108" hidden="1">
      <c r="A17" s="205"/>
      <c r="B17" s="206"/>
      <c r="C17" s="207"/>
      <c r="D17" s="207"/>
      <c r="E17" s="207"/>
      <c r="F17" s="208"/>
      <c r="G17" s="209"/>
      <c r="H17" s="175"/>
      <c r="I17" s="1718" t="s">
        <v>1015</v>
      </c>
      <c r="J17" s="1717">
        <v>209</v>
      </c>
      <c r="K17" s="473"/>
      <c r="N17" s="182"/>
      <c r="O17" s="187"/>
      <c r="P17" s="187"/>
      <c r="S17" s="187"/>
      <c r="AH17" s="104"/>
      <c r="AI17" s="104"/>
      <c r="AJ17" s="104"/>
      <c r="AL17"/>
      <c r="AM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row>
    <row r="18" spans="1:108" hidden="1">
      <c r="A18" s="205"/>
      <c r="B18" s="206"/>
      <c r="C18" s="210"/>
      <c r="D18" s="210"/>
      <c r="E18" s="210"/>
      <c r="F18" s="211"/>
      <c r="G18" s="172"/>
      <c r="H18" s="175"/>
      <c r="I18" s="1718" t="s">
        <v>181</v>
      </c>
      <c r="J18" s="473"/>
      <c r="K18" s="473"/>
      <c r="N18" s="182"/>
      <c r="O18" s="187"/>
      <c r="P18" s="187"/>
      <c r="S18" s="187"/>
      <c r="AH18" s="104"/>
      <c r="AI18" s="104"/>
      <c r="AJ18" s="104"/>
      <c r="AL18"/>
      <c r="AM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row>
    <row r="19" spans="1:108" hidden="1">
      <c r="A19" s="212"/>
      <c r="B19" s="206"/>
      <c r="C19" s="213"/>
      <c r="D19" s="213"/>
      <c r="E19" s="213"/>
      <c r="F19" s="214"/>
      <c r="G19" s="215"/>
      <c r="H19" s="216"/>
      <c r="I19" s="473"/>
      <c r="J19" s="473"/>
      <c r="K19" s="473"/>
      <c r="N19" s="182"/>
      <c r="O19" s="187"/>
      <c r="P19" s="187"/>
      <c r="S19" s="187"/>
      <c r="AH19" s="104"/>
      <c r="AI19" s="104"/>
      <c r="AJ19" s="104"/>
      <c r="AL19"/>
      <c r="AM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row>
    <row r="20" spans="1:108" hidden="1">
      <c r="A20" s="177"/>
      <c r="B20" s="206"/>
      <c r="C20" s="213"/>
      <c r="D20" s="213"/>
      <c r="E20" s="213"/>
      <c r="F20" s="214"/>
      <c r="G20" s="215"/>
      <c r="H20" s="216"/>
      <c r="I20" s="473"/>
      <c r="J20" s="473"/>
      <c r="K20" s="473"/>
      <c r="N20" s="182"/>
      <c r="O20" s="187"/>
      <c r="P20" s="187"/>
      <c r="S20" s="187"/>
      <c r="AI20" s="104"/>
      <c r="AJ20" s="104"/>
      <c r="AL20"/>
      <c r="AM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row>
    <row r="21" spans="1:108" hidden="1">
      <c r="A21" s="177"/>
      <c r="B21" s="206"/>
      <c r="C21" s="213"/>
      <c r="D21" s="213"/>
      <c r="E21" s="213"/>
      <c r="F21" s="214"/>
      <c r="G21" s="215"/>
      <c r="H21" s="217"/>
      <c r="I21" s="473"/>
      <c r="J21" s="473"/>
      <c r="K21" s="473"/>
      <c r="N21" s="182"/>
      <c r="O21" s="187"/>
      <c r="P21" s="187"/>
      <c r="S21" s="187"/>
      <c r="T21" s="196"/>
      <c r="U21" s="104"/>
      <c r="X21" s="104"/>
      <c r="Y21" s="104"/>
      <c r="Z21" s="104"/>
      <c r="AL21"/>
      <c r="AM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row>
    <row r="22" spans="1:108" hidden="1">
      <c r="A22" s="175"/>
      <c r="B22" s="206"/>
      <c r="C22" s="213"/>
      <c r="D22" s="213"/>
      <c r="E22" s="213"/>
      <c r="F22" s="214"/>
      <c r="G22" s="215"/>
      <c r="H22" s="218"/>
      <c r="I22" s="473"/>
      <c r="J22" s="473"/>
      <c r="K22" s="473"/>
      <c r="N22" s="182"/>
      <c r="O22" s="187"/>
      <c r="P22" s="187"/>
      <c r="S22" s="187"/>
      <c r="T22" s="196"/>
      <c r="U22" s="104"/>
      <c r="X22" s="104"/>
      <c r="Y22" s="104"/>
      <c r="Z22" s="104"/>
      <c r="AL22"/>
      <c r="AM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row>
    <row r="23" spans="1:108" hidden="1">
      <c r="A23" s="175"/>
      <c r="B23" s="206"/>
      <c r="C23" s="213"/>
      <c r="D23" s="213"/>
      <c r="E23" s="213"/>
      <c r="F23" s="214"/>
      <c r="G23" s="172" t="s">
        <v>425</v>
      </c>
      <c r="H23" s="219">
        <v>215</v>
      </c>
      <c r="I23" s="178" t="s">
        <v>426</v>
      </c>
      <c r="J23" s="189">
        <v>0.05</v>
      </c>
      <c r="K23" s="189"/>
      <c r="L23" s="148"/>
      <c r="M23" s="26"/>
      <c r="N23" s="187">
        <v>0.6</v>
      </c>
      <c r="O23" s="189" t="s">
        <v>427</v>
      </c>
      <c r="P23" s="187">
        <f>J23*N23</f>
        <v>0.03</v>
      </c>
      <c r="Q23" s="148"/>
      <c r="R23" s="26"/>
      <c r="S23" s="220">
        <f>P23</f>
        <v>0.03</v>
      </c>
      <c r="U23" s="25"/>
      <c r="Y23" s="104"/>
      <c r="Z23" s="104"/>
      <c r="AL23"/>
      <c r="AM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row>
    <row r="24" spans="1:108" hidden="1">
      <c r="A24" s="175"/>
      <c r="B24" s="206"/>
      <c r="C24" s="213"/>
      <c r="D24" s="213"/>
      <c r="E24" s="213"/>
      <c r="F24" s="214"/>
      <c r="G24" s="215"/>
      <c r="H24" s="221"/>
      <c r="I24" s="178" t="s">
        <v>428</v>
      </c>
      <c r="J24" s="222">
        <v>0.06</v>
      </c>
      <c r="K24" s="189"/>
      <c r="L24" s="148"/>
      <c r="M24" s="26"/>
      <c r="N24" s="187">
        <v>0.4</v>
      </c>
      <c r="O24" s="189" t="s">
        <v>429</v>
      </c>
      <c r="P24" s="187">
        <f>J23*N24</f>
        <v>2.0000000000000004E-2</v>
      </c>
      <c r="Q24" s="148"/>
      <c r="R24" s="26"/>
      <c r="S24" s="220">
        <f>P24</f>
        <v>2.0000000000000004E-2</v>
      </c>
      <c r="T24" s="196"/>
      <c r="U24" s="25"/>
      <c r="X24" s="104"/>
      <c r="Y24" s="104"/>
      <c r="Z24" s="104"/>
      <c r="AL24"/>
      <c r="AM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row>
    <row r="25" spans="1:108" hidden="1">
      <c r="C25" s="104" t="s">
        <v>430</v>
      </c>
      <c r="D25" s="104" t="s">
        <v>431</v>
      </c>
      <c r="E25" s="104" t="s">
        <v>432</v>
      </c>
      <c r="F25" s="104" t="s">
        <v>433</v>
      </c>
      <c r="G25" s="128"/>
      <c r="H25" s="166"/>
      <c r="I25" s="224"/>
      <c r="J25" s="167"/>
      <c r="K25" s="166"/>
      <c r="N25" s="73"/>
      <c r="O25" s="167"/>
      <c r="P25" s="167"/>
      <c r="S25" s="167"/>
      <c r="T25" s="196"/>
      <c r="U25" s="25"/>
      <c r="X25" s="225"/>
      <c r="Y25" s="104"/>
      <c r="Z25" s="104"/>
      <c r="AL25"/>
      <c r="AM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row>
    <row r="26" spans="1:108" hidden="1">
      <c r="C26" s="104">
        <v>-10</v>
      </c>
      <c r="D26" s="104">
        <v>0</v>
      </c>
      <c r="E26" s="104">
        <v>10</v>
      </c>
      <c r="F26" s="104">
        <v>20</v>
      </c>
      <c r="I26" s="224"/>
      <c r="J26" s="167"/>
      <c r="K26" s="166"/>
      <c r="N26" s="73"/>
      <c r="O26" s="167"/>
      <c r="P26" s="167"/>
      <c r="S26" s="167"/>
      <c r="T26" s="196"/>
      <c r="U26" s="104"/>
      <c r="X26" s="104"/>
      <c r="Y26" s="104"/>
      <c r="Z26" s="104"/>
      <c r="AL26"/>
      <c r="AM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row>
    <row r="27" spans="1:108" hidden="1">
      <c r="C27" s="104"/>
      <c r="D27" s="104"/>
      <c r="E27" s="104"/>
      <c r="F27" s="663"/>
      <c r="G27" s="663"/>
      <c r="H27" s="665"/>
      <c r="I27" s="1318"/>
      <c r="J27" s="1319"/>
      <c r="K27" s="1320"/>
      <c r="L27" s="665"/>
      <c r="M27" s="665"/>
      <c r="N27" s="526"/>
      <c r="O27" s="1319"/>
      <c r="P27" s="1319"/>
      <c r="Q27" s="665"/>
      <c r="R27" s="665"/>
      <c r="S27" s="1319"/>
      <c r="T27" s="1321"/>
      <c r="U27" s="663"/>
      <c r="V27" s="665"/>
      <c r="W27" s="665"/>
      <c r="X27" s="663"/>
      <c r="Y27" s="663"/>
      <c r="Z27" s="663"/>
      <c r="AA27" s="665"/>
      <c r="AB27" s="665"/>
      <c r="AC27" s="665"/>
      <c r="AD27" s="665"/>
      <c r="AE27" s="665"/>
      <c r="AF27" s="665"/>
      <c r="AG27" s="665"/>
      <c r="AH27" s="665"/>
      <c r="AI27" s="665"/>
      <c r="AJ27" s="665"/>
      <c r="AK27" s="665"/>
      <c r="AL27"/>
      <c r="AM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row>
    <row r="28" spans="1:108" ht="23.25" hidden="1">
      <c r="C28" s="104"/>
      <c r="D28" s="104"/>
      <c r="E28" s="104"/>
      <c r="F28" s="663"/>
      <c r="G28" s="663"/>
      <c r="H28" s="3016" t="s">
        <v>1279</v>
      </c>
      <c r="I28" s="3017"/>
      <c r="J28" s="3017"/>
      <c r="K28" s="3017"/>
      <c r="L28" s="3017"/>
      <c r="M28" s="3017"/>
      <c r="N28" s="3017"/>
      <c r="O28" s="3017"/>
      <c r="P28" s="3017"/>
      <c r="Q28" s="3018"/>
      <c r="R28" s="862"/>
      <c r="S28" s="1322"/>
      <c r="T28" s="1321"/>
      <c r="U28" s="663"/>
      <c r="V28" s="665"/>
      <c r="W28" s="665"/>
      <c r="X28" s="663"/>
      <c r="Y28" s="663"/>
      <c r="Z28" s="663"/>
      <c r="AA28" s="665"/>
      <c r="AB28" s="665"/>
      <c r="AC28" s="665"/>
      <c r="AD28" s="665"/>
      <c r="AE28" s="665"/>
      <c r="AF28" s="665"/>
      <c r="AG28" s="665"/>
      <c r="AH28" s="665"/>
      <c r="AI28" s="665"/>
      <c r="AJ28" s="665"/>
      <c r="AK28" s="665"/>
      <c r="AL28"/>
      <c r="AM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row>
    <row r="29" spans="1:108" hidden="1">
      <c r="C29" s="104"/>
      <c r="D29" s="104"/>
      <c r="E29" s="104"/>
      <c r="F29" s="663"/>
      <c r="G29" s="663"/>
      <c r="H29" s="665"/>
      <c r="I29" s="1318"/>
      <c r="J29" s="1319"/>
      <c r="K29" s="1320"/>
      <c r="L29" s="665"/>
      <c r="M29" s="665"/>
      <c r="N29" s="526"/>
      <c r="O29" s="1319"/>
      <c r="P29" s="1319"/>
      <c r="Q29" s="665"/>
      <c r="R29" s="665"/>
      <c r="S29" s="1319"/>
      <c r="T29" s="1321"/>
      <c r="U29" s="663"/>
      <c r="V29" s="665"/>
      <c r="W29" s="665"/>
      <c r="X29" s="663"/>
      <c r="Y29" s="663"/>
      <c r="Z29" s="663"/>
      <c r="AA29" s="665"/>
      <c r="AB29" s="665"/>
      <c r="AC29" s="665"/>
      <c r="AD29" s="665"/>
      <c r="AE29" s="665"/>
      <c r="AF29" s="665"/>
      <c r="AG29" s="665"/>
      <c r="AH29" s="665"/>
      <c r="AI29" s="665"/>
      <c r="AJ29" s="665"/>
      <c r="AK29" s="665"/>
      <c r="AL29"/>
      <c r="AM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row>
    <row r="30" spans="1:108" hidden="1">
      <c r="F30" s="665"/>
      <c r="G30" s="1323"/>
      <c r="H30" s="773"/>
      <c r="I30" s="1324"/>
      <c r="J30" s="1325"/>
      <c r="K30" s="674"/>
      <c r="L30" s="665"/>
      <c r="M30" s="1326"/>
      <c r="N30" s="674"/>
      <c r="O30" s="1327"/>
      <c r="P30" s="674"/>
      <c r="Q30" s="808"/>
      <c r="R30" s="1327"/>
      <c r="S30" s="674"/>
      <c r="T30" s="665"/>
      <c r="U30" s="665"/>
      <c r="V30" s="665"/>
      <c r="W30" s="665"/>
      <c r="X30" s="665"/>
      <c r="Y30" s="663"/>
      <c r="Z30" s="663"/>
      <c r="AA30" s="665"/>
      <c r="AB30" s="665"/>
      <c r="AC30" s="665"/>
      <c r="AD30" s="665"/>
      <c r="AE30" s="665"/>
      <c r="AF30" s="665"/>
      <c r="AG30" s="665"/>
      <c r="AH30" s="665"/>
      <c r="AI30" s="665"/>
      <c r="AJ30" s="665"/>
      <c r="AK30" s="665"/>
      <c r="AL30"/>
      <c r="AM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row>
    <row r="31" spans="1:108" ht="13.5" hidden="1" thickBot="1">
      <c r="F31" s="665"/>
      <c r="G31" s="1328"/>
      <c r="H31" s="773"/>
      <c r="I31" s="1324"/>
      <c r="J31" s="1325"/>
      <c r="K31" s="674"/>
      <c r="L31" s="665"/>
      <c r="M31" s="665"/>
      <c r="N31" s="674"/>
      <c r="O31" s="526"/>
      <c r="P31" s="665"/>
      <c r="Q31" s="665"/>
      <c r="R31" s="665"/>
      <c r="S31" s="526"/>
      <c r="T31" s="674"/>
      <c r="U31" s="674"/>
      <c r="V31" s="665"/>
      <c r="W31" s="665"/>
      <c r="X31" s="665"/>
      <c r="Y31" s="663"/>
      <c r="Z31" s="663"/>
      <c r="AA31" s="665"/>
      <c r="AB31" s="665"/>
      <c r="AC31" s="665"/>
      <c r="AD31" s="665"/>
      <c r="AE31" s="665"/>
      <c r="AF31" s="665"/>
      <c r="AG31" s="665"/>
      <c r="AH31" s="665"/>
      <c r="AI31" s="665"/>
      <c r="AJ31" s="665"/>
      <c r="AK31" s="665"/>
      <c r="AL31"/>
      <c r="AM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row>
    <row r="32" spans="1:108" ht="16.5" hidden="1" thickBot="1">
      <c r="F32" s="665"/>
      <c r="G32" s="1323"/>
      <c r="H32" s="773"/>
      <c r="I32" s="1324"/>
      <c r="J32" s="1325"/>
      <c r="K32" s="674"/>
      <c r="L32" s="665"/>
      <c r="M32" s="1329">
        <f>Grunddata!C28+Grunddata!C29</f>
        <v>0.38999999999999996</v>
      </c>
      <c r="N32" s="1232" t="s">
        <v>430</v>
      </c>
      <c r="O32" s="1329">
        <f>Grunddata!C30</f>
        <v>0.39</v>
      </c>
      <c r="P32" s="674" t="s">
        <v>434</v>
      </c>
      <c r="Q32" s="665"/>
      <c r="R32" s="1329">
        <f>Grunddata!C31</f>
        <v>0.22</v>
      </c>
      <c r="S32" s="674" t="s">
        <v>435</v>
      </c>
      <c r="T32" s="1329">
        <f>Grunddata!C32</f>
        <v>0</v>
      </c>
      <c r="U32" s="674" t="s">
        <v>436</v>
      </c>
      <c r="V32" s="1330"/>
      <c r="W32" s="665"/>
      <c r="X32" s="665"/>
      <c r="Y32" s="665"/>
      <c r="Z32" s="665"/>
      <c r="AA32" s="665"/>
      <c r="AB32" s="665"/>
      <c r="AC32" s="665"/>
      <c r="AD32" s="665"/>
      <c r="AE32" s="665"/>
      <c r="AF32" s="665"/>
      <c r="AG32" s="665"/>
      <c r="AH32" s="665"/>
      <c r="AI32" s="665"/>
      <c r="AJ32" s="665"/>
      <c r="AK32" s="665"/>
      <c r="AL32"/>
      <c r="AM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row>
    <row r="33" spans="1:108" hidden="1">
      <c r="F33" s="665"/>
      <c r="G33" s="1328"/>
      <c r="H33" s="773"/>
      <c r="I33" s="1324"/>
      <c r="J33" s="1325"/>
      <c r="K33" s="674"/>
      <c r="L33" s="665"/>
      <c r="M33" s="665"/>
      <c r="N33" s="674"/>
      <c r="O33" s="526"/>
      <c r="P33" s="665"/>
      <c r="Q33" s="665"/>
      <c r="R33" s="665"/>
      <c r="S33" s="526"/>
      <c r="T33" s="674"/>
      <c r="U33" s="674"/>
      <c r="V33" s="665"/>
      <c r="W33" s="665"/>
      <c r="X33" s="665"/>
      <c r="Y33" s="663"/>
      <c r="Z33" s="663"/>
      <c r="AA33" s="665"/>
      <c r="AB33" s="665"/>
      <c r="AC33" s="665"/>
      <c r="AD33" s="665"/>
      <c r="AE33" s="665"/>
      <c r="AF33" s="665"/>
      <c r="AG33" s="665"/>
      <c r="AH33" s="665"/>
      <c r="AI33" s="665"/>
      <c r="AJ33" s="665"/>
      <c r="AK33" s="665"/>
    </row>
    <row r="34" spans="1:108" hidden="1">
      <c r="F34" s="665"/>
      <c r="G34" s="1323"/>
      <c r="H34" s="773"/>
      <c r="I34" s="1324"/>
      <c r="J34" s="1325"/>
      <c r="K34" s="674"/>
      <c r="L34" s="665"/>
      <c r="M34" s="665"/>
      <c r="N34" s="674"/>
      <c r="O34" s="674"/>
      <c r="P34" s="526"/>
      <c r="Q34" s="665"/>
      <c r="R34" s="665"/>
      <c r="S34" s="526"/>
      <c r="T34" s="665"/>
      <c r="U34" s="665"/>
      <c r="V34" s="665"/>
      <c r="W34" s="665"/>
      <c r="X34" s="665"/>
      <c r="Y34" s="665"/>
      <c r="Z34" s="665"/>
      <c r="AA34" s="665"/>
      <c r="AB34" s="665"/>
      <c r="AC34" s="665"/>
      <c r="AD34" s="665"/>
      <c r="AE34" s="665"/>
      <c r="AF34" s="665"/>
      <c r="AG34" s="665"/>
      <c r="AH34" s="665"/>
      <c r="AI34" s="665"/>
      <c r="AJ34" s="665"/>
      <c r="AK34" s="665"/>
    </row>
    <row r="35" spans="1:108" ht="13.5" hidden="1" thickBot="1">
      <c r="F35" s="665"/>
      <c r="G35" s="663"/>
      <c r="H35" s="665"/>
      <c r="I35" s="526"/>
      <c r="J35" s="526"/>
      <c r="K35" s="526"/>
      <c r="L35" s="665"/>
      <c r="M35" s="665"/>
      <c r="N35" s="526"/>
      <c r="O35" s="526"/>
      <c r="P35" s="526"/>
      <c r="Q35" s="665"/>
      <c r="R35" s="665"/>
      <c r="S35" s="526"/>
      <c r="T35" s="665"/>
      <c r="U35" s="665"/>
      <c r="V35" s="665"/>
      <c r="W35" s="665"/>
      <c r="X35" s="665"/>
      <c r="Y35" s="665"/>
      <c r="Z35" s="665"/>
      <c r="AA35" s="665"/>
      <c r="AB35" s="665"/>
      <c r="AC35" s="665"/>
      <c r="AD35" s="665"/>
      <c r="AE35" s="665"/>
      <c r="AF35" s="665"/>
      <c r="AG35" s="665"/>
      <c r="AH35" s="665"/>
      <c r="AI35" s="665"/>
      <c r="AJ35" s="665"/>
      <c r="AK35" s="665"/>
    </row>
    <row r="36" spans="1:108" s="227" customFormat="1" ht="19.5" hidden="1">
      <c r="A36" s="226"/>
      <c r="F36" s="1331"/>
      <c r="G36" s="1332"/>
      <c r="H36" s="1331"/>
      <c r="I36" s="3010" t="str">
        <f>B5</f>
        <v>HÖSTRAPS</v>
      </c>
      <c r="J36" s="3011"/>
      <c r="K36" s="3012"/>
      <c r="L36" s="1331"/>
      <c r="M36" s="1331"/>
      <c r="N36" s="3010" t="str">
        <f>B6</f>
        <v>VÅRRAPS</v>
      </c>
      <c r="O36" s="3011"/>
      <c r="P36" s="3012"/>
      <c r="Q36" s="1331"/>
      <c r="R36" s="1331"/>
      <c r="S36" s="3010" t="str">
        <f>B7</f>
        <v>FODERÄRT</v>
      </c>
      <c r="T36" s="3011"/>
      <c r="U36" s="3012"/>
      <c r="V36" s="1331"/>
      <c r="W36" s="1331"/>
      <c r="X36" s="3010" t="str">
        <f>B8</f>
        <v>KONSERVÄRT</v>
      </c>
      <c r="Y36" s="3011"/>
      <c r="Z36" s="3012"/>
      <c r="AA36" s="1331"/>
      <c r="AB36" s="1331"/>
      <c r="AC36" s="3010" t="str">
        <f>B9</f>
        <v>ÅKERBÖNA</v>
      </c>
      <c r="AD36" s="3011"/>
      <c r="AE36" s="3012"/>
      <c r="AF36" s="1331"/>
      <c r="AG36" s="1331"/>
      <c r="AH36" s="3010" t="str">
        <f>B10</f>
        <v>OLJELIN</v>
      </c>
      <c r="AI36" s="3011"/>
      <c r="AJ36" s="3012"/>
      <c r="AK36" s="1331"/>
      <c r="AL36" s="20"/>
      <c r="AM36" s="20"/>
      <c r="AN36"/>
      <c r="AO36"/>
      <c r="AP36"/>
      <c r="AQ36"/>
      <c r="AR36" s="228"/>
      <c r="AS36" s="228"/>
      <c r="AT36" s="228"/>
      <c r="AU36" s="228"/>
      <c r="AV36" s="228"/>
      <c r="AW36" s="228"/>
      <c r="AX36" s="228"/>
      <c r="AY36" s="228"/>
      <c r="AZ36" s="228"/>
      <c r="BA36" s="228"/>
      <c r="BB36" s="228"/>
      <c r="BC36" s="228"/>
      <c r="BD36" s="228"/>
      <c r="BE36" s="228"/>
      <c r="BF36" s="228"/>
      <c r="BG36" s="228"/>
      <c r="BH36" s="228"/>
      <c r="BI36" s="228"/>
      <c r="BJ36" s="228"/>
      <c r="BK36" s="228"/>
      <c r="BL36" s="228"/>
      <c r="BM36" s="228"/>
      <c r="BN36" s="228"/>
      <c r="BO36" s="228"/>
      <c r="BP36" s="228"/>
      <c r="BQ36" s="228"/>
      <c r="BR36" s="228"/>
      <c r="BS36" s="228"/>
      <c r="BT36" s="228"/>
      <c r="BU36" s="228"/>
      <c r="BV36" s="228"/>
      <c r="BW36" s="228"/>
      <c r="BX36" s="228"/>
      <c r="BY36" s="228"/>
      <c r="BZ36" s="228"/>
      <c r="CA36" s="228"/>
      <c r="CB36" s="228"/>
      <c r="CC36" s="228"/>
      <c r="CD36" s="228"/>
      <c r="CE36" s="228"/>
      <c r="CF36" s="228"/>
      <c r="CG36" s="228"/>
      <c r="CH36" s="228"/>
      <c r="CI36" s="228"/>
      <c r="CJ36" s="228"/>
      <c r="CK36" s="228"/>
      <c r="CL36" s="228"/>
      <c r="CM36" s="228"/>
      <c r="CN36" s="228"/>
      <c r="CO36" s="228"/>
      <c r="CP36" s="228"/>
      <c r="CQ36" s="228"/>
      <c r="CR36" s="228"/>
      <c r="CS36" s="228"/>
      <c r="CT36" s="228"/>
      <c r="CU36" s="228"/>
      <c r="CV36" s="228"/>
      <c r="CW36" s="228"/>
      <c r="CX36" s="228"/>
      <c r="CY36" s="228"/>
    </row>
    <row r="37" spans="1:108" s="227" customFormat="1" ht="20.25" hidden="1" thickBot="1">
      <c r="A37" s="226"/>
      <c r="F37" s="1331"/>
      <c r="G37" s="1332"/>
      <c r="H37" s="1331"/>
      <c r="I37" s="3007"/>
      <c r="J37" s="3008"/>
      <c r="K37" s="3009"/>
      <c r="L37" s="1331"/>
      <c r="M37" s="1331"/>
      <c r="N37" s="3007"/>
      <c r="O37" s="3008"/>
      <c r="P37" s="3009"/>
      <c r="Q37" s="1331"/>
      <c r="R37" s="1331"/>
      <c r="S37" s="3007"/>
      <c r="T37" s="3008"/>
      <c r="U37" s="3009"/>
      <c r="V37" s="1331"/>
      <c r="W37" s="1331"/>
      <c r="X37" s="3007"/>
      <c r="Y37" s="3008"/>
      <c r="Z37" s="3009"/>
      <c r="AA37" s="1331"/>
      <c r="AB37" s="1331"/>
      <c r="AC37" s="3007"/>
      <c r="AD37" s="3008"/>
      <c r="AE37" s="3009"/>
      <c r="AF37" s="1331"/>
      <c r="AG37" s="1331"/>
      <c r="AH37" s="3007"/>
      <c r="AI37" s="3008"/>
      <c r="AJ37" s="3009"/>
      <c r="AK37" s="1331"/>
      <c r="AL37" s="20"/>
      <c r="AM37" s="20"/>
      <c r="AN37"/>
      <c r="AO37"/>
      <c r="AP37"/>
      <c r="AQ37"/>
      <c r="AR37" s="228"/>
      <c r="AS37" s="228"/>
      <c r="AT37" s="228"/>
      <c r="AU37" s="228"/>
      <c r="AV37" s="228"/>
      <c r="AW37" s="228"/>
      <c r="AX37" s="228"/>
      <c r="AY37" s="228"/>
      <c r="AZ37" s="228"/>
      <c r="BA37" s="228"/>
      <c r="BB37" s="228"/>
      <c r="BC37" s="228"/>
      <c r="BD37" s="228"/>
      <c r="BE37" s="228"/>
      <c r="BF37" s="228"/>
      <c r="BG37" s="228"/>
      <c r="BH37" s="228"/>
      <c r="BI37" s="228"/>
      <c r="BJ37" s="228"/>
      <c r="BK37" s="228"/>
      <c r="BL37" s="228"/>
      <c r="BM37" s="228"/>
      <c r="BN37" s="228"/>
      <c r="BO37" s="228"/>
      <c r="BP37" s="228"/>
      <c r="BQ37" s="228"/>
      <c r="BR37" s="228"/>
      <c r="BS37" s="228"/>
      <c r="BT37" s="228"/>
      <c r="BU37" s="228"/>
      <c r="BV37" s="228"/>
      <c r="BW37" s="228"/>
      <c r="BX37" s="228"/>
      <c r="BY37" s="228"/>
      <c r="BZ37" s="228"/>
      <c r="CA37" s="228"/>
      <c r="CB37" s="228"/>
      <c r="CC37" s="228"/>
      <c r="CD37" s="228"/>
      <c r="CE37" s="228"/>
      <c r="CF37" s="228"/>
      <c r="CG37" s="228"/>
      <c r="CH37" s="228"/>
      <c r="CI37" s="228"/>
      <c r="CJ37" s="228"/>
      <c r="CK37" s="228"/>
      <c r="CL37" s="228"/>
      <c r="CM37" s="228"/>
      <c r="CN37" s="228"/>
      <c r="CO37" s="228"/>
      <c r="CP37" s="228"/>
      <c r="CQ37" s="228"/>
      <c r="CR37" s="228"/>
      <c r="CS37" s="228"/>
      <c r="CT37" s="228"/>
      <c r="CU37" s="228"/>
      <c r="CV37" s="228"/>
      <c r="CW37" s="228"/>
      <c r="CX37" s="228"/>
      <c r="CY37" s="228"/>
    </row>
    <row r="38" spans="1:108" s="169" customFormat="1" hidden="1">
      <c r="F38" s="665"/>
      <c r="G38" s="665"/>
      <c r="H38" s="665"/>
      <c r="I38" s="665"/>
      <c r="J38" s="665"/>
      <c r="K38" s="665"/>
      <c r="L38" s="665"/>
      <c r="M38" s="665"/>
      <c r="N38" s="665"/>
      <c r="O38" s="665"/>
      <c r="P38" s="665"/>
      <c r="Q38" s="665"/>
      <c r="R38" s="665"/>
      <c r="S38" s="665"/>
      <c r="T38" s="665"/>
      <c r="U38" s="665"/>
      <c r="V38" s="665"/>
      <c r="W38" s="665"/>
      <c r="X38" s="665"/>
      <c r="Y38" s="665"/>
      <c r="Z38" s="665"/>
      <c r="AA38" s="665"/>
      <c r="AB38" s="665"/>
      <c r="AC38" s="665"/>
      <c r="AD38" s="665"/>
      <c r="AE38" s="665"/>
      <c r="AF38" s="665"/>
      <c r="AG38" s="665"/>
      <c r="AH38" s="665"/>
      <c r="AI38" s="665"/>
      <c r="AJ38" s="665"/>
      <c r="AK38" s="665"/>
      <c r="AL38" s="20"/>
      <c r="AM38" s="20"/>
      <c r="AN38"/>
      <c r="AO38"/>
      <c r="AP38"/>
      <c r="AQ38"/>
    </row>
    <row r="39" spans="1:108" ht="13.5" hidden="1" thickBot="1">
      <c r="F39" s="665"/>
      <c r="G39" s="663"/>
      <c r="H39" s="665"/>
      <c r="I39" s="665"/>
      <c r="J39" s="526"/>
      <c r="K39" s="526"/>
      <c r="L39" s="665"/>
      <c r="M39" s="665"/>
      <c r="N39" s="665"/>
      <c r="O39" s="665"/>
      <c r="P39" s="665"/>
      <c r="Q39" s="665"/>
      <c r="R39" s="665"/>
      <c r="S39" s="665"/>
      <c r="T39" s="665"/>
      <c r="U39" s="665"/>
      <c r="V39" s="665"/>
      <c r="W39" s="665"/>
      <c r="X39" s="665"/>
      <c r="Y39" s="665"/>
      <c r="Z39" s="665"/>
      <c r="AA39" s="665"/>
      <c r="AB39" s="665"/>
      <c r="AC39" s="665"/>
      <c r="AD39" s="665"/>
      <c r="AE39" s="665"/>
      <c r="AF39" s="665"/>
      <c r="AG39" s="665"/>
      <c r="AH39" s="665"/>
      <c r="AI39" s="665"/>
      <c r="AJ39" s="665"/>
      <c r="AK39" s="665"/>
      <c r="AR39" s="73"/>
      <c r="AS39" s="73"/>
      <c r="AT39" s="73"/>
      <c r="AU39" s="73"/>
      <c r="AV39" s="73"/>
      <c r="CZ39"/>
      <c r="DA39"/>
      <c r="DB39"/>
      <c r="DC39"/>
      <c r="DD39"/>
    </row>
    <row r="40" spans="1:108" ht="18.75" hidden="1" thickBot="1">
      <c r="F40" s="665"/>
      <c r="G40" s="663"/>
      <c r="H40" s="665"/>
      <c r="I40" s="1333">
        <f>Gröddata!C20</f>
        <v>3500</v>
      </c>
      <c r="J40" s="862" t="s">
        <v>445</v>
      </c>
      <c r="K40" s="1247"/>
      <c r="L40" s="665"/>
      <c r="M40" s="665"/>
      <c r="N40" s="1333">
        <f>Gröddata!C21</f>
        <v>2000</v>
      </c>
      <c r="O40" s="862" t="s">
        <v>445</v>
      </c>
      <c r="P40" s="1247"/>
      <c r="Q40" s="665"/>
      <c r="R40" s="665"/>
      <c r="S40" s="1333">
        <f>Gröddata!C24</f>
        <v>4000</v>
      </c>
      <c r="T40" s="862" t="s">
        <v>445</v>
      </c>
      <c r="U40" s="1247"/>
      <c r="V40" s="665"/>
      <c r="W40" s="665"/>
      <c r="X40" s="1333">
        <f>Gröddata!C25</f>
        <v>3600</v>
      </c>
      <c r="Y40" s="862" t="s">
        <v>445</v>
      </c>
      <c r="Z40" s="1247"/>
      <c r="AA40" s="665"/>
      <c r="AB40" s="665"/>
      <c r="AC40" s="1333">
        <f>Gröddata!C26</f>
        <v>4000</v>
      </c>
      <c r="AD40" s="862" t="s">
        <v>445</v>
      </c>
      <c r="AE40" s="1247"/>
      <c r="AF40" s="665"/>
      <c r="AG40" s="665"/>
      <c r="AH40" s="1333">
        <f>Gröddata!C22</f>
        <v>1500</v>
      </c>
      <c r="AI40" s="862" t="s">
        <v>445</v>
      </c>
      <c r="AJ40" s="1247"/>
      <c r="AK40" s="665"/>
      <c r="AR40" s="73"/>
      <c r="AS40" s="73"/>
      <c r="AT40" s="73"/>
      <c r="AU40" s="73"/>
      <c r="AV40" s="73"/>
      <c r="CZ40"/>
      <c r="DA40"/>
      <c r="DB40"/>
      <c r="DC40"/>
      <c r="DD40"/>
    </row>
    <row r="41" spans="1:108" ht="13.5" hidden="1" thickBot="1">
      <c r="A41"/>
      <c r="F41" s="665"/>
      <c r="G41" s="663"/>
      <c r="H41" s="665"/>
      <c r="I41" s="665"/>
      <c r="J41" s="1334"/>
      <c r="K41" s="665"/>
      <c r="L41" s="665"/>
      <c r="M41" s="665"/>
      <c r="N41" s="665"/>
      <c r="O41" s="1334"/>
      <c r="P41" s="665"/>
      <c r="Q41" s="665"/>
      <c r="R41" s="665"/>
      <c r="S41" s="665"/>
      <c r="T41" s="1334"/>
      <c r="U41" s="665"/>
      <c r="V41" s="665"/>
      <c r="W41" s="665"/>
      <c r="X41" s="665"/>
      <c r="Y41" s="1334"/>
      <c r="Z41" s="665"/>
      <c r="AA41" s="665"/>
      <c r="AB41" s="665"/>
      <c r="AC41" s="665"/>
      <c r="AD41" s="1334"/>
      <c r="AE41" s="665"/>
      <c r="AF41" s="665"/>
      <c r="AG41" s="665"/>
      <c r="AH41" s="665"/>
      <c r="AI41" s="1334"/>
      <c r="AJ41" s="665"/>
      <c r="AK41" s="665"/>
      <c r="AR41" s="73"/>
      <c r="AS41" s="73"/>
      <c r="AT41" s="73"/>
      <c r="AU41" s="73"/>
      <c r="AV41" s="73"/>
      <c r="CZ41"/>
      <c r="DA41"/>
      <c r="DB41"/>
      <c r="DC41"/>
      <c r="DD41"/>
    </row>
    <row r="42" spans="1:108" ht="18.75" hidden="1" thickBot="1">
      <c r="A42"/>
      <c r="F42" s="665"/>
      <c r="G42" s="663"/>
      <c r="H42" s="665"/>
      <c r="I42" s="665"/>
      <c r="J42" s="1702">
        <f>Gröddata!D20</f>
        <v>4.0999999999999996</v>
      </c>
      <c r="K42" s="862" t="s">
        <v>446</v>
      </c>
      <c r="L42" s="665"/>
      <c r="M42" s="665"/>
      <c r="N42" s="665"/>
      <c r="O42" s="1702">
        <f>Gröddata!D21</f>
        <v>2.81</v>
      </c>
      <c r="P42" s="862" t="s">
        <v>446</v>
      </c>
      <c r="Q42" s="665"/>
      <c r="R42" s="665"/>
      <c r="S42" s="665"/>
      <c r="T42" s="1702">
        <f>Gröddata!D24</f>
        <v>1.83</v>
      </c>
      <c r="U42" s="862" t="s">
        <v>446</v>
      </c>
      <c r="V42" s="665"/>
      <c r="W42" s="665"/>
      <c r="X42" s="665"/>
      <c r="Y42" s="1702">
        <f>Gröddata!D25</f>
        <v>2.31</v>
      </c>
      <c r="Z42" s="862" t="s">
        <v>446</v>
      </c>
      <c r="AA42" s="665"/>
      <c r="AB42" s="665"/>
      <c r="AC42" s="665"/>
      <c r="AD42" s="1702">
        <f>Gröddata!D26</f>
        <v>1.88</v>
      </c>
      <c r="AE42" s="862" t="s">
        <v>446</v>
      </c>
      <c r="AF42" s="665"/>
      <c r="AG42" s="665"/>
      <c r="AH42" s="665"/>
      <c r="AI42" s="1702">
        <f>Gröddata!D22</f>
        <v>3.98</v>
      </c>
      <c r="AJ42" s="862" t="s">
        <v>446</v>
      </c>
      <c r="AK42" s="665"/>
      <c r="AR42" s="73"/>
      <c r="AS42" s="73"/>
      <c r="AT42" s="73"/>
      <c r="AU42" s="73"/>
      <c r="AV42" s="73"/>
      <c r="CZ42"/>
      <c r="DA42"/>
      <c r="DB42"/>
      <c r="DC42"/>
      <c r="DD42"/>
    </row>
    <row r="43" spans="1:108" ht="18.75" hidden="1" thickBot="1">
      <c r="A43"/>
      <c r="F43" s="665"/>
      <c r="G43" s="663"/>
      <c r="H43" s="665"/>
      <c r="I43" s="665"/>
      <c r="J43" s="1335"/>
      <c r="K43" s="665"/>
      <c r="L43" s="665"/>
      <c r="M43" s="665"/>
      <c r="N43" s="665"/>
      <c r="O43" s="1335"/>
      <c r="P43" s="665"/>
      <c r="Q43" s="665"/>
      <c r="R43" s="665"/>
      <c r="S43" s="665"/>
      <c r="T43" s="1335"/>
      <c r="U43" s="665"/>
      <c r="V43" s="665"/>
      <c r="W43" s="665"/>
      <c r="X43" s="665"/>
      <c r="Y43" s="1335"/>
      <c r="Z43" s="665"/>
      <c r="AA43" s="665"/>
      <c r="AB43" s="665"/>
      <c r="AC43" s="665"/>
      <c r="AD43" s="1335"/>
      <c r="AE43" s="665"/>
      <c r="AF43" s="665"/>
      <c r="AG43" s="665"/>
      <c r="AH43" s="665"/>
      <c r="AI43" s="1335"/>
      <c r="AJ43" s="665"/>
      <c r="AK43" s="665"/>
      <c r="AR43" s="73"/>
      <c r="AS43" s="73"/>
      <c r="AT43" s="73"/>
      <c r="AU43" s="73"/>
      <c r="AV43" s="73"/>
      <c r="CZ43"/>
      <c r="DA43"/>
      <c r="DB43"/>
      <c r="DC43"/>
      <c r="DD43"/>
    </row>
    <row r="44" spans="1:108" ht="18.75" hidden="1" thickBot="1">
      <c r="A44"/>
      <c r="F44" s="665"/>
      <c r="G44" s="663"/>
      <c r="H44" s="665"/>
      <c r="I44" s="1336" t="s">
        <v>447</v>
      </c>
      <c r="J44" s="1337">
        <f>K96</f>
        <v>7547.949999999998</v>
      </c>
      <c r="K44" s="862" t="s">
        <v>448</v>
      </c>
      <c r="L44" s="665"/>
      <c r="M44" s="665"/>
      <c r="N44" s="1336" t="s">
        <v>447</v>
      </c>
      <c r="O44" s="1337">
        <f>P96</f>
        <v>1232.8999999999996</v>
      </c>
      <c r="P44" s="862" t="s">
        <v>448</v>
      </c>
      <c r="Q44" s="665"/>
      <c r="R44" s="665"/>
      <c r="S44" s="1336" t="s">
        <v>447</v>
      </c>
      <c r="T44" s="1337">
        <f>U96</f>
        <v>2337.2900000000009</v>
      </c>
      <c r="U44" s="862" t="s">
        <v>448</v>
      </c>
      <c r="V44" s="665"/>
      <c r="W44" s="665"/>
      <c r="X44" s="1336" t="s">
        <v>447</v>
      </c>
      <c r="Y44" s="1337">
        <f>Z96</f>
        <v>5910.2579999999998</v>
      </c>
      <c r="Z44" s="862" t="s">
        <v>448</v>
      </c>
      <c r="AA44" s="665"/>
      <c r="AB44" s="665"/>
      <c r="AC44" s="1336" t="s">
        <v>447</v>
      </c>
      <c r="AD44" s="1337">
        <f>AE96</f>
        <v>2553.2900000000009</v>
      </c>
      <c r="AE44" s="862" t="s">
        <v>448</v>
      </c>
      <c r="AF44" s="665"/>
      <c r="AG44" s="665"/>
      <c r="AH44" s="1336" t="s">
        <v>447</v>
      </c>
      <c r="AI44" s="1337">
        <f>AJ96</f>
        <v>1963.5</v>
      </c>
      <c r="AJ44" s="862" t="s">
        <v>448</v>
      </c>
      <c r="AK44" s="665"/>
      <c r="AR44" s="73"/>
      <c r="AS44" s="73"/>
      <c r="AT44" s="73"/>
      <c r="AU44" s="73"/>
      <c r="AV44" s="73"/>
      <c r="CZ44"/>
      <c r="DA44"/>
      <c r="DB44"/>
      <c r="DC44"/>
      <c r="DD44"/>
    </row>
    <row r="45" spans="1:108" ht="18.75" hidden="1" thickBot="1">
      <c r="A45"/>
      <c r="F45" s="665"/>
      <c r="G45" s="663"/>
      <c r="H45" s="665"/>
      <c r="I45" s="665"/>
      <c r="J45" s="1335"/>
      <c r="K45" s="665"/>
      <c r="L45" s="665"/>
      <c r="M45" s="665"/>
      <c r="N45" s="665"/>
      <c r="O45" s="1335"/>
      <c r="P45" s="665"/>
      <c r="Q45" s="665"/>
      <c r="R45" s="665"/>
      <c r="S45" s="665"/>
      <c r="T45" s="1335"/>
      <c r="U45" s="665"/>
      <c r="V45" s="665"/>
      <c r="W45" s="665"/>
      <c r="X45" s="665"/>
      <c r="Y45" s="1335"/>
      <c r="Z45" s="665"/>
      <c r="AA45" s="665"/>
      <c r="AB45" s="665"/>
      <c r="AC45" s="665"/>
      <c r="AD45" s="1335"/>
      <c r="AE45" s="665"/>
      <c r="AF45" s="665"/>
      <c r="AG45" s="665"/>
      <c r="AH45" s="665"/>
      <c r="AI45" s="1335"/>
      <c r="AJ45" s="665"/>
      <c r="AK45" s="665"/>
      <c r="AR45" s="73"/>
      <c r="AS45" s="73"/>
      <c r="AT45" s="73"/>
      <c r="AU45" s="73"/>
      <c r="AV45" s="73"/>
      <c r="CZ45"/>
      <c r="DA45"/>
      <c r="DB45"/>
      <c r="DC45"/>
      <c r="DD45"/>
    </row>
    <row r="46" spans="1:108" s="230" customFormat="1" ht="16.5" hidden="1" thickBot="1">
      <c r="A46" s="229"/>
      <c r="F46" s="1241"/>
      <c r="G46" s="1242"/>
      <c r="H46" s="1241"/>
      <c r="I46" s="1241"/>
      <c r="J46" s="1338">
        <f>I68</f>
        <v>210</v>
      </c>
      <c r="K46" s="1339" t="s">
        <v>449</v>
      </c>
      <c r="L46" s="1241"/>
      <c r="M46" s="1241"/>
      <c r="N46" s="1241"/>
      <c r="O46" s="1338">
        <f>N68</f>
        <v>110</v>
      </c>
      <c r="P46" s="1339" t="s">
        <v>449</v>
      </c>
      <c r="Q46" s="1241"/>
      <c r="R46" s="1241"/>
      <c r="S46" s="1241"/>
      <c r="T46" s="1338">
        <f>S68</f>
        <v>0</v>
      </c>
      <c r="U46" s="1339" t="s">
        <v>449</v>
      </c>
      <c r="V46" s="1241"/>
      <c r="W46" s="1241"/>
      <c r="X46" s="1241"/>
      <c r="Y46" s="1338">
        <f>X68</f>
        <v>0</v>
      </c>
      <c r="Z46" s="1339" t="s">
        <v>449</v>
      </c>
      <c r="AA46" s="1241"/>
      <c r="AB46" s="1241"/>
      <c r="AC46" s="1241"/>
      <c r="AD46" s="1338">
        <f>AC68</f>
        <v>0</v>
      </c>
      <c r="AE46" s="1339" t="s">
        <v>449</v>
      </c>
      <c r="AF46" s="1241"/>
      <c r="AG46" s="1241"/>
      <c r="AH46" s="1241"/>
      <c r="AI46" s="1338">
        <f>AH68</f>
        <v>50</v>
      </c>
      <c r="AJ46" s="1339" t="s">
        <v>449</v>
      </c>
      <c r="AK46" s="1241"/>
      <c r="AL46" s="363"/>
      <c r="AM46" s="363"/>
      <c r="AN46" s="232"/>
      <c r="AO46" s="232"/>
      <c r="AP46" s="232"/>
      <c r="AQ46" s="232"/>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row>
    <row r="47" spans="1:108" s="230" customFormat="1" ht="15.75" hidden="1">
      <c r="A47" s="301"/>
      <c r="B47" s="231"/>
      <c r="C47" s="231"/>
      <c r="D47" s="231"/>
      <c r="E47" s="231"/>
      <c r="F47" s="1241"/>
      <c r="G47" s="1242"/>
      <c r="H47" s="1241"/>
      <c r="I47" s="1241"/>
      <c r="J47" s="1244"/>
      <c r="K47" s="1245"/>
      <c r="L47" s="1241"/>
      <c r="M47" s="1241"/>
      <c r="N47" s="1241"/>
      <c r="O47" s="1244"/>
      <c r="P47" s="1245"/>
      <c r="Q47" s="1241"/>
      <c r="R47" s="1241"/>
      <c r="S47" s="1241"/>
      <c r="T47" s="1244"/>
      <c r="U47" s="1245"/>
      <c r="V47" s="1241"/>
      <c r="W47" s="1241"/>
      <c r="X47" s="1241"/>
      <c r="Y47" s="1244"/>
      <c r="Z47" s="1245"/>
      <c r="AA47" s="1241"/>
      <c r="AB47" s="1241"/>
      <c r="AC47" s="1241"/>
      <c r="AD47" s="1244"/>
      <c r="AE47" s="1245"/>
      <c r="AF47" s="1241"/>
      <c r="AG47" s="1241"/>
      <c r="AH47" s="1241"/>
      <c r="AI47" s="1244"/>
      <c r="AJ47" s="1245"/>
      <c r="AK47" s="1241"/>
      <c r="AL47" s="363"/>
      <c r="AM47" s="363"/>
      <c r="AN47" s="232"/>
      <c r="AO47" s="232"/>
      <c r="AP47" s="232"/>
      <c r="AQ47" s="232"/>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row>
    <row r="48" spans="1:108" s="230" customFormat="1" ht="18" hidden="1">
      <c r="A48" s="301"/>
      <c r="B48" s="231"/>
      <c r="C48" s="231"/>
      <c r="D48" s="231"/>
      <c r="E48" s="231"/>
      <c r="F48" s="1241"/>
      <c r="G48" s="1242"/>
      <c r="H48" s="1243"/>
      <c r="I48" s="1241"/>
      <c r="J48" s="1244"/>
      <c r="K48" s="1245"/>
      <c r="L48" s="1241"/>
      <c r="M48" s="1241"/>
      <c r="N48" s="1241"/>
      <c r="O48" s="1244"/>
      <c r="P48" s="1245"/>
      <c r="Q48" s="1241"/>
      <c r="R48" s="1241"/>
      <c r="S48" s="1241"/>
      <c r="T48" s="1244"/>
      <c r="U48" s="1245"/>
      <c r="V48" s="1241"/>
      <c r="W48" s="1241"/>
      <c r="X48" s="1241"/>
      <c r="Y48" s="1244"/>
      <c r="Z48" s="1245"/>
      <c r="AA48" s="1241"/>
      <c r="AB48" s="1241"/>
      <c r="AC48" s="1241"/>
      <c r="AD48" s="1244"/>
      <c r="AE48" s="1245"/>
      <c r="AF48" s="1241"/>
      <c r="AG48" s="1241"/>
      <c r="AH48" s="1241"/>
      <c r="AI48" s="1244"/>
      <c r="AJ48" s="1245"/>
      <c r="AK48" s="1241"/>
      <c r="AL48" s="363"/>
      <c r="AM48" s="363"/>
      <c r="AN48" s="232"/>
      <c r="AO48" s="232"/>
      <c r="AP48" s="232"/>
      <c r="AQ48" s="232"/>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row>
    <row r="49" spans="1:228" s="230" customFormat="1" ht="18" hidden="1">
      <c r="A49" s="301"/>
      <c r="B49" s="231"/>
      <c r="C49" s="231"/>
      <c r="D49" s="231"/>
      <c r="E49" s="231"/>
      <c r="F49" s="1241"/>
      <c r="G49" s="1242"/>
      <c r="H49" s="1243"/>
      <c r="I49" s="1241"/>
      <c r="J49" s="1244"/>
      <c r="K49" s="1245"/>
      <c r="L49" s="1241"/>
      <c r="M49" s="1241"/>
      <c r="N49" s="1241"/>
      <c r="O49" s="1244"/>
      <c r="P49" s="1245"/>
      <c r="Q49" s="1241"/>
      <c r="R49" s="1241"/>
      <c r="S49" s="1241"/>
      <c r="T49" s="1244"/>
      <c r="U49" s="1245"/>
      <c r="V49" s="1241"/>
      <c r="W49" s="1241"/>
      <c r="X49" s="1241"/>
      <c r="Y49" s="1244"/>
      <c r="Z49" s="1245"/>
      <c r="AA49" s="1241"/>
      <c r="AB49" s="1241"/>
      <c r="AC49" s="1241"/>
      <c r="AD49" s="1244"/>
      <c r="AE49" s="1245"/>
      <c r="AF49" s="1241"/>
      <c r="AG49" s="1241"/>
      <c r="AH49" s="1241"/>
      <c r="AI49" s="1244"/>
      <c r="AJ49" s="1245"/>
      <c r="AK49" s="1241"/>
      <c r="AL49" s="363"/>
      <c r="AM49" s="363"/>
      <c r="AN49" s="232"/>
      <c r="AO49" s="232"/>
      <c r="AP49" s="232"/>
      <c r="AQ49" s="232"/>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row>
    <row r="50" spans="1:228" s="230" customFormat="1" ht="18" hidden="1">
      <c r="A50" s="301"/>
      <c r="B50" s="231"/>
      <c r="C50" s="231"/>
      <c r="D50" s="231"/>
      <c r="E50" s="231"/>
      <c r="F50" s="1241"/>
      <c r="G50" s="1242"/>
      <c r="H50" s="1243"/>
      <c r="I50" s="1241"/>
      <c r="J50" s="1244"/>
      <c r="K50" s="1245"/>
      <c r="L50" s="1241"/>
      <c r="M50" s="1241"/>
      <c r="N50" s="1241"/>
      <c r="O50" s="1244"/>
      <c r="P50" s="1245"/>
      <c r="Q50" s="1241"/>
      <c r="R50" s="1241"/>
      <c r="S50" s="1241"/>
      <c r="T50" s="1244"/>
      <c r="U50" s="1245"/>
      <c r="V50" s="1241"/>
      <c r="W50" s="1241"/>
      <c r="X50" s="1241"/>
      <c r="Y50" s="1244"/>
      <c r="Z50" s="1245"/>
      <c r="AA50" s="1241"/>
      <c r="AB50" s="1241"/>
      <c r="AC50" s="1241"/>
      <c r="AD50" s="1244"/>
      <c r="AE50" s="1245"/>
      <c r="AF50" s="1241"/>
      <c r="AG50" s="1241"/>
      <c r="AH50" s="1241"/>
      <c r="AI50" s="1244"/>
      <c r="AJ50" s="1245"/>
      <c r="AK50" s="1241"/>
      <c r="AL50" s="363"/>
      <c r="AM50" s="363"/>
      <c r="AN50" s="232"/>
      <c r="AO50" s="232"/>
      <c r="AP50" s="232"/>
      <c r="AQ50" s="232"/>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row>
    <row r="51" spans="1:228" s="230" customFormat="1" ht="18">
      <c r="A51" s="301"/>
      <c r="B51" s="231"/>
      <c r="C51" s="231"/>
      <c r="D51" s="231"/>
      <c r="E51" s="231"/>
      <c r="F51" s="1241"/>
      <c r="G51" s="1242"/>
      <c r="H51" s="1243"/>
      <c r="I51" s="1241"/>
      <c r="J51" s="1244"/>
      <c r="K51" s="1245"/>
      <c r="L51" s="1241"/>
      <c r="M51" s="1241"/>
      <c r="N51" s="1241"/>
      <c r="O51" s="1244"/>
      <c r="P51" s="1245"/>
      <c r="Q51" s="1241"/>
      <c r="R51" s="1241"/>
      <c r="S51" s="1241"/>
      <c r="T51" s="1244"/>
      <c r="U51" s="1245"/>
      <c r="V51" s="1241"/>
      <c r="W51" s="1241"/>
      <c r="X51" s="1241"/>
      <c r="Y51" s="1244"/>
      <c r="Z51" s="1245"/>
      <c r="AA51" s="1241"/>
      <c r="AB51" s="1241"/>
      <c r="AC51" s="1241"/>
      <c r="AD51" s="1244"/>
      <c r="AE51" s="1245"/>
      <c r="AF51" s="1241"/>
      <c r="AG51" s="1241"/>
      <c r="AH51" s="1241"/>
      <c r="AI51" s="1244"/>
      <c r="AJ51" s="1245"/>
      <c r="AK51" s="1241"/>
      <c r="AL51" s="363"/>
      <c r="AM51" s="363"/>
      <c r="AN51" s="232"/>
      <c r="AO51" s="232"/>
      <c r="AP51" s="232"/>
      <c r="AQ51" s="232"/>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row>
    <row r="52" spans="1:228" s="230" customFormat="1" ht="20.25">
      <c r="A52" s="301"/>
      <c r="B52" s="231"/>
      <c r="C52" s="231"/>
      <c r="D52" s="231"/>
      <c r="E52" s="231"/>
      <c r="F52" s="1241"/>
      <c r="G52" s="1242"/>
      <c r="H52" s="2974" t="s">
        <v>1871</v>
      </c>
      <c r="I52" s="1241"/>
      <c r="J52" s="1244"/>
      <c r="K52" s="1245"/>
      <c r="L52" s="1241"/>
      <c r="M52" s="1241"/>
      <c r="N52" s="1241"/>
      <c r="O52" s="1244"/>
      <c r="P52" s="1245"/>
      <c r="Q52" s="1241"/>
      <c r="R52" s="1241"/>
      <c r="S52" s="1241"/>
      <c r="T52" s="1244"/>
      <c r="U52" s="1245"/>
      <c r="V52" s="1241"/>
      <c r="W52" s="1241"/>
      <c r="X52" s="1241"/>
      <c r="Y52" s="1244"/>
      <c r="Z52" s="1245"/>
      <c r="AA52" s="1241"/>
      <c r="AB52" s="1241"/>
      <c r="AC52" s="1241"/>
      <c r="AD52" s="1244"/>
      <c r="AE52" s="1245"/>
      <c r="AF52" s="1241"/>
      <c r="AG52" s="1241"/>
      <c r="AH52" s="1241"/>
      <c r="AI52" s="1244"/>
      <c r="AJ52" s="1245"/>
      <c r="AK52" s="1241"/>
      <c r="AL52" s="363"/>
      <c r="AM52" s="363"/>
      <c r="AN52" s="232"/>
      <c r="AO52" s="232"/>
      <c r="AP52" s="232"/>
      <c r="AQ52" s="232"/>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row>
    <row r="53" spans="1:228" s="230" customFormat="1" ht="18">
      <c r="A53" s="301"/>
      <c r="B53" s="231"/>
      <c r="C53" s="231"/>
      <c r="D53" s="231"/>
      <c r="E53" s="231"/>
      <c r="F53" s="1241"/>
      <c r="G53" s="1242"/>
      <c r="H53" s="1243"/>
      <c r="I53" s="1241"/>
      <c r="J53" s="1244"/>
      <c r="K53" s="1245"/>
      <c r="L53" s="1241"/>
      <c r="M53" s="1241"/>
      <c r="N53" s="1241"/>
      <c r="O53" s="1244"/>
      <c r="P53" s="1245"/>
      <c r="Q53" s="1241"/>
      <c r="R53" s="1241"/>
      <c r="S53" s="1241"/>
      <c r="T53" s="1244"/>
      <c r="U53" s="1245"/>
      <c r="V53" s="1241"/>
      <c r="W53" s="1241"/>
      <c r="X53" s="1241"/>
      <c r="Y53" s="1244"/>
      <c r="Z53" s="1245"/>
      <c r="AA53" s="1241"/>
      <c r="AB53" s="1241"/>
      <c r="AC53" s="1241"/>
      <c r="AD53" s="1244"/>
      <c r="AE53" s="1245"/>
      <c r="AF53" s="1241"/>
      <c r="AG53" s="1241"/>
      <c r="AH53" s="1241"/>
      <c r="AI53" s="1244"/>
      <c r="AJ53" s="1245"/>
      <c r="AK53" s="1241"/>
      <c r="AL53" s="363"/>
      <c r="AM53" s="363"/>
      <c r="AN53" s="232"/>
      <c r="AO53" s="232"/>
      <c r="AP53" s="232"/>
      <c r="AQ53" s="232"/>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row>
    <row r="54" spans="1:228" s="230" customFormat="1" ht="18">
      <c r="A54" s="301"/>
      <c r="B54" s="231"/>
      <c r="C54" s="231"/>
      <c r="D54" s="231"/>
      <c r="E54" s="231"/>
      <c r="F54" s="1241"/>
      <c r="G54" s="1242"/>
      <c r="H54" s="1243"/>
      <c r="I54" s="1241"/>
      <c r="J54" s="1244"/>
      <c r="K54" s="1245"/>
      <c r="L54" s="1241"/>
      <c r="M54" s="1241"/>
      <c r="N54" s="1241"/>
      <c r="O54" s="1244"/>
      <c r="P54" s="1245"/>
      <c r="Q54" s="1241"/>
      <c r="R54" s="1241"/>
      <c r="S54" s="1241"/>
      <c r="T54" s="1244"/>
      <c r="U54" s="1245"/>
      <c r="V54" s="1241"/>
      <c r="W54" s="1241"/>
      <c r="X54" s="1241"/>
      <c r="Y54" s="1244"/>
      <c r="Z54" s="1245"/>
      <c r="AA54" s="1241"/>
      <c r="AB54" s="1241"/>
      <c r="AC54" s="1241"/>
      <c r="AD54" s="1244"/>
      <c r="AE54" s="1245"/>
      <c r="AF54" s="1241"/>
      <c r="AG54" s="1241"/>
      <c r="AH54" s="1241"/>
      <c r="AI54" s="1244"/>
      <c r="AJ54" s="1245"/>
      <c r="AK54" s="1241"/>
      <c r="AL54" s="363"/>
      <c r="AM54" s="363"/>
      <c r="AN54" s="232"/>
      <c r="AO54" s="232"/>
      <c r="AP54" s="232"/>
      <c r="AQ54" s="232"/>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row>
    <row r="55" spans="1:228" s="230" customFormat="1" ht="23.25">
      <c r="A55" s="301"/>
      <c r="B55" s="231"/>
      <c r="C55" s="231"/>
      <c r="D55" s="231"/>
      <c r="E55" s="231"/>
      <c r="F55" s="1241"/>
      <c r="G55" s="1242"/>
      <c r="H55" s="2975"/>
      <c r="I55" s="1241"/>
      <c r="J55" s="1244"/>
      <c r="K55" s="1245"/>
      <c r="L55" s="1241"/>
      <c r="M55" s="1241"/>
      <c r="N55" s="1241"/>
      <c r="O55" s="1244"/>
      <c r="P55" s="1245"/>
      <c r="Q55" s="1241"/>
      <c r="R55" s="1241"/>
      <c r="S55" s="1241"/>
      <c r="T55" s="1244"/>
      <c r="U55" s="1245"/>
      <c r="V55" s="1241"/>
      <c r="W55" s="1241"/>
      <c r="X55" s="1241"/>
      <c r="Y55" s="1244"/>
      <c r="Z55" s="1245"/>
      <c r="AA55" s="1241"/>
      <c r="AB55" s="1241"/>
      <c r="AC55" s="1241"/>
      <c r="AD55" s="1244"/>
      <c r="AE55" s="1245"/>
      <c r="AF55" s="1241"/>
      <c r="AG55" s="1241"/>
      <c r="AH55" s="1241"/>
      <c r="AI55" s="1244"/>
      <c r="AJ55" s="1245"/>
      <c r="AK55" s="1241"/>
      <c r="AL55" s="363"/>
      <c r="AM55" s="363"/>
      <c r="AN55" s="232"/>
      <c r="AO55" s="232"/>
      <c r="AP55" s="232"/>
      <c r="AQ55" s="232"/>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row>
    <row r="56" spans="1:228" ht="13.5" thickBot="1">
      <c r="A56" s="262"/>
      <c r="B56" s="169"/>
      <c r="C56" s="169"/>
      <c r="D56" s="169"/>
      <c r="E56" s="169"/>
      <c r="F56" s="665"/>
      <c r="G56" s="663"/>
      <c r="H56" s="665"/>
      <c r="I56" s="665" t="s">
        <v>1295</v>
      </c>
      <c r="J56" s="696">
        <v>60</v>
      </c>
      <c r="K56" s="665" t="s">
        <v>727</v>
      </c>
      <c r="L56" s="665"/>
      <c r="M56" s="665"/>
      <c r="N56" s="665"/>
      <c r="O56" s="665"/>
      <c r="P56" s="665"/>
      <c r="Q56" s="665"/>
      <c r="R56" s="665"/>
      <c r="S56" s="665"/>
      <c r="T56" s="665"/>
      <c r="U56" s="665"/>
      <c r="V56" s="665"/>
      <c r="W56" s="1246"/>
      <c r="X56" s="1246"/>
      <c r="Y56" s="1246"/>
      <c r="Z56" s="1246"/>
      <c r="AA56" s="1246"/>
      <c r="AB56" s="1246"/>
      <c r="AC56" s="1246"/>
      <c r="AD56" s="1246"/>
      <c r="AE56" s="1246"/>
      <c r="AF56" s="1246"/>
      <c r="AG56" s="1246"/>
      <c r="AH56" s="1246"/>
      <c r="AI56" s="1246"/>
      <c r="AJ56" s="1246"/>
      <c r="AK56" s="1246"/>
      <c r="AR56" s="73"/>
      <c r="AS56" s="73"/>
      <c r="AT56" s="73"/>
      <c r="AU56" s="73"/>
      <c r="AV56" s="73"/>
      <c r="CZ56"/>
      <c r="DA56"/>
      <c r="DB56"/>
      <c r="DC56"/>
      <c r="DD56"/>
    </row>
    <row r="57" spans="1:228">
      <c r="A57" s="196"/>
      <c r="B57" s="97"/>
      <c r="C57" s="97"/>
      <c r="E57" s="97"/>
      <c r="F57" s="1247"/>
      <c r="G57" s="663"/>
      <c r="H57" s="1248"/>
      <c r="I57" s="528"/>
      <c r="J57" s="2152" t="str">
        <f>I36</f>
        <v>HÖSTRAPS</v>
      </c>
      <c r="K57" s="530"/>
      <c r="L57" s="665"/>
      <c r="M57" s="1248"/>
      <c r="N57" s="528"/>
      <c r="O57" s="1250" t="str">
        <f>N36</f>
        <v>VÅRRAPS</v>
      </c>
      <c r="P57" s="530"/>
      <c r="Q57" s="665"/>
      <c r="R57" s="1248"/>
      <c r="S57" s="528"/>
      <c r="T57" s="1250" t="str">
        <f>S36</f>
        <v>FODERÄRT</v>
      </c>
      <c r="U57" s="530"/>
      <c r="V57" s="665"/>
      <c r="W57" s="1248"/>
      <c r="X57" s="1251"/>
      <c r="Y57" s="1726" t="str">
        <f>X36</f>
        <v>KONSERVÄRT</v>
      </c>
      <c r="Z57" s="1253"/>
      <c r="AA57" s="665"/>
      <c r="AB57" s="1248"/>
      <c r="AC57" s="528"/>
      <c r="AD57" s="1250" t="str">
        <f>AC36</f>
        <v>ÅKERBÖNA</v>
      </c>
      <c r="AE57" s="530"/>
      <c r="AF57" s="665"/>
      <c r="AG57" s="1248"/>
      <c r="AH57" s="528"/>
      <c r="AI57" s="1250" t="str">
        <f>AH36</f>
        <v>OLJELIN</v>
      </c>
      <c r="AJ57" s="530"/>
      <c r="AK57" s="665"/>
      <c r="AR57" s="73"/>
      <c r="AS57" s="234"/>
      <c r="AT57" s="73"/>
      <c r="AU57" s="73"/>
      <c r="AV57" s="234"/>
      <c r="AY57" s="234"/>
      <c r="BA57" s="234"/>
      <c r="BD57" s="234"/>
      <c r="BG57" s="234"/>
      <c r="BJ57" s="234"/>
      <c r="BM57" s="234"/>
      <c r="BP57" s="234"/>
      <c r="BR57" s="234"/>
      <c r="BU57" s="234"/>
      <c r="BX57" s="234"/>
      <c r="CA57" s="234"/>
      <c r="CD57" s="234"/>
      <c r="CG57" s="234"/>
      <c r="CI57" s="234"/>
      <c r="CL57" s="234"/>
      <c r="CN57" s="235"/>
      <c r="CO57" s="235"/>
      <c r="CP57" s="236"/>
      <c r="CZ57"/>
      <c r="DA57"/>
      <c r="DB57"/>
      <c r="DC57"/>
      <c r="DD57"/>
      <c r="DL57" s="97"/>
    </row>
    <row r="58" spans="1:228" s="239" customFormat="1">
      <c r="A58" s="196"/>
      <c r="B58" s="97"/>
      <c r="C58" s="97"/>
      <c r="D58"/>
      <c r="E58" s="97"/>
      <c r="F58" s="1247"/>
      <c r="G58" s="1254"/>
      <c r="H58" s="1255"/>
      <c r="I58" s="1255"/>
      <c r="J58" s="1256"/>
      <c r="K58" s="1257"/>
      <c r="L58" s="1254"/>
      <c r="M58" s="1255"/>
      <c r="N58" s="1255"/>
      <c r="O58" s="1256"/>
      <c r="P58" s="1257"/>
      <c r="Q58" s="1254"/>
      <c r="R58" s="1255"/>
      <c r="S58" s="1255"/>
      <c r="T58" s="1256"/>
      <c r="U58" s="1257"/>
      <c r="V58" s="1254"/>
      <c r="W58" s="1255"/>
      <c r="X58" s="1255"/>
      <c r="Y58" s="1256"/>
      <c r="Z58" s="1257"/>
      <c r="AA58" s="1254"/>
      <c r="AB58" s="1255"/>
      <c r="AC58" s="1255"/>
      <c r="AD58" s="1256"/>
      <c r="AE58" s="1257"/>
      <c r="AF58" s="1254"/>
      <c r="AG58" s="1255"/>
      <c r="AH58" s="1255"/>
      <c r="AI58" s="1256"/>
      <c r="AJ58" s="1257"/>
      <c r="AK58" s="1254"/>
      <c r="AL58" s="20"/>
      <c r="AM58" s="20"/>
      <c r="AN58"/>
      <c r="AO58"/>
      <c r="AP58"/>
      <c r="AQ58"/>
      <c r="AR58" s="234"/>
      <c r="AS58" s="234"/>
      <c r="AT58" s="234"/>
      <c r="AU58" s="234"/>
      <c r="AV58" s="234"/>
      <c r="AW58" s="234"/>
      <c r="AX58" s="73"/>
      <c r="AY58" s="234"/>
      <c r="AZ58" s="235"/>
      <c r="BA58" s="235"/>
      <c r="BB58" s="235"/>
      <c r="BC58" s="234"/>
      <c r="BD58" s="234"/>
      <c r="BE58" s="234"/>
      <c r="BF58" s="234"/>
      <c r="BG58" s="234"/>
      <c r="BH58" s="234"/>
      <c r="BI58" s="234"/>
      <c r="BJ58" s="234"/>
      <c r="BK58" s="234"/>
      <c r="BL58" s="234"/>
      <c r="BM58" s="234"/>
      <c r="BN58" s="234"/>
      <c r="BO58" s="73"/>
      <c r="BP58" s="234"/>
      <c r="BQ58" s="234"/>
      <c r="BR58" s="234"/>
      <c r="BS58" s="234"/>
      <c r="BT58" s="234"/>
      <c r="BU58" s="234"/>
      <c r="BV58" s="237"/>
      <c r="BW58" s="234"/>
      <c r="BX58" s="234"/>
      <c r="BY58" s="234"/>
      <c r="BZ58" s="234"/>
      <c r="CA58" s="234"/>
      <c r="CB58" s="234"/>
      <c r="CC58" s="234"/>
      <c r="CD58" s="234"/>
      <c r="CE58" s="234"/>
      <c r="CF58" s="73"/>
      <c r="CG58" s="234"/>
      <c r="CH58" s="234"/>
      <c r="CI58" s="234"/>
      <c r="CJ58" s="234"/>
      <c r="CK58" s="234"/>
      <c r="CL58" s="234"/>
      <c r="CM58" s="234"/>
      <c r="CN58" s="234"/>
      <c r="CO58" s="234"/>
      <c r="CP58" s="234"/>
      <c r="CQ58" s="73"/>
      <c r="CR58" s="73"/>
      <c r="CS58" s="238"/>
      <c r="CT58" s="166"/>
      <c r="CU58" s="167"/>
      <c r="CV58" s="166"/>
      <c r="CW58" s="73"/>
      <c r="CX58" s="73"/>
      <c r="CY58" s="73"/>
      <c r="CZ58"/>
      <c r="DA58"/>
      <c r="DB58"/>
      <c r="DC58"/>
      <c r="DD58"/>
      <c r="DE58"/>
      <c r="DF58"/>
      <c r="DG58"/>
      <c r="DH58"/>
      <c r="DI58"/>
      <c r="DJ58"/>
      <c r="DK58"/>
      <c r="DL58" s="97"/>
      <c r="DM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row>
    <row r="59" spans="1:228">
      <c r="A59" s="196"/>
      <c r="B59" s="97"/>
      <c r="C59" s="97"/>
      <c r="D59" s="240"/>
      <c r="E59" s="97"/>
      <c r="F59" s="1247"/>
      <c r="G59" s="663"/>
      <c r="H59" s="1258"/>
      <c r="I59" s="1259" t="s">
        <v>455</v>
      </c>
      <c r="J59" s="1260" t="s">
        <v>456</v>
      </c>
      <c r="K59" s="1261" t="s">
        <v>457</v>
      </c>
      <c r="L59" s="665"/>
      <c r="M59" s="1258"/>
      <c r="N59" s="1259" t="s">
        <v>455</v>
      </c>
      <c r="O59" s="1260" t="s">
        <v>456</v>
      </c>
      <c r="P59" s="1261" t="s">
        <v>457</v>
      </c>
      <c r="Q59" s="665"/>
      <c r="R59" s="1258"/>
      <c r="S59" s="1259" t="s">
        <v>455</v>
      </c>
      <c r="T59" s="1260" t="s">
        <v>456</v>
      </c>
      <c r="U59" s="1261" t="s">
        <v>457</v>
      </c>
      <c r="V59" s="665"/>
      <c r="W59" s="1258"/>
      <c r="X59" s="1259" t="s">
        <v>455</v>
      </c>
      <c r="Y59" s="1260" t="s">
        <v>456</v>
      </c>
      <c r="Z59" s="1261" t="s">
        <v>457</v>
      </c>
      <c r="AA59" s="665"/>
      <c r="AB59" s="1258"/>
      <c r="AC59" s="1259" t="s">
        <v>455</v>
      </c>
      <c r="AD59" s="1260" t="s">
        <v>456</v>
      </c>
      <c r="AE59" s="1261" t="s">
        <v>457</v>
      </c>
      <c r="AF59" s="665"/>
      <c r="AG59" s="1258"/>
      <c r="AH59" s="1259" t="s">
        <v>455</v>
      </c>
      <c r="AI59" s="1260" t="s">
        <v>456</v>
      </c>
      <c r="AJ59" s="1261" t="s">
        <v>457</v>
      </c>
      <c r="AK59" s="665"/>
      <c r="AR59" s="168"/>
      <c r="AS59" s="241"/>
      <c r="AT59" s="241"/>
      <c r="AU59" s="168"/>
      <c r="AV59" s="241"/>
      <c r="AW59" s="241"/>
      <c r="AY59" s="168"/>
      <c r="AZ59" s="168"/>
      <c r="BA59" s="241"/>
      <c r="BB59" s="241"/>
      <c r="BC59" s="168"/>
      <c r="BD59" s="241"/>
      <c r="BE59" s="241"/>
      <c r="BF59" s="168"/>
      <c r="BG59" s="241"/>
      <c r="BH59" s="241"/>
      <c r="BI59" s="168"/>
      <c r="BJ59" s="241"/>
      <c r="BK59" s="241"/>
      <c r="BL59" s="168"/>
      <c r="BM59" s="241"/>
      <c r="BN59" s="241"/>
      <c r="BP59" s="168"/>
      <c r="BQ59" s="168"/>
      <c r="BR59" s="241"/>
      <c r="BS59" s="241"/>
      <c r="BT59" s="168"/>
      <c r="BU59" s="241"/>
      <c r="BV59" s="241"/>
      <c r="BW59" s="168"/>
      <c r="BX59" s="241"/>
      <c r="BY59" s="241"/>
      <c r="BZ59" s="168"/>
      <c r="CA59" s="241"/>
      <c r="CB59" s="241"/>
      <c r="CC59" s="168"/>
      <c r="CD59" s="241"/>
      <c r="CE59" s="241"/>
      <c r="CG59" s="168"/>
      <c r="CH59" s="168"/>
      <c r="CI59" s="241"/>
      <c r="CJ59" s="241"/>
      <c r="CK59" s="168"/>
      <c r="CL59" s="241"/>
      <c r="CM59" s="241"/>
      <c r="CN59" s="168"/>
      <c r="CO59" s="241"/>
      <c r="CP59" s="241"/>
      <c r="CS59" s="167"/>
      <c r="CU59" s="242"/>
      <c r="CW59" s="242"/>
      <c r="CZ59"/>
      <c r="DA59"/>
      <c r="DB59"/>
      <c r="DC59"/>
      <c r="DD59"/>
      <c r="DL59" s="97"/>
      <c r="HG59" s="73"/>
      <c r="HH59" s="73"/>
      <c r="HI59" s="73"/>
      <c r="HJ59" s="73"/>
      <c r="HK59" s="73"/>
      <c r="HL59" s="73"/>
      <c r="HM59" s="73"/>
      <c r="HN59" s="73"/>
      <c r="HO59" s="73"/>
      <c r="HP59" s="73"/>
      <c r="HQ59" s="73"/>
      <c r="HR59" s="73"/>
      <c r="HS59" s="73"/>
      <c r="HT59" s="73"/>
    </row>
    <row r="60" spans="1:228">
      <c r="A60" s="196"/>
      <c r="B60" s="97"/>
      <c r="C60" s="97"/>
      <c r="E60" s="97"/>
      <c r="F60" s="1247"/>
      <c r="G60" s="663"/>
      <c r="H60" s="1262" t="s">
        <v>458</v>
      </c>
      <c r="I60" s="1263">
        <f>I40</f>
        <v>3500</v>
      </c>
      <c r="J60" s="1722">
        <f>J42</f>
        <v>4.0999999999999996</v>
      </c>
      <c r="K60" s="1265">
        <f>$J$60*I60</f>
        <v>14349.999999999998</v>
      </c>
      <c r="L60" s="665"/>
      <c r="M60" s="1262" t="s">
        <v>458</v>
      </c>
      <c r="N60" s="1263">
        <f>N40</f>
        <v>2000</v>
      </c>
      <c r="O60" s="1264">
        <f>O42</f>
        <v>2.81</v>
      </c>
      <c r="P60" s="1265">
        <f>$O$60*N60</f>
        <v>5620</v>
      </c>
      <c r="Q60" s="665"/>
      <c r="R60" s="1262" t="s">
        <v>458</v>
      </c>
      <c r="S60" s="1263">
        <f>S40</f>
        <v>4000</v>
      </c>
      <c r="T60" s="1264">
        <f>T42</f>
        <v>1.83</v>
      </c>
      <c r="U60" s="1265">
        <f>$T$60*S60</f>
        <v>7320</v>
      </c>
      <c r="V60" s="665"/>
      <c r="W60" s="1262" t="s">
        <v>458</v>
      </c>
      <c r="X60" s="1263">
        <f>X40</f>
        <v>3600</v>
      </c>
      <c r="Y60" s="1264">
        <f>Y42</f>
        <v>2.31</v>
      </c>
      <c r="Z60" s="1266">
        <f>$Y$60*X60</f>
        <v>8316</v>
      </c>
      <c r="AA60" s="665"/>
      <c r="AB60" s="1262" t="s">
        <v>458</v>
      </c>
      <c r="AC60" s="1263">
        <f>AC40</f>
        <v>4000</v>
      </c>
      <c r="AD60" s="1264">
        <f>AD42</f>
        <v>1.88</v>
      </c>
      <c r="AE60" s="1265">
        <f>$AD$60*AC60</f>
        <v>7520</v>
      </c>
      <c r="AF60" s="665"/>
      <c r="AG60" s="1262" t="s">
        <v>458</v>
      </c>
      <c r="AH60" s="1263">
        <f>AH40</f>
        <v>1500</v>
      </c>
      <c r="AI60" s="1264">
        <f>AI42</f>
        <v>3.98</v>
      </c>
      <c r="AJ60" s="1266">
        <f>$AI$60*AH60</f>
        <v>5970</v>
      </c>
      <c r="AK60" s="665"/>
      <c r="AR60" s="166"/>
      <c r="AS60" s="167"/>
      <c r="AT60" s="243"/>
      <c r="AU60" s="166"/>
      <c r="AV60" s="167"/>
      <c r="AW60" s="243"/>
      <c r="AY60" s="168"/>
      <c r="AZ60" s="166"/>
      <c r="BA60" s="167"/>
      <c r="BB60" s="243"/>
      <c r="BC60" s="166"/>
      <c r="BD60" s="167"/>
      <c r="BE60" s="243"/>
      <c r="BF60" s="166"/>
      <c r="BG60" s="167"/>
      <c r="BH60" s="167"/>
      <c r="BI60" s="166"/>
      <c r="BJ60" s="243"/>
      <c r="BK60" s="243"/>
      <c r="BL60" s="166"/>
      <c r="BM60" s="243"/>
      <c r="BN60" s="243"/>
      <c r="BP60" s="168"/>
      <c r="BQ60" s="244"/>
      <c r="BR60" s="167"/>
      <c r="BS60" s="243"/>
      <c r="BT60" s="166"/>
      <c r="BU60" s="167"/>
      <c r="BV60" s="167"/>
      <c r="BW60" s="166"/>
      <c r="BX60" s="167"/>
      <c r="BY60" s="167"/>
      <c r="BZ60" s="166"/>
      <c r="CA60" s="167"/>
      <c r="CB60" s="167"/>
      <c r="CC60" s="166"/>
      <c r="CD60" s="167"/>
      <c r="CE60" s="167"/>
      <c r="CG60" s="168"/>
      <c r="CH60" s="166"/>
      <c r="CI60" s="167"/>
      <c r="CJ60" s="243"/>
      <c r="CK60" s="166"/>
      <c r="CL60" s="167"/>
      <c r="CM60" s="243"/>
      <c r="CN60" s="166"/>
      <c r="CO60" s="167"/>
      <c r="CP60" s="167"/>
      <c r="CS60" s="167"/>
      <c r="CZ60"/>
      <c r="DA60"/>
      <c r="DB60"/>
      <c r="DC60"/>
      <c r="DD60"/>
      <c r="DK60" s="240"/>
      <c r="DL60" s="97"/>
      <c r="HG60" s="73"/>
      <c r="HH60" s="73"/>
      <c r="HI60" s="73"/>
      <c r="HJ60" s="73"/>
      <c r="HK60" s="73"/>
      <c r="HL60" s="73"/>
      <c r="HM60" s="73"/>
      <c r="HN60" s="73"/>
      <c r="HO60" s="73"/>
      <c r="HP60" s="73"/>
      <c r="HQ60" s="73"/>
      <c r="HR60" s="73"/>
      <c r="HS60" s="73"/>
      <c r="HT60" s="73"/>
    </row>
    <row r="61" spans="1:228">
      <c r="A61"/>
      <c r="B61" s="97"/>
      <c r="C61" s="97"/>
      <c r="D61" s="196"/>
      <c r="E61" s="97"/>
      <c r="F61" s="1267"/>
      <c r="G61" s="1268"/>
      <c r="H61" s="1262" t="s">
        <v>1041</v>
      </c>
      <c r="I61" s="1269"/>
      <c r="J61" s="1728">
        <v>0.14599999999999999</v>
      </c>
      <c r="K61" s="1271">
        <f>I60*J61</f>
        <v>510.99999999999994</v>
      </c>
      <c r="L61" s="665"/>
      <c r="M61" s="1262" t="s">
        <v>1041</v>
      </c>
      <c r="N61" s="1269"/>
      <c r="O61" s="1728">
        <v>0.14599999999999999</v>
      </c>
      <c r="P61" s="1271">
        <f>N60*O61</f>
        <v>292</v>
      </c>
      <c r="Q61" s="665"/>
      <c r="R61" s="1262"/>
      <c r="S61" s="1269"/>
      <c r="T61" s="1270"/>
      <c r="U61" s="1271"/>
      <c r="V61" s="665"/>
      <c r="W61" s="1262"/>
      <c r="X61" s="1269"/>
      <c r="Y61" s="1270"/>
      <c r="Z61" s="1271"/>
      <c r="AA61" s="665"/>
      <c r="AB61" s="1262"/>
      <c r="AC61" s="1272"/>
      <c r="AD61" s="1270"/>
      <c r="AE61" s="1271"/>
      <c r="AF61" s="665"/>
      <c r="AG61" s="1262"/>
      <c r="AH61" s="1272"/>
      <c r="AI61" s="1270"/>
      <c r="AJ61" s="1271"/>
      <c r="AK61" s="665"/>
      <c r="AR61" s="166"/>
      <c r="AS61" s="167"/>
      <c r="AT61" s="243"/>
      <c r="AU61" s="166"/>
      <c r="AV61" s="167"/>
      <c r="AW61" s="243"/>
      <c r="AY61" s="168"/>
      <c r="AZ61" s="166"/>
      <c r="BA61" s="167"/>
      <c r="BB61" s="167"/>
      <c r="BC61" s="166"/>
      <c r="BD61" s="167"/>
      <c r="BE61" s="167"/>
      <c r="BF61" s="166"/>
      <c r="BG61" s="167"/>
      <c r="BH61" s="167"/>
      <c r="BI61" s="166"/>
      <c r="BJ61" s="167"/>
      <c r="BK61" s="167"/>
      <c r="BL61" s="166"/>
      <c r="BM61" s="167"/>
      <c r="BN61" s="243"/>
      <c r="BP61" s="168"/>
      <c r="BQ61" s="166"/>
      <c r="BR61" s="167"/>
      <c r="BS61" s="243"/>
      <c r="BT61" s="166"/>
      <c r="BU61" s="245"/>
      <c r="BV61" s="243"/>
      <c r="BW61" s="166"/>
      <c r="BX61" s="167"/>
      <c r="BY61" s="243"/>
      <c r="BZ61" s="166"/>
      <c r="CA61" s="167"/>
      <c r="CB61" s="243"/>
      <c r="CC61" s="166"/>
      <c r="CD61" s="167"/>
      <c r="CE61" s="243"/>
      <c r="CG61" s="246"/>
      <c r="CH61" s="166"/>
      <c r="CI61" s="167"/>
      <c r="CJ61" s="243"/>
      <c r="CK61" s="166"/>
      <c r="CL61" s="167"/>
      <c r="CM61" s="243"/>
      <c r="CN61" s="166"/>
      <c r="CO61" s="167"/>
      <c r="CP61" s="167"/>
      <c r="CS61" s="242"/>
      <c r="CU61" s="242"/>
      <c r="CV61" s="242"/>
      <c r="CW61" s="242"/>
      <c r="CX61" s="242"/>
      <c r="CZ61"/>
      <c r="DA61"/>
      <c r="DB61"/>
      <c r="DC61"/>
      <c r="DD61"/>
      <c r="DK61" s="196"/>
      <c r="DL61" s="97"/>
      <c r="DM61" s="240"/>
      <c r="HG61" s="73"/>
      <c r="HH61" s="73"/>
      <c r="HI61" s="73"/>
      <c r="HJ61" s="73"/>
      <c r="HK61" s="73"/>
      <c r="HL61" s="73"/>
      <c r="HM61" s="73"/>
      <c r="HN61" s="73"/>
      <c r="HO61" s="73"/>
      <c r="HP61" s="73"/>
      <c r="HQ61" s="73"/>
      <c r="HR61" s="73"/>
      <c r="HS61" s="73"/>
      <c r="HT61" s="73"/>
    </row>
    <row r="62" spans="1:228">
      <c r="A62"/>
      <c r="B62" s="97"/>
      <c r="C62" s="97"/>
      <c r="D62" s="196"/>
      <c r="E62" s="97"/>
      <c r="F62" s="1267"/>
      <c r="G62" s="1268"/>
      <c r="H62" s="1273" t="s">
        <v>459</v>
      </c>
      <c r="I62" s="1274"/>
      <c r="J62" s="1275"/>
      <c r="K62" s="1276">
        <f>SUM(K60:K61)</f>
        <v>14860.999999999998</v>
      </c>
      <c r="L62" s="665"/>
      <c r="M62" s="1273" t="s">
        <v>459</v>
      </c>
      <c r="N62" s="1274"/>
      <c r="O62" s="1275"/>
      <c r="P62" s="1276">
        <f>SUM(P60:P61)</f>
        <v>5912</v>
      </c>
      <c r="Q62" s="665"/>
      <c r="R62" s="1273" t="s">
        <v>459</v>
      </c>
      <c r="S62" s="1274"/>
      <c r="T62" s="1275"/>
      <c r="U62" s="1276">
        <f>SUM(U60:U61)</f>
        <v>7320</v>
      </c>
      <c r="V62" s="665"/>
      <c r="W62" s="1273" t="s">
        <v>459</v>
      </c>
      <c r="X62" s="1274"/>
      <c r="Y62" s="1275"/>
      <c r="Z62" s="1276">
        <f>SUM(Z60:Z61)</f>
        <v>8316</v>
      </c>
      <c r="AA62" s="665"/>
      <c r="AB62" s="1273" t="s">
        <v>459</v>
      </c>
      <c r="AC62" s="1274"/>
      <c r="AD62" s="1275"/>
      <c r="AE62" s="1276">
        <f>SUM(AE60:AE61)</f>
        <v>7520</v>
      </c>
      <c r="AF62" s="665"/>
      <c r="AG62" s="1273" t="s">
        <v>459</v>
      </c>
      <c r="AH62" s="1274"/>
      <c r="AI62" s="1275"/>
      <c r="AJ62" s="1276">
        <f>SUM(AJ60:AJ61)</f>
        <v>5970</v>
      </c>
      <c r="AK62" s="665"/>
      <c r="AR62" s="166"/>
      <c r="AS62" s="167"/>
      <c r="AT62" s="247"/>
      <c r="AU62" s="166"/>
      <c r="AV62" s="167"/>
      <c r="AW62" s="247"/>
      <c r="AY62" s="168"/>
      <c r="AZ62" s="166"/>
      <c r="BA62" s="167"/>
      <c r="BB62" s="247"/>
      <c r="BC62" s="166"/>
      <c r="BD62" s="167"/>
      <c r="BE62" s="247"/>
      <c r="BF62" s="166"/>
      <c r="BG62" s="167"/>
      <c r="BH62" s="241"/>
      <c r="BI62" s="166"/>
      <c r="BJ62" s="167"/>
      <c r="BK62" s="247"/>
      <c r="BL62" s="166"/>
      <c r="BM62" s="167"/>
      <c r="BN62" s="247"/>
      <c r="BP62" s="168"/>
      <c r="BQ62" s="166"/>
      <c r="BR62" s="167"/>
      <c r="BS62" s="247"/>
      <c r="BT62" s="166"/>
      <c r="BU62" s="167"/>
      <c r="BV62" s="247"/>
      <c r="BW62" s="166"/>
      <c r="BX62" s="167"/>
      <c r="BY62" s="247"/>
      <c r="BZ62" s="166"/>
      <c r="CA62" s="167"/>
      <c r="CB62" s="247"/>
      <c r="CC62" s="166"/>
      <c r="CD62" s="167"/>
      <c r="CE62" s="247"/>
      <c r="CG62" s="168"/>
      <c r="CH62" s="166"/>
      <c r="CI62" s="167"/>
      <c r="CJ62" s="247"/>
      <c r="CK62" s="166"/>
      <c r="CL62" s="167"/>
      <c r="CM62" s="247"/>
      <c r="CN62" s="166"/>
      <c r="CO62" s="167"/>
      <c r="CP62" s="241"/>
      <c r="CS62" s="242"/>
      <c r="CU62" s="242"/>
      <c r="CV62" s="242"/>
      <c r="CW62" s="242"/>
      <c r="CY62" s="242"/>
      <c r="CZ62"/>
      <c r="DA62"/>
      <c r="DB62"/>
      <c r="DC62"/>
      <c r="DD62"/>
      <c r="DK62" s="196"/>
      <c r="DL62" s="97"/>
      <c r="DM62" s="196"/>
      <c r="HG62" s="73"/>
      <c r="HH62" s="73"/>
      <c r="HI62" s="73"/>
      <c r="HJ62" s="73"/>
      <c r="HK62" s="73"/>
      <c r="HL62" s="73"/>
      <c r="HM62" s="73"/>
      <c r="HN62" s="73"/>
      <c r="HO62" s="73"/>
      <c r="HP62" s="73"/>
      <c r="HQ62" s="73"/>
      <c r="HR62" s="73"/>
      <c r="HS62" s="73"/>
      <c r="HT62" s="73"/>
    </row>
    <row r="63" spans="1:228">
      <c r="A63"/>
      <c r="B63" s="97"/>
      <c r="C63" s="97"/>
      <c r="D63" s="196"/>
      <c r="E63" s="97"/>
      <c r="F63" s="1267"/>
      <c r="G63" s="1268"/>
      <c r="H63" s="1277"/>
      <c r="I63" s="1278"/>
      <c r="J63" s="1279"/>
      <c r="K63" s="1280"/>
      <c r="L63" s="665"/>
      <c r="M63" s="1277"/>
      <c r="N63" s="1278"/>
      <c r="O63" s="1279"/>
      <c r="P63" s="1280"/>
      <c r="Q63" s="665"/>
      <c r="R63" s="1277"/>
      <c r="S63" s="1278"/>
      <c r="T63" s="1279"/>
      <c r="U63" s="1280"/>
      <c r="V63" s="665"/>
      <c r="W63" s="1277"/>
      <c r="X63" s="1278"/>
      <c r="Y63" s="1279"/>
      <c r="Z63" s="1280"/>
      <c r="AA63" s="665"/>
      <c r="AB63" s="1277"/>
      <c r="AC63" s="1278"/>
      <c r="AD63" s="1279"/>
      <c r="AE63" s="1280"/>
      <c r="AF63" s="665"/>
      <c r="AG63" s="1277"/>
      <c r="AH63" s="1278"/>
      <c r="AI63" s="1279"/>
      <c r="AJ63" s="1280"/>
      <c r="AK63" s="665"/>
      <c r="AR63" s="166"/>
      <c r="AS63" s="167"/>
      <c r="AT63" s="247"/>
      <c r="AU63" s="166"/>
      <c r="AV63" s="167"/>
      <c r="AW63" s="247"/>
      <c r="AY63" s="168"/>
      <c r="AZ63" s="166"/>
      <c r="BA63" s="167"/>
      <c r="BB63" s="247"/>
      <c r="BC63" s="166"/>
      <c r="BD63" s="167"/>
      <c r="BE63" s="247"/>
      <c r="BF63" s="166"/>
      <c r="BG63" s="167"/>
      <c r="BH63" s="241"/>
      <c r="BI63" s="166"/>
      <c r="BJ63" s="167"/>
      <c r="BK63" s="247"/>
      <c r="BL63" s="166"/>
      <c r="BM63" s="167"/>
      <c r="BN63" s="247"/>
      <c r="BP63" s="168"/>
      <c r="BQ63" s="166"/>
      <c r="BR63" s="167"/>
      <c r="BS63" s="247"/>
      <c r="BT63" s="166"/>
      <c r="BU63" s="167"/>
      <c r="BV63" s="247"/>
      <c r="BW63" s="166"/>
      <c r="BX63" s="167"/>
      <c r="BY63" s="247"/>
      <c r="BZ63" s="166"/>
      <c r="CA63" s="167"/>
      <c r="CB63" s="247"/>
      <c r="CC63" s="166"/>
      <c r="CD63" s="167"/>
      <c r="CE63" s="247"/>
      <c r="CG63" s="168"/>
      <c r="CH63" s="166"/>
      <c r="CI63" s="167"/>
      <c r="CJ63" s="247"/>
      <c r="CK63" s="166"/>
      <c r="CL63" s="167"/>
      <c r="CM63" s="247"/>
      <c r="CN63" s="166"/>
      <c r="CO63" s="167"/>
      <c r="CP63" s="241"/>
      <c r="CS63" s="242"/>
      <c r="CU63" s="242"/>
      <c r="CV63" s="242"/>
      <c r="CW63" s="242"/>
      <c r="CY63" s="242"/>
      <c r="CZ63"/>
      <c r="DA63"/>
      <c r="DB63"/>
      <c r="DC63"/>
      <c r="DD63"/>
      <c r="DK63" s="196"/>
      <c r="DL63" s="97"/>
      <c r="DM63" s="196"/>
      <c r="HG63" s="73"/>
      <c r="HH63" s="73"/>
      <c r="HI63" s="73"/>
      <c r="HJ63" s="73"/>
      <c r="HK63" s="73"/>
      <c r="HL63" s="73"/>
      <c r="HM63" s="73"/>
      <c r="HN63" s="73"/>
      <c r="HO63" s="73"/>
      <c r="HP63" s="73"/>
      <c r="HQ63" s="73"/>
      <c r="HR63" s="73"/>
      <c r="HS63" s="73"/>
      <c r="HT63" s="73"/>
    </row>
    <row r="64" spans="1:228">
      <c r="A64"/>
      <c r="B64" s="97"/>
      <c r="C64" s="97"/>
      <c r="D64" s="196"/>
      <c r="E64" s="97"/>
      <c r="F64" s="1267"/>
      <c r="G64" s="1268"/>
      <c r="H64" s="1273" t="s">
        <v>483</v>
      </c>
      <c r="I64" s="1274"/>
      <c r="J64" s="1275"/>
      <c r="K64" s="1280"/>
      <c r="L64" s="665"/>
      <c r="M64" s="1273" t="s">
        <v>483</v>
      </c>
      <c r="N64" s="1278"/>
      <c r="O64" s="1279"/>
      <c r="P64" s="1280"/>
      <c r="Q64" s="665"/>
      <c r="R64" s="1273" t="s">
        <v>483</v>
      </c>
      <c r="S64" s="1278"/>
      <c r="T64" s="1279"/>
      <c r="U64" s="1280"/>
      <c r="V64" s="665"/>
      <c r="W64" s="1273" t="s">
        <v>483</v>
      </c>
      <c r="X64" s="1278"/>
      <c r="Y64" s="1279"/>
      <c r="Z64" s="1280"/>
      <c r="AA64" s="665"/>
      <c r="AB64" s="1273" t="s">
        <v>483</v>
      </c>
      <c r="AC64" s="1278"/>
      <c r="AD64" s="1279"/>
      <c r="AE64" s="1280"/>
      <c r="AF64" s="665"/>
      <c r="AG64" s="1273" t="s">
        <v>483</v>
      </c>
      <c r="AH64" s="1278"/>
      <c r="AI64" s="1279"/>
      <c r="AJ64" s="1280"/>
      <c r="AK64" s="665"/>
      <c r="AR64" s="166"/>
      <c r="AS64" s="167"/>
      <c r="AT64" s="247"/>
      <c r="AU64" s="166"/>
      <c r="AV64" s="167"/>
      <c r="AW64" s="247"/>
      <c r="AY64" s="168"/>
      <c r="AZ64" s="166"/>
      <c r="BA64" s="167"/>
      <c r="BB64" s="247"/>
      <c r="BC64" s="166"/>
      <c r="BD64" s="167"/>
      <c r="BE64" s="247"/>
      <c r="BF64" s="166"/>
      <c r="BG64" s="167"/>
      <c r="BH64" s="241"/>
      <c r="BI64" s="166"/>
      <c r="BJ64" s="167"/>
      <c r="BK64" s="247"/>
      <c r="BL64" s="166"/>
      <c r="BM64" s="167"/>
      <c r="BN64" s="247"/>
      <c r="BP64" s="168"/>
      <c r="BQ64" s="166"/>
      <c r="BR64" s="167"/>
      <c r="BS64" s="247"/>
      <c r="BT64" s="166"/>
      <c r="BU64" s="167"/>
      <c r="BV64" s="247"/>
      <c r="BW64" s="166"/>
      <c r="BX64" s="167"/>
      <c r="BY64" s="247"/>
      <c r="BZ64" s="166"/>
      <c r="CA64" s="167"/>
      <c r="CB64" s="247"/>
      <c r="CC64" s="166"/>
      <c r="CD64" s="167"/>
      <c r="CE64" s="247"/>
      <c r="CG64" s="168"/>
      <c r="CH64" s="166"/>
      <c r="CI64" s="167"/>
      <c r="CJ64" s="247"/>
      <c r="CK64" s="166"/>
      <c r="CL64" s="167"/>
      <c r="CM64" s="247"/>
      <c r="CN64" s="166"/>
      <c r="CO64" s="167"/>
      <c r="CP64" s="241"/>
      <c r="CS64" s="242"/>
      <c r="CU64" s="242"/>
      <c r="CV64" s="242"/>
      <c r="CW64" s="242"/>
      <c r="CY64" s="242"/>
      <c r="CZ64"/>
      <c r="DA64"/>
      <c r="DB64"/>
      <c r="DC64"/>
      <c r="DD64"/>
      <c r="DK64" s="196"/>
      <c r="DL64" s="97"/>
      <c r="DM64" s="196"/>
      <c r="HG64" s="73"/>
      <c r="HH64" s="73"/>
      <c r="HI64" s="73"/>
      <c r="HJ64" s="73"/>
      <c r="HK64" s="73"/>
      <c r="HL64" s="73"/>
      <c r="HM64" s="73"/>
      <c r="HN64" s="73"/>
      <c r="HO64" s="73"/>
      <c r="HP64" s="73"/>
      <c r="HQ64" s="73"/>
      <c r="HR64" s="73"/>
      <c r="HS64" s="73"/>
      <c r="HT64" s="73"/>
    </row>
    <row r="65" spans="1:228">
      <c r="A65"/>
      <c r="B65" s="97"/>
      <c r="C65" s="97"/>
      <c r="D65" s="196"/>
      <c r="E65" s="97"/>
      <c r="F65" s="1267"/>
      <c r="G65" s="1268"/>
      <c r="H65" s="1277"/>
      <c r="I65" s="1259" t="s">
        <v>460</v>
      </c>
      <c r="J65" s="1260" t="s">
        <v>461</v>
      </c>
      <c r="K65" s="1280"/>
      <c r="L65" s="665"/>
      <c r="M65" s="1277"/>
      <c r="N65" s="1259" t="s">
        <v>460</v>
      </c>
      <c r="O65" s="1260" t="s">
        <v>461</v>
      </c>
      <c r="P65" s="1280"/>
      <c r="Q65" s="665"/>
      <c r="R65" s="1277"/>
      <c r="S65" s="1259" t="s">
        <v>460</v>
      </c>
      <c r="T65" s="1260" t="s">
        <v>461</v>
      </c>
      <c r="U65" s="1280"/>
      <c r="V65" s="665"/>
      <c r="W65" s="1277"/>
      <c r="X65" s="1259" t="s">
        <v>460</v>
      </c>
      <c r="Y65" s="1260" t="s">
        <v>461</v>
      </c>
      <c r="Z65" s="1280"/>
      <c r="AA65" s="665"/>
      <c r="AB65" s="1277"/>
      <c r="AC65" s="1259" t="s">
        <v>460</v>
      </c>
      <c r="AD65" s="1260" t="s">
        <v>461</v>
      </c>
      <c r="AE65" s="1280"/>
      <c r="AF65" s="665"/>
      <c r="AG65" s="1277"/>
      <c r="AH65" s="1259" t="s">
        <v>460</v>
      </c>
      <c r="AI65" s="1260" t="s">
        <v>461</v>
      </c>
      <c r="AJ65" s="1280"/>
      <c r="AK65" s="665"/>
      <c r="AR65" s="166"/>
      <c r="AS65" s="167"/>
      <c r="AT65" s="247"/>
      <c r="AU65" s="166"/>
      <c r="AV65" s="167"/>
      <c r="AW65" s="247"/>
      <c r="AY65" s="168"/>
      <c r="AZ65" s="166"/>
      <c r="BA65" s="167"/>
      <c r="BB65" s="247"/>
      <c r="BC65" s="166"/>
      <c r="BD65" s="167"/>
      <c r="BE65" s="247"/>
      <c r="BF65" s="166"/>
      <c r="BG65" s="167"/>
      <c r="BH65" s="241"/>
      <c r="BI65" s="166"/>
      <c r="BJ65" s="167"/>
      <c r="BK65" s="247"/>
      <c r="BL65" s="166"/>
      <c r="BM65" s="167"/>
      <c r="BN65" s="247"/>
      <c r="BP65" s="168"/>
      <c r="BQ65" s="166"/>
      <c r="BR65" s="167"/>
      <c r="BS65" s="247"/>
      <c r="BT65" s="166"/>
      <c r="BU65" s="167"/>
      <c r="BV65" s="247"/>
      <c r="BW65" s="166"/>
      <c r="BX65" s="167"/>
      <c r="BY65" s="247"/>
      <c r="BZ65" s="166"/>
      <c r="CA65" s="167"/>
      <c r="CB65" s="247"/>
      <c r="CC65" s="166"/>
      <c r="CD65" s="167"/>
      <c r="CE65" s="247"/>
      <c r="CG65" s="168"/>
      <c r="CH65" s="166"/>
      <c r="CI65" s="167"/>
      <c r="CJ65" s="247"/>
      <c r="CK65" s="166"/>
      <c r="CL65" s="167"/>
      <c r="CM65" s="247"/>
      <c r="CN65" s="166"/>
      <c r="CO65" s="167"/>
      <c r="CP65" s="241"/>
      <c r="CS65" s="242"/>
      <c r="CU65" s="242"/>
      <c r="CV65" s="242"/>
      <c r="CW65" s="242"/>
      <c r="CY65" s="242"/>
      <c r="CZ65"/>
      <c r="DA65"/>
      <c r="DB65"/>
      <c r="DC65"/>
      <c r="DD65"/>
      <c r="DK65" s="196"/>
      <c r="DL65" s="97"/>
      <c r="DM65" s="196"/>
      <c r="HG65" s="73"/>
      <c r="HH65" s="73"/>
      <c r="HI65" s="73"/>
      <c r="HJ65" s="73"/>
      <c r="HK65" s="73"/>
      <c r="HL65" s="73"/>
      <c r="HM65" s="73"/>
      <c r="HN65" s="73"/>
      <c r="HO65" s="73"/>
      <c r="HP65" s="73"/>
      <c r="HQ65" s="73"/>
      <c r="HR65" s="73"/>
      <c r="HS65" s="73"/>
      <c r="HT65" s="73"/>
    </row>
    <row r="66" spans="1:228">
      <c r="A66" s="196"/>
      <c r="B66" s="97"/>
      <c r="C66" s="97"/>
      <c r="D66" s="196"/>
      <c r="E66" s="97"/>
      <c r="F66" s="1267"/>
      <c r="G66" s="1268"/>
      <c r="H66" s="1277"/>
      <c r="I66" s="1278"/>
      <c r="J66" s="1264"/>
      <c r="K66" s="1266"/>
      <c r="L66" s="665"/>
      <c r="M66" s="1277"/>
      <c r="N66" s="1278"/>
      <c r="O66" s="1264"/>
      <c r="P66" s="1266"/>
      <c r="Q66" s="665"/>
      <c r="R66" s="1277"/>
      <c r="S66" s="1278"/>
      <c r="T66" s="1264"/>
      <c r="U66" s="1266"/>
      <c r="V66" s="665"/>
      <c r="W66" s="1277"/>
      <c r="X66" s="1278"/>
      <c r="Y66" s="1264"/>
      <c r="Z66" s="1266"/>
      <c r="AA66" s="665"/>
      <c r="AB66" s="1277"/>
      <c r="AC66" s="1278"/>
      <c r="AD66" s="1264"/>
      <c r="AE66" s="1266"/>
      <c r="AF66" s="665"/>
      <c r="AG66" s="1277"/>
      <c r="AH66" s="1278"/>
      <c r="AI66" s="1264"/>
      <c r="AJ66" s="1266"/>
      <c r="AK66" s="665"/>
      <c r="AR66" s="166"/>
      <c r="AS66" s="167"/>
      <c r="AT66" s="167"/>
      <c r="AU66" s="166"/>
      <c r="AV66" s="167"/>
      <c r="AW66" s="167"/>
      <c r="AY66" s="168"/>
      <c r="AZ66" s="166"/>
      <c r="BA66" s="167"/>
      <c r="BB66" s="167"/>
      <c r="BC66" s="166"/>
      <c r="BD66" s="167"/>
      <c r="BE66" s="167"/>
      <c r="BF66" s="166"/>
      <c r="BG66" s="167"/>
      <c r="BH66" s="167"/>
      <c r="BI66" s="166"/>
      <c r="BJ66" s="167"/>
      <c r="BK66" s="167"/>
      <c r="BL66" s="166"/>
      <c r="BM66" s="167"/>
      <c r="BN66" s="167"/>
      <c r="BP66" s="168"/>
      <c r="BQ66" s="166"/>
      <c r="BR66" s="167"/>
      <c r="BS66" s="167"/>
      <c r="BT66" s="166"/>
      <c r="BU66" s="167"/>
      <c r="BV66" s="167"/>
      <c r="BW66" s="166"/>
      <c r="BX66" s="167"/>
      <c r="BY66" s="167"/>
      <c r="BZ66" s="166"/>
      <c r="CA66" s="167"/>
      <c r="CB66" s="167"/>
      <c r="CC66" s="166"/>
      <c r="CD66" s="167"/>
      <c r="CE66" s="167"/>
      <c r="CG66" s="168"/>
      <c r="CH66" s="166"/>
      <c r="CI66" s="167"/>
      <c r="CJ66" s="167"/>
      <c r="CK66" s="166"/>
      <c r="CL66" s="167"/>
      <c r="CM66" s="167"/>
      <c r="CN66" s="166"/>
      <c r="CO66" s="167"/>
      <c r="CP66" s="167"/>
      <c r="CS66" s="242"/>
      <c r="CU66" s="242"/>
      <c r="CV66" s="242"/>
      <c r="CW66" s="242"/>
      <c r="CZ66"/>
      <c r="DA66"/>
      <c r="DB66"/>
      <c r="DC66"/>
      <c r="DD66"/>
      <c r="DK66" s="196"/>
      <c r="DL66" s="97"/>
      <c r="DM66" s="196"/>
      <c r="HG66" s="73"/>
      <c r="HH66" s="73"/>
      <c r="HI66" s="73"/>
      <c r="HJ66" s="73"/>
      <c r="HK66" s="73"/>
      <c r="HL66" s="73"/>
      <c r="HM66" s="73"/>
      <c r="HN66" s="73"/>
      <c r="HO66" s="73"/>
      <c r="HP66" s="73"/>
      <c r="HQ66" s="73"/>
      <c r="HR66" s="73"/>
      <c r="HS66" s="73"/>
      <c r="HT66" s="73"/>
    </row>
    <row r="67" spans="1:228">
      <c r="A67" s="196"/>
      <c r="B67" s="97"/>
      <c r="C67" s="97"/>
      <c r="D67" s="196"/>
      <c r="E67" s="97"/>
      <c r="F67" s="1267"/>
      <c r="G67" s="1268"/>
      <c r="H67" s="1262" t="s">
        <v>462</v>
      </c>
      <c r="I67" s="1281">
        <v>4</v>
      </c>
      <c r="J67" s="1282">
        <f>C5</f>
        <v>102</v>
      </c>
      <c r="K67" s="1283">
        <f>I67*J67</f>
        <v>408</v>
      </c>
      <c r="L67" s="665"/>
      <c r="M67" s="1262" t="s">
        <v>462</v>
      </c>
      <c r="N67" s="1281">
        <v>8</v>
      </c>
      <c r="O67" s="1282">
        <f>C6</f>
        <v>96</v>
      </c>
      <c r="P67" s="1283">
        <f>N67*O67</f>
        <v>768</v>
      </c>
      <c r="Q67" s="665"/>
      <c r="R67" s="1262" t="s">
        <v>462</v>
      </c>
      <c r="S67" s="1281">
        <v>225</v>
      </c>
      <c r="T67" s="1282">
        <f>C7</f>
        <v>5.48</v>
      </c>
      <c r="U67" s="1283">
        <f>S67*T67</f>
        <v>1233</v>
      </c>
      <c r="V67" s="665"/>
      <c r="W67" s="1262" t="s">
        <v>462</v>
      </c>
      <c r="X67" s="1281">
        <v>160</v>
      </c>
      <c r="Y67" s="1282">
        <f>C8</f>
        <v>0</v>
      </c>
      <c r="Z67" s="1283">
        <f>X67*Y67</f>
        <v>0</v>
      </c>
      <c r="AA67" s="665"/>
      <c r="AB67" s="1262" t="s">
        <v>462</v>
      </c>
      <c r="AC67" s="1284">
        <v>8</v>
      </c>
      <c r="AD67" s="1282">
        <f>C9</f>
        <v>185</v>
      </c>
      <c r="AE67" s="1283">
        <f>AC67*AD67</f>
        <v>1480</v>
      </c>
      <c r="AF67" s="665"/>
      <c r="AG67" s="1262" t="s">
        <v>462</v>
      </c>
      <c r="AH67" s="1281">
        <v>55</v>
      </c>
      <c r="AI67" s="1282">
        <f>C10</f>
        <v>15.25</v>
      </c>
      <c r="AJ67" s="1283">
        <f>AH67*AI67</f>
        <v>838.75</v>
      </c>
      <c r="AK67" s="665"/>
      <c r="AR67" s="166"/>
      <c r="AS67" s="167"/>
      <c r="AT67" s="243"/>
      <c r="AU67" s="166"/>
      <c r="AV67" s="167"/>
      <c r="AW67" s="243"/>
      <c r="AY67" s="168"/>
      <c r="AZ67" s="166"/>
      <c r="BA67" s="167"/>
      <c r="BB67" s="243"/>
      <c r="BC67" s="166"/>
      <c r="BD67" s="167"/>
      <c r="BE67" s="243"/>
      <c r="BF67" s="166"/>
      <c r="BG67" s="167"/>
      <c r="BH67" s="243"/>
      <c r="BI67" s="166"/>
      <c r="BJ67" s="167"/>
      <c r="BK67" s="243"/>
      <c r="BL67" s="166"/>
      <c r="BM67" s="167"/>
      <c r="BN67" s="243"/>
      <c r="BP67" s="168"/>
      <c r="BQ67" s="166"/>
      <c r="BR67" s="248"/>
      <c r="BS67" s="243"/>
      <c r="BT67" s="166"/>
      <c r="BU67" s="248"/>
      <c r="BV67" s="243"/>
      <c r="BW67" s="166"/>
      <c r="BX67" s="167"/>
      <c r="BY67" s="243"/>
      <c r="BZ67" s="166"/>
      <c r="CA67" s="167"/>
      <c r="CB67" s="243"/>
      <c r="CC67" s="166"/>
      <c r="CD67" s="167"/>
      <c r="CE67" s="243"/>
      <c r="CG67" s="168"/>
      <c r="CH67" s="166"/>
      <c r="CI67" s="167"/>
      <c r="CJ67" s="243"/>
      <c r="CK67" s="166"/>
      <c r="CL67" s="167"/>
      <c r="CM67" s="243"/>
      <c r="CN67" s="166"/>
      <c r="CO67" s="167"/>
      <c r="CP67" s="243"/>
      <c r="CS67" s="242"/>
      <c r="CU67" s="242"/>
      <c r="CV67" s="242"/>
      <c r="CW67" s="242"/>
      <c r="CZ67"/>
      <c r="DA67"/>
      <c r="DB67"/>
      <c r="DC67"/>
      <c r="DD67"/>
      <c r="DK67" s="196"/>
      <c r="DL67" s="97"/>
      <c r="DM67" s="196"/>
      <c r="HG67" s="73"/>
      <c r="HH67" s="73"/>
      <c r="HI67" s="73"/>
      <c r="HJ67" s="73"/>
      <c r="HK67" s="73"/>
      <c r="HL67" s="73"/>
      <c r="HM67" s="73"/>
      <c r="HN67" s="73"/>
      <c r="HO67" s="73"/>
      <c r="HP67" s="73"/>
      <c r="HQ67" s="73"/>
      <c r="HR67" s="73"/>
      <c r="HS67" s="73"/>
      <c r="HT67" s="73"/>
    </row>
    <row r="68" spans="1:228">
      <c r="A68" s="196"/>
      <c r="B68" s="97"/>
      <c r="C68" s="97"/>
      <c r="D68" s="196"/>
      <c r="E68" s="97"/>
      <c r="F68" s="1267"/>
      <c r="G68" s="663"/>
      <c r="H68" s="1262" t="s">
        <v>463</v>
      </c>
      <c r="I68" s="2943">
        <f>'NPK-rekommendationer'!I42</f>
        <v>210</v>
      </c>
      <c r="J68" s="1282">
        <f>$G$5</f>
        <v>9.14</v>
      </c>
      <c r="K68" s="1283">
        <f>I68*J68</f>
        <v>1919.4</v>
      </c>
      <c r="L68" s="665"/>
      <c r="M68" s="1262" t="s">
        <v>463</v>
      </c>
      <c r="N68" s="1281">
        <f>'NPK-rekommendationer'!I46</f>
        <v>110</v>
      </c>
      <c r="O68" s="1282">
        <f>$G$5</f>
        <v>9.14</v>
      </c>
      <c r="P68" s="1283">
        <f>N68*O68</f>
        <v>1005.4000000000001</v>
      </c>
      <c r="Q68" s="665"/>
      <c r="R68" s="1262" t="s">
        <v>463</v>
      </c>
      <c r="S68" s="1281">
        <v>0</v>
      </c>
      <c r="T68" s="1282">
        <f>$G$5</f>
        <v>9.14</v>
      </c>
      <c r="U68" s="1283">
        <f>S68*T68</f>
        <v>0</v>
      </c>
      <c r="V68" s="665"/>
      <c r="W68" s="1262" t="s">
        <v>463</v>
      </c>
      <c r="X68" s="1281">
        <v>0</v>
      </c>
      <c r="Y68" s="1282">
        <f>$G$5</f>
        <v>9.14</v>
      </c>
      <c r="Z68" s="1283">
        <f>X68*Y68</f>
        <v>0</v>
      </c>
      <c r="AA68" s="665"/>
      <c r="AB68" s="1262" t="s">
        <v>463</v>
      </c>
      <c r="AC68" s="1281">
        <v>0</v>
      </c>
      <c r="AD68" s="1282">
        <f>$G$5</f>
        <v>9.14</v>
      </c>
      <c r="AE68" s="1283">
        <f>AC68*AD68</f>
        <v>0</v>
      </c>
      <c r="AF68" s="665"/>
      <c r="AG68" s="1262" t="s">
        <v>463</v>
      </c>
      <c r="AH68" s="1281">
        <f>'NPK-rekommendationer'!I47</f>
        <v>50</v>
      </c>
      <c r="AI68" s="1282">
        <f>$G$5</f>
        <v>9.14</v>
      </c>
      <c r="AJ68" s="1283">
        <f>AH68*AI68</f>
        <v>457</v>
      </c>
      <c r="AK68" s="665"/>
      <c r="AR68" s="166"/>
      <c r="AS68" s="167"/>
      <c r="AT68" s="243"/>
      <c r="AU68" s="166"/>
      <c r="AV68" s="167"/>
      <c r="AW68" s="243"/>
      <c r="AY68" s="168"/>
      <c r="AZ68" s="166"/>
      <c r="BA68" s="167"/>
      <c r="BB68" s="243"/>
      <c r="BC68" s="166"/>
      <c r="BD68" s="167"/>
      <c r="BE68" s="243"/>
      <c r="BF68" s="166"/>
      <c r="BG68" s="167"/>
      <c r="BH68" s="243"/>
      <c r="BI68" s="166"/>
      <c r="BJ68" s="167"/>
      <c r="BK68" s="243"/>
      <c r="BL68" s="166"/>
      <c r="BM68" s="167"/>
      <c r="BN68" s="243"/>
      <c r="BP68" s="168"/>
      <c r="BQ68" s="249"/>
      <c r="BR68" s="167"/>
      <c r="BS68" s="243"/>
      <c r="BT68" s="249"/>
      <c r="BU68" s="167"/>
      <c r="BV68" s="243"/>
      <c r="BW68" s="166"/>
      <c r="BX68" s="167"/>
      <c r="BY68" s="243"/>
      <c r="BZ68" s="166"/>
      <c r="CA68" s="167"/>
      <c r="CB68" s="243"/>
      <c r="CC68" s="166"/>
      <c r="CD68" s="167"/>
      <c r="CE68" s="243"/>
      <c r="CG68" s="168"/>
      <c r="CH68" s="166"/>
      <c r="CI68" s="167"/>
      <c r="CJ68" s="243"/>
      <c r="CK68" s="166"/>
      <c r="CL68" s="167"/>
      <c r="CM68" s="243"/>
      <c r="CN68" s="166"/>
      <c r="CO68" s="167"/>
      <c r="CP68" s="243"/>
      <c r="CS68" s="242"/>
      <c r="CU68" s="242"/>
      <c r="CV68" s="242"/>
      <c r="CW68" s="242"/>
      <c r="CZ68"/>
      <c r="DA68"/>
      <c r="DB68"/>
      <c r="DC68"/>
      <c r="DD68"/>
      <c r="DK68" s="196"/>
      <c r="DL68" s="97"/>
      <c r="DM68" s="196"/>
      <c r="HG68" s="73"/>
      <c r="HH68" s="73"/>
      <c r="HI68" s="73"/>
      <c r="HJ68" s="73"/>
      <c r="HK68" s="73"/>
      <c r="HL68" s="73"/>
      <c r="HM68" s="73"/>
      <c r="HN68" s="73"/>
      <c r="HO68" s="73"/>
      <c r="HP68" s="73"/>
      <c r="HQ68" s="73"/>
      <c r="HR68" s="73"/>
      <c r="HS68" s="73"/>
      <c r="HT68" s="73"/>
    </row>
    <row r="69" spans="1:228">
      <c r="A69" s="196"/>
      <c r="B69" s="97"/>
      <c r="C69" s="97"/>
      <c r="D69" s="196"/>
      <c r="E69" s="97"/>
      <c r="F69" s="1267"/>
      <c r="G69" s="1268"/>
      <c r="H69" s="1262" t="s">
        <v>464</v>
      </c>
      <c r="I69" s="1285">
        <f>'NPK-rekommendationer'!U114</f>
        <v>15</v>
      </c>
      <c r="J69" s="1282">
        <f>$G$6</f>
        <v>19.04</v>
      </c>
      <c r="K69" s="1283">
        <f>I69*J69</f>
        <v>285.59999999999997</v>
      </c>
      <c r="L69" s="665"/>
      <c r="M69" s="1262" t="s">
        <v>464</v>
      </c>
      <c r="N69" s="1285">
        <f>'NPK-rekommendationer'!U115</f>
        <v>10</v>
      </c>
      <c r="O69" s="1282">
        <f>$G$6</f>
        <v>19.04</v>
      </c>
      <c r="P69" s="1283">
        <f>N69*O69</f>
        <v>190.39999999999998</v>
      </c>
      <c r="Q69" s="665"/>
      <c r="R69" s="1262" t="s">
        <v>464</v>
      </c>
      <c r="S69" s="1285">
        <f>'NPK-rekommendationer'!$U$118</f>
        <v>1.5</v>
      </c>
      <c r="T69" s="1282">
        <f>$G$6</f>
        <v>19.04</v>
      </c>
      <c r="U69" s="1283">
        <f>S69*T69</f>
        <v>28.56</v>
      </c>
      <c r="V69" s="665"/>
      <c r="W69" s="1262" t="s">
        <v>464</v>
      </c>
      <c r="X69" s="1285">
        <f>'NPK-rekommendationer'!$U$119</f>
        <v>0.3</v>
      </c>
      <c r="Y69" s="1282">
        <f>$G$6</f>
        <v>19.04</v>
      </c>
      <c r="Z69" s="1283">
        <f>X69*Y69</f>
        <v>5.7119999999999997</v>
      </c>
      <c r="AA69" s="665"/>
      <c r="AB69" s="1262" t="s">
        <v>464</v>
      </c>
      <c r="AC69" s="1285">
        <f>'NPK-rekommendationer'!$U$120</f>
        <v>1.5</v>
      </c>
      <c r="AD69" s="1282">
        <f>$G$6</f>
        <v>19.04</v>
      </c>
      <c r="AE69" s="1283">
        <f>AC69*AD69</f>
        <v>28.56</v>
      </c>
      <c r="AF69" s="665"/>
      <c r="AG69" s="1262" t="s">
        <v>464</v>
      </c>
      <c r="AH69" s="1285">
        <f>'NPK-rekommendationer'!U116</f>
        <v>0</v>
      </c>
      <c r="AI69" s="1282">
        <f>$G$6</f>
        <v>19.04</v>
      </c>
      <c r="AJ69" s="1283">
        <f>AH69*AI69</f>
        <v>0</v>
      </c>
      <c r="AK69" s="665"/>
      <c r="AR69" s="166"/>
      <c r="AS69" s="167"/>
      <c r="AT69" s="243"/>
      <c r="AU69" s="166"/>
      <c r="AV69" s="167"/>
      <c r="AW69" s="243"/>
      <c r="AY69" s="168"/>
      <c r="AZ69" s="166"/>
      <c r="BA69" s="167"/>
      <c r="BB69" s="243"/>
      <c r="BC69" s="166"/>
      <c r="BD69" s="167"/>
      <c r="BE69" s="243"/>
      <c r="BF69" s="166"/>
      <c r="BG69" s="167"/>
      <c r="BH69" s="243"/>
      <c r="BI69" s="166"/>
      <c r="BJ69" s="167"/>
      <c r="BK69" s="243"/>
      <c r="BL69" s="166"/>
      <c r="BM69" s="167"/>
      <c r="BN69" s="243"/>
      <c r="BP69" s="168"/>
      <c r="BQ69" s="166"/>
      <c r="BR69" s="167"/>
      <c r="BS69" s="243"/>
      <c r="BT69" s="166"/>
      <c r="BU69" s="167"/>
      <c r="BV69" s="243"/>
      <c r="BW69" s="166"/>
      <c r="BX69" s="167"/>
      <c r="BY69" s="243"/>
      <c r="BZ69" s="166"/>
      <c r="CA69" s="167"/>
      <c r="CB69" s="243"/>
      <c r="CC69" s="166"/>
      <c r="CD69" s="167"/>
      <c r="CE69" s="243"/>
      <c r="CG69" s="168"/>
      <c r="CH69" s="166"/>
      <c r="CI69" s="167"/>
      <c r="CJ69" s="243"/>
      <c r="CK69" s="166"/>
      <c r="CL69" s="167"/>
      <c r="CM69" s="243"/>
      <c r="CN69" s="166"/>
      <c r="CO69" s="167"/>
      <c r="CP69" s="243"/>
      <c r="CS69" s="242"/>
      <c r="CU69" s="242"/>
      <c r="CV69" s="242"/>
      <c r="CW69" s="242"/>
      <c r="CZ69"/>
      <c r="DA69"/>
      <c r="DB69"/>
      <c r="DC69"/>
      <c r="DD69"/>
      <c r="DK69" s="196"/>
      <c r="DL69" s="97"/>
      <c r="DM69" s="196"/>
      <c r="HG69" s="73"/>
      <c r="HH69" s="73"/>
      <c r="HI69" s="73"/>
      <c r="HJ69" s="73"/>
      <c r="HK69" s="73"/>
      <c r="HL69" s="73"/>
      <c r="HM69" s="73"/>
      <c r="HN69" s="73"/>
      <c r="HO69" s="73"/>
      <c r="HP69" s="73"/>
      <c r="HQ69" s="73"/>
      <c r="HR69" s="73"/>
      <c r="HS69" s="73"/>
      <c r="HT69" s="73"/>
    </row>
    <row r="70" spans="1:228">
      <c r="A70" s="196"/>
      <c r="B70" s="97"/>
      <c r="C70" s="97"/>
      <c r="D70" s="196"/>
      <c r="E70" s="97"/>
      <c r="F70" s="1267"/>
      <c r="G70" s="1268"/>
      <c r="H70" s="1262" t="s">
        <v>465</v>
      </c>
      <c r="I70" s="1285">
        <f>'NPK-rekommendationer'!Y114</f>
        <v>25</v>
      </c>
      <c r="J70" s="1282">
        <f>$G$7</f>
        <v>7.53</v>
      </c>
      <c r="K70" s="1283">
        <f>I70*J70</f>
        <v>188.25</v>
      </c>
      <c r="L70" s="665"/>
      <c r="M70" s="1262" t="s">
        <v>465</v>
      </c>
      <c r="N70" s="1285">
        <f>'NPK-rekommendationer'!Y115</f>
        <v>10</v>
      </c>
      <c r="O70" s="1282">
        <f>$G$7</f>
        <v>7.53</v>
      </c>
      <c r="P70" s="1283">
        <f>N70*O70</f>
        <v>75.3</v>
      </c>
      <c r="Q70" s="665"/>
      <c r="R70" s="1262" t="s">
        <v>465</v>
      </c>
      <c r="S70" s="1285">
        <f>'NPK-rekommendationer'!$Y$118</f>
        <v>25</v>
      </c>
      <c r="T70" s="1282">
        <f>$G$7</f>
        <v>7.53</v>
      </c>
      <c r="U70" s="1283">
        <f>S70*T70</f>
        <v>188.25</v>
      </c>
      <c r="V70" s="665"/>
      <c r="W70" s="1262" t="s">
        <v>465</v>
      </c>
      <c r="X70" s="1285">
        <f>'NPK-rekommendationer'!$Y$119</f>
        <v>21</v>
      </c>
      <c r="Y70" s="1282">
        <f>$G$7</f>
        <v>7.53</v>
      </c>
      <c r="Z70" s="1283">
        <f>X70*Y70</f>
        <v>158.13</v>
      </c>
      <c r="AA70" s="665"/>
      <c r="AB70" s="1262" t="s">
        <v>465</v>
      </c>
      <c r="AC70" s="1285">
        <f>'NPK-rekommendationer'!$Y$120</f>
        <v>25</v>
      </c>
      <c r="AD70" s="1282">
        <f>$G$7</f>
        <v>7.53</v>
      </c>
      <c r="AE70" s="1283">
        <f>AC70*AD70</f>
        <v>188.25</v>
      </c>
      <c r="AF70" s="665"/>
      <c r="AG70" s="1262" t="s">
        <v>465</v>
      </c>
      <c r="AH70" s="1285">
        <f>'NPK-rekommendationer'!Y116</f>
        <v>5</v>
      </c>
      <c r="AI70" s="1282">
        <f>$G$7</f>
        <v>7.53</v>
      </c>
      <c r="AJ70" s="1283">
        <f>AH70*AI70</f>
        <v>37.65</v>
      </c>
      <c r="AK70" s="665"/>
      <c r="AR70" s="166"/>
      <c r="AS70" s="167"/>
      <c r="AT70" s="243"/>
      <c r="AU70" s="166"/>
      <c r="AV70" s="167"/>
      <c r="AW70" s="243"/>
      <c r="AY70" s="168"/>
      <c r="AZ70" s="166"/>
      <c r="BA70" s="167"/>
      <c r="BB70" s="243"/>
      <c r="BC70" s="166"/>
      <c r="BD70" s="167"/>
      <c r="BE70" s="243"/>
      <c r="BF70" s="166"/>
      <c r="BG70" s="167"/>
      <c r="BH70" s="243"/>
      <c r="BI70" s="166"/>
      <c r="BJ70" s="167"/>
      <c r="BK70" s="243"/>
      <c r="BL70" s="166"/>
      <c r="BM70" s="167"/>
      <c r="BN70" s="243"/>
      <c r="BP70" s="168"/>
      <c r="BQ70" s="166"/>
      <c r="BR70" s="167"/>
      <c r="BS70" s="243"/>
      <c r="BT70" s="166"/>
      <c r="BU70" s="167"/>
      <c r="BV70" s="243"/>
      <c r="BW70" s="166"/>
      <c r="BX70" s="167"/>
      <c r="BY70" s="243"/>
      <c r="BZ70" s="166"/>
      <c r="CA70" s="167"/>
      <c r="CB70" s="243"/>
      <c r="CC70" s="166"/>
      <c r="CD70" s="167"/>
      <c r="CE70" s="243"/>
      <c r="CG70" s="168"/>
      <c r="CH70" s="166"/>
      <c r="CI70" s="167"/>
      <c r="CJ70" s="243"/>
      <c r="CK70" s="166"/>
      <c r="CL70" s="167"/>
      <c r="CM70" s="243"/>
      <c r="CN70" s="166"/>
      <c r="CO70" s="167"/>
      <c r="CP70" s="243"/>
      <c r="CS70" s="242"/>
      <c r="CU70" s="242"/>
      <c r="CV70" s="242"/>
      <c r="CW70" s="242"/>
      <c r="CZ70"/>
      <c r="DA70"/>
      <c r="DB70"/>
      <c r="DC70"/>
      <c r="DD70"/>
      <c r="DK70" s="196"/>
      <c r="DL70" s="97"/>
      <c r="DM70" s="196"/>
      <c r="HG70" s="73"/>
      <c r="HH70" s="73"/>
      <c r="HI70" s="73"/>
      <c r="HJ70" s="73"/>
      <c r="HK70" s="73"/>
      <c r="HL70" s="73"/>
      <c r="HM70" s="73"/>
      <c r="HN70" s="73"/>
      <c r="HO70" s="73"/>
      <c r="HP70" s="73"/>
      <c r="HQ70" s="73"/>
      <c r="HR70" s="73"/>
      <c r="HS70" s="73"/>
      <c r="HT70" s="73"/>
    </row>
    <row r="71" spans="1:228">
      <c r="A71"/>
      <c r="B71" s="97"/>
      <c r="C71" s="97"/>
      <c r="D71" s="196"/>
      <c r="E71" s="97"/>
      <c r="F71" s="1267"/>
      <c r="G71" s="1268"/>
      <c r="H71" s="1286" t="s">
        <v>466</v>
      </c>
      <c r="I71" s="1285">
        <v>30</v>
      </c>
      <c r="J71" s="1282">
        <f>$G$8</f>
        <v>1.5</v>
      </c>
      <c r="K71" s="1283">
        <f>I71*J71</f>
        <v>45</v>
      </c>
      <c r="L71" s="665"/>
      <c r="M71" s="1286" t="s">
        <v>466</v>
      </c>
      <c r="N71" s="1285">
        <v>20</v>
      </c>
      <c r="O71" s="1282">
        <f>$G$8</f>
        <v>1.5</v>
      </c>
      <c r="P71" s="1283">
        <f>N71*O71</f>
        <v>30</v>
      </c>
      <c r="Q71" s="665"/>
      <c r="R71" s="1286" t="s">
        <v>466</v>
      </c>
      <c r="S71" s="1285">
        <v>15</v>
      </c>
      <c r="T71" s="1282">
        <f>$G$8</f>
        <v>1.5</v>
      </c>
      <c r="U71" s="1283">
        <f>S71*T71</f>
        <v>22.5</v>
      </c>
      <c r="V71" s="665"/>
      <c r="W71" s="1286" t="s">
        <v>466</v>
      </c>
      <c r="X71" s="1285">
        <v>15</v>
      </c>
      <c r="Y71" s="1282">
        <f>$G$8</f>
        <v>1.5</v>
      </c>
      <c r="Z71" s="1283">
        <f>X71*Y71</f>
        <v>22.5</v>
      </c>
      <c r="AA71" s="665"/>
      <c r="AB71" s="1286" t="s">
        <v>466</v>
      </c>
      <c r="AC71" s="1285">
        <v>15</v>
      </c>
      <c r="AD71" s="1282">
        <f>$G$8</f>
        <v>1.5</v>
      </c>
      <c r="AE71" s="1283">
        <f>AC71*AD71</f>
        <v>22.5</v>
      </c>
      <c r="AF71" s="665"/>
      <c r="AG71" s="1286" t="s">
        <v>466</v>
      </c>
      <c r="AH71" s="1285">
        <v>7</v>
      </c>
      <c r="AI71" s="1282">
        <f>$G$8</f>
        <v>1.5</v>
      </c>
      <c r="AJ71" s="1283">
        <f>AH71*AI71</f>
        <v>10.5</v>
      </c>
      <c r="AK71" s="665"/>
      <c r="AR71" s="166"/>
      <c r="AS71" s="167"/>
      <c r="AT71" s="243"/>
      <c r="AU71" s="166"/>
      <c r="AV71" s="167"/>
      <c r="AW71" s="243"/>
      <c r="AZ71" s="166"/>
      <c r="BA71" s="167"/>
      <c r="BB71" s="243"/>
      <c r="BC71" s="166"/>
      <c r="BD71" s="167"/>
      <c r="BE71" s="243"/>
      <c r="BF71" s="166"/>
      <c r="BG71" s="167"/>
      <c r="BH71" s="243"/>
      <c r="BI71" s="166"/>
      <c r="BJ71" s="167"/>
      <c r="BK71" s="243"/>
      <c r="BL71" s="166"/>
      <c r="BM71" s="167"/>
      <c r="BN71" s="243"/>
      <c r="BP71" s="168"/>
      <c r="BQ71" s="166"/>
      <c r="BR71" s="167"/>
      <c r="BS71" s="243"/>
      <c r="BT71" s="166"/>
      <c r="BU71" s="167"/>
      <c r="BV71" s="243"/>
      <c r="BW71" s="166"/>
      <c r="BX71" s="167"/>
      <c r="BY71" s="243"/>
      <c r="BZ71" s="166"/>
      <c r="CA71" s="167"/>
      <c r="CB71" s="243"/>
      <c r="CC71" s="166"/>
      <c r="CD71" s="167"/>
      <c r="CE71" s="243"/>
      <c r="CG71" s="168"/>
      <c r="CH71" s="166"/>
      <c r="CI71" s="167"/>
      <c r="CJ71" s="243"/>
      <c r="CK71" s="166"/>
      <c r="CL71" s="167"/>
      <c r="CM71" s="243"/>
      <c r="CN71" s="166"/>
      <c r="CO71" s="167"/>
      <c r="CP71" s="243"/>
      <c r="CS71" s="242"/>
      <c r="CU71" s="242"/>
      <c r="CV71" s="242"/>
      <c r="CW71" s="242"/>
      <c r="CZ71"/>
      <c r="DA71"/>
      <c r="DB71"/>
      <c r="DC71"/>
      <c r="DD71"/>
      <c r="DK71" s="196"/>
      <c r="DL71" s="97"/>
      <c r="DM71" s="196"/>
      <c r="HG71" s="73"/>
      <c r="HH71" s="73"/>
      <c r="HI71" s="73"/>
      <c r="HJ71" s="73"/>
      <c r="HK71" s="73"/>
      <c r="HL71" s="73"/>
      <c r="HM71" s="73"/>
      <c r="HN71" s="73"/>
      <c r="HO71" s="73"/>
      <c r="HP71" s="73"/>
      <c r="HQ71" s="73"/>
      <c r="HR71" s="73"/>
      <c r="HS71" s="73"/>
      <c r="HT71" s="73"/>
    </row>
    <row r="72" spans="1:228">
      <c r="A72"/>
      <c r="B72" s="97"/>
      <c r="C72" s="97"/>
      <c r="D72" s="196"/>
      <c r="E72" s="97"/>
      <c r="F72" s="1267"/>
      <c r="G72" s="1268"/>
      <c r="H72" s="1262" t="s">
        <v>467</v>
      </c>
      <c r="I72" s="1285" t="s">
        <v>346</v>
      </c>
      <c r="J72" s="2972">
        <v>1</v>
      </c>
      <c r="K72" s="1283">
        <v>975</v>
      </c>
      <c r="L72" s="665"/>
      <c r="M72" s="1262" t="s">
        <v>467</v>
      </c>
      <c r="N72" s="1285" t="s">
        <v>346</v>
      </c>
      <c r="O72" s="2971">
        <v>0.5</v>
      </c>
      <c r="P72" s="1283">
        <v>150</v>
      </c>
      <c r="Q72" s="665"/>
      <c r="R72" s="1262" t="s">
        <v>467</v>
      </c>
      <c r="S72" s="1285" t="s">
        <v>346</v>
      </c>
      <c r="T72" s="2971">
        <v>1</v>
      </c>
      <c r="U72" s="1283">
        <v>755</v>
      </c>
      <c r="V72" s="665"/>
      <c r="W72" s="1262" t="s">
        <v>467</v>
      </c>
      <c r="X72" s="1285" t="s">
        <v>346</v>
      </c>
      <c r="Y72" s="2971">
        <v>1</v>
      </c>
      <c r="Z72" s="1283">
        <v>755</v>
      </c>
      <c r="AA72" s="665"/>
      <c r="AB72" s="1262" t="s">
        <v>467</v>
      </c>
      <c r="AC72" s="1285" t="s">
        <v>346</v>
      </c>
      <c r="AD72" s="2971">
        <v>1</v>
      </c>
      <c r="AE72" s="1283">
        <v>330</v>
      </c>
      <c r="AF72" s="665"/>
      <c r="AG72" s="1262" t="s">
        <v>467</v>
      </c>
      <c r="AH72" s="1285" t="s">
        <v>346</v>
      </c>
      <c r="AI72" s="2971">
        <v>1</v>
      </c>
      <c r="AJ72" s="1283">
        <v>190</v>
      </c>
      <c r="AK72" s="665"/>
      <c r="AR72" s="166"/>
      <c r="AS72" s="167"/>
      <c r="AT72" s="243"/>
      <c r="AU72" s="166"/>
      <c r="AV72" s="167"/>
      <c r="AW72" s="243"/>
      <c r="AY72" s="168"/>
      <c r="AZ72" s="166"/>
      <c r="BA72" s="167"/>
      <c r="BB72" s="243"/>
      <c r="BC72" s="166"/>
      <c r="BD72" s="167"/>
      <c r="BE72" s="243"/>
      <c r="BF72" s="166"/>
      <c r="BG72" s="167"/>
      <c r="BH72" s="243"/>
      <c r="BI72" s="166"/>
      <c r="BJ72" s="167"/>
      <c r="BK72" s="243"/>
      <c r="BL72" s="166"/>
      <c r="BM72" s="167"/>
      <c r="BN72" s="243"/>
      <c r="BP72" s="168"/>
      <c r="BQ72" s="166"/>
      <c r="BR72" s="167"/>
      <c r="BS72" s="243"/>
      <c r="BT72" s="166"/>
      <c r="BU72" s="167"/>
      <c r="BV72" s="243"/>
      <c r="BW72" s="166"/>
      <c r="BX72" s="167"/>
      <c r="BY72" s="243"/>
      <c r="BZ72" s="166"/>
      <c r="CA72" s="167"/>
      <c r="CB72" s="243"/>
      <c r="CC72" s="166"/>
      <c r="CD72" s="167"/>
      <c r="CE72" s="243"/>
      <c r="CG72" s="168"/>
      <c r="CH72" s="166"/>
      <c r="CI72" s="167"/>
      <c r="CJ72" s="243"/>
      <c r="CK72" s="166"/>
      <c r="CL72" s="167"/>
      <c r="CM72" s="243"/>
      <c r="CN72" s="166"/>
      <c r="CO72" s="167"/>
      <c r="CP72" s="243"/>
      <c r="CS72" s="242"/>
      <c r="CU72" s="242"/>
      <c r="CV72" s="242"/>
      <c r="CW72" s="242"/>
      <c r="CZ72"/>
      <c r="DA72"/>
      <c r="DB72"/>
      <c r="DC72"/>
      <c r="DD72"/>
      <c r="DK72" s="196"/>
      <c r="DL72" s="97"/>
      <c r="DM72" s="196"/>
      <c r="HG72" s="73"/>
      <c r="HH72" s="73"/>
      <c r="HI72" s="73"/>
      <c r="HJ72" s="73"/>
      <c r="HK72" s="73"/>
      <c r="HL72" s="73"/>
      <c r="HM72" s="73"/>
      <c r="HN72" s="73"/>
      <c r="HO72" s="73"/>
      <c r="HP72" s="73"/>
      <c r="HQ72" s="73"/>
      <c r="HR72" s="73"/>
      <c r="HS72" s="73"/>
      <c r="HT72" s="73"/>
    </row>
    <row r="73" spans="1:228">
      <c r="A73" s="196"/>
      <c r="B73" s="97"/>
      <c r="C73" s="97"/>
      <c r="D73" s="196"/>
      <c r="E73" s="97"/>
      <c r="F73" s="1267"/>
      <c r="G73" s="1268"/>
      <c r="H73" s="1262"/>
      <c r="I73" s="1285"/>
      <c r="J73" s="2972"/>
      <c r="K73" s="1283"/>
      <c r="L73" s="665"/>
      <c r="M73" s="1262"/>
      <c r="N73" s="1285"/>
      <c r="O73" s="2972"/>
      <c r="P73" s="1283"/>
      <c r="Q73" s="665"/>
      <c r="R73" s="1262"/>
      <c r="S73" s="1285"/>
      <c r="T73" s="2972"/>
      <c r="U73" s="1283"/>
      <c r="V73" s="665"/>
      <c r="W73" s="1262"/>
      <c r="X73" s="1285"/>
      <c r="Y73" s="2972"/>
      <c r="Z73" s="1283"/>
      <c r="AA73" s="665"/>
      <c r="AB73" s="1262"/>
      <c r="AC73" s="1285"/>
      <c r="AD73" s="2972"/>
      <c r="AE73" s="1283"/>
      <c r="AF73" s="665"/>
      <c r="AG73" s="1262"/>
      <c r="AH73" s="1285"/>
      <c r="AI73" s="2972"/>
      <c r="AJ73" s="1283"/>
      <c r="AK73" s="665"/>
      <c r="AR73" s="166"/>
      <c r="AS73" s="167"/>
      <c r="AT73" s="243"/>
      <c r="AU73" s="166"/>
      <c r="AV73" s="167"/>
      <c r="AW73" s="243"/>
      <c r="AY73" s="168"/>
      <c r="AZ73" s="166"/>
      <c r="BA73" s="167"/>
      <c r="BB73" s="243"/>
      <c r="BC73" s="166"/>
      <c r="BD73" s="167"/>
      <c r="BE73" s="243"/>
      <c r="BF73" s="166"/>
      <c r="BG73" s="167"/>
      <c r="BH73" s="243"/>
      <c r="BI73" s="166"/>
      <c r="BJ73" s="167"/>
      <c r="BK73" s="243"/>
      <c r="BL73" s="166"/>
      <c r="BM73" s="167"/>
      <c r="BN73" s="243"/>
      <c r="BP73" s="168"/>
      <c r="BQ73" s="166"/>
      <c r="BR73" s="167"/>
      <c r="BS73" s="243"/>
      <c r="BT73" s="166"/>
      <c r="BU73" s="167"/>
      <c r="BV73" s="243"/>
      <c r="BW73" s="166"/>
      <c r="BX73" s="167"/>
      <c r="BY73" s="243"/>
      <c r="BZ73" s="166"/>
      <c r="CA73" s="167"/>
      <c r="CB73" s="243"/>
      <c r="CC73" s="166"/>
      <c r="CD73" s="167"/>
      <c r="CE73" s="243"/>
      <c r="CG73" s="168"/>
      <c r="CH73" s="166"/>
      <c r="CI73" s="167"/>
      <c r="CJ73" s="243"/>
      <c r="CK73" s="166"/>
      <c r="CL73" s="167"/>
      <c r="CM73" s="243"/>
      <c r="CN73" s="166"/>
      <c r="CO73" s="167"/>
      <c r="CP73" s="243"/>
      <c r="CS73" s="242"/>
      <c r="CU73" s="242"/>
      <c r="CV73" s="242"/>
      <c r="CW73" s="242"/>
      <c r="CZ73"/>
      <c r="DA73"/>
      <c r="DB73"/>
      <c r="DC73"/>
      <c r="DD73"/>
      <c r="DK73" s="196"/>
      <c r="DL73" s="97"/>
      <c r="DM73" s="196"/>
      <c r="HG73" s="73"/>
      <c r="HH73" s="73"/>
      <c r="HI73" s="73"/>
      <c r="HJ73" s="73"/>
      <c r="HK73" s="73"/>
      <c r="HL73" s="73"/>
      <c r="HM73" s="73"/>
      <c r="HN73" s="73"/>
      <c r="HO73" s="73"/>
      <c r="HP73" s="73"/>
      <c r="HQ73" s="73"/>
      <c r="HR73" s="73"/>
      <c r="HS73" s="73"/>
      <c r="HT73" s="73"/>
    </row>
    <row r="74" spans="1:228">
      <c r="A74" s="196"/>
      <c r="B74" s="97"/>
      <c r="C74" s="97"/>
      <c r="D74" s="196"/>
      <c r="E74" s="97"/>
      <c r="F74" s="1267"/>
      <c r="G74" s="1268"/>
      <c r="H74" s="1262"/>
      <c r="I74" s="1285"/>
      <c r="J74" s="2972"/>
      <c r="K74" s="1283"/>
      <c r="L74" s="665"/>
      <c r="M74" s="1262"/>
      <c r="N74" s="1285"/>
      <c r="O74" s="2972"/>
      <c r="P74" s="1283"/>
      <c r="Q74" s="665"/>
      <c r="R74" s="1262"/>
      <c r="S74" s="1285"/>
      <c r="T74" s="2972"/>
      <c r="U74" s="1283"/>
      <c r="V74" s="665"/>
      <c r="W74" s="1262"/>
      <c r="X74" s="1285"/>
      <c r="Y74" s="2972"/>
      <c r="Z74" s="1283"/>
      <c r="AA74" s="665"/>
      <c r="AB74" s="1262"/>
      <c r="AC74" s="1285"/>
      <c r="AD74" s="2972"/>
      <c r="AE74" s="1283"/>
      <c r="AF74" s="665"/>
      <c r="AG74" s="1262"/>
      <c r="AH74" s="1285"/>
      <c r="AI74" s="2972"/>
      <c r="AJ74" s="1283"/>
      <c r="AK74" s="665"/>
      <c r="AR74" s="166"/>
      <c r="AS74" s="167"/>
      <c r="AT74" s="243"/>
      <c r="AU74" s="166"/>
      <c r="AV74" s="167"/>
      <c r="AW74" s="243"/>
      <c r="AY74" s="168"/>
      <c r="AZ74" s="166"/>
      <c r="BA74" s="248"/>
      <c r="BB74" s="243"/>
      <c r="BC74" s="166"/>
      <c r="BD74" s="248"/>
      <c r="BE74" s="243"/>
      <c r="BF74" s="166"/>
      <c r="BG74" s="248"/>
      <c r="BH74" s="243"/>
      <c r="BI74" s="166"/>
      <c r="BJ74" s="167"/>
      <c r="BK74" s="243"/>
      <c r="BL74" s="166"/>
      <c r="BM74" s="167"/>
      <c r="BN74" s="243"/>
      <c r="BP74" s="168"/>
      <c r="BQ74" s="166"/>
      <c r="BR74" s="167"/>
      <c r="BS74" s="243"/>
      <c r="BT74" s="166"/>
      <c r="BU74" s="167"/>
      <c r="BV74" s="243"/>
      <c r="BW74" s="166"/>
      <c r="BX74" s="167"/>
      <c r="BY74" s="243"/>
      <c r="BZ74" s="166"/>
      <c r="CA74" s="167"/>
      <c r="CB74" s="243"/>
      <c r="CC74" s="166"/>
      <c r="CD74" s="167"/>
      <c r="CE74" s="243"/>
      <c r="CG74" s="168"/>
      <c r="CH74" s="166"/>
      <c r="CI74" s="167"/>
      <c r="CJ74" s="243"/>
      <c r="CK74" s="166"/>
      <c r="CL74" s="167"/>
      <c r="CM74" s="243"/>
      <c r="CN74" s="166"/>
      <c r="CO74" s="167"/>
      <c r="CP74" s="243"/>
      <c r="CS74" s="242"/>
      <c r="CU74" s="242"/>
      <c r="CV74" s="242"/>
      <c r="CW74" s="242"/>
      <c r="CZ74"/>
      <c r="DA74"/>
      <c r="DB74"/>
      <c r="DC74"/>
      <c r="DD74"/>
      <c r="DK74" s="196"/>
      <c r="DL74" s="97"/>
      <c r="DM74" s="196"/>
      <c r="HG74" s="73"/>
      <c r="HH74" s="73"/>
      <c r="HI74" s="73"/>
      <c r="HJ74" s="73"/>
      <c r="HK74" s="73"/>
      <c r="HL74" s="73"/>
      <c r="HM74" s="73"/>
      <c r="HN74" s="73"/>
      <c r="HO74" s="73"/>
      <c r="HP74" s="73"/>
      <c r="HQ74" s="73"/>
      <c r="HR74" s="73"/>
      <c r="HS74" s="73"/>
      <c r="HT74" s="73"/>
    </row>
    <row r="75" spans="1:228">
      <c r="A75" s="196"/>
      <c r="B75" s="97"/>
      <c r="C75" s="97"/>
      <c r="D75" s="196"/>
      <c r="E75" s="97"/>
      <c r="F75" s="1267"/>
      <c r="G75" s="1268"/>
      <c r="H75" s="1262"/>
      <c r="I75" s="1285"/>
      <c r="J75" s="2972"/>
      <c r="K75" s="1283"/>
      <c r="L75" s="665"/>
      <c r="M75" s="1262"/>
      <c r="N75" s="1285"/>
      <c r="O75" s="2972"/>
      <c r="P75" s="1283"/>
      <c r="Q75" s="665"/>
      <c r="R75" s="1262"/>
      <c r="S75" s="1285"/>
      <c r="T75" s="2972"/>
      <c r="U75" s="1283"/>
      <c r="V75" s="665"/>
      <c r="W75" s="1262"/>
      <c r="X75" s="1285"/>
      <c r="Y75" s="2972"/>
      <c r="Z75" s="1283"/>
      <c r="AA75" s="665"/>
      <c r="AB75" s="1262"/>
      <c r="AC75" s="1285"/>
      <c r="AD75" s="2972"/>
      <c r="AE75" s="1283"/>
      <c r="AF75" s="665"/>
      <c r="AG75" s="1262"/>
      <c r="AH75" s="1285"/>
      <c r="AI75" s="2972"/>
      <c r="AJ75" s="1283"/>
      <c r="AK75" s="665"/>
      <c r="AR75" s="166"/>
      <c r="AS75" s="167"/>
      <c r="AT75" s="243"/>
      <c r="AU75" s="166"/>
      <c r="AV75" s="167"/>
      <c r="AW75" s="243"/>
      <c r="AY75" s="168"/>
      <c r="AZ75" s="166"/>
      <c r="BA75" s="248"/>
      <c r="BB75" s="243"/>
      <c r="BC75" s="166"/>
      <c r="BD75" s="248"/>
      <c r="BE75" s="243"/>
      <c r="BF75" s="166"/>
      <c r="BG75" s="248"/>
      <c r="BH75" s="243"/>
      <c r="BI75" s="166"/>
      <c r="BJ75" s="167"/>
      <c r="BK75" s="243"/>
      <c r="BL75" s="166"/>
      <c r="BM75" s="167"/>
      <c r="BN75" s="243"/>
      <c r="BP75" s="168"/>
      <c r="BQ75" s="166"/>
      <c r="BR75" s="167"/>
      <c r="BS75" s="243"/>
      <c r="BT75" s="166"/>
      <c r="BU75" s="167"/>
      <c r="BV75" s="243"/>
      <c r="BW75" s="166"/>
      <c r="BX75" s="167"/>
      <c r="BY75" s="243"/>
      <c r="BZ75" s="166"/>
      <c r="CA75" s="167"/>
      <c r="CB75" s="243"/>
      <c r="CC75" s="166"/>
      <c r="CD75" s="167"/>
      <c r="CE75" s="243"/>
      <c r="CG75" s="168"/>
      <c r="CH75" s="166"/>
      <c r="CI75" s="167"/>
      <c r="CJ75" s="243"/>
      <c r="CK75" s="166"/>
      <c r="CL75" s="167"/>
      <c r="CM75" s="243"/>
      <c r="CN75" s="166"/>
      <c r="CO75" s="167"/>
      <c r="CP75" s="243"/>
      <c r="CS75" s="242"/>
      <c r="CU75" s="242"/>
      <c r="CV75" s="242"/>
      <c r="CW75" s="242"/>
      <c r="CZ75"/>
      <c r="DA75"/>
      <c r="DB75"/>
      <c r="DC75"/>
      <c r="DD75"/>
      <c r="DK75" s="196"/>
      <c r="DL75" s="97"/>
      <c r="DM75" s="196"/>
      <c r="HG75" s="73"/>
      <c r="HH75" s="73"/>
      <c r="HI75" s="73"/>
      <c r="HJ75" s="73"/>
      <c r="HK75" s="73"/>
      <c r="HL75" s="73"/>
      <c r="HM75" s="73"/>
      <c r="HN75" s="73"/>
      <c r="HO75" s="73"/>
      <c r="HP75" s="73"/>
      <c r="HQ75" s="73"/>
      <c r="HR75" s="73"/>
      <c r="HS75" s="73"/>
      <c r="HT75" s="73"/>
    </row>
    <row r="76" spans="1:228">
      <c r="A76" s="196"/>
      <c r="B76" s="97"/>
      <c r="C76" s="97"/>
      <c r="D76" s="196"/>
      <c r="E76" s="97"/>
      <c r="F76" s="1267"/>
      <c r="G76" s="1268"/>
      <c r="H76" s="1286" t="s">
        <v>468</v>
      </c>
      <c r="I76" s="1285" t="s">
        <v>346</v>
      </c>
      <c r="J76" s="2972">
        <v>1</v>
      </c>
      <c r="K76" s="1283">
        <v>120</v>
      </c>
      <c r="L76" s="665"/>
      <c r="M76" s="1286" t="s">
        <v>468</v>
      </c>
      <c r="N76" s="1285" t="s">
        <v>346</v>
      </c>
      <c r="O76" s="2971">
        <v>0.2</v>
      </c>
      <c r="P76" s="1283">
        <v>120</v>
      </c>
      <c r="Q76" s="665"/>
      <c r="R76" s="1286" t="s">
        <v>468</v>
      </c>
      <c r="S76" s="1285" t="s">
        <v>346</v>
      </c>
      <c r="T76" s="2971">
        <v>0.2</v>
      </c>
      <c r="U76" s="1283">
        <v>120</v>
      </c>
      <c r="V76" s="665"/>
      <c r="W76" s="1286" t="s">
        <v>468</v>
      </c>
      <c r="X76" s="1285"/>
      <c r="Y76" s="2971"/>
      <c r="Z76" s="1283"/>
      <c r="AA76" s="665"/>
      <c r="AB76" s="1286" t="s">
        <v>468</v>
      </c>
      <c r="AC76" s="1285" t="s">
        <v>346</v>
      </c>
      <c r="AD76" s="2971">
        <v>0</v>
      </c>
      <c r="AE76" s="1283">
        <v>0</v>
      </c>
      <c r="AF76" s="665"/>
      <c r="AG76" s="1286" t="s">
        <v>1830</v>
      </c>
      <c r="AH76" s="1285" t="s">
        <v>346</v>
      </c>
      <c r="AI76" s="2971">
        <v>0.7</v>
      </c>
      <c r="AJ76" s="1283">
        <v>190</v>
      </c>
      <c r="AK76" s="665"/>
      <c r="AR76" s="166"/>
      <c r="AS76" s="167"/>
      <c r="AT76" s="243"/>
      <c r="AU76" s="166"/>
      <c r="AV76" s="167"/>
      <c r="AW76" s="243"/>
      <c r="AY76" s="168"/>
      <c r="AZ76" s="250"/>
      <c r="BA76" s="167"/>
      <c r="BB76" s="243"/>
      <c r="BC76" s="250"/>
      <c r="BD76" s="167"/>
      <c r="BE76" s="243"/>
      <c r="BF76" s="166"/>
      <c r="BG76" s="167"/>
      <c r="BH76" s="243"/>
      <c r="BI76" s="166"/>
      <c r="BJ76" s="167"/>
      <c r="BK76" s="243"/>
      <c r="BL76" s="166"/>
      <c r="BM76" s="167"/>
      <c r="BN76" s="243"/>
      <c r="BP76" s="168"/>
      <c r="BQ76" s="166"/>
      <c r="BR76" s="167"/>
      <c r="BS76" s="243"/>
      <c r="BT76" s="166"/>
      <c r="BU76" s="167"/>
      <c r="BV76" s="243"/>
      <c r="BW76" s="166"/>
      <c r="BX76" s="167"/>
      <c r="BY76" s="243"/>
      <c r="BZ76" s="166"/>
      <c r="CA76" s="167"/>
      <c r="CB76" s="243"/>
      <c r="CC76" s="166"/>
      <c r="CD76" s="167"/>
      <c r="CE76" s="243"/>
      <c r="CG76" s="168"/>
      <c r="CH76" s="166"/>
      <c r="CI76" s="167"/>
      <c r="CJ76" s="243"/>
      <c r="CK76" s="166"/>
      <c r="CL76" s="167"/>
      <c r="CM76" s="243"/>
      <c r="CN76" s="166"/>
      <c r="CO76" s="167"/>
      <c r="CP76" s="243"/>
      <c r="CS76" s="242"/>
      <c r="CU76" s="242"/>
      <c r="CV76" s="242"/>
      <c r="CW76" s="242"/>
      <c r="CZ76"/>
      <c r="DA76"/>
      <c r="DB76"/>
      <c r="DC76"/>
      <c r="DD76"/>
      <c r="DK76" s="196"/>
      <c r="DL76" s="97"/>
      <c r="DM76" s="196"/>
      <c r="HG76" s="73"/>
      <c r="HH76" s="73"/>
      <c r="HI76" s="73"/>
      <c r="HJ76" s="73"/>
      <c r="HK76" s="73"/>
      <c r="HL76" s="73"/>
      <c r="HM76" s="73"/>
      <c r="HN76" s="73"/>
      <c r="HO76" s="73"/>
      <c r="HP76" s="73"/>
      <c r="HQ76" s="73"/>
      <c r="HR76" s="73"/>
      <c r="HS76" s="73"/>
      <c r="HT76" s="73"/>
    </row>
    <row r="77" spans="1:228">
      <c r="A77" s="196"/>
      <c r="B77" s="97"/>
      <c r="C77" s="97"/>
      <c r="D77" s="196"/>
      <c r="E77" s="97"/>
      <c r="F77" s="1267"/>
      <c r="G77" s="1268"/>
      <c r="H77" s="1289"/>
      <c r="I77" s="1285"/>
      <c r="J77" s="2972"/>
      <c r="K77" s="1283"/>
      <c r="L77" s="665"/>
      <c r="M77" s="1289"/>
      <c r="N77" s="1285"/>
      <c r="O77" s="2972"/>
      <c r="P77" s="1283"/>
      <c r="Q77" s="665"/>
      <c r="R77" s="1289"/>
      <c r="S77" s="1285"/>
      <c r="T77" s="2972"/>
      <c r="U77" s="1283"/>
      <c r="V77" s="665"/>
      <c r="W77" s="1289"/>
      <c r="X77" s="1285"/>
      <c r="Y77" s="2972"/>
      <c r="Z77" s="1283"/>
      <c r="AA77" s="665"/>
      <c r="AB77" s="1289"/>
      <c r="AC77" s="1285"/>
      <c r="AD77" s="2972"/>
      <c r="AE77" s="1283"/>
      <c r="AF77" s="665"/>
      <c r="AG77" s="1289"/>
      <c r="AH77" s="1285"/>
      <c r="AI77" s="2972"/>
      <c r="AJ77" s="1283"/>
      <c r="AK77" s="665"/>
      <c r="AR77" s="166"/>
      <c r="AS77" s="167"/>
      <c r="AT77" s="243"/>
      <c r="AU77" s="166"/>
      <c r="AV77" s="167"/>
      <c r="AW77" s="243"/>
      <c r="AY77" s="168"/>
      <c r="AZ77" s="166"/>
      <c r="BA77" s="167"/>
      <c r="BB77" s="243"/>
      <c r="BC77" s="166"/>
      <c r="BD77" s="167"/>
      <c r="BE77" s="243"/>
      <c r="BF77" s="166"/>
      <c r="BG77" s="167"/>
      <c r="BH77" s="243"/>
      <c r="BI77" s="166"/>
      <c r="BJ77" s="167"/>
      <c r="BK77" s="243"/>
      <c r="BL77" s="166"/>
      <c r="BM77" s="167"/>
      <c r="BN77" s="243"/>
      <c r="BP77" s="168"/>
      <c r="BQ77" s="166"/>
      <c r="BR77" s="167"/>
      <c r="BS77" s="243"/>
      <c r="BT77" s="166"/>
      <c r="BU77" s="167"/>
      <c r="BV77" s="243"/>
      <c r="BW77" s="166"/>
      <c r="BX77" s="167"/>
      <c r="BY77" s="243"/>
      <c r="BZ77" s="166"/>
      <c r="CA77" s="167"/>
      <c r="CB77" s="243"/>
      <c r="CC77" s="166"/>
      <c r="CD77" s="167"/>
      <c r="CE77" s="243"/>
      <c r="CG77" s="168"/>
      <c r="CH77" s="166"/>
      <c r="CI77" s="167"/>
      <c r="CJ77" s="243"/>
      <c r="CK77" s="166"/>
      <c r="CL77" s="167"/>
      <c r="CM77" s="243"/>
      <c r="CN77" s="166"/>
      <c r="CO77" s="167"/>
      <c r="CP77" s="243"/>
      <c r="CS77" s="242"/>
      <c r="CU77" s="242"/>
      <c r="CV77" s="242"/>
      <c r="CW77" s="242"/>
      <c r="CZ77"/>
      <c r="DA77"/>
      <c r="DB77"/>
      <c r="DC77"/>
      <c r="DD77"/>
      <c r="DK77" s="196"/>
      <c r="DL77" s="97"/>
      <c r="DM77" s="196"/>
      <c r="HG77" s="73"/>
      <c r="HH77" s="73"/>
      <c r="HI77" s="73"/>
      <c r="HJ77" s="73"/>
      <c r="HK77" s="73"/>
      <c r="HL77" s="234"/>
      <c r="HM77" s="73"/>
      <c r="HN77" s="234"/>
      <c r="HO77" s="73"/>
      <c r="HP77" s="73"/>
      <c r="HQ77" s="73"/>
      <c r="HR77" s="73"/>
      <c r="HS77" s="73"/>
      <c r="HT77" s="73"/>
    </row>
    <row r="78" spans="1:228">
      <c r="A78" s="196"/>
      <c r="B78" s="97"/>
      <c r="C78" s="97"/>
      <c r="D78" s="196"/>
      <c r="E78" s="97"/>
      <c r="F78" s="1267"/>
      <c r="G78" s="1268"/>
      <c r="H78" s="1262"/>
      <c r="I78" s="1285"/>
      <c r="J78" s="2972"/>
      <c r="K78" s="1283"/>
      <c r="L78" s="665"/>
      <c r="M78" s="1262"/>
      <c r="N78" s="1285"/>
      <c r="O78" s="2972"/>
      <c r="P78" s="1283"/>
      <c r="Q78" s="665"/>
      <c r="R78" s="1262"/>
      <c r="S78" s="1285"/>
      <c r="T78" s="2972"/>
      <c r="U78" s="1283"/>
      <c r="V78" s="665"/>
      <c r="W78" s="1262"/>
      <c r="X78" s="1285"/>
      <c r="Y78" s="2972"/>
      <c r="Z78" s="1283"/>
      <c r="AA78" s="665"/>
      <c r="AB78" s="1262"/>
      <c r="AC78" s="1285"/>
      <c r="AD78" s="2972"/>
      <c r="AE78" s="1283"/>
      <c r="AF78" s="665"/>
      <c r="AG78" s="1262"/>
      <c r="AH78" s="1285"/>
      <c r="AI78" s="2972"/>
      <c r="AJ78" s="1283"/>
      <c r="AK78" s="665"/>
      <c r="AR78" s="166"/>
      <c r="AS78" s="167"/>
      <c r="AT78" s="243"/>
      <c r="AU78" s="166"/>
      <c r="AV78" s="167"/>
      <c r="AW78" s="243"/>
      <c r="AY78" s="168"/>
      <c r="AZ78" s="166"/>
      <c r="BA78" s="167"/>
      <c r="BB78" s="243"/>
      <c r="BC78" s="166"/>
      <c r="BD78" s="167"/>
      <c r="BE78" s="243"/>
      <c r="BF78" s="166"/>
      <c r="BG78" s="167"/>
      <c r="BH78" s="243"/>
      <c r="BI78" s="166"/>
      <c r="BJ78" s="167"/>
      <c r="BK78" s="243"/>
      <c r="BL78" s="166"/>
      <c r="BM78" s="167"/>
      <c r="BN78" s="243"/>
      <c r="BP78" s="168"/>
      <c r="BQ78" s="166"/>
      <c r="BR78" s="167"/>
      <c r="BS78" s="243"/>
      <c r="BT78" s="166"/>
      <c r="BU78" s="167"/>
      <c r="BV78" s="243"/>
      <c r="BW78" s="166"/>
      <c r="BX78" s="167"/>
      <c r="BY78" s="243"/>
      <c r="BZ78" s="166"/>
      <c r="CA78" s="167"/>
      <c r="CB78" s="243"/>
      <c r="CC78" s="166"/>
      <c r="CD78" s="167"/>
      <c r="CE78" s="243"/>
      <c r="CG78" s="168"/>
      <c r="CH78" s="166"/>
      <c r="CI78" s="167"/>
      <c r="CJ78" s="243"/>
      <c r="CK78" s="166"/>
      <c r="CL78" s="167"/>
      <c r="CM78" s="243"/>
      <c r="CN78" s="166"/>
      <c r="CO78" s="167"/>
      <c r="CP78" s="243"/>
      <c r="CS78" s="242"/>
      <c r="CU78" s="242"/>
      <c r="CV78" s="242"/>
      <c r="CW78" s="242"/>
      <c r="CZ78"/>
      <c r="DA78"/>
      <c r="DB78"/>
      <c r="DC78"/>
      <c r="DD78"/>
      <c r="DK78" s="196"/>
      <c r="DL78" s="97"/>
      <c r="DM78" s="196"/>
      <c r="HG78" s="73"/>
      <c r="HH78" s="73"/>
      <c r="HI78" s="73"/>
      <c r="HJ78" s="73"/>
      <c r="HK78" s="73"/>
      <c r="HL78" s="234"/>
      <c r="HM78" s="234"/>
      <c r="HN78" s="234"/>
      <c r="HO78" s="234"/>
      <c r="HP78" s="73"/>
      <c r="HQ78" s="73"/>
      <c r="HR78" s="73"/>
      <c r="HS78" s="73"/>
      <c r="HT78" s="73"/>
    </row>
    <row r="79" spans="1:228">
      <c r="A79"/>
      <c r="B79" s="251"/>
      <c r="C79" s="251"/>
      <c r="D79" s="196"/>
      <c r="E79" s="97"/>
      <c r="F79" s="1267"/>
      <c r="G79" s="1268"/>
      <c r="H79" s="1262" t="s">
        <v>470</v>
      </c>
      <c r="I79" s="1285" t="s">
        <v>1822</v>
      </c>
      <c r="J79" s="1282">
        <v>0.3</v>
      </c>
      <c r="K79" s="1283">
        <v>53</v>
      </c>
      <c r="L79" s="665"/>
      <c r="M79" s="1262" t="s">
        <v>470</v>
      </c>
      <c r="N79" s="1285" t="s">
        <v>1822</v>
      </c>
      <c r="O79" s="1282">
        <v>2.5</v>
      </c>
      <c r="P79" s="1283">
        <v>438</v>
      </c>
      <c r="Q79" s="665"/>
      <c r="R79" s="1262" t="s">
        <v>470</v>
      </c>
      <c r="S79" s="1285"/>
      <c r="T79" s="1282">
        <v>0.8</v>
      </c>
      <c r="U79" s="1283">
        <v>36</v>
      </c>
      <c r="V79" s="665"/>
      <c r="W79" s="1262" t="s">
        <v>470</v>
      </c>
      <c r="X79" s="1285"/>
      <c r="Y79" s="1282">
        <v>0.4</v>
      </c>
      <c r="Z79" s="1283">
        <v>18</v>
      </c>
      <c r="AA79" s="665"/>
      <c r="AB79" s="1262" t="s">
        <v>470</v>
      </c>
      <c r="AC79" s="1285" t="s">
        <v>1824</v>
      </c>
      <c r="AD79" s="1282">
        <v>0</v>
      </c>
      <c r="AE79" s="1283">
        <v>0</v>
      </c>
      <c r="AF79" s="665"/>
      <c r="AG79" s="1262" t="s">
        <v>470</v>
      </c>
      <c r="AH79" s="1285"/>
      <c r="AI79" s="1282"/>
      <c r="AJ79" s="1283"/>
      <c r="AK79" s="665"/>
      <c r="AR79" s="166"/>
      <c r="AS79" s="167"/>
      <c r="AT79" s="243"/>
      <c r="AU79" s="166"/>
      <c r="AV79" s="167"/>
      <c r="AW79" s="243"/>
      <c r="AY79" s="168"/>
      <c r="AZ79" s="166"/>
      <c r="BA79" s="167"/>
      <c r="BB79" s="243"/>
      <c r="BC79" s="166"/>
      <c r="BD79" s="167"/>
      <c r="BE79" s="243"/>
      <c r="BF79" s="166"/>
      <c r="BG79" s="167"/>
      <c r="BH79" s="243"/>
      <c r="BI79" s="166"/>
      <c r="BJ79" s="167"/>
      <c r="BK79" s="243"/>
      <c r="BL79" s="166"/>
      <c r="BM79" s="167"/>
      <c r="BN79" s="243"/>
      <c r="BP79" s="168"/>
      <c r="BQ79" s="166"/>
      <c r="BR79" s="167"/>
      <c r="BS79" s="243"/>
      <c r="BT79" s="166"/>
      <c r="BU79" s="167"/>
      <c r="BV79" s="243"/>
      <c r="BW79" s="166"/>
      <c r="BX79" s="167"/>
      <c r="BY79" s="243"/>
      <c r="BZ79" s="166"/>
      <c r="CA79" s="167"/>
      <c r="CB79" s="243"/>
      <c r="CC79" s="166"/>
      <c r="CD79" s="167"/>
      <c r="CE79" s="243"/>
      <c r="CG79" s="168"/>
      <c r="CH79" s="166"/>
      <c r="CI79" s="167"/>
      <c r="CJ79" s="243"/>
      <c r="CK79" s="166"/>
      <c r="CL79" s="243"/>
      <c r="CM79" s="243"/>
      <c r="CN79" s="166"/>
      <c r="CO79" s="167"/>
      <c r="CP79" s="243"/>
      <c r="CS79" s="242"/>
      <c r="CU79" s="242"/>
      <c r="CV79" s="242"/>
      <c r="CW79" s="242"/>
      <c r="CX79" s="242"/>
      <c r="CZ79"/>
      <c r="DA79"/>
      <c r="DB79"/>
      <c r="DC79"/>
      <c r="DD79"/>
      <c r="DK79" s="196"/>
      <c r="DL79" s="97"/>
      <c r="DM79" s="196"/>
      <c r="HG79" s="73"/>
      <c r="HH79" s="73"/>
      <c r="HI79" s="73"/>
      <c r="HJ79" s="73"/>
      <c r="HK79" s="73"/>
      <c r="HL79" s="168"/>
      <c r="HM79" s="168"/>
      <c r="HN79" s="241"/>
      <c r="HO79" s="241"/>
      <c r="HP79" s="73"/>
      <c r="HQ79" s="73"/>
      <c r="HR79" s="73"/>
      <c r="HS79" s="252"/>
      <c r="HT79" s="242"/>
    </row>
    <row r="80" spans="1:228">
      <c r="A80"/>
      <c r="B80" s="251"/>
      <c r="C80" s="251"/>
      <c r="D80" s="196"/>
      <c r="E80" s="97"/>
      <c r="F80" s="1267"/>
      <c r="G80" s="1268"/>
      <c r="H80" s="1262"/>
      <c r="I80" s="1285" t="s">
        <v>1822</v>
      </c>
      <c r="J80" s="1282">
        <v>1.5</v>
      </c>
      <c r="K80" s="1283">
        <v>398</v>
      </c>
      <c r="L80" s="665"/>
      <c r="M80" s="1262"/>
      <c r="N80" s="1285"/>
      <c r="O80" s="1282"/>
      <c r="P80" s="1283"/>
      <c r="Q80" s="665"/>
      <c r="R80" s="1262"/>
      <c r="S80" s="1285"/>
      <c r="T80" s="1282"/>
      <c r="U80" s="1283"/>
      <c r="V80" s="665"/>
      <c r="W80" s="1262"/>
      <c r="X80" s="1285"/>
      <c r="Y80" s="1282"/>
      <c r="Z80" s="1283"/>
      <c r="AA80" s="665"/>
      <c r="AB80" s="1262"/>
      <c r="AC80" s="1285"/>
      <c r="AD80" s="1282"/>
      <c r="AE80" s="1283"/>
      <c r="AF80" s="665"/>
      <c r="AG80" s="1262"/>
      <c r="AH80" s="1285"/>
      <c r="AI80" s="1282"/>
      <c r="AJ80" s="1283"/>
      <c r="AK80" s="665"/>
      <c r="AR80" s="166"/>
      <c r="AS80" s="167"/>
      <c r="AT80" s="243"/>
      <c r="AU80" s="166"/>
      <c r="AV80" s="167"/>
      <c r="AW80" s="243"/>
      <c r="AY80" s="168"/>
      <c r="AZ80" s="166"/>
      <c r="BA80" s="167"/>
      <c r="BB80" s="243"/>
      <c r="BC80" s="166"/>
      <c r="BD80" s="167"/>
      <c r="BE80" s="243"/>
      <c r="BF80" s="166"/>
      <c r="BG80" s="167"/>
      <c r="BH80" s="243"/>
      <c r="BI80" s="166"/>
      <c r="BJ80" s="167"/>
      <c r="BK80" s="243"/>
      <c r="BL80" s="166"/>
      <c r="BM80" s="167"/>
      <c r="BN80" s="243"/>
      <c r="BP80" s="168"/>
      <c r="BQ80" s="166"/>
      <c r="BR80" s="167"/>
      <c r="BS80" s="243"/>
      <c r="BT80" s="166"/>
      <c r="BU80" s="167"/>
      <c r="BV80" s="243"/>
      <c r="BW80" s="166"/>
      <c r="BX80" s="167"/>
      <c r="BY80" s="243"/>
      <c r="BZ80" s="166"/>
      <c r="CA80" s="167"/>
      <c r="CB80" s="243"/>
      <c r="CC80" s="166"/>
      <c r="CD80" s="167"/>
      <c r="CE80" s="243"/>
      <c r="CG80" s="168"/>
      <c r="CH80" s="166"/>
      <c r="CI80" s="167"/>
      <c r="CJ80" s="243"/>
      <c r="CK80" s="166"/>
      <c r="CL80" s="243"/>
      <c r="CM80" s="243"/>
      <c r="CN80" s="166"/>
      <c r="CO80" s="167"/>
      <c r="CP80" s="243"/>
      <c r="CS80" s="242"/>
      <c r="CU80" s="242"/>
      <c r="CV80" s="242"/>
      <c r="CW80" s="242"/>
      <c r="CX80" s="242"/>
      <c r="CZ80"/>
      <c r="DA80"/>
      <c r="DB80"/>
      <c r="DC80"/>
      <c r="DD80"/>
      <c r="DK80" s="196"/>
      <c r="DL80" s="97"/>
      <c r="DM80" s="196"/>
      <c r="HG80" s="73"/>
      <c r="HH80" s="73"/>
      <c r="HI80" s="73"/>
      <c r="HJ80" s="73"/>
      <c r="HK80" s="73"/>
      <c r="HL80" s="168"/>
      <c r="HM80" s="168"/>
      <c r="HN80" s="241"/>
      <c r="HO80" s="241"/>
      <c r="HP80" s="73"/>
      <c r="HQ80" s="73"/>
      <c r="HR80" s="73"/>
      <c r="HS80" s="252"/>
      <c r="HT80" s="242"/>
    </row>
    <row r="81" spans="1:228">
      <c r="A81"/>
      <c r="B81" s="251"/>
      <c r="C81" s="251"/>
      <c r="D81" s="196"/>
      <c r="E81" s="97"/>
      <c r="F81" s="1267"/>
      <c r="G81" s="1268"/>
      <c r="H81" s="1262" t="s">
        <v>1004</v>
      </c>
      <c r="I81" s="1287"/>
      <c r="J81" s="1700"/>
      <c r="K81" s="1283">
        <v>0</v>
      </c>
      <c r="L81" s="665"/>
      <c r="M81" s="1262" t="s">
        <v>1004</v>
      </c>
      <c r="N81" s="1287"/>
      <c r="O81" s="1700"/>
      <c r="P81" s="1283">
        <v>0</v>
      </c>
      <c r="Q81" s="665"/>
      <c r="R81" s="1262" t="s">
        <v>1004</v>
      </c>
      <c r="S81" s="1287"/>
      <c r="T81" s="1700"/>
      <c r="U81" s="1283">
        <v>0</v>
      </c>
      <c r="V81" s="665"/>
      <c r="W81" s="1262" t="s">
        <v>1004</v>
      </c>
      <c r="X81" s="1287"/>
      <c r="Y81" s="1700"/>
      <c r="Z81" s="1283">
        <v>0</v>
      </c>
      <c r="AA81" s="665"/>
      <c r="AB81" s="1262" t="s">
        <v>1004</v>
      </c>
      <c r="AC81" s="1287"/>
      <c r="AD81" s="1700"/>
      <c r="AE81" s="1283">
        <v>0</v>
      </c>
      <c r="AF81" s="665"/>
      <c r="AG81" s="1262" t="s">
        <v>1004</v>
      </c>
      <c r="AH81" s="1287"/>
      <c r="AI81" s="1700"/>
      <c r="AJ81" s="1283">
        <v>0</v>
      </c>
      <c r="AK81" s="665"/>
      <c r="AR81" s="166"/>
      <c r="AS81" s="167"/>
      <c r="AT81" s="243"/>
      <c r="AU81" s="166"/>
      <c r="AV81" s="167"/>
      <c r="AW81" s="243"/>
      <c r="AY81" s="168"/>
      <c r="AZ81" s="166"/>
      <c r="BA81" s="167"/>
      <c r="BB81" s="243"/>
      <c r="BC81" s="166"/>
      <c r="BD81" s="167"/>
      <c r="BE81" s="243"/>
      <c r="BF81" s="166"/>
      <c r="BG81" s="167"/>
      <c r="BH81" s="243"/>
      <c r="BI81" s="166"/>
      <c r="BJ81" s="167"/>
      <c r="BK81" s="243"/>
      <c r="BL81" s="166"/>
      <c r="BM81" s="167"/>
      <c r="BN81" s="243"/>
      <c r="BP81" s="168"/>
      <c r="BQ81" s="166"/>
      <c r="BR81" s="167"/>
      <c r="BS81" s="243"/>
      <c r="BT81" s="166"/>
      <c r="BU81" s="167"/>
      <c r="BV81" s="243"/>
      <c r="BW81" s="166"/>
      <c r="BX81" s="167"/>
      <c r="BY81" s="243"/>
      <c r="BZ81" s="166"/>
      <c r="CA81" s="167"/>
      <c r="CB81" s="243"/>
      <c r="CC81" s="166"/>
      <c r="CD81" s="167"/>
      <c r="CE81" s="243"/>
      <c r="CG81" s="168"/>
      <c r="CH81" s="166"/>
      <c r="CI81" s="167"/>
      <c r="CJ81" s="243"/>
      <c r="CK81" s="166"/>
      <c r="CL81" s="243"/>
      <c r="CM81" s="243"/>
      <c r="CN81" s="166"/>
      <c r="CO81" s="167"/>
      <c r="CP81" s="243"/>
      <c r="CS81" s="242"/>
      <c r="CU81" s="242"/>
      <c r="CV81" s="242"/>
      <c r="CW81" s="242"/>
      <c r="CX81" s="242"/>
      <c r="CZ81"/>
      <c r="DA81"/>
      <c r="DB81"/>
      <c r="DC81"/>
      <c r="DD81"/>
      <c r="DK81" s="196"/>
      <c r="DL81" s="97"/>
      <c r="DM81" s="196"/>
      <c r="HG81" s="73"/>
      <c r="HH81" s="73"/>
      <c r="HI81" s="73"/>
      <c r="HJ81" s="73"/>
      <c r="HK81" s="73"/>
      <c r="HL81" s="168"/>
      <c r="HM81" s="168"/>
      <c r="HN81" s="241"/>
      <c r="HO81" s="241"/>
      <c r="HP81" s="73"/>
      <c r="HQ81" s="73"/>
      <c r="HR81" s="73"/>
      <c r="HS81" s="252"/>
      <c r="HT81" s="242"/>
    </row>
    <row r="82" spans="1:228">
      <c r="A82"/>
      <c r="B82" s="251"/>
      <c r="C82" s="251"/>
      <c r="D82" s="196"/>
      <c r="E82" s="97"/>
      <c r="F82" s="1267"/>
      <c r="G82" s="1268"/>
      <c r="H82" s="1262" t="s">
        <v>1006</v>
      </c>
      <c r="I82" s="1287">
        <f>I60/1000</f>
        <v>3.5</v>
      </c>
      <c r="J82" s="1700">
        <v>5</v>
      </c>
      <c r="K82" s="1283">
        <f>I82*J82</f>
        <v>17.5</v>
      </c>
      <c r="L82" s="665"/>
      <c r="M82" s="1262" t="s">
        <v>1006</v>
      </c>
      <c r="N82" s="1287">
        <f>N60/1000</f>
        <v>2</v>
      </c>
      <c r="O82" s="1700">
        <v>5</v>
      </c>
      <c r="P82" s="1283">
        <f>N82*O82</f>
        <v>10</v>
      </c>
      <c r="Q82" s="665"/>
      <c r="R82" s="1262" t="s">
        <v>1006</v>
      </c>
      <c r="S82" s="1287">
        <f>S60/1000</f>
        <v>4</v>
      </c>
      <c r="T82" s="1700">
        <v>5</v>
      </c>
      <c r="U82" s="1283">
        <f>S82*T82</f>
        <v>20</v>
      </c>
      <c r="V82" s="665"/>
      <c r="W82" s="1262" t="s">
        <v>1006</v>
      </c>
      <c r="X82" s="1287"/>
      <c r="Y82" s="1700"/>
      <c r="Z82" s="1283">
        <f>X82*Y82</f>
        <v>0</v>
      </c>
      <c r="AA82" s="665"/>
      <c r="AB82" s="1262" t="s">
        <v>1006</v>
      </c>
      <c r="AC82" s="1287">
        <f>AC60/1000</f>
        <v>4</v>
      </c>
      <c r="AD82" s="1700">
        <v>5</v>
      </c>
      <c r="AE82" s="1283">
        <f>AC82*AD82</f>
        <v>20</v>
      </c>
      <c r="AF82" s="665"/>
      <c r="AG82" s="1262" t="s">
        <v>1006</v>
      </c>
      <c r="AH82" s="1287">
        <f>AH60/1000</f>
        <v>1.5</v>
      </c>
      <c r="AI82" s="1700">
        <v>5</v>
      </c>
      <c r="AJ82" s="1283">
        <f>AH82*AI82</f>
        <v>7.5</v>
      </c>
      <c r="AK82" s="665"/>
      <c r="AR82" s="166"/>
      <c r="AS82" s="167"/>
      <c r="AT82" s="243"/>
      <c r="AU82" s="166"/>
      <c r="AV82" s="167"/>
      <c r="AW82" s="243"/>
      <c r="AY82" s="168"/>
      <c r="AZ82" s="166"/>
      <c r="BA82" s="167"/>
      <c r="BB82" s="243"/>
      <c r="BC82" s="166"/>
      <c r="BD82" s="167"/>
      <c r="BE82" s="243"/>
      <c r="BF82" s="166"/>
      <c r="BG82" s="167"/>
      <c r="BH82" s="243"/>
      <c r="BI82" s="166"/>
      <c r="BJ82" s="167"/>
      <c r="BK82" s="243"/>
      <c r="BL82" s="166"/>
      <c r="BM82" s="167"/>
      <c r="BN82" s="243"/>
      <c r="BP82" s="168"/>
      <c r="BQ82" s="166"/>
      <c r="BR82" s="167"/>
      <c r="BS82" s="243"/>
      <c r="BT82" s="166"/>
      <c r="BU82" s="167"/>
      <c r="BV82" s="243"/>
      <c r="BW82" s="166"/>
      <c r="BX82" s="167"/>
      <c r="BY82" s="243"/>
      <c r="BZ82" s="166"/>
      <c r="CA82" s="167"/>
      <c r="CB82" s="243"/>
      <c r="CC82" s="166"/>
      <c r="CD82" s="167"/>
      <c r="CE82" s="243"/>
      <c r="CG82" s="168"/>
      <c r="CH82" s="166"/>
      <c r="CI82" s="167"/>
      <c r="CJ82" s="243"/>
      <c r="CK82" s="166"/>
      <c r="CL82" s="243"/>
      <c r="CM82" s="243"/>
      <c r="CN82" s="166"/>
      <c r="CO82" s="167"/>
      <c r="CP82" s="243"/>
      <c r="CS82" s="242"/>
      <c r="CU82" s="242"/>
      <c r="CV82" s="242"/>
      <c r="CW82" s="242"/>
      <c r="CX82" s="242"/>
      <c r="CZ82"/>
      <c r="DA82"/>
      <c r="DB82"/>
      <c r="DC82"/>
      <c r="DD82"/>
      <c r="DK82" s="196"/>
      <c r="DL82" s="97"/>
      <c r="DM82" s="196"/>
      <c r="HG82" s="73"/>
      <c r="HH82" s="73"/>
      <c r="HI82" s="73"/>
      <c r="HJ82" s="73"/>
      <c r="HK82" s="73"/>
      <c r="HL82" s="168"/>
      <c r="HM82" s="168"/>
      <c r="HN82" s="241"/>
      <c r="HO82" s="241"/>
      <c r="HP82" s="73"/>
      <c r="HQ82" s="73"/>
      <c r="HR82" s="73"/>
      <c r="HS82" s="252"/>
      <c r="HT82" s="242"/>
    </row>
    <row r="83" spans="1:228">
      <c r="A83"/>
      <c r="B83" s="251"/>
      <c r="C83" s="251"/>
      <c r="D83" s="196"/>
      <c r="E83" s="97"/>
      <c r="F83" s="1267"/>
      <c r="G83" s="1268"/>
      <c r="H83" s="1262" t="s">
        <v>473</v>
      </c>
      <c r="I83" s="1287">
        <f>I60/1000</f>
        <v>3.5</v>
      </c>
      <c r="J83" s="1700">
        <v>99</v>
      </c>
      <c r="K83" s="1283">
        <f>I83*J83</f>
        <v>346.5</v>
      </c>
      <c r="L83" s="665"/>
      <c r="M83" s="1262" t="s">
        <v>473</v>
      </c>
      <c r="N83" s="1287">
        <f>N60/1000</f>
        <v>2</v>
      </c>
      <c r="O83" s="1700">
        <v>99</v>
      </c>
      <c r="P83" s="1283">
        <f>N83*O83</f>
        <v>198</v>
      </c>
      <c r="Q83" s="665"/>
      <c r="R83" s="1262" t="s">
        <v>473</v>
      </c>
      <c r="S83" s="1287">
        <f>S60/1000</f>
        <v>4</v>
      </c>
      <c r="T83" s="1700">
        <v>204</v>
      </c>
      <c r="U83" s="1283">
        <f>S83*T83</f>
        <v>816</v>
      </c>
      <c r="V83" s="665"/>
      <c r="W83" s="1262" t="s">
        <v>473</v>
      </c>
      <c r="X83" s="1287"/>
      <c r="Y83" s="1700"/>
      <c r="Z83" s="1283">
        <f>X83*Y83</f>
        <v>0</v>
      </c>
      <c r="AA83" s="665"/>
      <c r="AB83" s="1262" t="s">
        <v>473</v>
      </c>
      <c r="AC83" s="1287">
        <f>AC60/1000</f>
        <v>4</v>
      </c>
      <c r="AD83" s="1700">
        <v>204</v>
      </c>
      <c r="AE83" s="1283">
        <f>AC83*AD83</f>
        <v>816</v>
      </c>
      <c r="AF83" s="665"/>
      <c r="AG83" s="1262" t="s">
        <v>473</v>
      </c>
      <c r="AH83" s="1287">
        <f>AH60/1000</f>
        <v>1.5</v>
      </c>
      <c r="AI83" s="1700">
        <v>99</v>
      </c>
      <c r="AJ83" s="1283">
        <f>AH83*AI83</f>
        <v>148.5</v>
      </c>
      <c r="AK83" s="665"/>
      <c r="AR83" s="166"/>
      <c r="AS83" s="167"/>
      <c r="AT83" s="243"/>
      <c r="AU83" s="166"/>
      <c r="AV83" s="167"/>
      <c r="AW83" s="243"/>
      <c r="AY83" s="168"/>
      <c r="AZ83" s="166"/>
      <c r="BA83" s="167"/>
      <c r="BB83" s="243"/>
      <c r="BC83" s="166"/>
      <c r="BD83" s="167"/>
      <c r="BE83" s="243"/>
      <c r="BF83" s="166"/>
      <c r="BG83" s="167"/>
      <c r="BH83" s="243"/>
      <c r="BI83" s="166"/>
      <c r="BJ83" s="167"/>
      <c r="BK83" s="243"/>
      <c r="BL83" s="166"/>
      <c r="BM83" s="167"/>
      <c r="BN83" s="243"/>
      <c r="BP83" s="168"/>
      <c r="BQ83" s="166"/>
      <c r="BR83" s="167"/>
      <c r="BS83" s="243"/>
      <c r="BT83" s="166"/>
      <c r="BU83" s="167"/>
      <c r="BV83" s="243"/>
      <c r="BW83" s="166"/>
      <c r="BX83" s="167"/>
      <c r="BY83" s="243"/>
      <c r="BZ83" s="166"/>
      <c r="CA83" s="167"/>
      <c r="CB83" s="243"/>
      <c r="CC83" s="166"/>
      <c r="CD83" s="167"/>
      <c r="CE83" s="243"/>
      <c r="CG83" s="168"/>
      <c r="CH83" s="166"/>
      <c r="CI83" s="167"/>
      <c r="CJ83" s="243"/>
      <c r="CK83" s="166"/>
      <c r="CL83" s="243"/>
      <c r="CM83" s="243"/>
      <c r="CN83" s="166"/>
      <c r="CO83" s="167"/>
      <c r="CP83" s="243"/>
      <c r="CS83" s="242"/>
      <c r="CU83" s="242"/>
      <c r="CV83" s="242"/>
      <c r="CW83" s="242"/>
      <c r="CX83" s="242"/>
      <c r="CZ83"/>
      <c r="DA83"/>
      <c r="DB83"/>
      <c r="DC83"/>
      <c r="DD83"/>
      <c r="DK83" s="196"/>
      <c r="DL83" s="97"/>
      <c r="DM83" s="196"/>
      <c r="HG83" s="73"/>
      <c r="HH83" s="73"/>
      <c r="HI83" s="73"/>
      <c r="HJ83" s="73"/>
      <c r="HK83" s="73"/>
      <c r="HL83" s="168"/>
      <c r="HM83" s="168"/>
      <c r="HN83" s="241"/>
      <c r="HO83" s="241"/>
      <c r="HP83" s="73"/>
      <c r="HQ83" s="73"/>
      <c r="HR83" s="73"/>
      <c r="HS83" s="252"/>
      <c r="HT83" s="242"/>
    </row>
    <row r="84" spans="1:228">
      <c r="A84"/>
      <c r="B84" s="251"/>
      <c r="C84" s="251"/>
      <c r="D84" s="196"/>
      <c r="E84" s="97"/>
      <c r="F84" s="1267"/>
      <c r="G84" s="1268"/>
      <c r="H84" s="1262" t="s">
        <v>1007</v>
      </c>
      <c r="I84" s="1287">
        <v>0.1</v>
      </c>
      <c r="J84" s="1701"/>
      <c r="K84" s="1283">
        <v>26</v>
      </c>
      <c r="L84" s="665"/>
      <c r="M84" s="1262" t="s">
        <v>1007</v>
      </c>
      <c r="N84" s="1287">
        <v>0.06</v>
      </c>
      <c r="O84" s="1701"/>
      <c r="P84" s="1283">
        <v>16</v>
      </c>
      <c r="Q84" s="665"/>
      <c r="R84" s="1262" t="s">
        <v>1007</v>
      </c>
      <c r="S84" s="1287">
        <v>0.06</v>
      </c>
      <c r="T84" s="1701"/>
      <c r="U84" s="1283">
        <v>11</v>
      </c>
      <c r="V84" s="665"/>
      <c r="W84" s="1262" t="s">
        <v>1007</v>
      </c>
      <c r="X84" s="1287"/>
      <c r="Y84" s="1701"/>
      <c r="Z84" s="1283"/>
      <c r="AA84" s="665"/>
      <c r="AB84" s="1262" t="s">
        <v>1007</v>
      </c>
      <c r="AC84" s="1287">
        <v>0.06</v>
      </c>
      <c r="AD84" s="1701"/>
      <c r="AE84" s="1283">
        <v>14</v>
      </c>
      <c r="AF84" s="665"/>
      <c r="AG84" s="1262" t="s">
        <v>1007</v>
      </c>
      <c r="AH84" s="1287">
        <v>0.06</v>
      </c>
      <c r="AI84" s="1701"/>
      <c r="AJ84" s="1283">
        <v>6</v>
      </c>
      <c r="AK84" s="665"/>
      <c r="AR84" s="166"/>
      <c r="AS84" s="167"/>
      <c r="AT84" s="243"/>
      <c r="AU84" s="166"/>
      <c r="AV84" s="167"/>
      <c r="AW84" s="243"/>
      <c r="AY84" s="168"/>
      <c r="AZ84" s="166"/>
      <c r="BA84" s="167"/>
      <c r="BB84" s="243"/>
      <c r="BC84" s="166"/>
      <c r="BD84" s="167"/>
      <c r="BE84" s="243"/>
      <c r="BF84" s="166"/>
      <c r="BG84" s="167"/>
      <c r="BH84" s="243"/>
      <c r="BI84" s="166"/>
      <c r="BJ84" s="167"/>
      <c r="BK84" s="243"/>
      <c r="BL84" s="166"/>
      <c r="BM84" s="167"/>
      <c r="BN84" s="243"/>
      <c r="BP84" s="168"/>
      <c r="BQ84" s="166"/>
      <c r="BR84" s="167"/>
      <c r="BS84" s="243"/>
      <c r="BT84" s="166"/>
      <c r="BU84" s="167"/>
      <c r="BV84" s="243"/>
      <c r="BW84" s="166"/>
      <c r="BX84" s="167"/>
      <c r="BY84" s="243"/>
      <c r="BZ84" s="166"/>
      <c r="CA84" s="167"/>
      <c r="CB84" s="243"/>
      <c r="CC84" s="166"/>
      <c r="CD84" s="167"/>
      <c r="CE84" s="243"/>
      <c r="CG84" s="168"/>
      <c r="CH84" s="166"/>
      <c r="CI84" s="167"/>
      <c r="CJ84" s="243"/>
      <c r="CK84" s="166"/>
      <c r="CL84" s="243"/>
      <c r="CM84" s="243"/>
      <c r="CN84" s="166"/>
      <c r="CO84" s="167"/>
      <c r="CP84" s="243"/>
      <c r="CS84" s="242"/>
      <c r="CU84" s="242"/>
      <c r="CV84" s="242"/>
      <c r="CW84" s="242"/>
      <c r="CX84" s="242"/>
      <c r="CZ84"/>
      <c r="DA84"/>
      <c r="DB84"/>
      <c r="DC84"/>
      <c r="DD84"/>
      <c r="DK84" s="196"/>
      <c r="DL84" s="97"/>
      <c r="DM84" s="196"/>
      <c r="HG84" s="73"/>
      <c r="HH84" s="73"/>
      <c r="HI84" s="73"/>
      <c r="HJ84" s="73"/>
      <c r="HK84" s="73"/>
      <c r="HL84" s="168"/>
      <c r="HM84" s="168"/>
      <c r="HN84" s="241"/>
      <c r="HO84" s="241"/>
      <c r="HP84" s="73"/>
      <c r="HQ84" s="73"/>
      <c r="HR84" s="73"/>
      <c r="HS84" s="252"/>
      <c r="HT84" s="242"/>
    </row>
    <row r="85" spans="1:228">
      <c r="A85"/>
      <c r="B85" s="251"/>
      <c r="C85" s="251"/>
      <c r="D85" s="196"/>
      <c r="E85" s="97"/>
      <c r="F85" s="1267"/>
      <c r="G85" s="1268"/>
      <c r="H85" s="1262" t="s">
        <v>474</v>
      </c>
      <c r="I85" s="1287" t="s">
        <v>475</v>
      </c>
      <c r="J85" s="1288"/>
      <c r="K85" s="1283">
        <v>915</v>
      </c>
      <c r="L85" s="665"/>
      <c r="M85" s="1262" t="s">
        <v>474</v>
      </c>
      <c r="N85" s="1287" t="s">
        <v>475</v>
      </c>
      <c r="O85" s="1288"/>
      <c r="P85" s="1283">
        <v>208</v>
      </c>
      <c r="Q85" s="665"/>
      <c r="R85" s="1262" t="s">
        <v>474</v>
      </c>
      <c r="S85" s="1287" t="s">
        <v>475</v>
      </c>
      <c r="T85" s="1288"/>
      <c r="U85" s="1283">
        <v>313</v>
      </c>
      <c r="V85" s="665"/>
      <c r="W85" s="1262" t="s">
        <v>474</v>
      </c>
      <c r="X85" s="1287" t="s">
        <v>475</v>
      </c>
      <c r="Y85" s="1288"/>
      <c r="Z85" s="1283"/>
      <c r="AA85" s="665"/>
      <c r="AB85" s="1262" t="s">
        <v>474</v>
      </c>
      <c r="AC85" s="1287" t="s">
        <v>475</v>
      </c>
      <c r="AD85" s="1288"/>
      <c r="AE85" s="1283">
        <v>628</v>
      </c>
      <c r="AF85" s="665"/>
      <c r="AG85" s="1262" t="s">
        <v>474</v>
      </c>
      <c r="AH85" s="1287" t="s">
        <v>475</v>
      </c>
      <c r="AI85" s="1288"/>
      <c r="AJ85" s="1283">
        <v>522</v>
      </c>
      <c r="AK85" s="665"/>
      <c r="AR85" s="166"/>
      <c r="AS85" s="167"/>
      <c r="AT85" s="243"/>
      <c r="AU85" s="166"/>
      <c r="AV85" s="167"/>
      <c r="AW85" s="243"/>
      <c r="AY85" s="168"/>
      <c r="AZ85" s="166"/>
      <c r="BA85" s="167"/>
      <c r="BB85" s="243"/>
      <c r="BC85" s="166"/>
      <c r="BD85" s="167"/>
      <c r="BE85" s="243"/>
      <c r="BF85" s="166"/>
      <c r="BG85" s="167"/>
      <c r="BH85" s="243"/>
      <c r="BI85" s="166"/>
      <c r="BJ85" s="167"/>
      <c r="BK85" s="243"/>
      <c r="BL85" s="166"/>
      <c r="BM85" s="167"/>
      <c r="BN85" s="243"/>
      <c r="BP85" s="168"/>
      <c r="BQ85" s="166"/>
      <c r="BR85" s="167"/>
      <c r="BS85" s="243"/>
      <c r="BT85" s="166"/>
      <c r="BU85" s="167"/>
      <c r="BV85" s="243"/>
      <c r="BW85" s="166"/>
      <c r="BX85" s="167"/>
      <c r="BY85" s="243"/>
      <c r="BZ85" s="166"/>
      <c r="CA85" s="167"/>
      <c r="CB85" s="243"/>
      <c r="CC85" s="166"/>
      <c r="CD85" s="167"/>
      <c r="CE85" s="243"/>
      <c r="CG85" s="168"/>
      <c r="CH85" s="166"/>
      <c r="CI85" s="167"/>
      <c r="CJ85" s="243"/>
      <c r="CK85" s="166"/>
      <c r="CL85" s="243"/>
      <c r="CM85" s="243"/>
      <c r="CN85" s="166"/>
      <c r="CO85" s="167"/>
      <c r="CP85" s="243"/>
      <c r="CS85" s="242"/>
      <c r="CU85" s="242"/>
      <c r="CV85" s="242"/>
      <c r="CW85" s="242"/>
      <c r="CX85" s="242"/>
      <c r="CZ85"/>
      <c r="DA85"/>
      <c r="DB85"/>
      <c r="DC85"/>
      <c r="DD85"/>
      <c r="DK85" s="196"/>
      <c r="DL85" s="97"/>
      <c r="DM85" s="196"/>
      <c r="HG85" s="73"/>
      <c r="HH85" s="73"/>
      <c r="HI85" s="73"/>
      <c r="HJ85" s="73"/>
      <c r="HK85" s="73"/>
      <c r="HL85" s="168"/>
      <c r="HM85" s="168"/>
      <c r="HN85" s="241"/>
      <c r="HO85" s="241"/>
      <c r="HP85" s="73"/>
      <c r="HQ85" s="73"/>
      <c r="HR85" s="73"/>
      <c r="HS85" s="252"/>
      <c r="HT85" s="242"/>
    </row>
    <row r="86" spans="1:228">
      <c r="A86"/>
      <c r="B86" s="251"/>
      <c r="C86" s="251"/>
      <c r="D86" s="196"/>
      <c r="E86" s="97"/>
      <c r="F86" s="1267"/>
      <c r="G86" s="1268"/>
      <c r="H86" s="1262" t="s">
        <v>1827</v>
      </c>
      <c r="I86" s="1287" t="s">
        <v>475</v>
      </c>
      <c r="J86" s="1288"/>
      <c r="K86" s="1283">
        <v>541</v>
      </c>
      <c r="L86" s="665"/>
      <c r="M86" s="1262" t="s">
        <v>1827</v>
      </c>
      <c r="N86" s="1287" t="s">
        <v>475</v>
      </c>
      <c r="O86" s="1288"/>
      <c r="P86" s="1283">
        <v>609</v>
      </c>
      <c r="Q86" s="665"/>
      <c r="R86" s="1262" t="s">
        <v>1827</v>
      </c>
      <c r="S86" s="1287" t="s">
        <v>475</v>
      </c>
      <c r="T86" s="1288"/>
      <c r="U86" s="1283">
        <v>449</v>
      </c>
      <c r="V86" s="665"/>
      <c r="W86" s="1262" t="s">
        <v>1827</v>
      </c>
      <c r="X86" s="1287" t="s">
        <v>475</v>
      </c>
      <c r="Y86" s="1288"/>
      <c r="Z86" s="1283">
        <v>609</v>
      </c>
      <c r="AA86" s="665"/>
      <c r="AB86" s="1262" t="s">
        <v>1827</v>
      </c>
      <c r="AC86" s="1287" t="s">
        <v>475</v>
      </c>
      <c r="AD86" s="1288"/>
      <c r="AE86" s="1283">
        <v>449</v>
      </c>
      <c r="AF86" s="665"/>
      <c r="AG86" s="1262" t="s">
        <v>1827</v>
      </c>
      <c r="AH86" s="1287" t="s">
        <v>475</v>
      </c>
      <c r="AI86" s="1288"/>
      <c r="AJ86" s="1283">
        <v>609</v>
      </c>
      <c r="AK86" s="665"/>
      <c r="AR86" s="166"/>
      <c r="AS86" s="167"/>
      <c r="AT86" s="243"/>
      <c r="AU86" s="166"/>
      <c r="AV86" s="167"/>
      <c r="AW86" s="243"/>
      <c r="AY86" s="168"/>
      <c r="AZ86" s="166"/>
      <c r="BA86" s="167"/>
      <c r="BB86" s="243"/>
      <c r="BC86" s="166"/>
      <c r="BD86" s="167"/>
      <c r="BE86" s="243"/>
      <c r="BF86" s="166"/>
      <c r="BG86" s="167"/>
      <c r="BH86" s="243"/>
      <c r="BI86" s="166"/>
      <c r="BJ86" s="167"/>
      <c r="BK86" s="243"/>
      <c r="BL86" s="166"/>
      <c r="BM86" s="167"/>
      <c r="BN86" s="243"/>
      <c r="BP86" s="168"/>
      <c r="BQ86" s="166"/>
      <c r="BR86" s="167"/>
      <c r="BS86" s="243"/>
      <c r="BT86" s="166"/>
      <c r="BU86" s="167"/>
      <c r="BV86" s="243"/>
      <c r="BW86" s="166"/>
      <c r="BX86" s="167"/>
      <c r="BY86" s="243"/>
      <c r="BZ86" s="166"/>
      <c r="CA86" s="167"/>
      <c r="CB86" s="243"/>
      <c r="CC86" s="166"/>
      <c r="CD86" s="167"/>
      <c r="CE86" s="243"/>
      <c r="CG86" s="168"/>
      <c r="CH86" s="166"/>
      <c r="CI86" s="167"/>
      <c r="CJ86" s="243"/>
      <c r="CK86" s="166"/>
      <c r="CL86" s="243"/>
      <c r="CM86" s="243"/>
      <c r="CN86" s="166"/>
      <c r="CO86" s="167"/>
      <c r="CP86" s="243"/>
      <c r="CS86" s="242"/>
      <c r="CU86" s="242"/>
      <c r="CV86" s="242"/>
      <c r="CW86" s="242"/>
      <c r="CX86" s="242"/>
      <c r="CZ86"/>
      <c r="DA86"/>
      <c r="DB86"/>
      <c r="DC86"/>
      <c r="DD86"/>
      <c r="DK86" s="196"/>
      <c r="DL86" s="97"/>
      <c r="DM86" s="196"/>
      <c r="HG86" s="73"/>
      <c r="HH86" s="73"/>
      <c r="HI86" s="73"/>
      <c r="HJ86" s="73"/>
      <c r="HK86" s="73"/>
      <c r="HL86" s="168"/>
      <c r="HM86" s="168"/>
      <c r="HN86" s="241"/>
      <c r="HO86" s="241"/>
      <c r="HP86" s="73"/>
      <c r="HQ86" s="73"/>
      <c r="HR86" s="73"/>
      <c r="HS86" s="252"/>
      <c r="HT86" s="242"/>
    </row>
    <row r="87" spans="1:228">
      <c r="A87"/>
      <c r="B87" s="251"/>
      <c r="C87" s="251"/>
      <c r="D87" s="196"/>
      <c r="E87" s="97"/>
      <c r="F87" s="1267"/>
      <c r="G87" s="1268"/>
      <c r="H87" s="1262" t="s">
        <v>1825</v>
      </c>
      <c r="I87" s="1287"/>
      <c r="J87" s="1288"/>
      <c r="K87" s="1283"/>
      <c r="L87" s="665"/>
      <c r="M87" s="1262" t="s">
        <v>1825</v>
      </c>
      <c r="N87" s="1287"/>
      <c r="O87" s="1288"/>
      <c r="P87" s="1283"/>
      <c r="Q87" s="1290"/>
      <c r="R87" s="1262" t="s">
        <v>1825</v>
      </c>
      <c r="S87" s="1287"/>
      <c r="T87" s="1288"/>
      <c r="U87" s="1283">
        <v>69</v>
      </c>
      <c r="V87" s="665"/>
      <c r="W87" s="1262" t="s">
        <v>1825</v>
      </c>
      <c r="X87" s="1287"/>
      <c r="Y87" s="1288"/>
      <c r="Z87" s="1283">
        <v>69</v>
      </c>
      <c r="AA87" s="665"/>
      <c r="AB87" s="1262" t="s">
        <v>1825</v>
      </c>
      <c r="AC87" s="1287"/>
      <c r="AD87" s="1288"/>
      <c r="AE87" s="1283">
        <v>69</v>
      </c>
      <c r="AF87" s="665"/>
      <c r="AG87" s="1262" t="s">
        <v>1825</v>
      </c>
      <c r="AH87" s="1287"/>
      <c r="AI87" s="1288"/>
      <c r="AJ87" s="1283">
        <v>69</v>
      </c>
      <c r="AK87" s="665"/>
      <c r="AR87" s="166"/>
      <c r="AS87" s="167"/>
      <c r="AT87" s="243"/>
      <c r="AU87" s="166"/>
      <c r="AV87" s="167"/>
      <c r="AW87" s="243"/>
      <c r="AY87" s="168"/>
      <c r="AZ87" s="166"/>
      <c r="BA87" s="167"/>
      <c r="BB87" s="243"/>
      <c r="BC87" s="166"/>
      <c r="BD87" s="167"/>
      <c r="BE87" s="243"/>
      <c r="BF87" s="166"/>
      <c r="BG87" s="167"/>
      <c r="BH87" s="243"/>
      <c r="BI87" s="166"/>
      <c r="BJ87" s="167"/>
      <c r="BK87" s="243"/>
      <c r="BL87" s="166"/>
      <c r="BM87" s="167"/>
      <c r="BN87" s="243"/>
      <c r="BP87" s="168"/>
      <c r="BQ87" s="166"/>
      <c r="BR87" s="167"/>
      <c r="BS87" s="243"/>
      <c r="BT87" s="166"/>
      <c r="BU87" s="167"/>
      <c r="BV87" s="243"/>
      <c r="BW87" s="166"/>
      <c r="BX87" s="167"/>
      <c r="BY87" s="243"/>
      <c r="BZ87" s="166"/>
      <c r="CA87" s="167"/>
      <c r="CB87" s="243"/>
      <c r="CC87" s="166"/>
      <c r="CD87" s="167"/>
      <c r="CE87" s="243"/>
      <c r="CG87" s="168"/>
      <c r="CH87" s="166"/>
      <c r="CI87" s="167"/>
      <c r="CJ87" s="243"/>
      <c r="CK87" s="166"/>
      <c r="CL87" s="243"/>
      <c r="CM87" s="243"/>
      <c r="CN87" s="166"/>
      <c r="CO87" s="167"/>
      <c r="CP87" s="243"/>
      <c r="CS87" s="242"/>
      <c r="CU87" s="242"/>
      <c r="CV87" s="242"/>
      <c r="CW87" s="242"/>
      <c r="CX87" s="242"/>
      <c r="CZ87"/>
      <c r="DA87"/>
      <c r="DB87"/>
      <c r="DC87"/>
      <c r="DD87"/>
      <c r="DK87" s="196"/>
      <c r="DL87" s="97"/>
      <c r="DM87" s="196"/>
      <c r="HG87" s="73"/>
      <c r="HH87" s="73"/>
      <c r="HI87" s="73"/>
      <c r="HJ87" s="73"/>
      <c r="HK87" s="73"/>
      <c r="HL87" s="168"/>
      <c r="HM87" s="168"/>
      <c r="HN87" s="241"/>
      <c r="HO87" s="241"/>
      <c r="HP87" s="73"/>
      <c r="HQ87" s="73"/>
      <c r="HR87" s="73"/>
      <c r="HS87" s="252"/>
      <c r="HT87" s="242"/>
    </row>
    <row r="88" spans="1:228">
      <c r="A88"/>
      <c r="B88" s="251"/>
      <c r="C88" s="251"/>
      <c r="D88" s="196"/>
      <c r="E88" s="97"/>
      <c r="F88" s="1267"/>
      <c r="G88" s="1268"/>
      <c r="H88" s="1262" t="s">
        <v>1823</v>
      </c>
      <c r="I88" s="1287"/>
      <c r="J88" s="1270"/>
      <c r="K88" s="1283">
        <v>127</v>
      </c>
      <c r="L88" s="665"/>
      <c r="M88" s="1262"/>
      <c r="N88" s="1287"/>
      <c r="O88" s="1270"/>
      <c r="P88" s="1283"/>
      <c r="Q88" s="665"/>
      <c r="R88" s="1262"/>
      <c r="S88" s="1287"/>
      <c r="T88" s="1270"/>
      <c r="U88" s="1283"/>
      <c r="V88" s="665"/>
      <c r="W88" s="1262"/>
      <c r="X88" s="1287"/>
      <c r="Y88" s="1270"/>
      <c r="Z88" s="1283"/>
      <c r="AA88" s="665"/>
      <c r="AB88" s="1262"/>
      <c r="AC88" s="1287"/>
      <c r="AD88" s="1270"/>
      <c r="AE88" s="1283"/>
      <c r="AF88" s="665"/>
      <c r="AG88" s="1262"/>
      <c r="AH88" s="1287"/>
      <c r="AI88" s="1270"/>
      <c r="AJ88" s="1283"/>
      <c r="AK88" s="665"/>
      <c r="AR88" s="166"/>
      <c r="AS88" s="167"/>
      <c r="AT88" s="243"/>
      <c r="AU88" s="166"/>
      <c r="AV88" s="167"/>
      <c r="AW88" s="243"/>
      <c r="AY88" s="168"/>
      <c r="AZ88" s="166"/>
      <c r="BA88" s="167"/>
      <c r="BB88" s="243"/>
      <c r="BC88" s="166"/>
      <c r="BD88" s="167"/>
      <c r="BE88" s="243"/>
      <c r="BF88" s="166"/>
      <c r="BG88" s="167"/>
      <c r="BH88" s="243"/>
      <c r="BI88" s="166"/>
      <c r="BJ88" s="167"/>
      <c r="BK88" s="243"/>
      <c r="BL88" s="166"/>
      <c r="BM88" s="167"/>
      <c r="BN88" s="243"/>
      <c r="BP88" s="168"/>
      <c r="BQ88" s="166"/>
      <c r="BR88" s="167"/>
      <c r="BS88" s="243"/>
      <c r="BT88" s="166"/>
      <c r="BU88" s="167"/>
      <c r="BV88" s="243"/>
      <c r="BW88" s="166"/>
      <c r="BX88" s="167"/>
      <c r="BY88" s="243"/>
      <c r="BZ88" s="166"/>
      <c r="CA88" s="167"/>
      <c r="CB88" s="243"/>
      <c r="CC88" s="166"/>
      <c r="CD88" s="167"/>
      <c r="CE88" s="243"/>
      <c r="CG88" s="168"/>
      <c r="CH88" s="166"/>
      <c r="CI88" s="167"/>
      <c r="CJ88" s="243"/>
      <c r="CK88" s="166"/>
      <c r="CL88" s="243"/>
      <c r="CM88" s="243"/>
      <c r="CN88" s="166"/>
      <c r="CO88" s="167"/>
      <c r="CP88" s="243"/>
      <c r="CS88" s="242"/>
      <c r="CU88" s="242"/>
      <c r="CV88" s="242"/>
      <c r="CW88" s="242"/>
      <c r="CX88" s="242"/>
      <c r="CZ88"/>
      <c r="DA88"/>
      <c r="DB88"/>
      <c r="DC88"/>
      <c r="DD88"/>
      <c r="DK88" s="196"/>
      <c r="DL88" s="97"/>
      <c r="DM88" s="196"/>
      <c r="HG88" s="73"/>
      <c r="HH88" s="73"/>
      <c r="HI88" s="73"/>
      <c r="HJ88" s="73"/>
      <c r="HK88" s="73"/>
      <c r="HL88" s="168"/>
      <c r="HM88" s="168"/>
      <c r="HN88" s="241"/>
      <c r="HO88" s="241"/>
      <c r="HP88" s="73"/>
      <c r="HQ88" s="73"/>
      <c r="HR88" s="73"/>
      <c r="HS88" s="252"/>
      <c r="HT88" s="242"/>
    </row>
    <row r="89" spans="1:228">
      <c r="A89" s="196"/>
      <c r="B89" s="97"/>
      <c r="C89" s="97"/>
      <c r="D89" s="196"/>
      <c r="E89" s="97"/>
      <c r="F89" s="1267"/>
      <c r="G89" s="1268"/>
      <c r="H89" s="1273" t="s">
        <v>471</v>
      </c>
      <c r="I89" s="1274"/>
      <c r="J89" s="1291"/>
      <c r="K89" s="1292">
        <f>SUM(K66:K88)</f>
        <v>6365.25</v>
      </c>
      <c r="L89" s="665"/>
      <c r="M89" s="1273" t="s">
        <v>471</v>
      </c>
      <c r="N89" s="1274"/>
      <c r="O89" s="1291"/>
      <c r="P89" s="1292">
        <f>SUM(P66:P88)</f>
        <v>3818.1000000000004</v>
      </c>
      <c r="Q89" s="665"/>
      <c r="R89" s="1273" t="s">
        <v>471</v>
      </c>
      <c r="S89" s="1274"/>
      <c r="T89" s="1291"/>
      <c r="U89" s="1292">
        <f>SUM(U66:U88)</f>
        <v>4061.31</v>
      </c>
      <c r="V89" s="665"/>
      <c r="W89" s="1273" t="s">
        <v>471</v>
      </c>
      <c r="X89" s="1274"/>
      <c r="Y89" s="1291"/>
      <c r="Z89" s="1292">
        <f>SUM(Z66:Z88)</f>
        <v>1637.3420000000001</v>
      </c>
      <c r="AA89" s="665"/>
      <c r="AB89" s="1273" t="s">
        <v>471</v>
      </c>
      <c r="AC89" s="1274"/>
      <c r="AD89" s="1291"/>
      <c r="AE89" s="1292">
        <f>SUM(AE66:AE88)</f>
        <v>4045.31</v>
      </c>
      <c r="AF89" s="665"/>
      <c r="AG89" s="1273" t="s">
        <v>471</v>
      </c>
      <c r="AH89" s="1274"/>
      <c r="AI89" s="1291"/>
      <c r="AJ89" s="1292">
        <f>SUM(AJ66:AJ88)</f>
        <v>3085.9</v>
      </c>
      <c r="AK89" s="665"/>
      <c r="AR89" s="166"/>
      <c r="AS89" s="167"/>
      <c r="AT89" s="247"/>
      <c r="AU89" s="166"/>
      <c r="AV89" s="167"/>
      <c r="AW89" s="247"/>
      <c r="AY89" s="168"/>
      <c r="AZ89" s="166"/>
      <c r="BA89" s="167"/>
      <c r="BB89" s="247"/>
      <c r="BC89" s="166"/>
      <c r="BD89" s="167"/>
      <c r="BE89" s="247"/>
      <c r="BF89" s="166"/>
      <c r="BG89" s="167"/>
      <c r="BH89" s="247"/>
      <c r="BI89" s="166"/>
      <c r="BJ89" s="167"/>
      <c r="BK89" s="247"/>
      <c r="BL89" s="166"/>
      <c r="BM89" s="167"/>
      <c r="BN89" s="247"/>
      <c r="BP89" s="168"/>
      <c r="BQ89" s="166"/>
      <c r="BR89" s="167"/>
      <c r="BS89" s="247"/>
      <c r="BT89" s="166"/>
      <c r="BU89" s="167"/>
      <c r="BV89" s="247"/>
      <c r="BW89" s="166"/>
      <c r="BX89" s="167"/>
      <c r="BY89" s="247"/>
      <c r="BZ89" s="166"/>
      <c r="CA89" s="167"/>
      <c r="CB89" s="247"/>
      <c r="CC89" s="166"/>
      <c r="CD89" s="167"/>
      <c r="CE89" s="247"/>
      <c r="CG89" s="168"/>
      <c r="CH89" s="166"/>
      <c r="CI89" s="167"/>
      <c r="CJ89" s="247"/>
      <c r="CK89" s="166"/>
      <c r="CL89" s="167"/>
      <c r="CM89" s="247"/>
      <c r="CN89" s="166"/>
      <c r="CO89" s="167"/>
      <c r="CP89" s="247"/>
      <c r="CS89" s="242"/>
      <c r="CU89" s="242"/>
      <c r="CV89" s="242"/>
      <c r="CW89" s="242"/>
      <c r="CX89" s="242"/>
      <c r="CY89" s="242"/>
      <c r="CZ89"/>
      <c r="DA89"/>
      <c r="DB89"/>
      <c r="DC89"/>
      <c r="DD89"/>
      <c r="DK89" s="196"/>
      <c r="DL89" s="97"/>
      <c r="HG89" s="73"/>
      <c r="HH89" s="73"/>
      <c r="HI89" s="73"/>
      <c r="HJ89" s="73"/>
      <c r="HK89" s="73"/>
      <c r="HL89" s="168"/>
      <c r="HM89" s="166"/>
      <c r="HN89" s="167"/>
      <c r="HO89" s="243"/>
      <c r="HP89" s="234"/>
      <c r="HQ89" s="234"/>
      <c r="HR89" s="234"/>
      <c r="HS89" s="252"/>
      <c r="HT89" s="242"/>
    </row>
    <row r="90" spans="1:228">
      <c r="A90" s="196"/>
      <c r="B90" s="97"/>
      <c r="C90" s="97"/>
      <c r="D90" s="196"/>
      <c r="E90" s="97"/>
      <c r="F90" s="1267"/>
      <c r="G90" s="1268"/>
      <c r="H90" s="1262" t="s">
        <v>426</v>
      </c>
      <c r="I90" s="1287" t="s">
        <v>472</v>
      </c>
      <c r="J90" s="1264"/>
      <c r="K90" s="1283">
        <v>43</v>
      </c>
      <c r="L90" s="665"/>
      <c r="M90" s="1262" t="s">
        <v>426</v>
      </c>
      <c r="N90" s="1287" t="s">
        <v>472</v>
      </c>
      <c r="O90" s="1264"/>
      <c r="P90" s="1283">
        <v>49</v>
      </c>
      <c r="Q90" s="665"/>
      <c r="R90" s="1262" t="s">
        <v>426</v>
      </c>
      <c r="S90" s="1287" t="s">
        <v>472</v>
      </c>
      <c r="T90" s="1264"/>
      <c r="U90" s="1283">
        <v>63</v>
      </c>
      <c r="V90" s="665"/>
      <c r="W90" s="1262" t="s">
        <v>426</v>
      </c>
      <c r="X90" s="1287" t="s">
        <v>472</v>
      </c>
      <c r="Y90" s="1264"/>
      <c r="Z90" s="1283">
        <v>26</v>
      </c>
      <c r="AA90" s="665"/>
      <c r="AB90" s="1262" t="s">
        <v>426</v>
      </c>
      <c r="AC90" s="1287" t="s">
        <v>472</v>
      </c>
      <c r="AD90" s="1264"/>
      <c r="AE90" s="1283">
        <v>63</v>
      </c>
      <c r="AF90" s="665"/>
      <c r="AG90" s="1262" t="s">
        <v>426</v>
      </c>
      <c r="AH90" s="1287" t="s">
        <v>472</v>
      </c>
      <c r="AI90" s="1264"/>
      <c r="AJ90" s="1283">
        <v>39</v>
      </c>
      <c r="AK90" s="665"/>
      <c r="AR90" s="166"/>
      <c r="AS90" s="167"/>
      <c r="AT90" s="243"/>
      <c r="AU90" s="166"/>
      <c r="AV90" s="167"/>
      <c r="AW90" s="243"/>
      <c r="AY90" s="168"/>
      <c r="AZ90" s="166"/>
      <c r="BA90" s="166"/>
      <c r="BB90" s="243"/>
      <c r="BC90" s="166"/>
      <c r="BD90" s="166"/>
      <c r="BE90" s="243"/>
      <c r="BF90" s="166"/>
      <c r="BG90" s="166"/>
      <c r="BH90" s="243"/>
      <c r="BI90" s="166"/>
      <c r="BJ90" s="167"/>
      <c r="BK90" s="243"/>
      <c r="BL90" s="166"/>
      <c r="BM90" s="167"/>
      <c r="BN90" s="243"/>
      <c r="BP90" s="168"/>
      <c r="BQ90" s="166"/>
      <c r="BR90" s="167"/>
      <c r="BS90" s="243"/>
      <c r="BT90" s="166"/>
      <c r="BU90" s="167"/>
      <c r="BV90" s="243"/>
      <c r="BW90" s="166"/>
      <c r="BX90" s="166"/>
      <c r="BY90" s="243"/>
      <c r="BZ90" s="166"/>
      <c r="CA90" s="167"/>
      <c r="CB90" s="243"/>
      <c r="CC90" s="166"/>
      <c r="CD90" s="167"/>
      <c r="CE90" s="243"/>
      <c r="CG90" s="168"/>
      <c r="CH90" s="166"/>
      <c r="CI90" s="167"/>
      <c r="CJ90" s="243"/>
      <c r="CK90" s="166"/>
      <c r="CL90" s="167"/>
      <c r="CM90" s="243"/>
      <c r="CN90" s="166"/>
      <c r="CO90" s="167"/>
      <c r="CP90" s="243"/>
      <c r="CS90" s="242"/>
      <c r="CU90" s="242"/>
      <c r="CV90" s="242"/>
      <c r="CW90" s="242"/>
      <c r="CX90" s="242"/>
      <c r="CY90" s="242"/>
      <c r="CZ90"/>
      <c r="DA90"/>
      <c r="DB90"/>
      <c r="DC90"/>
      <c r="DD90"/>
      <c r="DK90" s="196"/>
      <c r="DL90" s="97"/>
      <c r="DM90" s="196"/>
      <c r="HG90" s="73"/>
      <c r="HH90" s="73"/>
      <c r="HI90" s="73"/>
      <c r="HJ90" s="73"/>
      <c r="HK90" s="73"/>
      <c r="HL90" s="246"/>
      <c r="HM90" s="166"/>
      <c r="HN90" s="167"/>
      <c r="HO90" s="243"/>
      <c r="HP90" s="73"/>
      <c r="HQ90" s="73"/>
      <c r="HR90" s="73"/>
      <c r="HS90" s="252"/>
      <c r="HT90" s="242"/>
    </row>
    <row r="91" spans="1:228">
      <c r="A91" s="196"/>
      <c r="B91" s="97"/>
      <c r="C91" s="254"/>
      <c r="D91" s="196"/>
      <c r="E91" s="97"/>
      <c r="F91" s="1247"/>
      <c r="G91" s="1268"/>
      <c r="H91" s="1262" t="s">
        <v>476</v>
      </c>
      <c r="I91" s="1287">
        <v>3.9</v>
      </c>
      <c r="J91" s="1288">
        <v>232</v>
      </c>
      <c r="K91" s="1283">
        <f>J91*I91</f>
        <v>904.8</v>
      </c>
      <c r="L91" s="665"/>
      <c r="M91" s="1262" t="s">
        <v>476</v>
      </c>
      <c r="N91" s="1287">
        <v>3.5</v>
      </c>
      <c r="O91" s="1288">
        <v>232</v>
      </c>
      <c r="P91" s="1283">
        <f>O91*N91</f>
        <v>812</v>
      </c>
      <c r="Q91" s="665"/>
      <c r="R91" s="1262" t="s">
        <v>476</v>
      </c>
      <c r="S91" s="1287">
        <v>3.7</v>
      </c>
      <c r="T91" s="1288">
        <v>232</v>
      </c>
      <c r="U91" s="1283">
        <f>T91*S91</f>
        <v>858.40000000000009</v>
      </c>
      <c r="V91" s="665"/>
      <c r="W91" s="1262" t="s">
        <v>476</v>
      </c>
      <c r="X91" s="1287">
        <v>3.2</v>
      </c>
      <c r="Y91" s="1288">
        <v>232</v>
      </c>
      <c r="Z91" s="1283">
        <f>Y91*X91</f>
        <v>742.40000000000009</v>
      </c>
      <c r="AA91" s="665"/>
      <c r="AB91" s="1262" t="s">
        <v>476</v>
      </c>
      <c r="AC91" s="1287">
        <v>3.7</v>
      </c>
      <c r="AD91" s="1288">
        <v>232</v>
      </c>
      <c r="AE91" s="1283">
        <f>AD91*AC91</f>
        <v>858.40000000000009</v>
      </c>
      <c r="AF91" s="665"/>
      <c r="AG91" s="1262" t="s">
        <v>476</v>
      </c>
      <c r="AH91" s="1287">
        <v>3.8</v>
      </c>
      <c r="AI91" s="1288">
        <v>232</v>
      </c>
      <c r="AJ91" s="1283">
        <f>AI91*AH91</f>
        <v>881.59999999999991</v>
      </c>
      <c r="AK91" s="665"/>
      <c r="AR91" s="166"/>
      <c r="AS91" s="167"/>
      <c r="AT91" s="243"/>
      <c r="AU91" s="166"/>
      <c r="AV91" s="167"/>
      <c r="AW91" s="243"/>
      <c r="AY91" s="168"/>
      <c r="AZ91" s="166"/>
      <c r="BA91" s="167"/>
      <c r="BB91" s="243"/>
      <c r="BC91" s="166"/>
      <c r="BD91" s="167"/>
      <c r="BE91" s="243"/>
      <c r="BF91" s="166"/>
      <c r="BG91" s="167"/>
      <c r="BH91" s="243"/>
      <c r="BI91" s="166"/>
      <c r="BJ91" s="167"/>
      <c r="BK91" s="243"/>
      <c r="BL91" s="166"/>
      <c r="BM91" s="167"/>
      <c r="BN91" s="243"/>
      <c r="BP91" s="168"/>
      <c r="BQ91" s="166"/>
      <c r="BR91" s="167"/>
      <c r="BS91" s="243"/>
      <c r="BT91" s="166"/>
      <c r="BU91" s="167"/>
      <c r="BV91" s="243"/>
      <c r="BW91" s="166"/>
      <c r="BX91" s="167"/>
      <c r="BY91" s="243"/>
      <c r="BZ91" s="166"/>
      <c r="CA91" s="167"/>
      <c r="CB91" s="243"/>
      <c r="CC91" s="166"/>
      <c r="CD91" s="167"/>
      <c r="CE91" s="243"/>
      <c r="CG91" s="168"/>
      <c r="CH91" s="166"/>
      <c r="CI91" s="167"/>
      <c r="CJ91" s="243"/>
      <c r="CK91" s="166"/>
      <c r="CL91" s="167"/>
      <c r="CM91" s="243"/>
      <c r="CN91" s="166"/>
      <c r="CO91" s="167"/>
      <c r="CP91" s="243"/>
      <c r="CS91" s="242"/>
      <c r="CU91" s="242"/>
      <c r="CV91" s="242"/>
      <c r="CW91" s="242"/>
      <c r="CX91" s="242"/>
      <c r="CY91" s="242"/>
      <c r="CZ91"/>
      <c r="DA91"/>
      <c r="DB91"/>
      <c r="DC91"/>
      <c r="DD91"/>
      <c r="DK91" s="196"/>
      <c r="DL91" s="97"/>
      <c r="DM91" s="196"/>
      <c r="HG91" s="73"/>
      <c r="HH91" s="73"/>
      <c r="HI91" s="73"/>
      <c r="HJ91" s="73"/>
      <c r="HK91" s="73"/>
      <c r="HL91" s="168"/>
      <c r="HM91" s="166"/>
      <c r="HN91" s="167"/>
      <c r="HO91" s="243"/>
      <c r="HP91" s="73"/>
      <c r="HQ91" s="73"/>
      <c r="HR91" s="73"/>
      <c r="HS91" s="73"/>
      <c r="HT91" s="242"/>
    </row>
    <row r="92" spans="1:228">
      <c r="A92" s="196"/>
      <c r="B92" s="97"/>
      <c r="C92" s="97"/>
      <c r="D92" s="196"/>
      <c r="E92" s="97"/>
      <c r="F92" s="1267"/>
      <c r="G92" s="1268"/>
      <c r="H92" s="1258"/>
      <c r="I92" s="1272"/>
      <c r="J92" s="1270"/>
      <c r="K92" s="1271"/>
      <c r="L92" s="665"/>
      <c r="M92" s="1258"/>
      <c r="N92" s="1272"/>
      <c r="O92" s="1270"/>
      <c r="P92" s="1271"/>
      <c r="Q92" s="665"/>
      <c r="R92" s="1258"/>
      <c r="S92" s="1272"/>
      <c r="T92" s="1270"/>
      <c r="U92" s="1271"/>
      <c r="V92" s="665"/>
      <c r="W92" s="1258"/>
      <c r="X92" s="1272"/>
      <c r="Y92" s="1270"/>
      <c r="Z92" s="1271"/>
      <c r="AA92" s="665"/>
      <c r="AB92" s="1258"/>
      <c r="AC92" s="1272"/>
      <c r="AD92" s="1270"/>
      <c r="AE92" s="1271"/>
      <c r="AF92" s="665"/>
      <c r="AG92" s="1258"/>
      <c r="AH92" s="1272"/>
      <c r="AI92" s="1270"/>
      <c r="AJ92" s="1271"/>
      <c r="AK92" s="665"/>
      <c r="AR92" s="166"/>
      <c r="AS92" s="167"/>
      <c r="AT92" s="243"/>
      <c r="AU92" s="166"/>
      <c r="AV92" s="167"/>
      <c r="AW92" s="243"/>
      <c r="AY92" s="168"/>
      <c r="AZ92" s="166"/>
      <c r="BA92" s="167"/>
      <c r="BB92" s="243"/>
      <c r="BC92" s="166"/>
      <c r="BD92" s="167"/>
      <c r="BE92" s="243"/>
      <c r="BF92" s="166"/>
      <c r="BG92" s="167"/>
      <c r="BH92" s="243"/>
      <c r="BI92" s="166"/>
      <c r="BJ92" s="167"/>
      <c r="BK92" s="243"/>
      <c r="BL92" s="166"/>
      <c r="BM92" s="167"/>
      <c r="BN92" s="243"/>
      <c r="BP92" s="168"/>
      <c r="BQ92" s="166"/>
      <c r="BR92" s="167"/>
      <c r="BS92" s="243"/>
      <c r="BT92" s="166"/>
      <c r="BU92" s="167"/>
      <c r="BV92" s="243"/>
      <c r="BW92" s="166"/>
      <c r="BX92" s="167"/>
      <c r="BY92" s="243"/>
      <c r="BZ92" s="166"/>
      <c r="CA92" s="167"/>
      <c r="CB92" s="243"/>
      <c r="CC92" s="166"/>
      <c r="CD92" s="167"/>
      <c r="CE92" s="243"/>
      <c r="CG92" s="168"/>
      <c r="CH92" s="166"/>
      <c r="CI92" s="167"/>
      <c r="CJ92" s="243"/>
      <c r="CK92" s="166"/>
      <c r="CL92" s="167"/>
      <c r="CM92" s="243"/>
      <c r="CN92" s="166"/>
      <c r="CO92" s="167"/>
      <c r="CP92" s="243"/>
      <c r="CS92" s="242"/>
      <c r="CU92" s="242"/>
      <c r="CV92" s="242"/>
      <c r="CW92" s="242"/>
      <c r="CY92" s="242"/>
      <c r="CZ92"/>
      <c r="DA92"/>
      <c r="DB92"/>
      <c r="DC92"/>
      <c r="DD92"/>
      <c r="DK92" s="196"/>
      <c r="DL92" s="97"/>
      <c r="DM92" s="196"/>
      <c r="HG92" s="73"/>
      <c r="HH92" s="73"/>
      <c r="HI92" s="73"/>
      <c r="HJ92" s="73"/>
      <c r="HK92" s="73"/>
      <c r="HL92" s="168"/>
      <c r="HM92" s="166"/>
      <c r="HN92" s="167"/>
      <c r="HO92" s="243"/>
      <c r="HP92" s="73"/>
      <c r="HQ92" s="73"/>
      <c r="HR92" s="73"/>
      <c r="HS92" s="252"/>
      <c r="HT92" s="242"/>
    </row>
    <row r="93" spans="1:228" s="20" customFormat="1">
      <c r="A93" s="196"/>
      <c r="B93" s="97"/>
      <c r="C93" s="254"/>
      <c r="D93" s="196"/>
      <c r="E93" s="97"/>
      <c r="F93" s="1247"/>
      <c r="G93" s="1268"/>
      <c r="H93" s="1258" t="s">
        <v>477</v>
      </c>
      <c r="I93" s="1274"/>
      <c r="J93" s="1275"/>
      <c r="K93" s="1293">
        <f>SUM(K89:K92)</f>
        <v>7313.05</v>
      </c>
      <c r="L93" s="665"/>
      <c r="M93" s="1258" t="s">
        <v>477</v>
      </c>
      <c r="N93" s="1274"/>
      <c r="O93" s="1275"/>
      <c r="P93" s="1293">
        <f>SUM(P89:P92)</f>
        <v>4679.1000000000004</v>
      </c>
      <c r="Q93" s="665"/>
      <c r="R93" s="1258" t="s">
        <v>477</v>
      </c>
      <c r="S93" s="1274"/>
      <c r="T93" s="1275"/>
      <c r="U93" s="1293">
        <f>SUM(U89:U92)</f>
        <v>4982.7099999999991</v>
      </c>
      <c r="V93" s="665"/>
      <c r="W93" s="1258" t="s">
        <v>477</v>
      </c>
      <c r="X93" s="1274"/>
      <c r="Y93" s="1275"/>
      <c r="Z93" s="1293">
        <f>SUM(Z89:Z92)</f>
        <v>2405.7420000000002</v>
      </c>
      <c r="AA93" s="665"/>
      <c r="AB93" s="1258" t="s">
        <v>477</v>
      </c>
      <c r="AC93" s="1274"/>
      <c r="AD93" s="1275"/>
      <c r="AE93" s="1293">
        <f>SUM(AE89:AE92)</f>
        <v>4966.7099999999991</v>
      </c>
      <c r="AF93" s="665"/>
      <c r="AG93" s="1258" t="s">
        <v>477</v>
      </c>
      <c r="AH93" s="1274"/>
      <c r="AI93" s="1275"/>
      <c r="AJ93" s="1293">
        <f>SUM(AJ89:AJ92)</f>
        <v>4006.5</v>
      </c>
      <c r="AK93" s="665"/>
      <c r="AR93" s="277"/>
      <c r="AS93" s="278"/>
      <c r="AT93" s="279"/>
      <c r="AU93" s="277"/>
      <c r="AV93" s="278"/>
      <c r="AW93" s="279"/>
      <c r="AX93" s="74"/>
      <c r="AY93" s="280"/>
      <c r="AZ93" s="277"/>
      <c r="BA93" s="278"/>
      <c r="BB93" s="279"/>
      <c r="BC93" s="277"/>
      <c r="BD93" s="278"/>
      <c r="BE93" s="279"/>
      <c r="BF93" s="277"/>
      <c r="BG93" s="278"/>
      <c r="BH93" s="279"/>
      <c r="BI93" s="277"/>
      <c r="BJ93" s="278"/>
      <c r="BK93" s="279"/>
      <c r="BL93" s="277"/>
      <c r="BM93" s="278"/>
      <c r="BN93" s="279"/>
      <c r="BO93" s="74"/>
      <c r="BP93" s="280"/>
      <c r="BQ93" s="277"/>
      <c r="BR93" s="278"/>
      <c r="BS93" s="279"/>
      <c r="BT93" s="277"/>
      <c r="BU93" s="278"/>
      <c r="BV93" s="279"/>
      <c r="BW93" s="277"/>
      <c r="BX93" s="278"/>
      <c r="BY93" s="279"/>
      <c r="BZ93" s="277"/>
      <c r="CA93" s="278"/>
      <c r="CB93" s="279"/>
      <c r="CC93" s="277"/>
      <c r="CD93" s="278"/>
      <c r="CE93" s="279"/>
      <c r="CF93" s="74"/>
      <c r="CG93" s="280"/>
      <c r="CH93" s="277"/>
      <c r="CI93" s="278"/>
      <c r="CJ93" s="279"/>
      <c r="CK93" s="277"/>
      <c r="CL93" s="278"/>
      <c r="CM93" s="279"/>
      <c r="CN93" s="277"/>
      <c r="CO93" s="278"/>
      <c r="CP93" s="279"/>
      <c r="CQ93" s="74"/>
      <c r="CR93" s="74"/>
      <c r="CS93" s="281"/>
      <c r="CT93" s="74"/>
      <c r="CU93" s="281"/>
      <c r="CV93" s="281"/>
      <c r="CW93" s="281"/>
      <c r="CX93" s="74"/>
      <c r="CY93" s="281"/>
      <c r="DK93" s="282"/>
      <c r="DL93" s="283"/>
      <c r="DM93" s="282"/>
      <c r="HG93" s="74"/>
      <c r="HH93" s="74"/>
      <c r="HI93" s="74"/>
      <c r="HJ93" s="74"/>
      <c r="HK93" s="74"/>
      <c r="HL93" s="280"/>
      <c r="HM93" s="277"/>
      <c r="HN93" s="278"/>
      <c r="HO93" s="284"/>
      <c r="HP93" s="74"/>
      <c r="HQ93" s="74"/>
      <c r="HR93" s="74"/>
      <c r="HS93" s="74"/>
      <c r="HT93" s="74"/>
    </row>
    <row r="94" spans="1:228" s="20" customFormat="1" ht="15.75">
      <c r="A94" s="196"/>
      <c r="B94" s="97"/>
      <c r="C94" s="253"/>
      <c r="D94" s="196"/>
      <c r="E94" s="97"/>
      <c r="F94" s="1247"/>
      <c r="G94" s="1268"/>
      <c r="H94" s="1294"/>
      <c r="I94" s="1295"/>
      <c r="J94" s="1296"/>
      <c r="K94" s="1297"/>
      <c r="L94" s="665"/>
      <c r="M94" s="1294"/>
      <c r="N94" s="1295"/>
      <c r="O94" s="1296"/>
      <c r="P94" s="1297"/>
      <c r="Q94" s="665"/>
      <c r="R94" s="1294"/>
      <c r="S94" s="1295"/>
      <c r="T94" s="1296"/>
      <c r="U94" s="1297"/>
      <c r="V94" s="665"/>
      <c r="W94" s="1294"/>
      <c r="X94" s="1295"/>
      <c r="Y94" s="1296"/>
      <c r="Z94" s="1297"/>
      <c r="AA94" s="665"/>
      <c r="AB94" s="1294"/>
      <c r="AC94" s="1295"/>
      <c r="AD94" s="1296"/>
      <c r="AE94" s="1297"/>
      <c r="AF94" s="665"/>
      <c r="AG94" s="1294"/>
      <c r="AH94" s="1295"/>
      <c r="AI94" s="1296"/>
      <c r="AJ94" s="1297"/>
      <c r="AK94" s="665"/>
      <c r="AR94" s="285"/>
      <c r="AS94" s="286"/>
      <c r="AT94" s="286"/>
      <c r="AU94" s="285"/>
      <c r="AV94" s="286"/>
      <c r="AW94" s="286"/>
      <c r="AX94" s="74"/>
      <c r="AY94" s="287"/>
      <c r="AZ94" s="285"/>
      <c r="BA94" s="286"/>
      <c r="BB94" s="286"/>
      <c r="BC94" s="285"/>
      <c r="BD94" s="286"/>
      <c r="BE94" s="286"/>
      <c r="BF94" s="285"/>
      <c r="BG94" s="286"/>
      <c r="BH94" s="286"/>
      <c r="BI94" s="285"/>
      <c r="BJ94" s="286"/>
      <c r="BK94" s="286"/>
      <c r="BL94" s="285"/>
      <c r="BM94" s="286"/>
      <c r="BN94" s="286"/>
      <c r="BO94" s="74"/>
      <c r="BP94" s="287"/>
      <c r="BQ94" s="285"/>
      <c r="BR94" s="286"/>
      <c r="BS94" s="286"/>
      <c r="BT94" s="285"/>
      <c r="BU94" s="286"/>
      <c r="BV94" s="286"/>
      <c r="BW94" s="285"/>
      <c r="BX94" s="286"/>
      <c r="BY94" s="286"/>
      <c r="BZ94" s="285"/>
      <c r="CA94" s="286"/>
      <c r="CB94" s="286"/>
      <c r="CC94" s="285"/>
      <c r="CD94" s="286"/>
      <c r="CE94" s="286"/>
      <c r="CF94" s="74"/>
      <c r="CG94" s="287"/>
      <c r="CH94" s="285"/>
      <c r="CI94" s="286"/>
      <c r="CJ94" s="286"/>
      <c r="CK94" s="285"/>
      <c r="CL94" s="286"/>
      <c r="CM94" s="286"/>
      <c r="CN94" s="285"/>
      <c r="CO94" s="286"/>
      <c r="CP94" s="286"/>
      <c r="CQ94" s="74"/>
      <c r="CR94" s="74"/>
      <c r="CS94" s="281"/>
      <c r="CT94" s="74"/>
      <c r="CU94" s="281"/>
      <c r="CV94" s="281"/>
      <c r="CW94" s="281"/>
      <c r="CX94" s="74"/>
      <c r="CY94" s="74"/>
      <c r="DK94" s="282"/>
      <c r="DL94" s="283"/>
      <c r="DM94" s="282"/>
      <c r="HG94" s="74"/>
      <c r="HH94" s="74"/>
      <c r="HI94" s="74"/>
      <c r="HJ94" s="74"/>
      <c r="HK94" s="74"/>
      <c r="HL94" s="280"/>
      <c r="HM94" s="277"/>
      <c r="HN94" s="278"/>
      <c r="HO94" s="284"/>
      <c r="HP94" s="74"/>
      <c r="HQ94" s="74"/>
      <c r="HR94" s="74"/>
      <c r="HS94" s="288"/>
      <c r="HT94" s="281"/>
    </row>
    <row r="95" spans="1:228" s="20" customFormat="1" ht="16.5" thickBot="1">
      <c r="A95" s="196"/>
      <c r="B95" s="97"/>
      <c r="C95" s="254"/>
      <c r="D95" s="196"/>
      <c r="E95" s="97"/>
      <c r="F95" s="1247"/>
      <c r="G95" s="1268"/>
      <c r="H95" s="1294" t="s">
        <v>478</v>
      </c>
      <c r="I95" s="1294"/>
      <c r="J95" s="1298"/>
      <c r="K95" s="1299">
        <f>K62-K89</f>
        <v>8495.7499999999982</v>
      </c>
      <c r="L95" s="665"/>
      <c r="M95" s="1294" t="s">
        <v>478</v>
      </c>
      <c r="N95" s="1294"/>
      <c r="O95" s="1298"/>
      <c r="P95" s="1300">
        <f>P62-P89</f>
        <v>2093.8999999999996</v>
      </c>
      <c r="Q95" s="665"/>
      <c r="R95" s="1294" t="s">
        <v>478</v>
      </c>
      <c r="S95" s="1294"/>
      <c r="T95" s="1298"/>
      <c r="U95" s="1300">
        <f>U62-U89</f>
        <v>3258.69</v>
      </c>
      <c r="V95" s="665"/>
      <c r="W95" s="1294" t="s">
        <v>478</v>
      </c>
      <c r="X95" s="1294"/>
      <c r="Y95" s="1298"/>
      <c r="Z95" s="1300">
        <f>Z62-Z89</f>
        <v>6678.6579999999994</v>
      </c>
      <c r="AA95" s="665"/>
      <c r="AB95" s="1294" t="s">
        <v>478</v>
      </c>
      <c r="AC95" s="1294"/>
      <c r="AD95" s="1298"/>
      <c r="AE95" s="1300">
        <f>AE62-AE89</f>
        <v>3474.69</v>
      </c>
      <c r="AF95" s="665"/>
      <c r="AG95" s="1294" t="s">
        <v>478</v>
      </c>
      <c r="AH95" s="1294"/>
      <c r="AI95" s="1298"/>
      <c r="AJ95" s="1300">
        <f>AJ62-AJ89</f>
        <v>2884.1</v>
      </c>
      <c r="AK95" s="665"/>
      <c r="AR95" s="287"/>
      <c r="AS95" s="289"/>
      <c r="AT95" s="290"/>
      <c r="AU95" s="287"/>
      <c r="AV95" s="289"/>
      <c r="AW95" s="290"/>
      <c r="AX95" s="74"/>
      <c r="AY95" s="287"/>
      <c r="AZ95" s="287"/>
      <c r="BA95" s="289"/>
      <c r="BB95" s="290"/>
      <c r="BC95" s="287"/>
      <c r="BD95" s="289"/>
      <c r="BE95" s="290"/>
      <c r="BF95" s="287"/>
      <c r="BG95" s="289"/>
      <c r="BH95" s="290"/>
      <c r="BI95" s="287"/>
      <c r="BJ95" s="289"/>
      <c r="BK95" s="290"/>
      <c r="BL95" s="287"/>
      <c r="BM95" s="289"/>
      <c r="BN95" s="290"/>
      <c r="BO95" s="74"/>
      <c r="BP95" s="287"/>
      <c r="BQ95" s="287"/>
      <c r="BR95" s="289"/>
      <c r="BS95" s="290"/>
      <c r="BT95" s="287"/>
      <c r="BU95" s="289"/>
      <c r="BV95" s="290"/>
      <c r="BW95" s="287"/>
      <c r="BX95" s="289"/>
      <c r="BY95" s="290"/>
      <c r="BZ95" s="287"/>
      <c r="CA95" s="289"/>
      <c r="CB95" s="290"/>
      <c r="CC95" s="287"/>
      <c r="CD95" s="289"/>
      <c r="CE95" s="290"/>
      <c r="CF95" s="74"/>
      <c r="CG95" s="287"/>
      <c r="CH95" s="287"/>
      <c r="CI95" s="289"/>
      <c r="CJ95" s="290"/>
      <c r="CK95" s="287"/>
      <c r="CL95" s="289"/>
      <c r="CM95" s="290"/>
      <c r="CN95" s="287"/>
      <c r="CO95" s="289"/>
      <c r="CP95" s="290"/>
      <c r="CQ95" s="74"/>
      <c r="CR95" s="74"/>
      <c r="CS95" s="281"/>
      <c r="CT95" s="74"/>
      <c r="CU95" s="281"/>
      <c r="CV95" s="281"/>
      <c r="CW95" s="281"/>
      <c r="CX95" s="74"/>
      <c r="CY95" s="74"/>
      <c r="DK95" s="282"/>
      <c r="DL95" s="283"/>
      <c r="DM95" s="282"/>
      <c r="HG95" s="74"/>
      <c r="HH95" s="74"/>
      <c r="HI95" s="74"/>
      <c r="HJ95" s="74"/>
      <c r="HK95" s="74"/>
      <c r="HL95" s="280"/>
      <c r="HM95" s="277"/>
      <c r="HN95" s="278"/>
      <c r="HO95" s="284"/>
      <c r="HP95" s="74"/>
      <c r="HQ95" s="74"/>
      <c r="HR95" s="74"/>
      <c r="HS95" s="74"/>
      <c r="HT95" s="74"/>
    </row>
    <row r="96" spans="1:228" s="296" customFormat="1" ht="19.5" thickBot="1">
      <c r="A96" s="257"/>
      <c r="B96" s="258"/>
      <c r="C96" s="259"/>
      <c r="D96" s="257"/>
      <c r="E96" s="258"/>
      <c r="F96" s="1301"/>
      <c r="G96" s="1302"/>
      <c r="H96" s="1303" t="s">
        <v>447</v>
      </c>
      <c r="I96" s="1304"/>
      <c r="J96" s="1305"/>
      <c r="K96" s="1306">
        <f>K62-K93</f>
        <v>7547.949999999998</v>
      </c>
      <c r="L96" s="1307"/>
      <c r="M96" s="1303" t="s">
        <v>447</v>
      </c>
      <c r="N96" s="1304"/>
      <c r="O96" s="1305"/>
      <c r="P96" s="1306">
        <f>P62-P93</f>
        <v>1232.8999999999996</v>
      </c>
      <c r="Q96" s="1307"/>
      <c r="R96" s="1303" t="s">
        <v>447</v>
      </c>
      <c r="S96" s="1304"/>
      <c r="T96" s="1305"/>
      <c r="U96" s="1306">
        <f>U62-U93</f>
        <v>2337.2900000000009</v>
      </c>
      <c r="V96" s="1307"/>
      <c r="W96" s="1303" t="s">
        <v>447</v>
      </c>
      <c r="X96" s="1304"/>
      <c r="Y96" s="1305"/>
      <c r="Z96" s="1306">
        <f>Z62-Z93</f>
        <v>5910.2579999999998</v>
      </c>
      <c r="AA96" s="1307"/>
      <c r="AB96" s="1303" t="s">
        <v>447</v>
      </c>
      <c r="AC96" s="1304"/>
      <c r="AD96" s="1305"/>
      <c r="AE96" s="1306">
        <f>AE62-AE93</f>
        <v>2553.2900000000009</v>
      </c>
      <c r="AF96" s="1307"/>
      <c r="AG96" s="1303" t="s">
        <v>447</v>
      </c>
      <c r="AH96" s="1304"/>
      <c r="AI96" s="1305"/>
      <c r="AJ96" s="1306">
        <f>AJ62-AJ93</f>
        <v>1963.5</v>
      </c>
      <c r="AK96" s="1307"/>
      <c r="AL96" s="20"/>
      <c r="AM96" s="20"/>
      <c r="AN96" s="20"/>
      <c r="AO96" s="20"/>
      <c r="AP96" s="20"/>
      <c r="AQ96" s="20"/>
      <c r="AR96" s="291"/>
      <c r="AS96" s="292"/>
      <c r="AT96" s="293"/>
      <c r="AU96" s="291"/>
      <c r="AV96" s="292"/>
      <c r="AW96" s="293"/>
      <c r="AX96" s="294"/>
      <c r="AY96" s="291"/>
      <c r="AZ96" s="291"/>
      <c r="BA96" s="292"/>
      <c r="BB96" s="293"/>
      <c r="BC96" s="291"/>
      <c r="BD96" s="292"/>
      <c r="BE96" s="293"/>
      <c r="BF96" s="291"/>
      <c r="BG96" s="292"/>
      <c r="BH96" s="293"/>
      <c r="BI96" s="291"/>
      <c r="BJ96" s="292"/>
      <c r="BK96" s="293"/>
      <c r="BL96" s="291"/>
      <c r="BM96" s="292"/>
      <c r="BN96" s="293"/>
      <c r="BO96" s="294"/>
      <c r="BP96" s="291"/>
      <c r="BQ96" s="291"/>
      <c r="BR96" s="292"/>
      <c r="BS96" s="293"/>
      <c r="BT96" s="291"/>
      <c r="BU96" s="292"/>
      <c r="BV96" s="293"/>
      <c r="BW96" s="291"/>
      <c r="BX96" s="292"/>
      <c r="BY96" s="293"/>
      <c r="BZ96" s="291"/>
      <c r="CA96" s="292"/>
      <c r="CB96" s="293"/>
      <c r="CC96" s="291"/>
      <c r="CD96" s="292"/>
      <c r="CE96" s="293"/>
      <c r="CF96" s="294"/>
      <c r="CG96" s="291"/>
      <c r="CH96" s="291"/>
      <c r="CI96" s="292"/>
      <c r="CJ96" s="293"/>
      <c r="CK96" s="291"/>
      <c r="CL96" s="292"/>
      <c r="CM96" s="293"/>
      <c r="CN96" s="291"/>
      <c r="CO96" s="292"/>
      <c r="CP96" s="293"/>
      <c r="CQ96" s="294"/>
      <c r="CR96" s="294"/>
      <c r="CS96" s="295"/>
      <c r="CT96" s="294"/>
      <c r="CU96" s="295"/>
      <c r="CV96" s="295"/>
      <c r="CW96" s="295"/>
      <c r="CX96" s="294"/>
      <c r="CY96" s="294"/>
      <c r="DK96" s="297"/>
      <c r="DL96" s="298"/>
      <c r="DM96" s="297"/>
      <c r="HG96" s="294"/>
      <c r="HH96" s="294"/>
      <c r="HI96" s="294"/>
      <c r="HJ96" s="294"/>
      <c r="HK96" s="294"/>
      <c r="HL96" s="291"/>
      <c r="HM96" s="291"/>
      <c r="HN96" s="292"/>
      <c r="HO96" s="293"/>
      <c r="HP96" s="294"/>
      <c r="HQ96" s="294"/>
      <c r="HR96" s="294"/>
      <c r="HS96" s="299"/>
      <c r="HT96" s="295"/>
    </row>
    <row r="97" spans="1:228" s="20" customFormat="1" ht="16.5" thickBot="1">
      <c r="A97" s="196"/>
      <c r="B97" s="97"/>
      <c r="C97" s="254"/>
      <c r="D97" s="196"/>
      <c r="E97" s="97"/>
      <c r="F97" s="1247"/>
      <c r="G97" s="1268"/>
      <c r="H97" s="1308"/>
      <c r="I97" s="1309"/>
      <c r="J97" s="1310"/>
      <c r="K97" s="1311"/>
      <c r="L97" s="665"/>
      <c r="M97" s="1308"/>
      <c r="N97" s="1309"/>
      <c r="O97" s="1310"/>
      <c r="P97" s="1312"/>
      <c r="Q97" s="665"/>
      <c r="R97" s="1308"/>
      <c r="S97" s="1309"/>
      <c r="T97" s="1310"/>
      <c r="U97" s="1312"/>
      <c r="V97" s="665"/>
      <c r="W97" s="1308"/>
      <c r="X97" s="1309"/>
      <c r="Y97" s="1310"/>
      <c r="Z97" s="1312"/>
      <c r="AA97" s="665"/>
      <c r="AB97" s="1308"/>
      <c r="AC97" s="1309"/>
      <c r="AD97" s="1310"/>
      <c r="AE97" s="1312"/>
      <c r="AF97" s="665"/>
      <c r="AG97" s="1308"/>
      <c r="AH97" s="1309"/>
      <c r="AI97" s="1310"/>
      <c r="AJ97" s="1312"/>
      <c r="AK97" s="665"/>
      <c r="AR97" s="285"/>
      <c r="AS97" s="286"/>
      <c r="AT97" s="286"/>
      <c r="AU97" s="285"/>
      <c r="AV97" s="286"/>
      <c r="AW97" s="286"/>
      <c r="AX97" s="74"/>
      <c r="AY97" s="287"/>
      <c r="AZ97" s="285"/>
      <c r="BA97" s="286"/>
      <c r="BB97" s="286"/>
      <c r="BC97" s="285"/>
      <c r="BD97" s="286"/>
      <c r="BE97" s="286"/>
      <c r="BF97" s="285"/>
      <c r="BG97" s="286"/>
      <c r="BH97" s="286"/>
      <c r="BI97" s="285"/>
      <c r="BJ97" s="286"/>
      <c r="BK97" s="286"/>
      <c r="BL97" s="285"/>
      <c r="BM97" s="286"/>
      <c r="BN97" s="286"/>
      <c r="BO97" s="74"/>
      <c r="BP97" s="287"/>
      <c r="BQ97" s="285"/>
      <c r="BR97" s="286"/>
      <c r="BS97" s="286"/>
      <c r="BT97" s="285"/>
      <c r="BU97" s="286"/>
      <c r="BV97" s="286"/>
      <c r="BW97" s="285"/>
      <c r="BX97" s="286"/>
      <c r="BY97" s="286"/>
      <c r="BZ97" s="285"/>
      <c r="CA97" s="286"/>
      <c r="CB97" s="286"/>
      <c r="CC97" s="285"/>
      <c r="CD97" s="286"/>
      <c r="CE97" s="286"/>
      <c r="CF97" s="74"/>
      <c r="CG97" s="287"/>
      <c r="CH97" s="285"/>
      <c r="CI97" s="286"/>
      <c r="CJ97" s="286"/>
      <c r="CK97" s="285"/>
      <c r="CL97" s="286"/>
      <c r="CM97" s="286"/>
      <c r="CN97" s="285"/>
      <c r="CO97" s="286"/>
      <c r="CP97" s="286"/>
      <c r="CQ97" s="74"/>
      <c r="CR97" s="74"/>
      <c r="CS97" s="281"/>
      <c r="CT97" s="74"/>
      <c r="CU97" s="281"/>
      <c r="CV97" s="281"/>
      <c r="CW97" s="281"/>
      <c r="CX97" s="74"/>
      <c r="CY97" s="74"/>
      <c r="DK97" s="282"/>
      <c r="DL97" s="283"/>
      <c r="DM97" s="282"/>
      <c r="HG97" s="74"/>
      <c r="HH97" s="74"/>
      <c r="HI97" s="74"/>
      <c r="HJ97" s="74"/>
      <c r="HK97" s="74"/>
      <c r="HL97" s="280"/>
      <c r="HM97" s="277"/>
      <c r="HN97" s="278"/>
      <c r="HO97" s="284"/>
      <c r="HP97" s="74"/>
      <c r="HQ97" s="74"/>
      <c r="HR97" s="74"/>
      <c r="HS97" s="288"/>
      <c r="HT97" s="281"/>
    </row>
    <row r="98" spans="1:228" s="300" customFormat="1" ht="15.75">
      <c r="A98" s="260"/>
      <c r="B98" s="261"/>
      <c r="C98" s="261"/>
      <c r="D98" s="260"/>
      <c r="E98" s="261"/>
      <c r="F98" s="1313"/>
      <c r="G98" s="708"/>
      <c r="H98" s="1314"/>
      <c r="I98" s="1314"/>
      <c r="J98" s="1315"/>
      <c r="K98" s="1316"/>
      <c r="L98" s="1316"/>
      <c r="M98" s="1316"/>
      <c r="N98" s="1314"/>
      <c r="O98" s="1315"/>
      <c r="P98" s="1317"/>
      <c r="Q98" s="1316"/>
      <c r="R98" s="1316"/>
      <c r="S98" s="1314"/>
      <c r="T98" s="1315"/>
      <c r="U98" s="1317"/>
      <c r="V98" s="1316"/>
      <c r="W98" s="1316"/>
      <c r="X98" s="1314"/>
      <c r="Y98" s="1315"/>
      <c r="Z98" s="1317"/>
      <c r="AA98" s="1316"/>
      <c r="AB98" s="1316"/>
      <c r="AC98" s="1314"/>
      <c r="AD98" s="1315"/>
      <c r="AE98" s="1317"/>
      <c r="AF98" s="1316"/>
      <c r="AG98" s="1316"/>
      <c r="AH98" s="1314"/>
      <c r="AI98" s="1315"/>
      <c r="AJ98" s="1317"/>
      <c r="AK98" s="1316"/>
      <c r="AL98" s="20"/>
      <c r="AM98" s="20"/>
      <c r="AN98" s="20"/>
      <c r="AO98" s="20"/>
      <c r="AP98" s="20"/>
      <c r="AQ98" s="20"/>
      <c r="AR98" s="287"/>
      <c r="AS98" s="289"/>
      <c r="AT98" s="290"/>
      <c r="AU98" s="287"/>
      <c r="AV98" s="289"/>
      <c r="AW98" s="290"/>
      <c r="AX98" s="74"/>
      <c r="AY98" s="287"/>
      <c r="AZ98" s="287"/>
      <c r="BA98" s="289"/>
      <c r="BB98" s="290"/>
      <c r="BC98" s="287"/>
      <c r="BD98" s="289"/>
      <c r="BE98" s="290"/>
      <c r="BF98" s="287"/>
      <c r="BG98" s="289"/>
      <c r="BH98" s="290"/>
      <c r="BI98" s="287"/>
      <c r="BJ98" s="289"/>
      <c r="BK98" s="290"/>
      <c r="BL98" s="287"/>
      <c r="BM98" s="289"/>
      <c r="BN98" s="290"/>
      <c r="BO98" s="74"/>
      <c r="BP98" s="287"/>
      <c r="BQ98" s="287"/>
      <c r="BR98" s="289"/>
      <c r="BS98" s="290"/>
      <c r="BT98" s="287"/>
      <c r="BU98" s="289"/>
      <c r="BV98" s="290"/>
      <c r="BW98" s="287"/>
      <c r="BX98" s="289"/>
      <c r="BY98" s="290"/>
      <c r="BZ98" s="287"/>
      <c r="CA98" s="289"/>
      <c r="CB98" s="290"/>
      <c r="CC98" s="287"/>
      <c r="CD98" s="289"/>
      <c r="CE98" s="290"/>
      <c r="CF98" s="74"/>
      <c r="CG98" s="287"/>
      <c r="CH98" s="287"/>
      <c r="CI98" s="289"/>
      <c r="CJ98" s="290"/>
      <c r="CK98" s="287"/>
      <c r="CL98" s="289"/>
      <c r="CM98" s="290"/>
      <c r="CN98" s="287"/>
      <c r="CO98" s="289"/>
      <c r="CP98" s="290"/>
      <c r="CQ98" s="74"/>
      <c r="CR98" s="74"/>
      <c r="CS98" s="74"/>
      <c r="CT98" s="74"/>
      <c r="CU98" s="74"/>
      <c r="CV98" s="74"/>
      <c r="CW98" s="74"/>
      <c r="CX98" s="74"/>
      <c r="CY98" s="74"/>
      <c r="CZ98" s="74"/>
      <c r="DA98" s="74"/>
      <c r="DB98" s="74"/>
      <c r="DC98" s="74"/>
      <c r="DD98" s="74"/>
      <c r="DE98" s="74"/>
      <c r="DF98" s="74"/>
      <c r="DG98" s="74"/>
      <c r="DH98" s="74"/>
      <c r="DI98" s="74"/>
      <c r="DJ98" s="74"/>
      <c r="DK98" s="288"/>
      <c r="DL98" s="281"/>
      <c r="DM98" s="288"/>
      <c r="DO98" s="74"/>
      <c r="DP98" s="74"/>
      <c r="DQ98" s="74"/>
      <c r="DR98" s="74"/>
      <c r="DS98" s="74"/>
      <c r="DT98" s="74"/>
      <c r="DU98" s="74"/>
      <c r="DV98" s="74"/>
      <c r="DW98" s="74"/>
      <c r="DX98" s="74"/>
      <c r="DY98" s="74"/>
      <c r="DZ98" s="74"/>
      <c r="EA98" s="74"/>
      <c r="EB98" s="74"/>
      <c r="EC98" s="74"/>
      <c r="ED98" s="74"/>
      <c r="EE98" s="74"/>
      <c r="EF98" s="74"/>
      <c r="EG98" s="74"/>
      <c r="EH98" s="74"/>
      <c r="EI98" s="74"/>
      <c r="EJ98" s="74"/>
      <c r="EK98" s="74"/>
      <c r="EL98" s="74"/>
      <c r="EM98" s="74"/>
      <c r="EN98" s="74"/>
      <c r="EO98" s="74"/>
      <c r="EP98" s="74"/>
      <c r="EQ98" s="74"/>
      <c r="ER98" s="74"/>
      <c r="ES98" s="74"/>
      <c r="ET98" s="74"/>
      <c r="EU98" s="74"/>
      <c r="EV98" s="74"/>
      <c r="EW98" s="74"/>
      <c r="EX98" s="74"/>
      <c r="EY98" s="74"/>
      <c r="EZ98" s="74"/>
      <c r="FA98" s="74"/>
      <c r="FB98" s="74"/>
      <c r="FC98" s="74"/>
      <c r="FD98" s="74"/>
      <c r="FE98" s="74"/>
      <c r="FF98" s="74"/>
      <c r="FG98" s="74"/>
      <c r="FH98" s="74"/>
      <c r="FI98" s="74"/>
      <c r="FJ98" s="74"/>
      <c r="FK98" s="74"/>
      <c r="FL98" s="74"/>
      <c r="FM98" s="74"/>
      <c r="FN98" s="74"/>
      <c r="FO98" s="74"/>
      <c r="FP98" s="74"/>
      <c r="FQ98" s="74"/>
      <c r="FR98" s="74"/>
      <c r="FS98" s="74"/>
      <c r="FT98" s="74"/>
      <c r="FU98" s="74"/>
      <c r="FV98" s="74"/>
      <c r="FW98" s="74"/>
      <c r="FX98" s="74"/>
      <c r="FY98" s="74"/>
      <c r="FZ98" s="74"/>
      <c r="GA98" s="74"/>
      <c r="GB98" s="74"/>
      <c r="GC98" s="74"/>
      <c r="GD98" s="74"/>
      <c r="GE98" s="74"/>
      <c r="GF98" s="74"/>
      <c r="GG98" s="74"/>
      <c r="GH98" s="74"/>
      <c r="GI98" s="74"/>
      <c r="GJ98" s="74"/>
      <c r="GK98" s="74"/>
      <c r="GL98" s="74"/>
      <c r="GM98" s="74"/>
      <c r="GN98" s="74"/>
      <c r="GO98" s="74"/>
      <c r="GP98" s="74"/>
      <c r="GQ98" s="74"/>
      <c r="GR98" s="74"/>
      <c r="GS98" s="74"/>
      <c r="GT98" s="74"/>
      <c r="GU98" s="74"/>
      <c r="GV98" s="74"/>
      <c r="GW98" s="74"/>
      <c r="GX98" s="74"/>
      <c r="GY98" s="74"/>
      <c r="GZ98" s="74"/>
      <c r="HA98" s="74"/>
      <c r="HB98" s="74"/>
      <c r="HC98" s="74"/>
      <c r="HD98" s="74"/>
      <c r="HE98" s="74"/>
      <c r="HF98" s="74"/>
      <c r="HG98" s="74"/>
      <c r="HH98" s="74"/>
      <c r="HI98" s="74"/>
      <c r="HJ98" s="74"/>
      <c r="HK98" s="74"/>
      <c r="HL98" s="280"/>
      <c r="HM98" s="277"/>
      <c r="HN98" s="278"/>
      <c r="HO98" s="284"/>
      <c r="HP98" s="74"/>
      <c r="HQ98" s="74"/>
      <c r="HR98" s="74"/>
      <c r="HS98" s="288"/>
      <c r="HT98" s="281"/>
    </row>
    <row r="99" spans="1:228" s="20" customFormat="1">
      <c r="A99"/>
      <c r="B99"/>
      <c r="C99"/>
      <c r="D99"/>
      <c r="E99"/>
      <c r="F99" s="263"/>
      <c r="G99" s="9"/>
      <c r="H99" s="9"/>
      <c r="I99" s="267"/>
      <c r="J99" s="267"/>
      <c r="K99" s="267"/>
      <c r="L99" s="267"/>
      <c r="M99" s="267"/>
      <c r="N99" s="267"/>
      <c r="O99" s="267"/>
      <c r="P99" s="267"/>
      <c r="Q99" s="263"/>
      <c r="R99" s="263"/>
      <c r="S99" s="263"/>
      <c r="T99" s="263"/>
      <c r="U99" s="263"/>
      <c r="V99" s="263"/>
      <c r="W99" s="263"/>
      <c r="X99" s="263"/>
      <c r="Y99" s="263"/>
      <c r="Z99" s="263"/>
      <c r="AA99" s="263"/>
      <c r="AB99" s="263"/>
      <c r="AC99" s="263"/>
      <c r="AD99" s="263"/>
      <c r="AE99" s="263"/>
      <c r="AF99" s="263"/>
      <c r="AG99" s="263"/>
      <c r="AH99" s="263"/>
      <c r="AI99" s="263"/>
      <c r="AJ99" s="263"/>
      <c r="AK99" s="263"/>
      <c r="HG99" s="74"/>
      <c r="HH99" s="74"/>
      <c r="HI99" s="74"/>
      <c r="HJ99" s="74"/>
      <c r="HK99" s="74"/>
      <c r="HL99" s="74"/>
      <c r="HM99" s="74"/>
      <c r="HN99" s="74"/>
      <c r="HO99" s="74"/>
      <c r="HP99" s="74"/>
      <c r="HQ99" s="74"/>
      <c r="HR99" s="74"/>
      <c r="HS99" s="74"/>
      <c r="HT99" s="74"/>
    </row>
    <row r="100" spans="1:228" ht="15">
      <c r="A100"/>
      <c r="F100" s="263"/>
      <c r="G100" s="351"/>
      <c r="H100" s="352"/>
      <c r="I100" s="353"/>
      <c r="J100" s="354"/>
      <c r="K100" s="267"/>
      <c r="L100" s="267"/>
      <c r="M100" s="267"/>
      <c r="N100" s="267"/>
      <c r="O100" s="267"/>
      <c r="P100" s="267"/>
      <c r="Q100" s="263"/>
      <c r="R100" s="263"/>
      <c r="S100" s="263"/>
      <c r="T100" s="263"/>
      <c r="U100" s="263"/>
      <c r="V100" s="263"/>
      <c r="W100" s="263"/>
      <c r="X100" s="263"/>
      <c r="Y100" s="263"/>
      <c r="Z100" s="263"/>
      <c r="AA100" s="263"/>
      <c r="AB100" s="263"/>
      <c r="AC100" s="263"/>
      <c r="AD100" s="263"/>
      <c r="AE100" s="263"/>
      <c r="AF100" s="263"/>
      <c r="AG100" s="263"/>
      <c r="AH100" s="263"/>
      <c r="AI100" s="263"/>
      <c r="AJ100" s="263"/>
      <c r="AK100" s="263"/>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HG100" s="73"/>
      <c r="HH100" s="73"/>
      <c r="HI100" s="73"/>
      <c r="HJ100" s="73"/>
      <c r="HK100" s="73"/>
      <c r="HL100" s="73"/>
      <c r="HM100" s="73"/>
      <c r="HN100" s="73"/>
      <c r="HO100" s="73"/>
      <c r="HP100" s="73"/>
      <c r="HQ100" s="73"/>
      <c r="HR100" s="73"/>
      <c r="HS100" s="73"/>
      <c r="HT100" s="73"/>
    </row>
    <row r="101" spans="1:228" ht="15.75">
      <c r="A101"/>
      <c r="F101" s="263"/>
      <c r="G101" s="355"/>
      <c r="H101" s="349" t="s">
        <v>101</v>
      </c>
      <c r="I101" s="350"/>
      <c r="J101" s="356"/>
      <c r="K101" s="267"/>
      <c r="L101" s="267"/>
      <c r="M101" s="267"/>
      <c r="N101" s="267"/>
      <c r="O101" s="267"/>
      <c r="P101" s="710"/>
      <c r="Q101" s="518"/>
      <c r="R101" s="518"/>
      <c r="S101" s="1048"/>
      <c r="T101" s="1048"/>
      <c r="U101" s="1048"/>
      <c r="V101" s="263"/>
      <c r="W101" s="263"/>
      <c r="X101" s="263"/>
      <c r="Y101" s="263"/>
      <c r="Z101" s="263"/>
      <c r="AA101" s="263"/>
      <c r="AB101" s="263"/>
      <c r="AC101" s="263"/>
      <c r="AD101" s="263"/>
      <c r="AE101" s="263"/>
      <c r="AF101" s="263"/>
      <c r="AG101" s="263"/>
      <c r="AH101" s="263"/>
      <c r="AI101" s="263"/>
      <c r="AJ101" s="263"/>
      <c r="AK101" s="263"/>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HG101" s="73"/>
      <c r="HH101" s="73"/>
      <c r="HI101" s="73"/>
      <c r="HJ101" s="73"/>
      <c r="HK101" s="73"/>
      <c r="HL101" s="73"/>
      <c r="HM101" s="73"/>
      <c r="HN101" s="73"/>
      <c r="HO101" s="73"/>
      <c r="HP101" s="73"/>
      <c r="HQ101" s="73"/>
      <c r="HR101" s="73"/>
      <c r="HS101" s="73"/>
      <c r="HT101" s="73"/>
    </row>
    <row r="102" spans="1:228" ht="18">
      <c r="A102"/>
      <c r="F102" s="263"/>
      <c r="G102" s="355"/>
      <c r="H102" s="309"/>
      <c r="I102" s="357" t="s">
        <v>103</v>
      </c>
      <c r="J102" s="356"/>
      <c r="K102" s="263"/>
      <c r="L102" s="263"/>
      <c r="M102" s="263"/>
      <c r="N102" s="263"/>
      <c r="O102" s="263"/>
      <c r="P102" s="1049"/>
      <c r="Q102" s="1050"/>
      <c r="R102" s="518"/>
      <c r="S102" s="1048"/>
      <c r="T102" s="1048"/>
      <c r="U102" s="1048"/>
      <c r="V102" s="263"/>
      <c r="W102" s="263"/>
      <c r="X102" s="263"/>
      <c r="Y102" s="263"/>
      <c r="Z102" s="263"/>
      <c r="AA102" s="263"/>
      <c r="AB102" s="263"/>
      <c r="AC102" s="263"/>
      <c r="AD102" s="263"/>
      <c r="AE102" s="263"/>
      <c r="AF102" s="263"/>
      <c r="AG102" s="263"/>
      <c r="AH102" s="263"/>
      <c r="AI102" s="263"/>
      <c r="AJ102" s="263"/>
      <c r="AK102" s="263"/>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HG102" s="73"/>
      <c r="HH102" s="73"/>
      <c r="HI102" s="73"/>
      <c r="HJ102" s="73"/>
      <c r="HK102" s="73"/>
      <c r="HL102" s="73"/>
      <c r="HM102" s="73"/>
      <c r="HN102" s="73"/>
      <c r="HO102" s="73"/>
      <c r="HP102" s="73"/>
      <c r="HQ102" s="73"/>
      <c r="HR102" s="73"/>
      <c r="HS102" s="73"/>
      <c r="HT102" s="73"/>
    </row>
    <row r="103" spans="1:228" ht="15">
      <c r="A103"/>
      <c r="F103" s="263"/>
      <c r="G103" s="355"/>
      <c r="H103" s="350" t="s">
        <v>102</v>
      </c>
      <c r="I103" s="1102">
        <f>Gröddata!Q3</f>
        <v>9.14</v>
      </c>
      <c r="J103" s="356"/>
      <c r="K103" s="263"/>
      <c r="L103" s="263"/>
      <c r="M103" s="263"/>
      <c r="N103" s="263"/>
      <c r="O103" s="263"/>
      <c r="P103" s="888"/>
      <c r="Q103" s="518"/>
      <c r="R103" s="518"/>
      <c r="S103" s="518"/>
      <c r="T103" s="518"/>
      <c r="U103" s="518"/>
      <c r="V103" s="263"/>
      <c r="W103" s="263"/>
      <c r="X103" s="263"/>
      <c r="Y103" s="263"/>
      <c r="Z103" s="263"/>
      <c r="AA103" s="263"/>
      <c r="AB103" s="263"/>
      <c r="AC103" s="263"/>
      <c r="AD103" s="263"/>
      <c r="AE103" s="263"/>
      <c r="AF103" s="263"/>
      <c r="AG103" s="263"/>
      <c r="AH103" s="263"/>
      <c r="AI103" s="263"/>
      <c r="AJ103" s="263"/>
      <c r="AK103" s="26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HG103" s="73"/>
      <c r="HH103" s="73"/>
      <c r="HI103" s="73"/>
      <c r="HJ103" s="73"/>
      <c r="HK103" s="73"/>
      <c r="HL103" s="73"/>
      <c r="HM103" s="73"/>
      <c r="HN103" s="73"/>
      <c r="HO103" s="73"/>
      <c r="HP103" s="73"/>
      <c r="HQ103" s="73"/>
      <c r="HR103" s="73"/>
      <c r="HS103" s="73"/>
      <c r="HT103" s="73"/>
    </row>
    <row r="104" spans="1:228" ht="15">
      <c r="A104"/>
      <c r="F104" s="263"/>
      <c r="G104" s="355"/>
      <c r="H104" s="350" t="s">
        <v>407</v>
      </c>
      <c r="I104" s="1102">
        <f>Gröddata!Q4</f>
        <v>19.04</v>
      </c>
      <c r="J104" s="356"/>
      <c r="K104" s="263"/>
      <c r="L104" s="263"/>
      <c r="M104" s="263"/>
      <c r="N104" s="263"/>
      <c r="O104" s="263" t="s">
        <v>1005</v>
      </c>
      <c r="P104" s="263"/>
      <c r="Q104" s="263"/>
      <c r="R104" s="263"/>
      <c r="S104" s="263"/>
      <c r="T104" s="263"/>
      <c r="U104" s="263"/>
      <c r="V104" s="263"/>
      <c r="W104" s="263"/>
      <c r="X104" s="263"/>
      <c r="Y104" s="263"/>
      <c r="Z104" s="263"/>
      <c r="AA104" s="263"/>
      <c r="AB104" s="263"/>
      <c r="AC104" s="263"/>
      <c r="AD104" s="263"/>
      <c r="AE104" s="263"/>
      <c r="AF104" s="263"/>
      <c r="AG104" s="263"/>
      <c r="AH104" s="263"/>
      <c r="AI104" s="263"/>
      <c r="AJ104" s="263"/>
      <c r="AK104" s="263"/>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HG104" s="73"/>
      <c r="HH104" s="73"/>
      <c r="HI104" s="73"/>
      <c r="HJ104" s="73"/>
      <c r="HK104" s="73"/>
      <c r="HL104" s="73"/>
      <c r="HM104" s="73"/>
      <c r="HN104" s="73"/>
      <c r="HO104" s="73"/>
      <c r="HP104" s="73"/>
      <c r="HQ104" s="73"/>
      <c r="HR104" s="73"/>
      <c r="HS104" s="73"/>
      <c r="HT104" s="73"/>
    </row>
    <row r="105" spans="1:228" ht="15">
      <c r="A105"/>
      <c r="F105" s="263"/>
      <c r="G105" s="355"/>
      <c r="H105" s="350" t="s">
        <v>409</v>
      </c>
      <c r="I105" s="1102">
        <f>Gröddata!Q5</f>
        <v>7.53</v>
      </c>
      <c r="J105" s="356"/>
      <c r="K105" s="263"/>
      <c r="L105" s="263"/>
      <c r="M105" s="263"/>
      <c r="N105" s="263"/>
      <c r="O105" s="263"/>
      <c r="P105" s="263"/>
      <c r="Q105" s="263"/>
      <c r="R105" s="263"/>
      <c r="S105" s="263"/>
      <c r="T105" s="263"/>
      <c r="U105" s="263"/>
      <c r="V105" s="263"/>
      <c r="W105" s="263"/>
      <c r="X105" s="263"/>
      <c r="Y105" s="263"/>
      <c r="Z105" s="263"/>
      <c r="AA105" s="263"/>
      <c r="AB105" s="263"/>
      <c r="AC105" s="263"/>
      <c r="AD105" s="263"/>
      <c r="AE105" s="263"/>
      <c r="AF105" s="263"/>
      <c r="AG105" s="263"/>
      <c r="AH105" s="263"/>
      <c r="AI105" s="263"/>
      <c r="AJ105" s="263"/>
      <c r="AK105" s="263"/>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HG105" s="73"/>
      <c r="HH105" s="73"/>
      <c r="HI105" s="73"/>
      <c r="HJ105" s="73"/>
      <c r="HK105" s="73"/>
      <c r="HL105" s="73"/>
      <c r="HM105" s="73"/>
      <c r="HN105" s="73"/>
      <c r="HO105" s="73"/>
      <c r="HP105" s="73"/>
      <c r="HQ105" s="73"/>
      <c r="HR105" s="73"/>
      <c r="HS105" s="73"/>
      <c r="HT105" s="73"/>
    </row>
    <row r="106" spans="1:228" ht="15">
      <c r="A106"/>
      <c r="F106" s="263"/>
      <c r="G106" s="355"/>
      <c r="H106" s="350" t="s">
        <v>412</v>
      </c>
      <c r="I106" s="1102">
        <f>Gröddata!Q6</f>
        <v>1.5</v>
      </c>
      <c r="J106" s="356"/>
      <c r="K106" s="263"/>
      <c r="L106" s="263"/>
      <c r="M106" s="263"/>
      <c r="N106" s="263"/>
      <c r="O106" s="263"/>
      <c r="P106" s="263"/>
      <c r="Q106" s="263"/>
      <c r="R106" s="263"/>
      <c r="S106" s="263"/>
      <c r="T106" s="263"/>
      <c r="U106" s="263"/>
      <c r="V106" s="263"/>
      <c r="W106" s="263"/>
      <c r="X106" s="263"/>
      <c r="Y106" s="263"/>
      <c r="Z106" s="263"/>
      <c r="AA106" s="263"/>
      <c r="AB106" s="263"/>
      <c r="AC106" s="263"/>
      <c r="AD106" s="263"/>
      <c r="AE106" s="263"/>
      <c r="AF106" s="263"/>
      <c r="AG106" s="263"/>
      <c r="AH106" s="263"/>
      <c r="AI106" s="263"/>
      <c r="AJ106" s="263"/>
      <c r="AK106" s="263"/>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HG106" s="73"/>
      <c r="HH106" s="73"/>
      <c r="HI106" s="73"/>
      <c r="HJ106" s="73"/>
      <c r="HK106" s="73"/>
      <c r="HL106" s="73"/>
      <c r="HM106" s="73"/>
      <c r="HN106" s="73"/>
      <c r="HO106" s="73"/>
      <c r="HP106" s="73"/>
      <c r="HQ106" s="73"/>
      <c r="HR106" s="73"/>
      <c r="HS106" s="73"/>
      <c r="HT106" s="73"/>
    </row>
    <row r="107" spans="1:228" ht="15">
      <c r="A107"/>
      <c r="F107" s="263"/>
      <c r="G107" s="358"/>
      <c r="H107" s="359"/>
      <c r="I107" s="359"/>
      <c r="J107" s="360"/>
      <c r="K107" s="263"/>
      <c r="L107" s="263"/>
      <c r="M107" s="263"/>
      <c r="N107" s="263"/>
      <c r="O107" s="263"/>
      <c r="P107" s="263"/>
      <c r="Q107" s="263"/>
      <c r="R107" s="263"/>
      <c r="S107" s="263"/>
      <c r="T107" s="263"/>
      <c r="U107" s="263"/>
      <c r="V107" s="263"/>
      <c r="W107" s="263"/>
      <c r="X107" s="263"/>
      <c r="Y107" s="263"/>
      <c r="Z107" s="263"/>
      <c r="AA107" s="263"/>
      <c r="AB107" s="263"/>
      <c r="AC107" s="263"/>
      <c r="AD107" s="263"/>
      <c r="AE107" s="263"/>
      <c r="AF107" s="263"/>
      <c r="AG107" s="263"/>
      <c r="AH107" s="263"/>
      <c r="AI107" s="263"/>
      <c r="AJ107" s="263"/>
      <c r="AK107" s="263"/>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HG107" s="73"/>
      <c r="HH107" s="73"/>
      <c r="HI107" s="73"/>
      <c r="HJ107" s="73"/>
      <c r="HK107" s="73"/>
      <c r="HL107" s="73"/>
      <c r="HM107" s="73"/>
      <c r="HN107" s="73"/>
      <c r="HO107" s="73"/>
      <c r="HP107" s="73"/>
      <c r="HQ107" s="73"/>
      <c r="HR107" s="73"/>
      <c r="HS107" s="73"/>
      <c r="HT107" s="73"/>
    </row>
    <row r="108" spans="1:228">
      <c r="A108"/>
      <c r="F108" s="263"/>
      <c r="G108" s="263"/>
      <c r="H108" s="263"/>
      <c r="I108" s="263"/>
      <c r="J108" s="263"/>
      <c r="K108" s="263"/>
      <c r="M108" s="263"/>
      <c r="N108" s="263"/>
      <c r="O108" s="263"/>
      <c r="P108" s="263"/>
      <c r="R108" s="263"/>
      <c r="S108" s="263"/>
      <c r="T108" s="263"/>
      <c r="U108" s="263"/>
      <c r="W108" s="263"/>
      <c r="X108" s="263"/>
      <c r="Y108" s="263"/>
      <c r="Z108" s="263"/>
      <c r="AB108" s="263"/>
      <c r="AC108" s="263"/>
      <c r="AD108" s="263"/>
      <c r="AE108" s="263"/>
      <c r="AG108" s="263"/>
      <c r="AH108" s="263"/>
      <c r="AI108" s="263"/>
      <c r="AJ108" s="263"/>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HG108" s="73"/>
      <c r="HH108" s="73"/>
      <c r="HI108" s="73"/>
      <c r="HJ108" s="73"/>
      <c r="HK108" s="73"/>
      <c r="HL108" s="73"/>
      <c r="HM108" s="73"/>
      <c r="HN108" s="73"/>
      <c r="HO108" s="73"/>
      <c r="HP108" s="73"/>
      <c r="HQ108" s="73"/>
      <c r="HR108" s="73"/>
      <c r="HS108" s="73"/>
      <c r="HT108" s="73"/>
    </row>
    <row r="109" spans="1:228">
      <c r="A109"/>
      <c r="G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HG109" s="73"/>
      <c r="HH109" s="73"/>
      <c r="HI109" s="73"/>
      <c r="HJ109" s="73"/>
      <c r="HK109" s="73"/>
      <c r="HL109" s="73"/>
      <c r="HM109" s="73"/>
      <c r="HN109" s="73"/>
      <c r="HO109" s="73"/>
      <c r="HP109" s="73"/>
      <c r="HQ109" s="73"/>
      <c r="HR109" s="73"/>
      <c r="HS109" s="73"/>
      <c r="HT109" s="73"/>
    </row>
    <row r="110" spans="1:228">
      <c r="A110"/>
      <c r="G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HG110" s="73"/>
      <c r="HH110" s="73"/>
      <c r="HI110" s="73"/>
      <c r="HJ110" s="73"/>
      <c r="HK110" s="73"/>
      <c r="HL110" s="73"/>
      <c r="HM110" s="73"/>
      <c r="HN110" s="73"/>
      <c r="HO110" s="73"/>
      <c r="HP110" s="73"/>
      <c r="HQ110" s="73"/>
      <c r="HR110" s="73"/>
      <c r="HS110" s="73"/>
      <c r="HT110" s="73"/>
    </row>
    <row r="111" spans="1:228">
      <c r="A111"/>
      <c r="G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HG111" s="73"/>
      <c r="HH111" s="73"/>
      <c r="HI111" s="73"/>
      <c r="HJ111" s="73"/>
      <c r="HK111" s="73"/>
      <c r="HL111" s="73"/>
      <c r="HM111" s="73"/>
      <c r="HN111" s="73"/>
      <c r="HO111" s="73"/>
      <c r="HP111" s="73"/>
      <c r="HQ111" s="73"/>
      <c r="HR111" s="73"/>
      <c r="HS111" s="73"/>
      <c r="HT111" s="73"/>
    </row>
    <row r="112" spans="1:228">
      <c r="A112"/>
      <c r="G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HG112" s="73"/>
      <c r="HH112" s="73"/>
      <c r="HI112" s="73"/>
      <c r="HJ112" s="73"/>
      <c r="HK112" s="73"/>
      <c r="HL112" s="73"/>
      <c r="HM112" s="73"/>
      <c r="HN112" s="73"/>
      <c r="HO112" s="73"/>
      <c r="HP112" s="73"/>
      <c r="HQ112" s="73"/>
      <c r="HR112" s="73"/>
      <c r="HS112" s="73"/>
      <c r="HT112" s="73"/>
    </row>
    <row r="113" spans="1:232">
      <c r="A113"/>
      <c r="G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HG113" s="73"/>
      <c r="HH113" s="73"/>
      <c r="HI113" s="73"/>
      <c r="HJ113" s="73"/>
      <c r="HK113" s="73"/>
      <c r="HL113" s="73"/>
      <c r="HM113" s="73"/>
      <c r="HN113" s="73"/>
      <c r="HO113" s="73"/>
      <c r="HP113" s="73"/>
      <c r="HQ113" s="73"/>
      <c r="HR113" s="73"/>
      <c r="HS113" s="73"/>
      <c r="HT113" s="73"/>
    </row>
    <row r="114" spans="1:232">
      <c r="A114"/>
      <c r="G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HG114" s="73"/>
      <c r="HH114" s="73"/>
      <c r="HI114" s="73"/>
      <c r="HJ114" s="73"/>
      <c r="HK114" s="73"/>
      <c r="HL114" s="73"/>
      <c r="HM114" s="73"/>
      <c r="HN114" s="73"/>
      <c r="HO114" s="73"/>
      <c r="HP114" s="73"/>
      <c r="HQ114" s="73"/>
      <c r="HR114" s="73"/>
      <c r="HS114" s="73"/>
      <c r="HT114" s="73"/>
    </row>
    <row r="115" spans="1:232">
      <c r="A115"/>
      <c r="G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HG115" s="73"/>
      <c r="HH115" s="73"/>
      <c r="HI115" s="73"/>
      <c r="HJ115" s="73"/>
      <c r="HK115" s="73"/>
      <c r="HL115" s="73"/>
      <c r="HM115" s="73"/>
      <c r="HN115" s="73"/>
      <c r="HO115" s="73"/>
      <c r="HP115" s="73"/>
      <c r="HQ115" s="73"/>
      <c r="HR115" s="73"/>
      <c r="HS115" s="73"/>
      <c r="HT115" s="73"/>
    </row>
    <row r="116" spans="1:232">
      <c r="A116"/>
      <c r="G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HG116" s="73"/>
      <c r="HH116" s="73"/>
      <c r="HI116" s="73"/>
      <c r="HJ116" s="73"/>
      <c r="HK116" s="73"/>
      <c r="HL116" s="73"/>
      <c r="HM116" s="73"/>
      <c r="HN116" s="73"/>
      <c r="HO116" s="73"/>
      <c r="HP116" s="73"/>
      <c r="HQ116" s="73"/>
      <c r="HR116" s="73"/>
      <c r="HS116" s="73"/>
      <c r="HT116" s="73"/>
    </row>
    <row r="117" spans="1:232">
      <c r="A117"/>
      <c r="G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HG117" s="73"/>
      <c r="HH117" s="73"/>
      <c r="HI117" s="73"/>
      <c r="HJ117" s="73"/>
      <c r="HK117" s="73"/>
      <c r="HL117" s="73"/>
      <c r="HM117" s="73"/>
      <c r="HN117" s="73"/>
      <c r="HO117" s="73"/>
      <c r="HP117" s="73"/>
      <c r="HQ117" s="73"/>
      <c r="HR117" s="73"/>
      <c r="HS117" s="73"/>
      <c r="HT117" s="73"/>
    </row>
    <row r="118" spans="1:232">
      <c r="A118"/>
      <c r="G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HG118" s="73"/>
      <c r="HH118" s="73"/>
      <c r="HI118" s="73"/>
      <c r="HJ118" s="73"/>
      <c r="HK118" s="73"/>
      <c r="HL118" s="73"/>
      <c r="HM118" s="73"/>
      <c r="HN118" s="73"/>
      <c r="HO118" s="73"/>
      <c r="HP118" s="73"/>
      <c r="HQ118" s="73"/>
      <c r="HR118" s="73"/>
      <c r="HS118" s="73"/>
      <c r="HT118" s="73"/>
    </row>
    <row r="119" spans="1:232">
      <c r="A119"/>
      <c r="G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HK119" s="73"/>
      <c r="HL119" s="73"/>
      <c r="HM119" s="73"/>
      <c r="HN119" s="73"/>
      <c r="HO119" s="73"/>
      <c r="HP119" s="73"/>
      <c r="HQ119" s="73"/>
      <c r="HR119" s="73"/>
      <c r="HS119" s="73"/>
      <c r="HT119" s="73"/>
      <c r="HU119" s="73"/>
      <c r="HV119" s="73"/>
      <c r="HW119" s="73"/>
      <c r="HX119" s="73"/>
    </row>
    <row r="120" spans="1:232">
      <c r="A120"/>
      <c r="G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HK120" s="73"/>
      <c r="HL120" s="73"/>
      <c r="HM120" s="73"/>
      <c r="HN120" s="73"/>
      <c r="HO120" s="73"/>
      <c r="HP120" s="73"/>
      <c r="HQ120" s="73"/>
      <c r="HR120" s="73"/>
      <c r="HS120" s="73"/>
      <c r="HT120" s="73"/>
      <c r="HU120" s="73"/>
      <c r="HV120" s="73"/>
      <c r="HW120" s="73"/>
      <c r="HX120" s="73"/>
    </row>
    <row r="121" spans="1:232">
      <c r="A121"/>
      <c r="G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HK121" s="73"/>
      <c r="HL121" s="73"/>
      <c r="HM121" s="73"/>
      <c r="HN121" s="73"/>
      <c r="HO121" s="73"/>
      <c r="HP121" s="73"/>
      <c r="HQ121" s="73"/>
      <c r="HR121" s="73"/>
      <c r="HS121" s="73"/>
      <c r="HT121" s="73"/>
      <c r="HU121" s="73"/>
      <c r="HV121" s="73"/>
      <c r="HW121" s="73"/>
      <c r="HX121" s="73"/>
    </row>
    <row r="122" spans="1:232">
      <c r="A122"/>
      <c r="G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HK122" s="73"/>
      <c r="HL122" s="73"/>
      <c r="HM122" s="73"/>
      <c r="HN122" s="73"/>
      <c r="HO122" s="73"/>
      <c r="HP122" s="73"/>
      <c r="HQ122" s="73"/>
      <c r="HR122" s="73"/>
      <c r="HS122" s="73"/>
      <c r="HT122" s="73"/>
      <c r="HU122" s="73"/>
      <c r="HV122" s="73"/>
      <c r="HW122" s="73"/>
      <c r="HX122" s="73"/>
    </row>
    <row r="123" spans="1:232">
      <c r="A123"/>
      <c r="G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HK123" s="73"/>
      <c r="HL123" s="73"/>
      <c r="HM123" s="73"/>
      <c r="HN123" s="73"/>
      <c r="HO123" s="73"/>
      <c r="HP123" s="73"/>
      <c r="HQ123" s="73"/>
      <c r="HR123" s="73"/>
      <c r="HS123" s="73"/>
      <c r="HT123" s="73"/>
      <c r="HU123" s="73"/>
      <c r="HV123" s="73"/>
      <c r="HW123" s="73"/>
      <c r="HX123" s="73"/>
    </row>
    <row r="124" spans="1:232">
      <c r="A124"/>
      <c r="G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HK124" s="73"/>
      <c r="HL124" s="73"/>
      <c r="HM124" s="73"/>
      <c r="HN124" s="73"/>
      <c r="HO124" s="73"/>
      <c r="HP124" s="73"/>
      <c r="HQ124" s="73"/>
      <c r="HR124" s="73"/>
      <c r="HS124" s="73"/>
      <c r="HT124" s="73"/>
      <c r="HU124" s="73"/>
      <c r="HV124" s="73"/>
      <c r="HW124" s="73"/>
      <c r="HX124" s="73"/>
    </row>
    <row r="125" spans="1:232">
      <c r="A125"/>
      <c r="G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HK125" s="73"/>
      <c r="HL125" s="73"/>
      <c r="HM125" s="73"/>
      <c r="HN125" s="73"/>
      <c r="HO125" s="73"/>
      <c r="HP125" s="73"/>
      <c r="HQ125" s="73"/>
      <c r="HR125" s="73"/>
      <c r="HS125" s="73"/>
      <c r="HT125" s="73"/>
      <c r="HU125" s="73"/>
      <c r="HV125" s="73"/>
      <c r="HW125" s="73"/>
      <c r="HX125" s="73"/>
    </row>
    <row r="126" spans="1:232">
      <c r="A126"/>
      <c r="G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HK126" s="73"/>
      <c r="HL126" s="73"/>
      <c r="HM126" s="73"/>
      <c r="HN126" s="73"/>
      <c r="HO126" s="73"/>
      <c r="HP126" s="73"/>
      <c r="HQ126" s="73"/>
      <c r="HR126" s="73"/>
      <c r="HS126" s="73"/>
      <c r="HT126" s="73"/>
      <c r="HU126" s="73"/>
      <c r="HV126" s="73"/>
      <c r="HW126" s="73"/>
      <c r="HX126" s="73"/>
    </row>
    <row r="127" spans="1:232">
      <c r="A127"/>
      <c r="G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HK127" s="73"/>
      <c r="HL127" s="73"/>
      <c r="HM127" s="73"/>
      <c r="HN127" s="73"/>
      <c r="HO127" s="73"/>
      <c r="HP127" s="73"/>
      <c r="HQ127" s="73"/>
      <c r="HR127" s="73"/>
      <c r="HS127" s="73"/>
      <c r="HT127" s="73"/>
      <c r="HU127" s="73"/>
      <c r="HV127" s="73"/>
      <c r="HW127" s="73"/>
      <c r="HX127" s="73"/>
    </row>
    <row r="128" spans="1:232">
      <c r="A128"/>
      <c r="G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HK128" s="73"/>
      <c r="HL128" s="73"/>
      <c r="HM128" s="73"/>
      <c r="HN128" s="73"/>
      <c r="HO128" s="73"/>
      <c r="HP128" s="73"/>
      <c r="HQ128" s="73"/>
      <c r="HR128" s="73"/>
      <c r="HS128" s="73"/>
      <c r="HT128" s="73"/>
      <c r="HU128" s="73"/>
      <c r="HV128" s="73"/>
      <c r="HW128" s="73"/>
      <c r="HX128" s="73"/>
    </row>
    <row r="129" spans="1:233">
      <c r="A129"/>
      <c r="G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HK129" s="73"/>
      <c r="HL129" s="73"/>
      <c r="HM129" s="73"/>
      <c r="HN129" s="73"/>
      <c r="HO129" s="73"/>
      <c r="HP129" s="73"/>
      <c r="HQ129" s="73"/>
      <c r="HR129" s="73"/>
      <c r="HS129" s="73"/>
      <c r="HT129" s="73"/>
      <c r="HU129" s="73"/>
      <c r="HV129" s="73"/>
      <c r="HW129" s="73"/>
      <c r="HX129" s="73"/>
    </row>
    <row r="130" spans="1:233">
      <c r="A130"/>
      <c r="G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HK130" s="73"/>
      <c r="HL130" s="73"/>
      <c r="HM130" s="73"/>
      <c r="HN130" s="73"/>
      <c r="HO130" s="73"/>
      <c r="HP130" s="73"/>
      <c r="HQ130" s="73"/>
      <c r="HR130" s="73"/>
      <c r="HS130" s="73"/>
      <c r="HT130" s="73"/>
      <c r="HU130" s="73"/>
      <c r="HV130" s="73"/>
      <c r="HW130" s="73"/>
      <c r="HX130" s="73"/>
    </row>
    <row r="131" spans="1:233">
      <c r="A131"/>
      <c r="G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HK131" s="73"/>
      <c r="HL131" s="73"/>
      <c r="HM131" s="73"/>
      <c r="HN131" s="73"/>
      <c r="HO131" s="73"/>
      <c r="HP131" s="73"/>
      <c r="HQ131" s="73"/>
      <c r="HR131" s="73"/>
      <c r="HS131" s="73"/>
      <c r="HT131" s="73"/>
      <c r="HU131" s="73"/>
      <c r="HV131" s="73"/>
      <c r="HW131" s="73"/>
      <c r="HX131" s="73"/>
    </row>
    <row r="132" spans="1:233">
      <c r="A132"/>
      <c r="G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HL132" s="73"/>
      <c r="HM132" s="73"/>
      <c r="HN132" s="73"/>
      <c r="HO132" s="73"/>
      <c r="HP132" s="73"/>
      <c r="HQ132" s="73"/>
      <c r="HR132" s="73"/>
      <c r="HS132" s="73"/>
      <c r="HT132" s="73"/>
      <c r="HU132" s="73"/>
      <c r="HV132" s="73"/>
      <c r="HW132" s="73"/>
      <c r="HX132" s="73"/>
      <c r="HY132" s="73"/>
    </row>
    <row r="133" spans="1:233">
      <c r="A133"/>
      <c r="G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HL133" s="73"/>
      <c r="HM133" s="73"/>
      <c r="HN133" s="73"/>
      <c r="HO133" s="73"/>
      <c r="HP133" s="73"/>
      <c r="HQ133" s="73"/>
      <c r="HR133" s="73"/>
      <c r="HS133" s="73"/>
      <c r="HT133" s="73"/>
      <c r="HU133" s="73"/>
      <c r="HV133" s="73"/>
      <c r="HW133" s="73"/>
      <c r="HX133" s="73"/>
      <c r="HY133" s="73"/>
    </row>
    <row r="134" spans="1:233">
      <c r="A134"/>
      <c r="G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HL134" s="73"/>
      <c r="HM134" s="73"/>
      <c r="HN134" s="73"/>
      <c r="HO134" s="73"/>
      <c r="HP134" s="73"/>
      <c r="HQ134" s="73"/>
      <c r="HR134" s="73"/>
      <c r="HS134" s="73"/>
      <c r="HT134" s="73"/>
      <c r="HU134" s="73"/>
      <c r="HV134" s="73"/>
      <c r="HW134" s="73"/>
      <c r="HX134" s="73"/>
      <c r="HY134" s="73"/>
    </row>
    <row r="135" spans="1:233">
      <c r="HL135" s="73"/>
      <c r="HM135" s="73"/>
      <c r="HN135" s="73"/>
      <c r="HO135" s="73"/>
      <c r="HP135" s="73"/>
      <c r="HQ135" s="73"/>
      <c r="HR135" s="73"/>
      <c r="HS135" s="73"/>
      <c r="HT135" s="73"/>
      <c r="HU135" s="73"/>
      <c r="HV135" s="73"/>
      <c r="HW135" s="73"/>
      <c r="HX135" s="73"/>
      <c r="HY135" s="73"/>
    </row>
    <row r="136" spans="1:233">
      <c r="HL136" s="73"/>
      <c r="HM136" s="73"/>
      <c r="HN136" s="73"/>
      <c r="HO136" s="73"/>
      <c r="HP136" s="73"/>
      <c r="HQ136" s="73"/>
      <c r="HR136" s="73"/>
      <c r="HS136" s="73"/>
      <c r="HT136" s="73"/>
      <c r="HU136" s="73"/>
      <c r="HV136" s="73"/>
      <c r="HW136" s="73"/>
      <c r="HX136" s="73"/>
      <c r="HY136" s="73"/>
    </row>
    <row r="137" spans="1:233">
      <c r="HL137" s="73"/>
      <c r="HM137" s="73"/>
      <c r="HN137" s="73"/>
      <c r="HO137" s="73"/>
      <c r="HP137" s="73"/>
      <c r="HQ137" s="73"/>
      <c r="HR137" s="73"/>
      <c r="HS137" s="73"/>
      <c r="HT137" s="73"/>
      <c r="HU137" s="73"/>
      <c r="HV137" s="73"/>
      <c r="HW137" s="73"/>
      <c r="HX137" s="73"/>
      <c r="HY137" s="73"/>
    </row>
    <row r="138" spans="1:233">
      <c r="HL138" s="73"/>
      <c r="HM138" s="73"/>
      <c r="HN138" s="73"/>
      <c r="HO138" s="73"/>
      <c r="HP138" s="73"/>
      <c r="HQ138" s="73"/>
      <c r="HR138" s="73"/>
      <c r="HS138" s="73"/>
      <c r="HT138" s="73"/>
      <c r="HU138" s="73"/>
      <c r="HV138" s="73"/>
      <c r="HW138" s="73"/>
      <c r="HX138" s="73"/>
      <c r="HY138" s="73"/>
    </row>
    <row r="139" spans="1:233">
      <c r="HL139" s="73"/>
      <c r="HM139" s="73"/>
      <c r="HN139" s="73"/>
      <c r="HO139" s="73"/>
      <c r="HP139" s="73"/>
      <c r="HQ139" s="73"/>
      <c r="HR139" s="73"/>
      <c r="HS139" s="73"/>
      <c r="HT139" s="73"/>
      <c r="HU139" s="73"/>
      <c r="HV139" s="73"/>
      <c r="HW139" s="73"/>
      <c r="HX139" s="73"/>
      <c r="HY139" s="73"/>
    </row>
    <row r="140" spans="1:233">
      <c r="HL140" s="73"/>
      <c r="HM140" s="73"/>
      <c r="HN140" s="73"/>
      <c r="HO140" s="73"/>
      <c r="HP140" s="73"/>
      <c r="HQ140" s="73"/>
      <c r="HR140" s="73"/>
      <c r="HS140" s="73"/>
      <c r="HT140" s="73"/>
      <c r="HU140" s="73"/>
      <c r="HV140" s="73"/>
      <c r="HW140" s="73"/>
      <c r="HX140" s="73"/>
      <c r="HY140" s="73"/>
    </row>
    <row r="141" spans="1:233">
      <c r="HL141" s="73"/>
      <c r="HM141" s="73"/>
      <c r="HN141" s="73"/>
      <c r="HO141" s="73"/>
      <c r="HP141" s="73"/>
      <c r="HQ141" s="73"/>
      <c r="HR141" s="73"/>
      <c r="HS141" s="73"/>
      <c r="HT141" s="73"/>
      <c r="HU141" s="73"/>
      <c r="HV141" s="73"/>
      <c r="HW141" s="73"/>
      <c r="HX141" s="73"/>
      <c r="HY141" s="73"/>
    </row>
    <row r="142" spans="1:233">
      <c r="HL142" s="73"/>
      <c r="HM142" s="73"/>
      <c r="HN142" s="73"/>
      <c r="HO142" s="73"/>
      <c r="HP142" s="73"/>
      <c r="HQ142" s="73"/>
      <c r="HR142" s="73"/>
      <c r="HS142" s="73"/>
      <c r="HT142" s="73"/>
      <c r="HU142" s="73"/>
      <c r="HV142" s="73"/>
      <c r="HW142" s="73"/>
      <c r="HX142" s="73"/>
      <c r="HY142" s="73"/>
    </row>
    <row r="143" spans="1:233">
      <c r="HL143" s="73"/>
      <c r="HM143" s="73"/>
      <c r="HN143" s="73"/>
      <c r="HO143" s="73"/>
      <c r="HP143" s="73"/>
      <c r="HQ143" s="73"/>
      <c r="HR143" s="73"/>
      <c r="HS143" s="73"/>
      <c r="HT143" s="73"/>
      <c r="HU143" s="73"/>
      <c r="HV143" s="73"/>
      <c r="HW143" s="73"/>
      <c r="HX143" s="73"/>
      <c r="HY143" s="73"/>
    </row>
    <row r="144" spans="1:233">
      <c r="A144"/>
      <c r="HL144" s="73"/>
      <c r="HM144" s="73"/>
      <c r="HN144" s="73"/>
      <c r="HO144" s="73"/>
      <c r="HP144" s="73"/>
      <c r="HQ144" s="73"/>
      <c r="HR144" s="73"/>
      <c r="HS144" s="73"/>
      <c r="HT144" s="73"/>
      <c r="HU144" s="73"/>
      <c r="HV144" s="73"/>
      <c r="HW144" s="73"/>
      <c r="HX144" s="73"/>
      <c r="HY144" s="73"/>
    </row>
    <row r="145" spans="1:233">
      <c r="A145"/>
      <c r="HL145" s="73"/>
      <c r="HM145" s="73"/>
      <c r="HN145" s="73"/>
      <c r="HO145" s="73"/>
      <c r="HP145" s="73"/>
      <c r="HQ145" s="73"/>
      <c r="HR145" s="73"/>
      <c r="HS145" s="73"/>
      <c r="HT145" s="73"/>
      <c r="HU145" s="73"/>
      <c r="HV145" s="73"/>
      <c r="HW145" s="73"/>
      <c r="HX145" s="73"/>
      <c r="HY145" s="73"/>
    </row>
    <row r="146" spans="1:233">
      <c r="A146"/>
      <c r="HL146" s="73"/>
      <c r="HM146" s="73"/>
      <c r="HN146" s="73"/>
      <c r="HO146" s="73"/>
      <c r="HP146" s="73"/>
      <c r="HQ146" s="73"/>
      <c r="HR146" s="73"/>
      <c r="HS146" s="73"/>
      <c r="HT146" s="73"/>
      <c r="HU146" s="73"/>
      <c r="HV146" s="73"/>
      <c r="HW146" s="73"/>
      <c r="HX146" s="73"/>
      <c r="HY146" s="73"/>
    </row>
    <row r="147" spans="1:233">
      <c r="A147"/>
      <c r="HL147" s="73"/>
      <c r="HM147" s="73"/>
      <c r="HN147" s="73"/>
      <c r="HO147" s="73"/>
      <c r="HP147" s="73"/>
      <c r="HQ147" s="73"/>
      <c r="HR147" s="73"/>
      <c r="HS147" s="73"/>
      <c r="HT147" s="73"/>
      <c r="HU147" s="73"/>
      <c r="HV147" s="73"/>
      <c r="HW147" s="73"/>
      <c r="HX147" s="73"/>
      <c r="HY147" s="73"/>
    </row>
    <row r="148" spans="1:233">
      <c r="A148"/>
      <c r="HL148" s="73"/>
      <c r="HM148" s="73"/>
      <c r="HN148" s="73"/>
      <c r="HO148" s="73"/>
      <c r="HP148" s="73"/>
      <c r="HQ148" s="73"/>
      <c r="HR148" s="73"/>
      <c r="HS148" s="73"/>
      <c r="HT148" s="73"/>
      <c r="HU148" s="73"/>
      <c r="HV148" s="73"/>
      <c r="HW148" s="73"/>
      <c r="HX148" s="73"/>
      <c r="HY148" s="73"/>
    </row>
    <row r="149" spans="1:233">
      <c r="A149"/>
      <c r="HL149" s="73"/>
      <c r="HM149" s="73"/>
      <c r="HN149" s="73"/>
      <c r="HO149" s="73"/>
      <c r="HP149" s="73"/>
      <c r="HQ149" s="73"/>
      <c r="HR149" s="73"/>
      <c r="HS149" s="73"/>
      <c r="HT149" s="73"/>
      <c r="HU149" s="73"/>
      <c r="HV149" s="73"/>
      <c r="HW149" s="73"/>
      <c r="HX149" s="73"/>
      <c r="HY149" s="73"/>
    </row>
    <row r="150" spans="1:233">
      <c r="A150"/>
      <c r="HL150" s="73"/>
      <c r="HM150" s="73"/>
      <c r="HN150" s="73"/>
      <c r="HO150" s="73"/>
      <c r="HP150" s="73"/>
      <c r="HQ150" s="73"/>
      <c r="HR150" s="73"/>
      <c r="HS150" s="73"/>
      <c r="HT150" s="73"/>
      <c r="HU150" s="73"/>
      <c r="HV150" s="73"/>
      <c r="HW150" s="73"/>
      <c r="HX150" s="73"/>
      <c r="HY150" s="73"/>
    </row>
    <row r="151" spans="1:233">
      <c r="A151"/>
      <c r="HL151" s="73"/>
      <c r="HM151" s="73"/>
      <c r="HN151" s="73"/>
      <c r="HO151" s="73"/>
      <c r="HP151" s="73"/>
      <c r="HQ151" s="73"/>
      <c r="HR151" s="73"/>
      <c r="HS151" s="73"/>
      <c r="HT151" s="73"/>
      <c r="HU151" s="73"/>
      <c r="HV151" s="73"/>
      <c r="HW151" s="73"/>
      <c r="HX151" s="73"/>
      <c r="HY151" s="73"/>
    </row>
    <row r="152" spans="1:233">
      <c r="A152"/>
      <c r="HL152" s="73"/>
      <c r="HM152" s="73"/>
      <c r="HN152" s="73"/>
      <c r="HO152" s="73"/>
      <c r="HP152" s="73"/>
      <c r="HQ152" s="73"/>
      <c r="HR152" s="73"/>
      <c r="HS152" s="73"/>
      <c r="HT152" s="73"/>
      <c r="HU152" s="73"/>
      <c r="HV152" s="73"/>
      <c r="HW152" s="73"/>
      <c r="HX152" s="73"/>
      <c r="HY152" s="73"/>
    </row>
    <row r="153" spans="1:233">
      <c r="A153"/>
      <c r="HL153" s="73"/>
      <c r="HM153" s="73"/>
      <c r="HN153" s="73"/>
      <c r="HO153" s="73"/>
      <c r="HP153" s="73"/>
      <c r="HQ153" s="73"/>
      <c r="HR153" s="73"/>
      <c r="HS153" s="73"/>
      <c r="HT153" s="73"/>
      <c r="HU153" s="73"/>
      <c r="HV153" s="73"/>
      <c r="HW153" s="73"/>
      <c r="HX153" s="73"/>
      <c r="HY153" s="73"/>
    </row>
    <row r="154" spans="1:233">
      <c r="A154"/>
      <c r="HL154" s="73"/>
      <c r="HM154" s="73"/>
      <c r="HN154" s="73"/>
      <c r="HO154" s="73"/>
      <c r="HP154" s="73"/>
      <c r="HQ154" s="73"/>
      <c r="HR154" s="73"/>
      <c r="HS154" s="73"/>
      <c r="HT154" s="73"/>
      <c r="HU154" s="73"/>
      <c r="HV154" s="73"/>
      <c r="HW154" s="73"/>
      <c r="HX154" s="73"/>
      <c r="HY154" s="73"/>
    </row>
    <row r="155" spans="1:233">
      <c r="A155"/>
      <c r="HL155" s="73"/>
      <c r="HM155" s="73"/>
      <c r="HN155" s="73"/>
      <c r="HO155" s="73"/>
      <c r="HP155" s="73"/>
      <c r="HQ155" s="73"/>
      <c r="HR155" s="73"/>
      <c r="HS155" s="73"/>
      <c r="HT155" s="73"/>
      <c r="HU155" s="73"/>
      <c r="HV155" s="73"/>
      <c r="HW155" s="73"/>
      <c r="HX155" s="73"/>
      <c r="HY155" s="73"/>
    </row>
    <row r="156" spans="1:233">
      <c r="A156"/>
      <c r="HL156" s="73"/>
      <c r="HM156" s="73"/>
      <c r="HN156" s="73"/>
      <c r="HO156" s="73"/>
      <c r="HP156" s="73"/>
      <c r="HQ156" s="73"/>
      <c r="HR156" s="73"/>
      <c r="HS156" s="73"/>
      <c r="HT156" s="73"/>
      <c r="HU156" s="73"/>
      <c r="HV156" s="73"/>
      <c r="HW156" s="73"/>
      <c r="HX156" s="73"/>
      <c r="HY156" s="73"/>
    </row>
    <row r="157" spans="1:233">
      <c r="A157"/>
      <c r="HL157" s="73"/>
      <c r="HM157" s="73"/>
      <c r="HN157" s="73"/>
      <c r="HO157" s="73"/>
      <c r="HP157" s="73"/>
      <c r="HQ157" s="73"/>
      <c r="HR157" s="73"/>
      <c r="HS157" s="73"/>
      <c r="HT157" s="73"/>
      <c r="HU157" s="73"/>
      <c r="HV157" s="73"/>
      <c r="HW157" s="73"/>
      <c r="HX157" s="73"/>
      <c r="HY157" s="73"/>
    </row>
    <row r="158" spans="1:233">
      <c r="A158"/>
      <c r="HL158" s="73"/>
      <c r="HM158" s="73"/>
      <c r="HN158" s="73"/>
      <c r="HO158" s="73"/>
      <c r="HP158" s="73"/>
      <c r="HQ158" s="73"/>
      <c r="HR158" s="73"/>
      <c r="HS158" s="73"/>
      <c r="HT158" s="73"/>
      <c r="HU158" s="73"/>
      <c r="HV158" s="73"/>
      <c r="HW158" s="73"/>
      <c r="HX158" s="73"/>
      <c r="HY158" s="73"/>
    </row>
    <row r="159" spans="1:233">
      <c r="A159"/>
      <c r="HL159" s="73"/>
      <c r="HM159" s="73"/>
      <c r="HN159" s="73"/>
      <c r="HO159" s="73"/>
      <c r="HP159" s="73"/>
      <c r="HQ159" s="73"/>
      <c r="HR159" s="73"/>
      <c r="HS159" s="73"/>
      <c r="HT159" s="73"/>
      <c r="HU159" s="73"/>
      <c r="HV159" s="73"/>
      <c r="HW159" s="73"/>
      <c r="HX159" s="73"/>
      <c r="HY159" s="73"/>
    </row>
    <row r="160" spans="1:233">
      <c r="A160"/>
      <c r="HL160" s="73"/>
      <c r="HM160" s="73"/>
      <c r="HN160" s="73"/>
      <c r="HO160" s="73"/>
      <c r="HP160" s="73"/>
      <c r="HQ160" s="73"/>
      <c r="HR160" s="73"/>
      <c r="HS160" s="73"/>
      <c r="HT160" s="73"/>
      <c r="HU160" s="73"/>
      <c r="HV160" s="73"/>
      <c r="HW160" s="73"/>
      <c r="HX160" s="73"/>
      <c r="HY160" s="73"/>
    </row>
    <row r="161" spans="1:233" ht="15.75">
      <c r="A161"/>
      <c r="K161" s="256"/>
      <c r="N161" s="165"/>
      <c r="O161" s="255"/>
      <c r="S161" s="256"/>
      <c r="T161" s="256"/>
      <c r="U161" s="256"/>
      <c r="X161" s="165"/>
      <c r="Y161" s="255"/>
      <c r="Z161" s="256"/>
      <c r="AC161" s="165"/>
      <c r="AD161" s="255"/>
      <c r="AE161" s="256"/>
      <c r="AH161" s="255"/>
      <c r="AI161" s="256"/>
      <c r="AJ161" s="165"/>
      <c r="HL161" s="73"/>
      <c r="HM161" s="73"/>
      <c r="HN161" s="73"/>
      <c r="HO161" s="73"/>
      <c r="HP161" s="73"/>
      <c r="HQ161" s="73"/>
      <c r="HR161" s="73"/>
      <c r="HS161" s="73"/>
      <c r="HT161" s="73"/>
      <c r="HU161" s="73"/>
      <c r="HV161" s="73"/>
      <c r="HW161" s="73"/>
      <c r="HX161" s="73"/>
      <c r="HY161" s="73"/>
    </row>
    <row r="162" spans="1:233" ht="15.75">
      <c r="A162"/>
      <c r="K162" s="247"/>
      <c r="N162" s="168"/>
      <c r="O162" s="241"/>
      <c r="P162" s="256"/>
      <c r="S162" s="247"/>
      <c r="T162" s="247"/>
      <c r="U162" s="247"/>
      <c r="X162" s="168"/>
      <c r="Y162" s="241"/>
      <c r="Z162" s="247"/>
      <c r="AC162" s="168"/>
      <c r="AD162" s="241"/>
      <c r="AE162" s="247"/>
      <c r="AH162" s="241"/>
      <c r="AI162" s="247"/>
      <c r="AJ162" s="168"/>
      <c r="HL162" s="73"/>
      <c r="HM162" s="73"/>
      <c r="HN162" s="73"/>
      <c r="HO162" s="73"/>
      <c r="HP162" s="73"/>
      <c r="HQ162" s="73"/>
      <c r="HR162" s="73"/>
      <c r="HS162" s="73"/>
      <c r="HT162" s="73"/>
      <c r="HU162" s="73"/>
      <c r="HV162" s="73"/>
      <c r="HW162" s="73"/>
      <c r="HX162" s="73"/>
      <c r="HY162" s="73"/>
    </row>
    <row r="163" spans="1:233">
      <c r="A163"/>
      <c r="P163" s="247"/>
      <c r="HL163" s="73"/>
      <c r="HM163" s="73"/>
      <c r="HN163" s="73"/>
      <c r="HO163" s="73"/>
      <c r="HP163" s="73"/>
      <c r="HQ163" s="73"/>
      <c r="HR163" s="73"/>
      <c r="HS163" s="73"/>
      <c r="HT163" s="73"/>
      <c r="HU163" s="73"/>
      <c r="HV163" s="73"/>
      <c r="HW163" s="73"/>
      <c r="HX163" s="73"/>
      <c r="HY163" s="73"/>
    </row>
    <row r="164" spans="1:233">
      <c r="A164"/>
      <c r="HL164" s="73"/>
      <c r="HM164" s="73"/>
      <c r="HN164" s="73"/>
      <c r="HO164" s="73"/>
      <c r="HP164" s="73"/>
      <c r="HQ164" s="73"/>
      <c r="HR164" s="73"/>
      <c r="HS164" s="73"/>
      <c r="HT164" s="73"/>
      <c r="HU164" s="73"/>
      <c r="HV164" s="73"/>
      <c r="HW164" s="73"/>
      <c r="HX164" s="73"/>
      <c r="HY164" s="73"/>
    </row>
    <row r="165" spans="1:233">
      <c r="A165"/>
      <c r="HL165" s="73"/>
      <c r="HM165" s="73"/>
      <c r="HN165" s="73"/>
      <c r="HO165" s="73"/>
      <c r="HP165" s="73"/>
      <c r="HQ165" s="73"/>
      <c r="HR165" s="73"/>
      <c r="HS165" s="73"/>
      <c r="HT165" s="73"/>
      <c r="HU165" s="73"/>
      <c r="HV165" s="73"/>
      <c r="HW165" s="73"/>
      <c r="HX165" s="73"/>
      <c r="HY165" s="73"/>
    </row>
    <row r="166" spans="1:233">
      <c r="A166"/>
      <c r="HL166" s="73"/>
      <c r="HM166" s="73"/>
      <c r="HN166" s="73"/>
      <c r="HO166" s="73"/>
      <c r="HP166" s="73"/>
      <c r="HQ166" s="73"/>
      <c r="HR166" s="73"/>
      <c r="HS166" s="73"/>
      <c r="HT166" s="73"/>
      <c r="HU166" s="73"/>
      <c r="HV166" s="73"/>
      <c r="HW166" s="73"/>
      <c r="HX166" s="73"/>
      <c r="HY166" s="73"/>
    </row>
    <row r="167" spans="1:233">
      <c r="A167"/>
      <c r="G167"/>
      <c r="L167"/>
      <c r="Q167"/>
      <c r="V167"/>
      <c r="AA167"/>
      <c r="AF167"/>
      <c r="AK167"/>
      <c r="AL167"/>
      <c r="AM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HL167" s="73"/>
      <c r="HM167" s="73"/>
      <c r="HN167" s="73"/>
      <c r="HO167" s="73"/>
      <c r="HP167" s="73"/>
      <c r="HQ167" s="73"/>
      <c r="HR167" s="73"/>
      <c r="HS167" s="73"/>
      <c r="HT167" s="73"/>
      <c r="HU167" s="73"/>
      <c r="HV167" s="73"/>
      <c r="HW167" s="73"/>
      <c r="HX167" s="73"/>
      <c r="HY167" s="73"/>
    </row>
    <row r="168" spans="1:233">
      <c r="A168"/>
      <c r="G168"/>
      <c r="L168"/>
      <c r="Q168"/>
      <c r="V168"/>
      <c r="AA168"/>
      <c r="AF168"/>
      <c r="AK168"/>
      <c r="AL168"/>
      <c r="AM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HL168" s="73"/>
      <c r="HM168" s="73"/>
      <c r="HN168" s="73"/>
      <c r="HO168" s="73"/>
      <c r="HP168" s="73"/>
      <c r="HQ168" s="73"/>
      <c r="HR168" s="73"/>
      <c r="HS168" s="73"/>
      <c r="HT168" s="73"/>
      <c r="HU168" s="73"/>
      <c r="HV168" s="73"/>
      <c r="HW168" s="73"/>
      <c r="HX168" s="73"/>
      <c r="HY168" s="73"/>
    </row>
    <row r="209" spans="1:108">
      <c r="A209"/>
      <c r="G209"/>
      <c r="I209" s="97"/>
      <c r="J209" s="97"/>
      <c r="L209"/>
      <c r="Q209"/>
      <c r="V209"/>
      <c r="AA209"/>
      <c r="AF209"/>
      <c r="AK209"/>
      <c r="AL209"/>
      <c r="AM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row>
    <row r="210" spans="1:108">
      <c r="A210"/>
      <c r="G210"/>
      <c r="I210" s="97"/>
      <c r="J210" s="97"/>
      <c r="L210"/>
      <c r="Q210"/>
      <c r="V210"/>
      <c r="AA210"/>
      <c r="AF210"/>
      <c r="AK210"/>
      <c r="AL210"/>
      <c r="AM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row>
    <row r="214" spans="1:108">
      <c r="A214"/>
      <c r="G214"/>
      <c r="I214" s="97"/>
      <c r="J214" s="97"/>
      <c r="L214"/>
      <c r="Q214"/>
      <c r="V214"/>
      <c r="AA214"/>
      <c r="AF214"/>
      <c r="AK214"/>
      <c r="AL214"/>
      <c r="AM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row>
    <row r="215" spans="1:108">
      <c r="I215" s="97"/>
      <c r="J215" s="97"/>
      <c r="L215"/>
      <c r="Q215"/>
      <c r="V215"/>
      <c r="AA215"/>
      <c r="AF215"/>
      <c r="AK215"/>
      <c r="AL215"/>
      <c r="AM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row>
    <row r="216" spans="1:108">
      <c r="I216" s="97"/>
      <c r="J216" s="97"/>
      <c r="L216"/>
      <c r="Q216"/>
      <c r="V216"/>
      <c r="AA216"/>
      <c r="AF216"/>
      <c r="AK216"/>
      <c r="AL216"/>
      <c r="AM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row>
    <row r="217" spans="1:108">
      <c r="A217"/>
      <c r="L217"/>
      <c r="Q217"/>
      <c r="V217"/>
      <c r="AA217"/>
      <c r="AF217"/>
      <c r="AK217"/>
      <c r="AL217"/>
      <c r="AM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row>
    <row r="218" spans="1:108">
      <c r="I218" s="97"/>
      <c r="J218" s="97"/>
      <c r="L218"/>
      <c r="Q218"/>
      <c r="V218"/>
      <c r="AA218"/>
      <c r="AF218"/>
      <c r="AK218"/>
      <c r="AL218"/>
      <c r="AM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row>
    <row r="219" spans="1:108">
      <c r="I219" s="97"/>
      <c r="J219" s="97"/>
      <c r="L219"/>
      <c r="Q219"/>
      <c r="V219"/>
      <c r="AA219"/>
      <c r="AF219"/>
      <c r="AK219"/>
      <c r="AL219"/>
      <c r="AM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row>
    <row r="220" spans="1:108">
      <c r="I220" s="97"/>
      <c r="J220" s="97"/>
      <c r="L220"/>
      <c r="Q220"/>
      <c r="V220"/>
      <c r="AA220"/>
      <c r="AF220"/>
      <c r="AK220"/>
      <c r="AL220"/>
      <c r="AM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row>
    <row r="221" spans="1:108">
      <c r="I221" s="97"/>
      <c r="J221" s="97"/>
      <c r="L221"/>
      <c r="Q221"/>
      <c r="V221"/>
      <c r="AA221"/>
      <c r="AF221"/>
      <c r="AK221"/>
      <c r="AL221"/>
      <c r="AM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row>
    <row r="226" spans="1:108">
      <c r="I226" s="97"/>
      <c r="J226" s="97"/>
      <c r="K226" s="97"/>
      <c r="L226"/>
      <c r="Q226"/>
      <c r="V226"/>
      <c r="AA226"/>
      <c r="AF226"/>
      <c r="AK226"/>
      <c r="AL226"/>
      <c r="AM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row>
    <row r="227" spans="1:108">
      <c r="I227" s="97"/>
      <c r="J227" s="97"/>
      <c r="K227" s="97"/>
      <c r="L227"/>
      <c r="Q227"/>
      <c r="V227"/>
      <c r="AA227"/>
      <c r="AF227"/>
      <c r="AK227"/>
      <c r="AL227"/>
      <c r="AM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row>
    <row r="228" spans="1:108">
      <c r="I228" s="97"/>
      <c r="J228" s="97"/>
      <c r="K228" s="97"/>
      <c r="L228"/>
      <c r="Q228"/>
      <c r="V228"/>
      <c r="AA228"/>
      <c r="AF228"/>
      <c r="AK228"/>
      <c r="AL228"/>
      <c r="AM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row>
    <row r="229" spans="1:108">
      <c r="I229" s="97"/>
      <c r="J229" s="97"/>
      <c r="K229" s="97"/>
      <c r="L229"/>
      <c r="Q229"/>
      <c r="V229"/>
      <c r="AA229"/>
      <c r="AF229"/>
      <c r="AK229"/>
      <c r="AL229"/>
      <c r="AM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row>
    <row r="230" spans="1:108">
      <c r="I230" s="97"/>
      <c r="J230" s="97"/>
      <c r="K230" s="97"/>
      <c r="L230"/>
      <c r="Q230"/>
      <c r="V230"/>
      <c r="AA230"/>
      <c r="AF230"/>
      <c r="AK230"/>
      <c r="AL230"/>
      <c r="AM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row>
    <row r="231" spans="1:108">
      <c r="A231"/>
      <c r="I231" s="97"/>
      <c r="J231" s="97"/>
      <c r="K231" s="97"/>
      <c r="L231"/>
      <c r="Q231"/>
      <c r="V231"/>
      <c r="AA231"/>
      <c r="AF231"/>
      <c r="AK231"/>
      <c r="AL231"/>
      <c r="AM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row>
    <row r="232" spans="1:108">
      <c r="A232"/>
      <c r="I232" s="97"/>
      <c r="J232" s="97"/>
      <c r="K232" s="97"/>
      <c r="L232"/>
      <c r="Q232"/>
      <c r="V232"/>
      <c r="AA232"/>
      <c r="AF232"/>
      <c r="AK232"/>
      <c r="AL232"/>
      <c r="AM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row>
    <row r="236" spans="1:108">
      <c r="A236"/>
      <c r="I236" s="97"/>
      <c r="J236" s="97"/>
      <c r="L236"/>
      <c r="Q236"/>
      <c r="V236"/>
      <c r="AA236"/>
      <c r="AF236"/>
      <c r="AK236"/>
      <c r="AL236"/>
      <c r="AM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row>
    <row r="237" spans="1:108">
      <c r="A237"/>
      <c r="I237" s="97"/>
      <c r="J237" s="97"/>
      <c r="L237"/>
      <c r="Q237"/>
      <c r="V237"/>
      <c r="AA237"/>
      <c r="AF237"/>
      <c r="AK237"/>
      <c r="AL237"/>
      <c r="AM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row>
    <row r="238" spans="1:108">
      <c r="A238"/>
      <c r="I238" s="97"/>
      <c r="J238" s="97"/>
      <c r="L238"/>
      <c r="Q238"/>
      <c r="V238"/>
      <c r="AA238"/>
      <c r="AF238"/>
      <c r="AK238"/>
      <c r="AL238"/>
      <c r="AM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row>
    <row r="239" spans="1:108">
      <c r="A239"/>
      <c r="I239" s="97"/>
      <c r="J239" s="97"/>
      <c r="L239"/>
      <c r="Q239"/>
      <c r="V239"/>
      <c r="AA239"/>
      <c r="AF239"/>
      <c r="AK239"/>
      <c r="AL239"/>
      <c r="AM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row>
    <row r="240" spans="1:108">
      <c r="A240"/>
      <c r="I240" s="97"/>
      <c r="J240" s="97"/>
      <c r="L240"/>
      <c r="Q240"/>
      <c r="V240"/>
      <c r="AA240"/>
      <c r="AF240"/>
      <c r="AK240"/>
      <c r="AL240"/>
      <c r="AM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row>
    <row r="241" spans="1:108">
      <c r="A241"/>
      <c r="E241" s="97"/>
      <c r="F241" s="97"/>
      <c r="I241" s="97"/>
      <c r="J241" s="97"/>
      <c r="L241"/>
      <c r="Q241"/>
      <c r="V241"/>
      <c r="AA241"/>
      <c r="AF241"/>
      <c r="AK241"/>
      <c r="AL241"/>
      <c r="AM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row>
    <row r="242" spans="1:108">
      <c r="A242"/>
      <c r="E242" s="97"/>
      <c r="F242" s="97"/>
      <c r="I242" s="97"/>
      <c r="J242" s="97"/>
      <c r="L242"/>
      <c r="Q242"/>
      <c r="V242"/>
      <c r="AA242"/>
      <c r="AF242"/>
      <c r="AK242"/>
      <c r="AL242"/>
      <c r="AM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row>
    <row r="243" spans="1:108">
      <c r="A243"/>
      <c r="E243" s="97"/>
      <c r="F243" s="97"/>
      <c r="I243" s="97"/>
      <c r="J243" s="97"/>
      <c r="L243"/>
      <c r="Q243"/>
      <c r="V243"/>
      <c r="AA243"/>
      <c r="AF243"/>
      <c r="AK243"/>
      <c r="AL243"/>
      <c r="AM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row>
    <row r="244" spans="1:108">
      <c r="A244"/>
      <c r="E244" s="97"/>
      <c r="F244" s="97"/>
      <c r="I244" s="97"/>
      <c r="J244" s="97"/>
      <c r="L244"/>
      <c r="Q244"/>
      <c r="V244"/>
      <c r="AA244"/>
      <c r="AF244"/>
      <c r="AK244"/>
      <c r="AL244"/>
      <c r="AM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row>
    <row r="245" spans="1:108">
      <c r="A245"/>
      <c r="E245" s="97"/>
      <c r="F245" s="97"/>
      <c r="I245" s="97"/>
      <c r="J245" s="97"/>
      <c r="L245"/>
      <c r="Q245"/>
      <c r="V245"/>
      <c r="AA245"/>
      <c r="AF245"/>
      <c r="AK245"/>
      <c r="AL245"/>
      <c r="AM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row>
    <row r="246" spans="1:108">
      <c r="A246"/>
      <c r="E246" s="97"/>
      <c r="F246" s="97"/>
      <c r="L246"/>
      <c r="Q246"/>
      <c r="V246"/>
      <c r="AA246"/>
      <c r="AF246"/>
      <c r="AK246"/>
      <c r="AL246"/>
      <c r="AM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row>
    <row r="247" spans="1:108">
      <c r="A247"/>
      <c r="E247" s="97"/>
      <c r="F247" s="97"/>
      <c r="L247"/>
      <c r="Q247"/>
      <c r="V247"/>
      <c r="AA247"/>
      <c r="AF247"/>
      <c r="AK247"/>
      <c r="AL247"/>
      <c r="AM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row>
    <row r="248" spans="1:108">
      <c r="A248"/>
      <c r="E248" s="97"/>
      <c r="F248" s="97"/>
      <c r="L248"/>
      <c r="Q248"/>
      <c r="V248"/>
      <c r="AA248"/>
      <c r="AF248"/>
      <c r="AK248"/>
      <c r="AL248"/>
      <c r="AM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row>
    <row r="249" spans="1:108">
      <c r="A249"/>
      <c r="E249" s="97"/>
      <c r="F249" s="97"/>
      <c r="L249"/>
      <c r="Q249"/>
      <c r="V249"/>
      <c r="AA249"/>
      <c r="AF249"/>
      <c r="AK249"/>
      <c r="AL249"/>
      <c r="AM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row>
    <row r="250" spans="1:108">
      <c r="A250"/>
      <c r="E250" s="97"/>
      <c r="F250" s="97"/>
      <c r="J250" s="97"/>
      <c r="K250" s="97"/>
      <c r="L250"/>
      <c r="Q250"/>
      <c r="V250"/>
      <c r="AA250"/>
      <c r="AF250"/>
      <c r="AK250"/>
      <c r="AL250"/>
      <c r="AM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row>
    <row r="251" spans="1:108">
      <c r="A251"/>
      <c r="E251" s="97"/>
      <c r="F251" s="97"/>
      <c r="J251" s="97"/>
      <c r="K251" s="97"/>
      <c r="L251"/>
      <c r="Q251"/>
      <c r="V251"/>
      <c r="AA251"/>
      <c r="AF251"/>
      <c r="AK251"/>
      <c r="AL251"/>
      <c r="AM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row>
    <row r="252" spans="1:108">
      <c r="A252"/>
      <c r="E252" s="97"/>
      <c r="F252" s="97"/>
      <c r="J252" s="97"/>
      <c r="K252" s="97"/>
      <c r="L252"/>
      <c r="Q252"/>
      <c r="V252"/>
      <c r="AA252"/>
      <c r="AF252"/>
      <c r="AK252"/>
      <c r="AL252"/>
      <c r="AM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row>
    <row r="253" spans="1:108">
      <c r="A253"/>
      <c r="E253" s="97"/>
      <c r="F253" s="97"/>
      <c r="J253" s="97"/>
      <c r="K253" s="97"/>
      <c r="L253"/>
      <c r="Q253"/>
      <c r="V253"/>
      <c r="AA253"/>
      <c r="AF253"/>
      <c r="AK253"/>
      <c r="AL253"/>
      <c r="AM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row>
    <row r="254" spans="1:108">
      <c r="A254"/>
      <c r="E254" s="97"/>
      <c r="F254" s="97"/>
      <c r="J254" s="97"/>
      <c r="K254" s="97"/>
      <c r="L254"/>
      <c r="Q254"/>
      <c r="V254"/>
      <c r="AA254"/>
      <c r="AF254"/>
      <c r="AK254"/>
      <c r="AL254"/>
      <c r="AM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row>
    <row r="255" spans="1:108">
      <c r="A255"/>
      <c r="E255" s="97"/>
      <c r="F255" s="97"/>
      <c r="J255" s="97"/>
      <c r="K255" s="97"/>
      <c r="L255"/>
      <c r="Q255"/>
      <c r="V255"/>
      <c r="AA255"/>
      <c r="AF255"/>
      <c r="AK255"/>
      <c r="AL255"/>
      <c r="AM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row>
    <row r="256" spans="1:108">
      <c r="A256"/>
      <c r="J256" s="97"/>
      <c r="K256" s="97"/>
      <c r="L256"/>
      <c r="Q256"/>
      <c r="V256"/>
      <c r="AA256"/>
      <c r="AF256"/>
      <c r="AK256"/>
      <c r="AL256"/>
      <c r="AM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row>
    <row r="257" spans="1:108">
      <c r="A257"/>
      <c r="E257" s="97"/>
      <c r="F257" s="97"/>
      <c r="J257" s="97"/>
      <c r="K257" s="97"/>
      <c r="L257"/>
      <c r="Q257"/>
      <c r="V257"/>
      <c r="AA257"/>
      <c r="AF257"/>
      <c r="AK257"/>
      <c r="AL257"/>
      <c r="AM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row>
    <row r="258" spans="1:108">
      <c r="A258"/>
      <c r="E258" s="97"/>
      <c r="F258" s="97"/>
      <c r="J258" s="97"/>
      <c r="K258" s="97"/>
      <c r="L258"/>
      <c r="Q258"/>
      <c r="V258"/>
      <c r="AA258"/>
      <c r="AF258"/>
      <c r="AK258"/>
      <c r="AL258"/>
      <c r="AM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row>
    <row r="259" spans="1:108">
      <c r="A259"/>
      <c r="E259" s="97"/>
      <c r="F259" s="97"/>
      <c r="J259" s="97"/>
      <c r="K259" s="97"/>
      <c r="L259"/>
      <c r="Q259"/>
      <c r="V259"/>
      <c r="AA259"/>
      <c r="AF259"/>
      <c r="AK259"/>
      <c r="AL259"/>
      <c r="AM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row>
    <row r="260" spans="1:108">
      <c r="A260"/>
      <c r="E260" s="97"/>
      <c r="F260" s="97"/>
      <c r="J260" s="97"/>
      <c r="K260" s="97"/>
      <c r="L260"/>
      <c r="Q260"/>
      <c r="V260"/>
      <c r="AA260"/>
      <c r="AF260"/>
      <c r="AK260"/>
      <c r="AL260"/>
      <c r="AM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row>
    <row r="261" spans="1:108">
      <c r="A261"/>
      <c r="E261" s="97"/>
      <c r="F261" s="97"/>
      <c r="J261" s="97"/>
      <c r="K261" s="97"/>
      <c r="L261"/>
      <c r="Q261"/>
      <c r="V261"/>
      <c r="AA261"/>
      <c r="AF261"/>
      <c r="AK261"/>
      <c r="AL261"/>
      <c r="AM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row>
    <row r="262" spans="1:108">
      <c r="A262"/>
      <c r="E262" s="97"/>
      <c r="F262" s="97"/>
      <c r="J262" s="97"/>
      <c r="K262" s="97"/>
      <c r="L262"/>
      <c r="Q262"/>
      <c r="V262"/>
      <c r="AA262"/>
      <c r="AF262"/>
      <c r="AK262"/>
      <c r="AL262"/>
      <c r="AM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row>
    <row r="263" spans="1:108">
      <c r="A263"/>
      <c r="E263" s="97"/>
      <c r="F263" s="97"/>
      <c r="J263" s="97"/>
      <c r="K263" s="97"/>
      <c r="L263"/>
      <c r="Q263"/>
      <c r="V263"/>
      <c r="AA263"/>
      <c r="AF263"/>
      <c r="AK263"/>
      <c r="AL263"/>
      <c r="AM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row>
    <row r="264" spans="1:108">
      <c r="A264"/>
      <c r="E264" s="97"/>
      <c r="F264" s="97"/>
      <c r="J264" s="97"/>
      <c r="K264" s="97"/>
      <c r="L264"/>
      <c r="Q264"/>
      <c r="V264"/>
      <c r="AA264"/>
      <c r="AF264"/>
      <c r="AK264"/>
      <c r="AL264"/>
      <c r="AM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row>
    <row r="265" spans="1:108">
      <c r="A265"/>
      <c r="E265" s="97"/>
      <c r="F265" s="97"/>
      <c r="J265" s="97"/>
      <c r="K265" s="97"/>
      <c r="L265"/>
      <c r="Q265"/>
      <c r="V265"/>
      <c r="AA265"/>
      <c r="AF265"/>
      <c r="AK265"/>
      <c r="AL265"/>
      <c r="AM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row>
    <row r="266" spans="1:108">
      <c r="A266"/>
      <c r="E266" s="97"/>
      <c r="F266" s="97"/>
      <c r="L266"/>
      <c r="Q266"/>
      <c r="V266"/>
      <c r="AA266"/>
      <c r="AF266"/>
      <c r="AK266"/>
      <c r="AL266"/>
      <c r="AM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row>
    <row r="267" spans="1:108">
      <c r="A267"/>
      <c r="E267" s="97"/>
      <c r="F267" s="97"/>
      <c r="L267"/>
      <c r="Q267"/>
      <c r="V267"/>
      <c r="AA267"/>
      <c r="AF267"/>
      <c r="AK267"/>
      <c r="AL267"/>
      <c r="AM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row>
    <row r="268" spans="1:108">
      <c r="A268"/>
      <c r="E268" s="97"/>
      <c r="F268" s="97"/>
      <c r="L268"/>
      <c r="Q268"/>
      <c r="V268"/>
      <c r="AA268"/>
      <c r="AF268"/>
      <c r="AK268"/>
      <c r="AL268"/>
      <c r="AM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row>
    <row r="269" spans="1:108">
      <c r="A269"/>
      <c r="E269" s="97"/>
      <c r="F269" s="97"/>
      <c r="L269"/>
      <c r="Q269"/>
      <c r="V269"/>
      <c r="AA269"/>
      <c r="AF269"/>
      <c r="AK269"/>
      <c r="AL269"/>
      <c r="AM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row>
  </sheetData>
  <sheetProtection sheet="1" objects="1" scenarios="1"/>
  <protectedRanges>
    <protectedRange sqref="J56" name="Område2"/>
  </protectedRanges>
  <sortState ref="I4:J18">
    <sortCondition ref="I4:I18"/>
  </sortState>
  <mergeCells count="13">
    <mergeCell ref="AH36:AJ36"/>
    <mergeCell ref="I37:K37"/>
    <mergeCell ref="N37:P37"/>
    <mergeCell ref="S37:U37"/>
    <mergeCell ref="X37:Z37"/>
    <mergeCell ref="AC37:AE37"/>
    <mergeCell ref="AH37:AJ37"/>
    <mergeCell ref="AC36:AE36"/>
    <mergeCell ref="H28:Q28"/>
    <mergeCell ref="I36:K36"/>
    <mergeCell ref="N36:P36"/>
    <mergeCell ref="S36:U36"/>
    <mergeCell ref="X36:Z36"/>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F48"/>
  <sheetViews>
    <sheetView topLeftCell="H2" zoomScaleNormal="100" workbookViewId="0">
      <selection activeCell="L21" sqref="L21"/>
    </sheetView>
  </sheetViews>
  <sheetFormatPr defaultColWidth="9.85546875" defaultRowHeight="12.75"/>
  <cols>
    <col min="1" max="16384" width="9.85546875" style="2976"/>
  </cols>
  <sheetData>
    <row r="1" spans="1:32" ht="18">
      <c r="A1" s="1241"/>
      <c r="B1" s="1242"/>
      <c r="C1" s="1243"/>
      <c r="D1" s="1241"/>
      <c r="E1" s="1244"/>
      <c r="F1" s="1245"/>
      <c r="G1" s="1241"/>
      <c r="H1" s="1241"/>
      <c r="I1" s="1241"/>
      <c r="J1" s="1244"/>
      <c r="K1" s="1245"/>
      <c r="L1" s="1241"/>
      <c r="M1" s="1241"/>
      <c r="N1" s="1241"/>
      <c r="O1" s="1244"/>
      <c r="P1" s="1245"/>
      <c r="Q1" s="1241"/>
      <c r="R1" s="1241"/>
      <c r="S1" s="1241"/>
      <c r="T1" s="1244"/>
      <c r="U1" s="1245"/>
      <c r="V1" s="1241"/>
      <c r="W1" s="1241"/>
      <c r="X1" s="1241"/>
      <c r="Y1" s="1244"/>
      <c r="Z1" s="1245"/>
      <c r="AA1" s="1241"/>
      <c r="AB1" s="1241"/>
      <c r="AC1" s="1241"/>
      <c r="AD1" s="1244"/>
      <c r="AE1" s="1245"/>
      <c r="AF1" s="1241"/>
    </row>
    <row r="2" spans="1:32" ht="20.25">
      <c r="A2" s="1241"/>
      <c r="B2" s="1242"/>
      <c r="C2" s="2974" t="s">
        <v>1872</v>
      </c>
      <c r="D2" s="1241"/>
      <c r="E2" s="1244"/>
      <c r="F2" s="1245"/>
      <c r="G2" s="1241"/>
      <c r="H2" s="1241"/>
      <c r="I2" s="1241"/>
      <c r="J2" s="1244"/>
      <c r="K2" s="1245"/>
      <c r="L2" s="1241"/>
      <c r="M2" s="1241"/>
      <c r="N2" s="1241"/>
      <c r="O2" s="1244"/>
      <c r="P2" s="1245"/>
      <c r="Q2" s="1241"/>
      <c r="R2" s="1241"/>
      <c r="S2" s="1241"/>
      <c r="T2" s="1244"/>
      <c r="U2" s="1245"/>
      <c r="V2" s="1241"/>
      <c r="W2" s="1241"/>
      <c r="X2" s="1241"/>
      <c r="Y2" s="1244"/>
      <c r="Z2" s="1245"/>
      <c r="AA2" s="1241"/>
      <c r="AB2" s="1241"/>
      <c r="AC2" s="1241"/>
      <c r="AD2" s="1244"/>
      <c r="AE2" s="1245"/>
      <c r="AF2" s="1241"/>
    </row>
    <row r="3" spans="1:32" ht="20.25">
      <c r="A3" s="1241"/>
      <c r="B3" s="1242"/>
      <c r="C3" s="2974"/>
      <c r="D3" s="1241"/>
      <c r="E3" s="1244"/>
      <c r="F3" s="1245"/>
      <c r="G3" s="1241"/>
      <c r="H3" s="1241"/>
      <c r="I3" s="1241"/>
      <c r="J3" s="1244"/>
      <c r="K3" s="1245"/>
      <c r="L3" s="1241"/>
      <c r="M3" s="1241"/>
      <c r="N3" s="1241"/>
      <c r="O3" s="1244"/>
      <c r="P3" s="1245"/>
      <c r="Q3" s="1241"/>
      <c r="R3" s="1241"/>
      <c r="S3" s="1241"/>
      <c r="T3" s="1244"/>
      <c r="U3" s="1245"/>
      <c r="V3" s="1241"/>
      <c r="W3" s="1241"/>
      <c r="X3" s="1241"/>
      <c r="Y3" s="1244"/>
      <c r="Z3" s="1245"/>
      <c r="AA3" s="1241"/>
      <c r="AB3" s="1241"/>
      <c r="AC3" s="1241"/>
      <c r="AD3" s="1244"/>
      <c r="AE3" s="1245"/>
      <c r="AF3" s="1241"/>
    </row>
    <row r="4" spans="1:32" ht="20.25">
      <c r="A4" s="1241"/>
      <c r="B4" s="1242"/>
      <c r="C4" s="2974"/>
      <c r="D4" s="1241"/>
      <c r="E4" s="1244"/>
      <c r="F4" s="1245"/>
      <c r="G4" s="1241"/>
      <c r="H4" s="1241"/>
      <c r="I4" s="1241"/>
      <c r="J4" s="1244"/>
      <c r="K4" s="1245"/>
      <c r="L4" s="1241"/>
      <c r="M4" s="1241"/>
      <c r="N4" s="1241"/>
      <c r="O4" s="1244"/>
      <c r="P4" s="1245"/>
      <c r="Q4" s="1241"/>
      <c r="R4" s="1241"/>
      <c r="S4" s="1241"/>
      <c r="T4" s="1244"/>
      <c r="U4" s="1245"/>
      <c r="V4" s="1241"/>
      <c r="W4" s="1241"/>
      <c r="X4" s="1241"/>
      <c r="Y4" s="1244"/>
      <c r="Z4" s="1245"/>
      <c r="AA4" s="1241"/>
      <c r="AB4" s="1241"/>
      <c r="AC4" s="1241"/>
      <c r="AD4" s="1244"/>
      <c r="AE4" s="1245"/>
      <c r="AF4" s="1241"/>
    </row>
    <row r="5" spans="1:32" ht="20.25">
      <c r="A5" s="1241"/>
      <c r="B5" s="1242"/>
      <c r="C5" s="2974"/>
      <c r="D5" s="1241"/>
      <c r="E5" s="1244"/>
      <c r="F5" s="1245"/>
      <c r="G5" s="1241"/>
      <c r="H5" s="1241"/>
      <c r="I5" s="1241"/>
      <c r="J5" s="1244"/>
      <c r="K5" s="1245"/>
      <c r="L5" s="1241"/>
      <c r="M5" s="1241"/>
      <c r="N5" s="1241"/>
      <c r="O5" s="1244"/>
      <c r="P5" s="1245"/>
      <c r="Q5" s="1241"/>
      <c r="R5" s="1241"/>
      <c r="S5" s="1241"/>
      <c r="T5" s="1244"/>
      <c r="U5" s="1245"/>
      <c r="V5" s="1241"/>
      <c r="W5" s="1241"/>
      <c r="X5" s="1241"/>
      <c r="Y5" s="1244"/>
      <c r="Z5" s="1245"/>
      <c r="AA5" s="1241"/>
      <c r="AB5" s="1241"/>
      <c r="AC5" s="1241"/>
      <c r="AD5" s="1244"/>
      <c r="AE5" s="1245"/>
      <c r="AF5" s="1241"/>
    </row>
    <row r="6" spans="1:32" ht="13.5" thickBot="1">
      <c r="A6" s="665"/>
      <c r="B6" s="663"/>
      <c r="C6" s="665"/>
      <c r="D6" s="665"/>
      <c r="E6" s="481"/>
      <c r="F6" s="665"/>
      <c r="G6" s="665"/>
      <c r="H6" s="665"/>
      <c r="I6" s="665"/>
      <c r="J6" s="665"/>
      <c r="K6" s="665"/>
      <c r="L6" s="665"/>
      <c r="M6" s="665"/>
      <c r="N6" s="665"/>
      <c r="O6" s="665"/>
      <c r="P6" s="665"/>
      <c r="Q6" s="665"/>
      <c r="R6" s="1246"/>
      <c r="S6" s="1246"/>
      <c r="T6" s="1246"/>
      <c r="U6" s="1246"/>
      <c r="V6" s="1246"/>
      <c r="W6" s="1246"/>
      <c r="X6" s="1246"/>
      <c r="Y6" s="1246"/>
      <c r="Z6" s="1246"/>
      <c r="AA6" s="1246"/>
      <c r="AB6" s="1246"/>
      <c r="AC6" s="1246"/>
      <c r="AD6" s="1246"/>
      <c r="AE6" s="1246"/>
      <c r="AF6" s="1246"/>
    </row>
    <row r="7" spans="1:32">
      <c r="A7" s="1247"/>
      <c r="B7" s="663"/>
      <c r="C7" s="1248"/>
      <c r="D7" s="528"/>
      <c r="E7" s="1249" t="s">
        <v>1832</v>
      </c>
      <c r="F7" s="530"/>
      <c r="G7" s="665"/>
      <c r="H7" s="1248"/>
      <c r="I7" s="528"/>
      <c r="J7" s="1250" t="s">
        <v>1833</v>
      </c>
      <c r="K7" s="530"/>
      <c r="L7" s="665"/>
      <c r="M7" s="1248"/>
      <c r="N7" s="528"/>
      <c r="O7" s="1250" t="s">
        <v>1834</v>
      </c>
      <c r="P7" s="530"/>
      <c r="Q7" s="665"/>
      <c r="R7" s="2987"/>
      <c r="S7" s="1251"/>
      <c r="T7" s="1726" t="s">
        <v>1836</v>
      </c>
      <c r="U7" s="1253"/>
      <c r="V7" s="665"/>
      <c r="W7" s="1248"/>
      <c r="X7" s="528"/>
      <c r="Y7" s="1250" t="s">
        <v>1837</v>
      </c>
      <c r="Z7" s="530"/>
      <c r="AA7" s="665"/>
      <c r="AB7" s="1248"/>
      <c r="AC7" s="528"/>
      <c r="AD7" s="1250" t="e">
        <f>#REF!</f>
        <v>#REF!</v>
      </c>
      <c r="AE7" s="530"/>
      <c r="AF7" s="665"/>
    </row>
    <row r="8" spans="1:32">
      <c r="A8" s="1247"/>
      <c r="B8" s="1254"/>
      <c r="C8" s="1255"/>
      <c r="D8" s="1255"/>
      <c r="E8" s="1256"/>
      <c r="F8" s="1257"/>
      <c r="G8" s="1254"/>
      <c r="H8" s="1255"/>
      <c r="I8" s="1255"/>
      <c r="J8" s="1256"/>
      <c r="K8" s="1257"/>
      <c r="L8" s="1254"/>
      <c r="M8" s="1255"/>
      <c r="N8" s="2977" t="s">
        <v>1835</v>
      </c>
      <c r="O8" s="1256"/>
      <c r="P8" s="1257"/>
      <c r="Q8" s="1254"/>
      <c r="R8" s="2988"/>
      <c r="S8" s="1256"/>
      <c r="T8" s="1256"/>
      <c r="U8" s="1257"/>
      <c r="V8" s="1254"/>
      <c r="W8" s="1255"/>
      <c r="X8" s="1255"/>
      <c r="Y8" s="1256"/>
      <c r="Z8" s="1257"/>
      <c r="AA8" s="1254"/>
      <c r="AB8" s="1255"/>
      <c r="AC8" s="1255"/>
      <c r="AD8" s="1256"/>
      <c r="AE8" s="1257"/>
      <c r="AF8" s="1254"/>
    </row>
    <row r="9" spans="1:32">
      <c r="A9" s="1247"/>
      <c r="B9" s="663"/>
      <c r="C9" s="1258"/>
      <c r="D9" s="1259" t="s">
        <v>455</v>
      </c>
      <c r="E9" s="1260" t="s">
        <v>456</v>
      </c>
      <c r="F9" s="1261" t="s">
        <v>457</v>
      </c>
      <c r="G9" s="665"/>
      <c r="H9" s="1258"/>
      <c r="I9" s="1259" t="s">
        <v>455</v>
      </c>
      <c r="J9" s="1260" t="s">
        <v>456</v>
      </c>
      <c r="K9" s="1261" t="s">
        <v>457</v>
      </c>
      <c r="L9" s="665"/>
      <c r="M9" s="1258"/>
      <c r="N9" s="1259" t="s">
        <v>455</v>
      </c>
      <c r="O9" s="1260" t="s">
        <v>456</v>
      </c>
      <c r="P9" s="1261" t="s">
        <v>457</v>
      </c>
      <c r="Q9" s="665"/>
      <c r="R9" s="2989"/>
      <c r="S9" s="2986" t="s">
        <v>455</v>
      </c>
      <c r="T9" s="1260" t="s">
        <v>456</v>
      </c>
      <c r="U9" s="1261" t="s">
        <v>457</v>
      </c>
      <c r="V9" s="665"/>
      <c r="W9" s="1258"/>
      <c r="X9" s="1259" t="s">
        <v>455</v>
      </c>
      <c r="Y9" s="1260" t="s">
        <v>456</v>
      </c>
      <c r="Z9" s="1261" t="s">
        <v>457</v>
      </c>
      <c r="AA9" s="665"/>
      <c r="AB9" s="1258"/>
      <c r="AC9" s="1259" t="s">
        <v>455</v>
      </c>
      <c r="AD9" s="1260" t="s">
        <v>456</v>
      </c>
      <c r="AE9" s="1261" t="s">
        <v>457</v>
      </c>
      <c r="AF9" s="665"/>
    </row>
    <row r="10" spans="1:32">
      <c r="A10" s="1247"/>
      <c r="B10" s="663"/>
      <c r="C10" s="1262" t="s">
        <v>458</v>
      </c>
      <c r="D10" s="1263">
        <f>Gröddata!C28</f>
        <v>50000</v>
      </c>
      <c r="E10" s="1722">
        <f>Gröddata!D28</f>
        <v>0.29799999999999999</v>
      </c>
      <c r="F10" s="1265">
        <f>D10*E10</f>
        <v>14900</v>
      </c>
      <c r="G10" s="665"/>
      <c r="H10" s="1262" t="s">
        <v>458</v>
      </c>
      <c r="I10" s="1263">
        <f>Gröddata!C29</f>
        <v>50000</v>
      </c>
      <c r="J10" s="1722">
        <f>Gröddata!D29</f>
        <v>1.68</v>
      </c>
      <c r="K10" s="1265">
        <f>J10*I10</f>
        <v>84000</v>
      </c>
      <c r="L10" s="665"/>
      <c r="M10" s="1262" t="s">
        <v>458</v>
      </c>
      <c r="N10" s="1263">
        <f>Gröddata!C31</f>
        <v>9000</v>
      </c>
      <c r="O10" s="1722">
        <f>Gröddata!D31</f>
        <v>1.25</v>
      </c>
      <c r="P10" s="1265">
        <f>N10*O10</f>
        <v>11250</v>
      </c>
      <c r="Q10" s="665"/>
      <c r="R10" s="1262" t="s">
        <v>458</v>
      </c>
      <c r="S10" s="1263">
        <f>Gröddata!C32</f>
        <v>5000</v>
      </c>
      <c r="T10" s="1722">
        <f>Gröddata!D32</f>
        <v>1.2</v>
      </c>
      <c r="U10" s="1266">
        <f>S10*T10</f>
        <v>6000</v>
      </c>
      <c r="V10" s="665"/>
      <c r="W10" s="1262" t="s">
        <v>458</v>
      </c>
      <c r="X10" s="1263">
        <f>Gröddata!C33</f>
        <v>10000</v>
      </c>
      <c r="Y10" s="1722">
        <f>Gröddata!D33</f>
        <v>0.95</v>
      </c>
      <c r="Z10" s="1265">
        <f>X10*Y10</f>
        <v>9500</v>
      </c>
      <c r="AA10" s="665"/>
      <c r="AB10" s="1262" t="s">
        <v>458</v>
      </c>
      <c r="AC10" s="1263" t="e">
        <f>#REF!</f>
        <v>#REF!</v>
      </c>
      <c r="AD10" s="1264" t="e">
        <f>#REF!</f>
        <v>#REF!</v>
      </c>
      <c r="AE10" s="1266" t="e">
        <f>$AI$59*AC10</f>
        <v>#REF!</v>
      </c>
      <c r="AF10" s="665"/>
    </row>
    <row r="11" spans="1:32">
      <c r="A11" s="1267"/>
      <c r="B11" s="1268"/>
      <c r="C11" s="1262"/>
      <c r="D11" s="1269"/>
      <c r="E11" s="1728"/>
      <c r="F11" s="1271">
        <f>D10*E11</f>
        <v>0</v>
      </c>
      <c r="G11" s="665"/>
      <c r="H11" s="1262"/>
      <c r="I11" s="1269"/>
      <c r="J11" s="1728"/>
      <c r="K11" s="1271">
        <f>I10*J11</f>
        <v>0</v>
      </c>
      <c r="L11" s="665"/>
      <c r="M11" s="1262"/>
      <c r="N11" s="1269"/>
      <c r="O11" s="1270"/>
      <c r="P11" s="1271"/>
      <c r="Q11" s="665"/>
      <c r="R11" s="1262"/>
      <c r="S11" s="1269"/>
      <c r="T11" s="1270"/>
      <c r="U11" s="1271"/>
      <c r="V11" s="665"/>
      <c r="W11" s="1262"/>
      <c r="X11" s="1272"/>
      <c r="Y11" s="1270"/>
      <c r="Z11" s="1271"/>
      <c r="AA11" s="665"/>
      <c r="AB11" s="1262"/>
      <c r="AC11" s="1272"/>
      <c r="AD11" s="1270"/>
      <c r="AE11" s="1271"/>
      <c r="AF11" s="665"/>
    </row>
    <row r="12" spans="1:32">
      <c r="A12" s="1267"/>
      <c r="B12" s="1268"/>
      <c r="C12" s="1273" t="s">
        <v>459</v>
      </c>
      <c r="D12" s="1274"/>
      <c r="E12" s="1275"/>
      <c r="F12" s="1276">
        <f>SUM(F10:F11)</f>
        <v>14900</v>
      </c>
      <c r="G12" s="665"/>
      <c r="H12" s="1273" t="s">
        <v>459</v>
      </c>
      <c r="I12" s="1274"/>
      <c r="J12" s="1275"/>
      <c r="K12" s="1276">
        <f>SUM(K10:K11)</f>
        <v>84000</v>
      </c>
      <c r="L12" s="665"/>
      <c r="M12" s="1273" t="s">
        <v>459</v>
      </c>
      <c r="N12" s="1274"/>
      <c r="O12" s="1275"/>
      <c r="P12" s="1276">
        <f>SUM(P10:P11)</f>
        <v>11250</v>
      </c>
      <c r="Q12" s="665"/>
      <c r="R12" s="1273" t="s">
        <v>459</v>
      </c>
      <c r="S12" s="1274"/>
      <c r="T12" s="1275"/>
      <c r="U12" s="1276">
        <f>SUM(U10:U11)</f>
        <v>6000</v>
      </c>
      <c r="V12" s="665"/>
      <c r="W12" s="1273" t="s">
        <v>459</v>
      </c>
      <c r="X12" s="1274"/>
      <c r="Y12" s="1275"/>
      <c r="Z12" s="1276">
        <f>SUM(Z10:Z11)</f>
        <v>9500</v>
      </c>
      <c r="AA12" s="665"/>
      <c r="AB12" s="1273" t="s">
        <v>459</v>
      </c>
      <c r="AC12" s="1274"/>
      <c r="AD12" s="1275"/>
      <c r="AE12" s="1276" t="e">
        <f>SUM(AE10:AE11)</f>
        <v>#REF!</v>
      </c>
      <c r="AF12" s="665"/>
    </row>
    <row r="13" spans="1:32">
      <c r="A13" s="1267"/>
      <c r="B13" s="1268"/>
      <c r="C13" s="1277"/>
      <c r="D13" s="1278"/>
      <c r="E13" s="1279"/>
      <c r="F13" s="1280"/>
      <c r="G13" s="665"/>
      <c r="H13" s="1277"/>
      <c r="I13" s="1278"/>
      <c r="J13" s="1279"/>
      <c r="K13" s="1280"/>
      <c r="L13" s="665"/>
      <c r="M13" s="1277"/>
      <c r="N13" s="1278"/>
      <c r="O13" s="1279"/>
      <c r="P13" s="1280"/>
      <c r="Q13" s="665"/>
      <c r="R13" s="1277"/>
      <c r="S13" s="1278"/>
      <c r="T13" s="1279"/>
      <c r="U13" s="1280"/>
      <c r="V13" s="665"/>
      <c r="W13" s="1277"/>
      <c r="X13" s="1278"/>
      <c r="Y13" s="1279"/>
      <c r="Z13" s="1280"/>
      <c r="AA13" s="665"/>
      <c r="AB13" s="1277"/>
      <c r="AC13" s="1278"/>
      <c r="AD13" s="1279"/>
      <c r="AE13" s="1280"/>
      <c r="AF13" s="665"/>
    </row>
    <row r="14" spans="1:32">
      <c r="A14" s="1267"/>
      <c r="B14" s="1268"/>
      <c r="C14" s="1273" t="s">
        <v>483</v>
      </c>
      <c r="D14" s="1274"/>
      <c r="E14" s="1275"/>
      <c r="F14" s="1280"/>
      <c r="G14" s="665"/>
      <c r="H14" s="1273" t="s">
        <v>483</v>
      </c>
      <c r="I14" s="1278"/>
      <c r="J14" s="1279"/>
      <c r="K14" s="1280"/>
      <c r="L14" s="665"/>
      <c r="M14" s="1273" t="s">
        <v>483</v>
      </c>
      <c r="N14" s="1278"/>
      <c r="O14" s="1279"/>
      <c r="P14" s="1280"/>
      <c r="Q14" s="665"/>
      <c r="R14" s="1273" t="s">
        <v>483</v>
      </c>
      <c r="S14" s="1278"/>
      <c r="T14" s="1279"/>
      <c r="U14" s="1280"/>
      <c r="V14" s="665"/>
      <c r="W14" s="1273" t="s">
        <v>483</v>
      </c>
      <c r="X14" s="1278"/>
      <c r="Y14" s="1279"/>
      <c r="Z14" s="1280"/>
      <c r="AA14" s="665"/>
      <c r="AB14" s="1273" t="s">
        <v>483</v>
      </c>
      <c r="AC14" s="1278"/>
      <c r="AD14" s="1279"/>
      <c r="AE14" s="1280"/>
      <c r="AF14" s="665"/>
    </row>
    <row r="15" spans="1:32">
      <c r="A15" s="1267"/>
      <c r="B15" s="1268"/>
      <c r="C15" s="1277"/>
      <c r="D15" s="1259" t="s">
        <v>460</v>
      </c>
      <c r="E15" s="1260" t="s">
        <v>461</v>
      </c>
      <c r="F15" s="1280"/>
      <c r="G15" s="665"/>
      <c r="H15" s="1277"/>
      <c r="I15" s="1259" t="s">
        <v>460</v>
      </c>
      <c r="J15" s="1260" t="s">
        <v>461</v>
      </c>
      <c r="K15" s="1280"/>
      <c r="L15" s="665"/>
      <c r="M15" s="1277"/>
      <c r="N15" s="1259" t="s">
        <v>460</v>
      </c>
      <c r="O15" s="1260" t="s">
        <v>461</v>
      </c>
      <c r="P15" s="1280"/>
      <c r="Q15" s="665"/>
      <c r="R15" s="1277"/>
      <c r="S15" s="1259" t="s">
        <v>460</v>
      </c>
      <c r="T15" s="1260" t="s">
        <v>461</v>
      </c>
      <c r="U15" s="1280"/>
      <c r="V15" s="665"/>
      <c r="W15" s="1277"/>
      <c r="X15" s="1259" t="s">
        <v>460</v>
      </c>
      <c r="Y15" s="1260" t="s">
        <v>461</v>
      </c>
      <c r="Z15" s="1280"/>
      <c r="AA15" s="665"/>
      <c r="AB15" s="1277"/>
      <c r="AC15" s="1259" t="s">
        <v>460</v>
      </c>
      <c r="AD15" s="1260" t="s">
        <v>461</v>
      </c>
      <c r="AE15" s="1280"/>
      <c r="AF15" s="665"/>
    </row>
    <row r="16" spans="1:32">
      <c r="A16" s="1267"/>
      <c r="B16" s="1268"/>
      <c r="C16" s="1277"/>
      <c r="D16" s="1278"/>
      <c r="E16" s="1264"/>
      <c r="F16" s="1266"/>
      <c r="G16" s="665"/>
      <c r="H16" s="1277"/>
      <c r="I16" s="1278"/>
      <c r="J16" s="1264"/>
      <c r="K16" s="1266"/>
      <c r="L16" s="665"/>
      <c r="M16" s="1277"/>
      <c r="N16" s="1278"/>
      <c r="O16" s="1264"/>
      <c r="P16" s="1266"/>
      <c r="Q16" s="665"/>
      <c r="R16" s="1277"/>
      <c r="S16" s="1278"/>
      <c r="T16" s="1264"/>
      <c r="U16" s="1266"/>
      <c r="V16" s="665"/>
      <c r="W16" s="1277"/>
      <c r="X16" s="1278"/>
      <c r="Y16" s="1264"/>
      <c r="Z16" s="1266"/>
      <c r="AA16" s="665"/>
      <c r="AB16" s="1277"/>
      <c r="AC16" s="1278"/>
      <c r="AD16" s="1264"/>
      <c r="AE16" s="1266"/>
      <c r="AF16" s="665"/>
    </row>
    <row r="17" spans="1:32">
      <c r="A17" s="1267"/>
      <c r="B17" s="1268"/>
      <c r="C17" s="1262" t="s">
        <v>462</v>
      </c>
      <c r="D17" s="1281">
        <v>1.2</v>
      </c>
      <c r="E17" s="1282">
        <v>2100</v>
      </c>
      <c r="F17" s="1283">
        <f>D17*E17</f>
        <v>2520</v>
      </c>
      <c r="G17" s="665"/>
      <c r="H17" s="1262" t="s">
        <v>462</v>
      </c>
      <c r="I17" s="1281">
        <v>2800</v>
      </c>
      <c r="J17" s="1282">
        <v>4.51</v>
      </c>
      <c r="K17" s="1283">
        <f>I17*J17</f>
        <v>12628</v>
      </c>
      <c r="L17" s="665"/>
      <c r="M17" s="1262" t="s">
        <v>462</v>
      </c>
      <c r="N17" s="1281">
        <v>7</v>
      </c>
      <c r="O17" s="1282">
        <v>46</v>
      </c>
      <c r="P17" s="1283">
        <f>N17*O17</f>
        <v>322</v>
      </c>
      <c r="Q17" s="665"/>
      <c r="R17" s="1262" t="s">
        <v>462</v>
      </c>
      <c r="S17" s="1281">
        <v>180</v>
      </c>
      <c r="T17" s="1282">
        <v>5.2</v>
      </c>
      <c r="U17" s="1283">
        <f>S17*T17</f>
        <v>936</v>
      </c>
      <c r="V17" s="665"/>
      <c r="W17" s="1262" t="s">
        <v>462</v>
      </c>
      <c r="X17" s="2973">
        <v>1.5</v>
      </c>
      <c r="Y17" s="1282">
        <v>1130</v>
      </c>
      <c r="Z17" s="1283">
        <f>X17*Y17</f>
        <v>1695</v>
      </c>
      <c r="AA17" s="665"/>
      <c r="AB17" s="1262" t="s">
        <v>462</v>
      </c>
      <c r="AC17" s="1281"/>
      <c r="AD17" s="1282" t="e">
        <f>#REF!</f>
        <v>#REF!</v>
      </c>
      <c r="AE17" s="1283" t="e">
        <f>AC17*AD17</f>
        <v>#REF!</v>
      </c>
      <c r="AF17" s="665"/>
    </row>
    <row r="18" spans="1:32">
      <c r="A18" s="1267"/>
      <c r="B18" s="663"/>
      <c r="C18" s="1262" t="s">
        <v>463</v>
      </c>
      <c r="D18" s="2943">
        <f>'NPK-rekommendationer'!B58</f>
        <v>85</v>
      </c>
      <c r="E18" s="1282">
        <f>Gröddata!Q3</f>
        <v>9.14</v>
      </c>
      <c r="F18" s="1283">
        <f>D18*E18</f>
        <v>776.90000000000009</v>
      </c>
      <c r="G18" s="665"/>
      <c r="H18" s="1262" t="s">
        <v>463</v>
      </c>
      <c r="I18" s="1281">
        <f>'NPK-rekommendationer'!I54</f>
        <v>150</v>
      </c>
      <c r="J18" s="1282">
        <f>Gröddata!Q3</f>
        <v>9.14</v>
      </c>
      <c r="K18" s="1283">
        <f>I18*J18</f>
        <v>1371</v>
      </c>
      <c r="L18" s="665"/>
      <c r="M18" s="1262" t="s">
        <v>463</v>
      </c>
      <c r="N18" s="1281">
        <f>'NPK-rekommendationer'!J69</f>
        <v>181</v>
      </c>
      <c r="O18" s="1282">
        <f>Gröddata!Q3</f>
        <v>9.14</v>
      </c>
      <c r="P18" s="1283">
        <f>N18*O18</f>
        <v>1654.3400000000001</v>
      </c>
      <c r="Q18" s="665"/>
      <c r="R18" s="1262" t="s">
        <v>463</v>
      </c>
      <c r="S18" s="1281">
        <f>'NPK-rekommendationer'!J77</f>
        <v>40</v>
      </c>
      <c r="T18" s="1282">
        <f>Gröddata!Q3</f>
        <v>9.14</v>
      </c>
      <c r="U18" s="1283">
        <f>S18*T18</f>
        <v>365.6</v>
      </c>
      <c r="V18" s="665"/>
      <c r="W18" s="1262" t="s">
        <v>463</v>
      </c>
      <c r="X18" s="1281">
        <f>'NPK-rekommendationer'!J86</f>
        <v>160</v>
      </c>
      <c r="Y18" s="1282">
        <f>Gröddata!Q3</f>
        <v>9.14</v>
      </c>
      <c r="Z18" s="1283">
        <f>X18*Y18</f>
        <v>1462.4</v>
      </c>
      <c r="AA18" s="665"/>
      <c r="AB18" s="1262" t="s">
        <v>463</v>
      </c>
      <c r="AC18" s="1281" t="e">
        <f>'NPK-rekommendationer'!#REF!</f>
        <v>#REF!</v>
      </c>
      <c r="AD18" s="1282">
        <f>Gröddata!Q3</f>
        <v>9.14</v>
      </c>
      <c r="AE18" s="1283" t="e">
        <f>AC18*AD18</f>
        <v>#REF!</v>
      </c>
      <c r="AF18" s="665"/>
    </row>
    <row r="19" spans="1:32">
      <c r="A19" s="1267"/>
      <c r="B19" s="1268"/>
      <c r="C19" s="1262" t="s">
        <v>464</v>
      </c>
      <c r="D19" s="1285">
        <f>'NPK-rekommendationer'!U122</f>
        <v>17.5</v>
      </c>
      <c r="E19" s="1282">
        <f>Gröddata!Q4</f>
        <v>19.04</v>
      </c>
      <c r="F19" s="1283">
        <f>D19*E19</f>
        <v>333.2</v>
      </c>
      <c r="G19" s="665"/>
      <c r="H19" s="1262" t="s">
        <v>464</v>
      </c>
      <c r="I19" s="1285">
        <f>'NPK-rekommendationer'!U123</f>
        <v>35</v>
      </c>
      <c r="J19" s="1282">
        <f>Gröddata!Q4</f>
        <v>19.04</v>
      </c>
      <c r="K19" s="1283">
        <f>I19*J19</f>
        <v>666.4</v>
      </c>
      <c r="L19" s="665"/>
      <c r="M19" s="1262" t="s">
        <v>464</v>
      </c>
      <c r="N19" s="1285">
        <f>'NPK-rekommendationer'!U125</f>
        <v>9</v>
      </c>
      <c r="O19" s="1282">
        <f>Gröddata!Q4</f>
        <v>19.04</v>
      </c>
      <c r="P19" s="1283">
        <f>N19*O19</f>
        <v>171.35999999999999</v>
      </c>
      <c r="Q19" s="665"/>
      <c r="R19" s="1262" t="s">
        <v>464</v>
      </c>
      <c r="S19" s="1285">
        <f>'NPK-rekommendationer'!U126</f>
        <v>0</v>
      </c>
      <c r="T19" s="1282">
        <f>Gröddata!Q4</f>
        <v>19.04</v>
      </c>
      <c r="U19" s="1283">
        <f>S19*T19</f>
        <v>0</v>
      </c>
      <c r="V19" s="665"/>
      <c r="W19" s="1262" t="s">
        <v>464</v>
      </c>
      <c r="X19" s="1285">
        <f>'NPK-rekommendationer'!U127</f>
        <v>20</v>
      </c>
      <c r="Y19" s="1282">
        <f>Gröddata!Q4</f>
        <v>19.04</v>
      </c>
      <c r="Z19" s="1283">
        <f>X19*Y19</f>
        <v>380.79999999999995</v>
      </c>
      <c r="AA19" s="665"/>
      <c r="AB19" s="1262" t="s">
        <v>464</v>
      </c>
      <c r="AC19" s="1285">
        <f>'NPK-rekommendationer'!P64</f>
        <v>0</v>
      </c>
      <c r="AD19" s="1282">
        <f>Gröddata!Q4</f>
        <v>19.04</v>
      </c>
      <c r="AE19" s="1283">
        <f>AC19*AD19</f>
        <v>0</v>
      </c>
      <c r="AF19" s="665"/>
    </row>
    <row r="20" spans="1:32">
      <c r="A20" s="1267"/>
      <c r="B20" s="1268"/>
      <c r="C20" s="1262" t="s">
        <v>465</v>
      </c>
      <c r="D20" s="1285">
        <f>'NPK-rekommendationer'!N122</f>
        <v>10</v>
      </c>
      <c r="E20" s="1282">
        <f>Gröddata!Q5</f>
        <v>7.53</v>
      </c>
      <c r="F20" s="1283">
        <f>D20*E20</f>
        <v>75.3</v>
      </c>
      <c r="G20" s="665"/>
      <c r="H20" s="1262" t="s">
        <v>465</v>
      </c>
      <c r="I20" s="1285">
        <f>'NPK-rekommendationer'!Y123</f>
        <v>200</v>
      </c>
      <c r="J20" s="1282">
        <f>Gröddata!Q5</f>
        <v>7.53</v>
      </c>
      <c r="K20" s="1283">
        <f>I20*J20</f>
        <v>1506</v>
      </c>
      <c r="L20" s="665"/>
      <c r="M20" s="1262" t="s">
        <v>465</v>
      </c>
      <c r="N20" s="1285">
        <f>'NPK-rekommendationer'!Y125</f>
        <v>140</v>
      </c>
      <c r="O20" s="1282">
        <f>Gröddata!Q5</f>
        <v>7.53</v>
      </c>
      <c r="P20" s="1283">
        <f>N20*O20</f>
        <v>1054.2</v>
      </c>
      <c r="Q20" s="665"/>
      <c r="R20" s="1262" t="s">
        <v>465</v>
      </c>
      <c r="S20" s="1285">
        <f>'NPK-rekommendationer'!Y126</f>
        <v>60</v>
      </c>
      <c r="T20" s="1282">
        <f>Gröddata!Q5</f>
        <v>7.53</v>
      </c>
      <c r="U20" s="1283">
        <f>S20*T20</f>
        <v>451.8</v>
      </c>
      <c r="V20" s="665"/>
      <c r="W20" s="1262" t="s">
        <v>465</v>
      </c>
      <c r="X20" s="1285">
        <f>'NPK-rekommendationer'!Y127</f>
        <v>120</v>
      </c>
      <c r="Y20" s="1282">
        <f>Gröddata!Q5</f>
        <v>7.53</v>
      </c>
      <c r="Z20" s="1283">
        <f>X20*Y20</f>
        <v>903.6</v>
      </c>
      <c r="AA20" s="665"/>
      <c r="AB20" s="1262" t="s">
        <v>465</v>
      </c>
      <c r="AC20" s="1285">
        <f>'NPK-rekommendationer'!T64</f>
        <v>0</v>
      </c>
      <c r="AD20" s="1282">
        <f>Gröddata!Q5</f>
        <v>7.53</v>
      </c>
      <c r="AE20" s="1283">
        <f>AC20*AD20</f>
        <v>0</v>
      </c>
      <c r="AF20" s="665"/>
    </row>
    <row r="21" spans="1:32">
      <c r="A21" s="1267"/>
      <c r="B21" s="1268"/>
      <c r="C21" s="1286" t="s">
        <v>466</v>
      </c>
      <c r="D21" s="1285">
        <v>30</v>
      </c>
      <c r="E21" s="1282">
        <f>Gröddata!Q6</f>
        <v>1.5</v>
      </c>
      <c r="F21" s="1283">
        <f>D21*E21</f>
        <v>45</v>
      </c>
      <c r="G21" s="665"/>
      <c r="H21" s="1286" t="s">
        <v>466</v>
      </c>
      <c r="I21" s="1285">
        <v>20</v>
      </c>
      <c r="J21" s="1282">
        <f>Gröddata!Q6</f>
        <v>1.5</v>
      </c>
      <c r="K21" s="1283">
        <f>I21*J21</f>
        <v>30</v>
      </c>
      <c r="L21" s="665"/>
      <c r="M21" s="1286" t="s">
        <v>466</v>
      </c>
      <c r="N21" s="1285">
        <v>15</v>
      </c>
      <c r="O21" s="1282">
        <f>Gröddata!Q6</f>
        <v>1.5</v>
      </c>
      <c r="P21" s="1283">
        <f>N21*O21</f>
        <v>22.5</v>
      </c>
      <c r="Q21" s="665"/>
      <c r="R21" s="1286" t="s">
        <v>466</v>
      </c>
      <c r="S21" s="1285">
        <v>15</v>
      </c>
      <c r="T21" s="1282">
        <f>Gröddata!Q6</f>
        <v>1.5</v>
      </c>
      <c r="U21" s="1283">
        <f>S21*T21</f>
        <v>22.5</v>
      </c>
      <c r="V21" s="665"/>
      <c r="W21" s="1286" t="s">
        <v>466</v>
      </c>
      <c r="X21" s="1285">
        <v>15</v>
      </c>
      <c r="Y21" s="1282">
        <f>Gröddata!Q6</f>
        <v>1.5</v>
      </c>
      <c r="Z21" s="1283">
        <f>X21*Y21</f>
        <v>22.5</v>
      </c>
      <c r="AA21" s="665"/>
      <c r="AB21" s="1286" t="s">
        <v>466</v>
      </c>
      <c r="AC21" s="1285">
        <v>7</v>
      </c>
      <c r="AD21" s="1282">
        <f>Gröddata!Q6</f>
        <v>1.5</v>
      </c>
      <c r="AE21" s="1283"/>
      <c r="AF21" s="665"/>
    </row>
    <row r="22" spans="1:32">
      <c r="A22" s="1267"/>
      <c r="B22" s="1268"/>
      <c r="C22" s="1262" t="s">
        <v>467</v>
      </c>
      <c r="D22" s="1285" t="s">
        <v>346</v>
      </c>
      <c r="E22" s="2972">
        <v>1</v>
      </c>
      <c r="F22" s="1283">
        <v>1400</v>
      </c>
      <c r="G22" s="665"/>
      <c r="H22" s="1262" t="s">
        <v>467</v>
      </c>
      <c r="I22" s="1285" t="s">
        <v>346</v>
      </c>
      <c r="J22" s="2971">
        <v>1</v>
      </c>
      <c r="K22" s="1283">
        <v>320</v>
      </c>
      <c r="L22" s="665"/>
      <c r="M22" s="1262" t="s">
        <v>1854</v>
      </c>
      <c r="N22" s="1285" t="s">
        <v>1855</v>
      </c>
      <c r="O22" s="2971"/>
      <c r="P22" s="1283">
        <v>664</v>
      </c>
      <c r="Q22" s="665"/>
      <c r="R22" s="1262" t="s">
        <v>1854</v>
      </c>
      <c r="S22" s="1285" t="s">
        <v>1855</v>
      </c>
      <c r="T22" s="2971"/>
      <c r="U22" s="1283">
        <v>0</v>
      </c>
      <c r="V22" s="665"/>
      <c r="W22" s="1262" t="s">
        <v>467</v>
      </c>
      <c r="X22" s="1285" t="s">
        <v>346</v>
      </c>
      <c r="Y22" s="2971">
        <v>1</v>
      </c>
      <c r="Z22" s="1283">
        <v>760</v>
      </c>
      <c r="AA22" s="665"/>
      <c r="AB22" s="1262" t="s">
        <v>467</v>
      </c>
      <c r="AC22" s="1285" t="s">
        <v>346</v>
      </c>
      <c r="AD22" s="1282">
        <f>Gröddata!Q7</f>
        <v>0</v>
      </c>
      <c r="AE22" s="1283"/>
      <c r="AF22" s="665"/>
    </row>
    <row r="23" spans="1:32">
      <c r="A23" s="1267"/>
      <c r="B23" s="1268"/>
      <c r="C23" s="1262"/>
      <c r="D23" s="1285"/>
      <c r="E23" s="2972"/>
      <c r="F23" s="1283"/>
      <c r="G23" s="665"/>
      <c r="H23" s="1262"/>
      <c r="I23" s="1285"/>
      <c r="J23" s="2972"/>
      <c r="K23" s="1283"/>
      <c r="L23" s="665"/>
      <c r="M23" s="1262"/>
      <c r="N23" s="1285" t="s">
        <v>1856</v>
      </c>
      <c r="O23" s="2972"/>
      <c r="P23" s="1283">
        <v>125</v>
      </c>
      <c r="Q23" s="665"/>
      <c r="R23" s="1262"/>
      <c r="S23" s="1285" t="s">
        <v>1856</v>
      </c>
      <c r="T23" s="2972"/>
      <c r="U23" s="1283">
        <v>909</v>
      </c>
      <c r="V23" s="665"/>
      <c r="W23" s="1262"/>
      <c r="X23" s="1285"/>
      <c r="Y23" s="2972"/>
      <c r="Z23" s="1283"/>
      <c r="AA23" s="665"/>
      <c r="AB23" s="1262"/>
      <c r="AC23" s="1285"/>
      <c r="AD23" s="2972"/>
      <c r="AE23" s="1283"/>
      <c r="AF23" s="665"/>
    </row>
    <row r="24" spans="1:32">
      <c r="A24" s="1267"/>
      <c r="B24" s="1268"/>
      <c r="C24" s="1262"/>
      <c r="D24" s="1285"/>
      <c r="E24" s="2972"/>
      <c r="F24" s="1283"/>
      <c r="G24" s="665"/>
      <c r="H24" s="1262"/>
      <c r="I24" s="1285"/>
      <c r="J24" s="2972"/>
      <c r="K24" s="1283"/>
      <c r="L24" s="665"/>
      <c r="M24" s="1262"/>
      <c r="N24" s="1285"/>
      <c r="O24" s="2972"/>
      <c r="P24" s="1283"/>
      <c r="Q24" s="665"/>
      <c r="R24" s="1262"/>
      <c r="S24" s="1285"/>
      <c r="T24" s="2972"/>
      <c r="U24" s="1283"/>
      <c r="V24" s="665"/>
      <c r="W24" s="1262" t="s">
        <v>1840</v>
      </c>
      <c r="X24" s="1285" t="s">
        <v>1838</v>
      </c>
      <c r="Y24" s="2972"/>
      <c r="Z24" s="1283">
        <v>747</v>
      </c>
      <c r="AA24" s="665"/>
      <c r="AB24" s="1262"/>
      <c r="AC24" s="1285"/>
      <c r="AD24" s="2972"/>
      <c r="AE24" s="1283"/>
      <c r="AF24" s="665"/>
    </row>
    <row r="25" spans="1:32">
      <c r="A25" s="1267"/>
      <c r="B25" s="1268"/>
      <c r="C25" s="1262"/>
      <c r="D25" s="1285"/>
      <c r="E25" s="2972"/>
      <c r="F25" s="1283"/>
      <c r="G25" s="665"/>
      <c r="H25" s="1262"/>
      <c r="I25" s="1285"/>
      <c r="J25" s="2972"/>
      <c r="K25" s="1283"/>
      <c r="L25" s="665"/>
      <c r="M25" s="1262"/>
      <c r="N25" s="1285"/>
      <c r="O25" s="2972"/>
      <c r="P25" s="1283"/>
      <c r="Q25" s="665"/>
      <c r="R25" s="1262"/>
      <c r="S25" s="1285"/>
      <c r="T25" s="2972"/>
      <c r="U25" s="1283"/>
      <c r="V25" s="665"/>
      <c r="W25" s="1262"/>
      <c r="X25" s="1285"/>
      <c r="Y25" s="2972"/>
      <c r="Z25" s="1283"/>
      <c r="AA25" s="665"/>
      <c r="AB25" s="1262"/>
      <c r="AC25" s="1285"/>
      <c r="AD25" s="2972"/>
      <c r="AE25" s="1283"/>
      <c r="AF25" s="665"/>
    </row>
    <row r="26" spans="1:32">
      <c r="A26" s="1267"/>
      <c r="B26" s="1268"/>
      <c r="C26" s="1286" t="s">
        <v>468</v>
      </c>
      <c r="D26" s="1285" t="s">
        <v>346</v>
      </c>
      <c r="E26" s="2972">
        <v>1</v>
      </c>
      <c r="F26" s="1283">
        <v>258</v>
      </c>
      <c r="G26" s="665"/>
      <c r="H26" s="1286" t="s">
        <v>468</v>
      </c>
      <c r="I26" s="1285" t="s">
        <v>1844</v>
      </c>
      <c r="J26" s="2971">
        <v>10</v>
      </c>
      <c r="K26" s="1283">
        <v>3050</v>
      </c>
      <c r="L26" s="665"/>
      <c r="M26" s="1286" t="s">
        <v>1827</v>
      </c>
      <c r="N26" s="1285" t="s">
        <v>191</v>
      </c>
      <c r="O26" s="2971"/>
      <c r="P26" s="1283">
        <v>710</v>
      </c>
      <c r="Q26" s="665"/>
      <c r="R26" s="1286" t="s">
        <v>1827</v>
      </c>
      <c r="S26" s="1285" t="s">
        <v>191</v>
      </c>
      <c r="T26" s="2971"/>
      <c r="U26" s="1283">
        <v>432</v>
      </c>
      <c r="V26" s="665"/>
      <c r="W26" s="1286" t="s">
        <v>1867</v>
      </c>
      <c r="X26" s="1285" t="s">
        <v>1838</v>
      </c>
      <c r="Y26" s="2971">
        <v>0.8</v>
      </c>
      <c r="Z26" s="1283">
        <v>1910</v>
      </c>
      <c r="AA26" s="665"/>
      <c r="AB26" s="1286" t="s">
        <v>1830</v>
      </c>
      <c r="AC26" s="1285" t="s">
        <v>346</v>
      </c>
      <c r="AD26" s="2971">
        <v>0.7</v>
      </c>
      <c r="AE26" s="1283"/>
      <c r="AF26" s="665"/>
    </row>
    <row r="27" spans="1:32">
      <c r="A27" s="1267"/>
      <c r="B27" s="1268"/>
      <c r="C27" s="1289"/>
      <c r="D27" s="1285"/>
      <c r="E27" s="2972"/>
      <c r="F27" s="1283"/>
      <c r="G27" s="665"/>
      <c r="H27" s="1289"/>
      <c r="I27" s="1285" t="s">
        <v>1845</v>
      </c>
      <c r="J27" s="2972">
        <v>2</v>
      </c>
      <c r="K27" s="1283">
        <v>980</v>
      </c>
      <c r="L27" s="665"/>
      <c r="M27" s="1289"/>
      <c r="N27" s="1285" t="s">
        <v>1857</v>
      </c>
      <c r="O27" s="2972"/>
      <c r="P27" s="1283">
        <v>291</v>
      </c>
      <c r="Q27" s="665"/>
      <c r="R27" s="1289"/>
      <c r="S27" s="1285" t="s">
        <v>1857</v>
      </c>
      <c r="T27" s="2972"/>
      <c r="U27" s="1283">
        <v>171</v>
      </c>
      <c r="V27" s="665"/>
      <c r="W27" s="1289"/>
      <c r="X27" s="1285"/>
      <c r="Y27" s="2972"/>
      <c r="Z27" s="1283"/>
      <c r="AA27" s="665"/>
      <c r="AB27" s="1289"/>
      <c r="AC27" s="1285"/>
      <c r="AD27" s="2972"/>
      <c r="AE27" s="1283"/>
      <c r="AF27" s="665"/>
    </row>
    <row r="28" spans="1:32">
      <c r="A28" s="1267"/>
      <c r="B28" s="1268"/>
      <c r="C28" s="1262"/>
      <c r="D28" s="1285"/>
      <c r="E28" s="2972"/>
      <c r="F28" s="1283"/>
      <c r="G28" s="665"/>
      <c r="H28" s="1262"/>
      <c r="I28" s="1285"/>
      <c r="J28" s="2972"/>
      <c r="K28" s="1283"/>
      <c r="L28" s="665"/>
      <c r="M28" s="1262" t="s">
        <v>1858</v>
      </c>
      <c r="N28" s="1285" t="s">
        <v>191</v>
      </c>
      <c r="O28" s="2972"/>
      <c r="P28" s="1283">
        <v>111</v>
      </c>
      <c r="Q28" s="665"/>
      <c r="R28" s="1262" t="s">
        <v>1865</v>
      </c>
      <c r="S28" s="2978" t="s">
        <v>1861</v>
      </c>
      <c r="T28" s="2972"/>
      <c r="U28" s="1283">
        <v>519</v>
      </c>
      <c r="V28" s="665"/>
      <c r="W28" s="1262" t="s">
        <v>1854</v>
      </c>
      <c r="X28" s="1285" t="s">
        <v>1855</v>
      </c>
      <c r="Y28" s="2972"/>
      <c r="Z28" s="1283">
        <v>1232</v>
      </c>
      <c r="AA28" s="665"/>
      <c r="AB28" s="1262"/>
      <c r="AC28" s="1285"/>
      <c r="AD28" s="2972"/>
      <c r="AE28" s="1283"/>
      <c r="AF28" s="665"/>
    </row>
    <row r="29" spans="1:32">
      <c r="A29" s="1267"/>
      <c r="B29" s="1268"/>
      <c r="C29" s="1262" t="s">
        <v>470</v>
      </c>
      <c r="D29" s="1285"/>
      <c r="E29" s="1282"/>
      <c r="F29" s="1283"/>
      <c r="G29" s="665"/>
      <c r="H29" s="1262" t="s">
        <v>470</v>
      </c>
      <c r="I29" s="1285"/>
      <c r="J29" s="1282"/>
      <c r="K29" s="1283"/>
      <c r="L29" s="665"/>
      <c r="M29" s="1262"/>
      <c r="N29" s="1285" t="s">
        <v>1857</v>
      </c>
      <c r="O29" s="1282"/>
      <c r="P29" s="1283">
        <v>39</v>
      </c>
      <c r="Q29" s="665"/>
      <c r="R29" s="1262"/>
      <c r="S29" s="1285"/>
      <c r="T29" s="1282"/>
      <c r="U29" s="1283">
        <v>39</v>
      </c>
      <c r="V29" s="665"/>
      <c r="W29" s="1262"/>
      <c r="X29" s="1285" t="s">
        <v>1856</v>
      </c>
      <c r="Y29" s="1282"/>
      <c r="Z29" s="1283">
        <v>165</v>
      </c>
      <c r="AA29" s="665"/>
      <c r="AB29" s="1262" t="s">
        <v>470</v>
      </c>
      <c r="AC29" s="1285"/>
      <c r="AD29" s="1282"/>
      <c r="AE29" s="1283"/>
      <c r="AF29" s="665"/>
    </row>
    <row r="30" spans="1:32">
      <c r="A30" s="1267"/>
      <c r="B30" s="1268"/>
      <c r="C30" s="1262"/>
      <c r="D30" s="1285"/>
      <c r="E30" s="1282"/>
      <c r="F30" s="1283"/>
      <c r="G30" s="665"/>
      <c r="H30" s="1262"/>
      <c r="I30" s="1285"/>
      <c r="J30" s="1282"/>
      <c r="K30" s="1283"/>
      <c r="L30" s="665"/>
      <c r="M30" s="1262" t="s">
        <v>1859</v>
      </c>
      <c r="N30" s="2978" t="s">
        <v>1861</v>
      </c>
      <c r="O30" s="1282"/>
      <c r="P30" s="1283">
        <v>285</v>
      </c>
      <c r="Q30" s="665"/>
      <c r="R30" s="1262" t="s">
        <v>1859</v>
      </c>
      <c r="S30" s="2978" t="s">
        <v>1861</v>
      </c>
      <c r="T30" s="1282"/>
      <c r="U30" s="1283">
        <v>347</v>
      </c>
      <c r="V30" s="665"/>
      <c r="W30" s="1262" t="s">
        <v>1827</v>
      </c>
      <c r="X30" s="1285" t="s">
        <v>191</v>
      </c>
      <c r="Y30" s="1282"/>
      <c r="Z30" s="1283">
        <v>780</v>
      </c>
      <c r="AA30" s="665"/>
      <c r="AB30" s="1262"/>
      <c r="AC30" s="1285"/>
      <c r="AD30" s="1282"/>
      <c r="AE30" s="1283"/>
      <c r="AF30" s="665"/>
    </row>
    <row r="31" spans="1:32">
      <c r="A31" s="1267"/>
      <c r="B31" s="1268"/>
      <c r="C31" s="1262" t="s">
        <v>1004</v>
      </c>
      <c r="D31" s="1287"/>
      <c r="E31" s="1700"/>
      <c r="F31" s="1283">
        <v>0</v>
      </c>
      <c r="G31" s="665"/>
      <c r="H31" s="1262" t="s">
        <v>1849</v>
      </c>
      <c r="I31" s="1287"/>
      <c r="J31" s="1700"/>
      <c r="K31" s="1283">
        <v>290</v>
      </c>
      <c r="L31" s="665"/>
      <c r="M31" s="1262" t="s">
        <v>1860</v>
      </c>
      <c r="N31" s="2978" t="s">
        <v>1861</v>
      </c>
      <c r="O31" s="1700"/>
      <c r="P31" s="1283">
        <v>502</v>
      </c>
      <c r="Q31" s="665"/>
      <c r="R31" s="1262"/>
      <c r="S31" s="2978"/>
      <c r="T31" s="1700"/>
      <c r="U31" s="1283"/>
      <c r="V31" s="665"/>
      <c r="W31" s="1262"/>
      <c r="X31" s="1287" t="s">
        <v>1857</v>
      </c>
      <c r="Y31" s="1700"/>
      <c r="Z31" s="1283">
        <v>319</v>
      </c>
      <c r="AA31" s="665"/>
      <c r="AB31" s="1262" t="s">
        <v>1004</v>
      </c>
      <c r="AC31" s="1287"/>
      <c r="AD31" s="1700"/>
      <c r="AE31" s="1283">
        <v>0</v>
      </c>
      <c r="AF31" s="665"/>
    </row>
    <row r="32" spans="1:32">
      <c r="A32" s="1267"/>
      <c r="B32" s="1268"/>
      <c r="C32" s="1262" t="s">
        <v>1006</v>
      </c>
      <c r="D32" s="1287">
        <f>D10/1000</f>
        <v>50</v>
      </c>
      <c r="E32" s="1700">
        <v>5</v>
      </c>
      <c r="F32" s="1283">
        <f>D32*E32</f>
        <v>250</v>
      </c>
      <c r="G32" s="665"/>
      <c r="H32" s="1262" t="s">
        <v>1847</v>
      </c>
      <c r="I32" s="1287" t="s">
        <v>1851</v>
      </c>
      <c r="J32" s="1700"/>
      <c r="K32" s="1283">
        <v>4087</v>
      </c>
      <c r="L32" s="665"/>
      <c r="M32" s="1262" t="s">
        <v>1862</v>
      </c>
      <c r="N32" s="2978" t="s">
        <v>1861</v>
      </c>
      <c r="O32" s="1700"/>
      <c r="P32" s="1283">
        <v>786</v>
      </c>
      <c r="Q32" s="665"/>
      <c r="R32" s="1262"/>
      <c r="S32" s="2978"/>
      <c r="T32" s="1700"/>
      <c r="U32" s="1283"/>
      <c r="V32" s="665"/>
      <c r="W32" s="1262" t="s">
        <v>1858</v>
      </c>
      <c r="X32" s="1287" t="s">
        <v>191</v>
      </c>
      <c r="Y32" s="1700"/>
      <c r="Z32" s="1283">
        <v>89</v>
      </c>
      <c r="AA32" s="665"/>
      <c r="AB32" s="1262" t="s">
        <v>1006</v>
      </c>
      <c r="AC32" s="1287" t="e">
        <f>AC10/1000</f>
        <v>#REF!</v>
      </c>
      <c r="AD32" s="1700">
        <v>5</v>
      </c>
      <c r="AE32" s="1283" t="e">
        <f>AC32*AD32</f>
        <v>#REF!</v>
      </c>
      <c r="AF32" s="665"/>
    </row>
    <row r="33" spans="1:32">
      <c r="A33" s="1267"/>
      <c r="B33" s="1268"/>
      <c r="C33" s="1262" t="s">
        <v>1840</v>
      </c>
      <c r="D33" s="1287"/>
      <c r="E33" s="1700"/>
      <c r="F33" s="1283">
        <v>658</v>
      </c>
      <c r="G33" s="665"/>
      <c r="H33" s="1262" t="s">
        <v>1846</v>
      </c>
      <c r="I33" s="1287"/>
      <c r="J33" s="1700"/>
      <c r="K33" s="1283">
        <v>2480</v>
      </c>
      <c r="L33" s="665"/>
      <c r="M33" s="1262" t="s">
        <v>1863</v>
      </c>
      <c r="N33" s="2978" t="s">
        <v>1861</v>
      </c>
      <c r="O33" s="1700"/>
      <c r="P33" s="1283">
        <v>108</v>
      </c>
      <c r="Q33" s="665"/>
      <c r="R33" s="1262" t="s">
        <v>1866</v>
      </c>
      <c r="S33" s="2978" t="s">
        <v>1861</v>
      </c>
      <c r="T33" s="1700"/>
      <c r="U33" s="1283">
        <v>89</v>
      </c>
      <c r="V33" s="665"/>
      <c r="W33" s="1262"/>
      <c r="X33" s="1287" t="s">
        <v>1857</v>
      </c>
      <c r="Y33" s="1700"/>
      <c r="Z33" s="1283">
        <v>52</v>
      </c>
      <c r="AA33" s="665"/>
      <c r="AB33" s="1262" t="s">
        <v>473</v>
      </c>
      <c r="AC33" s="1287" t="e">
        <f>AC10/1000</f>
        <v>#REF!</v>
      </c>
      <c r="AD33" s="1700">
        <v>99</v>
      </c>
      <c r="AE33" s="1283" t="e">
        <f>AC33*AD33</f>
        <v>#REF!</v>
      </c>
      <c r="AF33" s="665"/>
    </row>
    <row r="34" spans="1:32">
      <c r="A34" s="1267"/>
      <c r="B34" s="1268"/>
      <c r="C34" s="1262" t="s">
        <v>1841</v>
      </c>
      <c r="D34" s="1287" t="s">
        <v>1843</v>
      </c>
      <c r="E34" s="1701"/>
      <c r="F34" s="1283">
        <v>402</v>
      </c>
      <c r="G34" s="665"/>
      <c r="H34" s="1262" t="s">
        <v>1848</v>
      </c>
      <c r="I34" s="1287" t="s">
        <v>1850</v>
      </c>
      <c r="J34" s="1701"/>
      <c r="K34" s="1283">
        <v>900</v>
      </c>
      <c r="L34" s="665"/>
      <c r="M34" s="1262" t="s">
        <v>1864</v>
      </c>
      <c r="N34" s="1287" t="s">
        <v>1857</v>
      </c>
      <c r="O34" s="1701"/>
      <c r="P34" s="1283">
        <v>104</v>
      </c>
      <c r="Q34" s="665"/>
      <c r="R34" s="1262"/>
      <c r="S34" s="1287"/>
      <c r="T34" s="1701"/>
      <c r="U34" s="1283"/>
      <c r="V34" s="665"/>
      <c r="W34" s="1262" t="s">
        <v>1825</v>
      </c>
      <c r="X34" s="1287" t="s">
        <v>1857</v>
      </c>
      <c r="Y34" s="1701"/>
      <c r="Z34" s="1283">
        <v>113</v>
      </c>
      <c r="AA34" s="665"/>
      <c r="AB34" s="1262" t="s">
        <v>1007</v>
      </c>
      <c r="AC34" s="1287"/>
      <c r="AD34" s="1701"/>
      <c r="AE34" s="1283"/>
      <c r="AF34" s="665"/>
    </row>
    <row r="35" spans="1:32">
      <c r="A35" s="1267"/>
      <c r="B35" s="1268"/>
      <c r="C35" s="1262" t="s">
        <v>1839</v>
      </c>
      <c r="D35" s="1287" t="s">
        <v>1838</v>
      </c>
      <c r="E35" s="1288"/>
      <c r="F35" s="1283">
        <v>2935</v>
      </c>
      <c r="G35" s="665"/>
      <c r="H35" s="1262" t="s">
        <v>1839</v>
      </c>
      <c r="I35" s="1287"/>
      <c r="J35" s="1288"/>
      <c r="K35" s="1283">
        <v>6290</v>
      </c>
      <c r="L35" s="665"/>
      <c r="M35" s="1262"/>
      <c r="N35" s="1287"/>
      <c r="O35" s="1288"/>
      <c r="P35" s="1283"/>
      <c r="Q35" s="665"/>
      <c r="R35" s="1262"/>
      <c r="S35" s="1287"/>
      <c r="T35" s="1288"/>
      <c r="U35" s="1283"/>
      <c r="V35" s="665"/>
      <c r="W35" s="1262" t="s">
        <v>1868</v>
      </c>
      <c r="X35" s="1287" t="s">
        <v>1857</v>
      </c>
      <c r="Y35" s="1288"/>
      <c r="Z35" s="1283">
        <v>528</v>
      </c>
      <c r="AA35" s="665"/>
      <c r="AB35" s="1262" t="s">
        <v>474</v>
      </c>
      <c r="AC35" s="1287" t="s">
        <v>475</v>
      </c>
      <c r="AD35" s="1288"/>
      <c r="AE35" s="1283"/>
      <c r="AF35" s="665"/>
    </row>
    <row r="36" spans="1:32">
      <c r="A36" s="1267"/>
      <c r="B36" s="1268"/>
      <c r="C36" s="1262" t="s">
        <v>1827</v>
      </c>
      <c r="D36" s="1287" t="s">
        <v>475</v>
      </c>
      <c r="E36" s="1288"/>
      <c r="F36" s="1283">
        <v>2094</v>
      </c>
      <c r="G36" s="665"/>
      <c r="H36" s="1262" t="s">
        <v>1827</v>
      </c>
      <c r="I36" s="1287" t="s">
        <v>475</v>
      </c>
      <c r="J36" s="1288"/>
      <c r="K36" s="1283">
        <v>5104</v>
      </c>
      <c r="L36" s="665"/>
      <c r="M36" s="1262"/>
      <c r="N36" s="1287"/>
      <c r="O36" s="1288"/>
      <c r="P36" s="1283"/>
      <c r="Q36" s="665"/>
      <c r="R36" s="1262"/>
      <c r="S36" s="1287"/>
      <c r="T36" s="1288"/>
      <c r="U36" s="1283"/>
      <c r="V36" s="665"/>
      <c r="W36" s="1262" t="s">
        <v>1864</v>
      </c>
      <c r="X36" s="1287" t="s">
        <v>1857</v>
      </c>
      <c r="Y36" s="1288"/>
      <c r="Z36" s="1283">
        <v>138</v>
      </c>
      <c r="AA36" s="665"/>
      <c r="AB36" s="1262" t="s">
        <v>1827</v>
      </c>
      <c r="AC36" s="1287" t="s">
        <v>475</v>
      </c>
      <c r="AD36" s="1288"/>
      <c r="AE36" s="1283"/>
      <c r="AF36" s="665"/>
    </row>
    <row r="37" spans="1:32">
      <c r="A37" s="1267"/>
      <c r="B37" s="1268"/>
      <c r="C37" s="1262" t="s">
        <v>1825</v>
      </c>
      <c r="D37" s="1287" t="s">
        <v>1826</v>
      </c>
      <c r="E37" s="1288"/>
      <c r="F37" s="1283">
        <v>207</v>
      </c>
      <c r="G37" s="665"/>
      <c r="H37" s="1262" t="s">
        <v>1825</v>
      </c>
      <c r="I37" s="1287" t="s">
        <v>1826</v>
      </c>
      <c r="J37" s="1288"/>
      <c r="K37" s="1283">
        <v>932</v>
      </c>
      <c r="L37" s="1290"/>
      <c r="M37" s="1262"/>
      <c r="N37" s="1287"/>
      <c r="O37" s="1288"/>
      <c r="P37" s="1283"/>
      <c r="Q37" s="665"/>
      <c r="R37" s="1262"/>
      <c r="S37" s="1287"/>
      <c r="T37" s="1288"/>
      <c r="U37" s="1283"/>
      <c r="V37" s="665"/>
      <c r="W37" s="1262"/>
      <c r="X37" s="1287"/>
      <c r="Y37" s="1288"/>
      <c r="Z37" s="1283"/>
      <c r="AA37" s="665"/>
      <c r="AB37" s="1262" t="s">
        <v>1825</v>
      </c>
      <c r="AC37" s="1287"/>
      <c r="AD37" s="1288"/>
      <c r="AE37" s="1283"/>
      <c r="AF37" s="665"/>
    </row>
    <row r="38" spans="1:32">
      <c r="A38" s="1267"/>
      <c r="B38" s="1268"/>
      <c r="C38" s="1262" t="s">
        <v>1842</v>
      </c>
      <c r="D38" s="1287"/>
      <c r="E38" s="1270"/>
      <c r="F38" s="1283">
        <v>649</v>
      </c>
      <c r="G38" s="665"/>
      <c r="H38" s="1262" t="s">
        <v>1853</v>
      </c>
      <c r="I38" s="1287" t="s">
        <v>1852</v>
      </c>
      <c r="J38" s="1270"/>
      <c r="K38" s="1283">
        <v>20077</v>
      </c>
      <c r="L38" s="665"/>
      <c r="M38" s="1262"/>
      <c r="N38" s="1287"/>
      <c r="O38" s="1270"/>
      <c r="P38" s="1283"/>
      <c r="Q38" s="665"/>
      <c r="R38" s="1262"/>
      <c r="S38" s="1287"/>
      <c r="T38" s="1270"/>
      <c r="U38" s="1283"/>
      <c r="V38" s="665"/>
      <c r="W38" s="1262"/>
      <c r="X38" s="1287"/>
      <c r="Y38" s="1270"/>
      <c r="Z38" s="1283"/>
      <c r="AA38" s="665"/>
      <c r="AB38" s="1262"/>
      <c r="AC38" s="1287"/>
      <c r="AD38" s="1270"/>
      <c r="AE38" s="1283"/>
      <c r="AF38" s="665"/>
    </row>
    <row r="39" spans="1:32">
      <c r="A39" s="1267"/>
      <c r="B39" s="1268"/>
      <c r="C39" s="1273" t="s">
        <v>471</v>
      </c>
      <c r="D39" s="1274"/>
      <c r="E39" s="1291"/>
      <c r="F39" s="1292">
        <f>SUM(F16:F38)</f>
        <v>12603.4</v>
      </c>
      <c r="G39" s="665"/>
      <c r="H39" s="1273" t="s">
        <v>471</v>
      </c>
      <c r="I39" s="1274"/>
      <c r="J39" s="1291"/>
      <c r="K39" s="1292">
        <f>SUM(K16:K38)</f>
        <v>60711.4</v>
      </c>
      <c r="L39" s="665"/>
      <c r="M39" s="1273" t="s">
        <v>471</v>
      </c>
      <c r="N39" s="1274"/>
      <c r="O39" s="1291"/>
      <c r="P39" s="1292">
        <f>SUM(P16:P38)</f>
        <v>6949.4000000000005</v>
      </c>
      <c r="Q39" s="665"/>
      <c r="R39" s="1273" t="s">
        <v>471</v>
      </c>
      <c r="S39" s="1274"/>
      <c r="T39" s="1291"/>
      <c r="U39" s="1292">
        <f>SUM(U16:U38)</f>
        <v>4281.8999999999996</v>
      </c>
      <c r="V39" s="665"/>
      <c r="W39" s="1273" t="s">
        <v>471</v>
      </c>
      <c r="X39" s="1274"/>
      <c r="Y39" s="1291"/>
      <c r="Z39" s="1292">
        <f>SUM(Z16:Z38)</f>
        <v>11297.3</v>
      </c>
      <c r="AA39" s="665"/>
      <c r="AB39" s="1273" t="s">
        <v>471</v>
      </c>
      <c r="AC39" s="1274"/>
      <c r="AD39" s="1291"/>
      <c r="AE39" s="1292" t="e">
        <f>SUM(AE16:AE38)</f>
        <v>#REF!</v>
      </c>
      <c r="AF39" s="665"/>
    </row>
    <row r="40" spans="1:32">
      <c r="A40" s="1267"/>
      <c r="B40" s="1268"/>
      <c r="C40" s="1262" t="s">
        <v>426</v>
      </c>
      <c r="D40" s="1287" t="s">
        <v>472</v>
      </c>
      <c r="E40" s="1264"/>
      <c r="F40" s="1283">
        <v>141</v>
      </c>
      <c r="G40" s="665"/>
      <c r="H40" s="1262" t="s">
        <v>426</v>
      </c>
      <c r="I40" s="1287" t="s">
        <v>472</v>
      </c>
      <c r="J40" s="1264"/>
      <c r="K40" s="1283">
        <v>547</v>
      </c>
      <c r="L40" s="665"/>
      <c r="M40" s="1262" t="s">
        <v>426</v>
      </c>
      <c r="N40" s="1287" t="s">
        <v>472</v>
      </c>
      <c r="O40" s="1264"/>
      <c r="P40" s="1283">
        <v>45</v>
      </c>
      <c r="Q40" s="665"/>
      <c r="R40" s="1262" t="s">
        <v>426</v>
      </c>
      <c r="S40" s="1287" t="s">
        <v>472</v>
      </c>
      <c r="T40" s="1264"/>
      <c r="U40" s="1283">
        <v>26</v>
      </c>
      <c r="V40" s="665"/>
      <c r="W40" s="1262" t="s">
        <v>426</v>
      </c>
      <c r="X40" s="1287" t="s">
        <v>472</v>
      </c>
      <c r="Y40" s="1264"/>
      <c r="Z40" s="1283">
        <v>63</v>
      </c>
      <c r="AA40" s="665"/>
      <c r="AB40" s="1262" t="s">
        <v>426</v>
      </c>
      <c r="AC40" s="1287" t="s">
        <v>472</v>
      </c>
      <c r="AD40" s="1264"/>
      <c r="AE40" s="1283"/>
      <c r="AF40" s="665"/>
    </row>
    <row r="41" spans="1:32">
      <c r="A41" s="1247"/>
      <c r="B41" s="1268"/>
      <c r="C41" s="1262" t="s">
        <v>476</v>
      </c>
      <c r="D41" s="1287">
        <v>13.4</v>
      </c>
      <c r="E41" s="1288">
        <v>232</v>
      </c>
      <c r="F41" s="1283">
        <f>E41*D41</f>
        <v>3108.8</v>
      </c>
      <c r="G41" s="665"/>
      <c r="H41" s="1262" t="s">
        <v>476</v>
      </c>
      <c r="I41" s="1287">
        <v>86.5</v>
      </c>
      <c r="J41" s="1288">
        <v>232</v>
      </c>
      <c r="K41" s="1283">
        <f>J41*I41</f>
        <v>20068</v>
      </c>
      <c r="L41" s="665"/>
      <c r="M41" s="1262" t="s">
        <v>476</v>
      </c>
      <c r="N41" s="1287">
        <v>5.6</v>
      </c>
      <c r="O41" s="1288">
        <v>232</v>
      </c>
      <c r="P41" s="1283">
        <f>O41*N41</f>
        <v>1299.1999999999998</v>
      </c>
      <c r="Q41" s="665"/>
      <c r="R41" s="1262" t="s">
        <v>476</v>
      </c>
      <c r="S41" s="1287">
        <v>3.2</v>
      </c>
      <c r="T41" s="1288">
        <v>232</v>
      </c>
      <c r="U41" s="1283">
        <f>T41*S41</f>
        <v>742.40000000000009</v>
      </c>
      <c r="V41" s="665"/>
      <c r="W41" s="1262" t="s">
        <v>476</v>
      </c>
      <c r="X41" s="1287">
        <v>2.8</v>
      </c>
      <c r="Y41" s="1288">
        <v>232</v>
      </c>
      <c r="Z41" s="1283">
        <f>Y41*X41</f>
        <v>649.59999999999991</v>
      </c>
      <c r="AA41" s="665"/>
      <c r="AB41" s="1262" t="s">
        <v>476</v>
      </c>
      <c r="AC41" s="1287"/>
      <c r="AD41" s="1288">
        <v>232</v>
      </c>
      <c r="AE41" s="1283">
        <f>AD41*AC41</f>
        <v>0</v>
      </c>
      <c r="AF41" s="665"/>
    </row>
    <row r="42" spans="1:32">
      <c r="A42" s="1267"/>
      <c r="B42" s="1268"/>
      <c r="C42" s="1258"/>
      <c r="D42" s="1272"/>
      <c r="E42" s="1270"/>
      <c r="F42" s="1271"/>
      <c r="G42" s="665"/>
      <c r="H42" s="1258"/>
      <c r="I42" s="1272"/>
      <c r="J42" s="1270"/>
      <c r="K42" s="1271"/>
      <c r="L42" s="665"/>
      <c r="M42" s="1258"/>
      <c r="N42" s="1272"/>
      <c r="O42" s="1270"/>
      <c r="P42" s="1271"/>
      <c r="Q42" s="665"/>
      <c r="R42" s="1258"/>
      <c r="S42" s="1272"/>
      <c r="T42" s="1270"/>
      <c r="U42" s="1271"/>
      <c r="V42" s="665"/>
      <c r="W42" s="1258"/>
      <c r="X42" s="1272"/>
      <c r="Y42" s="1270"/>
      <c r="Z42" s="1271"/>
      <c r="AA42" s="665"/>
      <c r="AB42" s="1258"/>
      <c r="AC42" s="1272"/>
      <c r="AD42" s="1270"/>
      <c r="AE42" s="1271"/>
      <c r="AF42" s="665"/>
    </row>
    <row r="43" spans="1:32">
      <c r="A43" s="1247"/>
      <c r="B43" s="1268"/>
      <c r="C43" s="1258" t="s">
        <v>477</v>
      </c>
      <c r="D43" s="1274"/>
      <c r="E43" s="1275"/>
      <c r="F43" s="1293">
        <f>SUM(F39:F42)</f>
        <v>15853.2</v>
      </c>
      <c r="G43" s="665"/>
      <c r="H43" s="1258" t="s">
        <v>477</v>
      </c>
      <c r="I43" s="1274"/>
      <c r="J43" s="1275"/>
      <c r="K43" s="1293">
        <f>SUM(K39:K42)</f>
        <v>81326.399999999994</v>
      </c>
      <c r="L43" s="665"/>
      <c r="M43" s="1258" t="s">
        <v>477</v>
      </c>
      <c r="N43" s="1274"/>
      <c r="O43" s="1275"/>
      <c r="P43" s="1293">
        <f>SUM(P39:P42)</f>
        <v>8293.6</v>
      </c>
      <c r="Q43" s="665"/>
      <c r="R43" s="1258" t="s">
        <v>477</v>
      </c>
      <c r="S43" s="1274"/>
      <c r="T43" s="1275"/>
      <c r="U43" s="1293">
        <f>SUM(U39:U42)</f>
        <v>5050.2999999999993</v>
      </c>
      <c r="V43" s="665"/>
      <c r="W43" s="1258" t="s">
        <v>477</v>
      </c>
      <c r="X43" s="1274"/>
      <c r="Y43" s="1275"/>
      <c r="Z43" s="1293">
        <f>SUM(Z39:Z42)</f>
        <v>12009.9</v>
      </c>
      <c r="AA43" s="665"/>
      <c r="AB43" s="1258" t="s">
        <v>477</v>
      </c>
      <c r="AC43" s="1274"/>
      <c r="AD43" s="1275"/>
      <c r="AE43" s="1293" t="e">
        <f>SUM(AE39:AE42)</f>
        <v>#REF!</v>
      </c>
      <c r="AF43" s="665"/>
    </row>
    <row r="44" spans="1:32" ht="15.75">
      <c r="A44" s="1247"/>
      <c r="B44" s="1268"/>
      <c r="C44" s="1294"/>
      <c r="D44" s="1295"/>
      <c r="E44" s="1296"/>
      <c r="F44" s="1297"/>
      <c r="G44" s="665"/>
      <c r="H44" s="1294"/>
      <c r="I44" s="1295"/>
      <c r="J44" s="1296"/>
      <c r="K44" s="1297"/>
      <c r="L44" s="665"/>
      <c r="M44" s="1294"/>
      <c r="N44" s="1295"/>
      <c r="O44" s="1296"/>
      <c r="P44" s="1297"/>
      <c r="Q44" s="665"/>
      <c r="R44" s="1294"/>
      <c r="S44" s="1295"/>
      <c r="T44" s="1296"/>
      <c r="U44" s="1297"/>
      <c r="V44" s="665"/>
      <c r="W44" s="1294"/>
      <c r="X44" s="1295"/>
      <c r="Y44" s="1296"/>
      <c r="Z44" s="1297"/>
      <c r="AA44" s="665"/>
      <c r="AB44" s="1294"/>
      <c r="AC44" s="1295"/>
      <c r="AD44" s="1296"/>
      <c r="AE44" s="1297"/>
      <c r="AF44" s="665"/>
    </row>
    <row r="45" spans="1:32" ht="16.5" thickBot="1">
      <c r="A45" s="1247"/>
      <c r="B45" s="1268"/>
      <c r="C45" s="1294" t="s">
        <v>478</v>
      </c>
      <c r="D45" s="1294"/>
      <c r="E45" s="1298"/>
      <c r="F45" s="1299">
        <f>F12-F39</f>
        <v>2296.6000000000004</v>
      </c>
      <c r="G45" s="665"/>
      <c r="H45" s="1294" t="s">
        <v>478</v>
      </c>
      <c r="I45" s="1294"/>
      <c r="J45" s="1298"/>
      <c r="K45" s="1300">
        <f>K12-K39</f>
        <v>23288.6</v>
      </c>
      <c r="L45" s="665"/>
      <c r="M45" s="1294" t="s">
        <v>478</v>
      </c>
      <c r="N45" s="1294"/>
      <c r="O45" s="1298"/>
      <c r="P45" s="1300">
        <f>P12-P39</f>
        <v>4300.5999999999995</v>
      </c>
      <c r="Q45" s="665"/>
      <c r="R45" s="1294" t="s">
        <v>478</v>
      </c>
      <c r="S45" s="1294"/>
      <c r="T45" s="1298"/>
      <c r="U45" s="1300">
        <f>U12-U39</f>
        <v>1718.1000000000004</v>
      </c>
      <c r="V45" s="665"/>
      <c r="W45" s="1294" t="s">
        <v>478</v>
      </c>
      <c r="X45" s="1294"/>
      <c r="Y45" s="1298"/>
      <c r="Z45" s="1300">
        <f>Z12-Z39</f>
        <v>-1797.2999999999993</v>
      </c>
      <c r="AA45" s="665"/>
      <c r="AB45" s="1294" t="s">
        <v>478</v>
      </c>
      <c r="AC45" s="1294"/>
      <c r="AD45" s="1298"/>
      <c r="AE45" s="1300" t="e">
        <f>AE12-AE39</f>
        <v>#REF!</v>
      </c>
      <c r="AF45" s="665"/>
    </row>
    <row r="46" spans="1:32" ht="19.5" thickBot="1">
      <c r="A46" s="1301"/>
      <c r="B46" s="1302"/>
      <c r="C46" s="1303" t="s">
        <v>447</v>
      </c>
      <c r="D46" s="1304"/>
      <c r="E46" s="1305"/>
      <c r="F46" s="1306">
        <f>F12-F43</f>
        <v>-953.20000000000073</v>
      </c>
      <c r="G46" s="1307"/>
      <c r="H46" s="1303" t="s">
        <v>447</v>
      </c>
      <c r="I46" s="1304"/>
      <c r="J46" s="1305"/>
      <c r="K46" s="1306">
        <f>K12-K43</f>
        <v>2673.6000000000058</v>
      </c>
      <c r="L46" s="1307"/>
      <c r="M46" s="1303" t="s">
        <v>447</v>
      </c>
      <c r="N46" s="1304"/>
      <c r="O46" s="1305"/>
      <c r="P46" s="1306">
        <f>P12-P43</f>
        <v>2956.3999999999996</v>
      </c>
      <c r="Q46" s="1307"/>
      <c r="R46" s="1303" t="s">
        <v>447</v>
      </c>
      <c r="S46" s="1304"/>
      <c r="T46" s="1305"/>
      <c r="U46" s="1306">
        <f>U12-U43</f>
        <v>949.70000000000073</v>
      </c>
      <c r="V46" s="1307"/>
      <c r="W46" s="1303" t="s">
        <v>447</v>
      </c>
      <c r="X46" s="1304"/>
      <c r="Y46" s="1305"/>
      <c r="Z46" s="1306">
        <f>Z12-Z43</f>
        <v>-2509.8999999999996</v>
      </c>
      <c r="AA46" s="1307"/>
      <c r="AB46" s="1303" t="s">
        <v>447</v>
      </c>
      <c r="AC46" s="1304"/>
      <c r="AD46" s="1305"/>
      <c r="AE46" s="1306" t="e">
        <f>AE12-AE43</f>
        <v>#REF!</v>
      </c>
      <c r="AF46" s="1307"/>
    </row>
    <row r="47" spans="1:32" ht="16.5" thickBot="1">
      <c r="A47" s="1247"/>
      <c r="B47" s="1268"/>
      <c r="C47" s="1308"/>
      <c r="D47" s="1309"/>
      <c r="E47" s="1310"/>
      <c r="F47" s="1311"/>
      <c r="G47" s="665"/>
      <c r="H47" s="1308"/>
      <c r="I47" s="1309"/>
      <c r="J47" s="1310"/>
      <c r="K47" s="1312"/>
      <c r="L47" s="665"/>
      <c r="M47" s="1308"/>
      <c r="N47" s="1309"/>
      <c r="O47" s="1310"/>
      <c r="P47" s="1312"/>
      <c r="Q47" s="665"/>
      <c r="R47" s="1308"/>
      <c r="S47" s="1309"/>
      <c r="T47" s="1310"/>
      <c r="U47" s="1312"/>
      <c r="V47" s="665"/>
      <c r="W47" s="1308"/>
      <c r="X47" s="1309"/>
      <c r="Y47" s="1310"/>
      <c r="Z47" s="1312"/>
      <c r="AA47" s="665"/>
      <c r="AB47" s="1308"/>
      <c r="AC47" s="1309"/>
      <c r="AD47" s="1310"/>
      <c r="AE47" s="1312"/>
      <c r="AF47" s="665"/>
    </row>
    <row r="48" spans="1:32" ht="15.75">
      <c r="A48" s="1313"/>
      <c r="B48" s="708"/>
      <c r="C48" s="1314"/>
      <c r="D48" s="1314"/>
      <c r="E48" s="1315"/>
      <c r="F48" s="1316"/>
      <c r="G48" s="1316"/>
      <c r="H48" s="1316"/>
      <c r="I48" s="1314"/>
      <c r="J48" s="1315"/>
      <c r="K48" s="1317"/>
      <c r="L48" s="1316"/>
      <c r="M48" s="1316"/>
      <c r="N48" s="1314"/>
      <c r="O48" s="1315"/>
      <c r="P48" s="1317"/>
      <c r="Q48" s="1316"/>
      <c r="R48" s="1316"/>
      <c r="S48" s="1314"/>
      <c r="T48" s="1315"/>
      <c r="U48" s="1317"/>
      <c r="V48" s="1316"/>
      <c r="W48" s="1316"/>
      <c r="X48" s="1314"/>
      <c r="Y48" s="1315"/>
      <c r="Z48" s="1317"/>
      <c r="AA48" s="1316"/>
      <c r="AB48" s="1316"/>
      <c r="AC48" s="1314"/>
      <c r="AD48" s="1315"/>
      <c r="AE48" s="1317"/>
      <c r="AF48" s="1316"/>
    </row>
  </sheetData>
  <sheetProtection sheet="1" objects="1" scenarios="1"/>
  <protectedRanges>
    <protectedRange sqref="E6" name="Område2"/>
  </protectedRange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
    <tabColor rgb="FF37ED05"/>
  </sheetPr>
  <dimension ref="A1:S49"/>
  <sheetViews>
    <sheetView tabSelected="1" zoomScale="90" zoomScaleNormal="90" workbookViewId="0">
      <selection activeCell="C22" sqref="C22"/>
    </sheetView>
  </sheetViews>
  <sheetFormatPr defaultColWidth="9.140625" defaultRowHeight="12.75"/>
  <cols>
    <col min="1" max="1" width="8.28515625" style="451" customWidth="1"/>
    <col min="2" max="2" width="12.140625" style="451" customWidth="1"/>
    <col min="3" max="5" width="9.140625" style="451"/>
    <col min="6" max="6" width="3.28515625" style="451" customWidth="1"/>
    <col min="7" max="7" width="3.5703125" style="451" customWidth="1"/>
    <col min="8" max="17" width="9.140625" style="451"/>
    <col min="18" max="18" width="13" style="451" customWidth="1"/>
    <col min="19" max="16384" width="9.140625" style="451"/>
  </cols>
  <sheetData>
    <row r="1" spans="1:19" ht="20.25">
      <c r="A1" s="1441" t="s">
        <v>1782</v>
      </c>
      <c r="B1" s="1442"/>
      <c r="C1" s="1442"/>
      <c r="D1" s="1442"/>
      <c r="E1" s="1442"/>
      <c r="F1" s="1442"/>
      <c r="G1" s="1442"/>
      <c r="H1" s="1442"/>
      <c r="I1" s="1442"/>
      <c r="J1" s="1442"/>
      <c r="K1" s="1442"/>
      <c r="L1" s="1442"/>
      <c r="M1" s="1442"/>
      <c r="N1" s="1442"/>
      <c r="O1" s="1442"/>
      <c r="P1" s="1442"/>
      <c r="Q1" s="1442"/>
      <c r="R1" s="1442"/>
      <c r="S1" s="1442"/>
    </row>
    <row r="2" spans="1:19" s="1425" customFormat="1" ht="15.75">
      <c r="A2" s="1443" t="s">
        <v>947</v>
      </c>
      <c r="B2" s="1444" t="s">
        <v>1715</v>
      </c>
      <c r="C2" s="1445"/>
      <c r="D2" s="1446"/>
      <c r="E2" s="1446"/>
      <c r="F2" s="1446"/>
      <c r="G2" s="1446"/>
      <c r="H2" s="1446"/>
      <c r="I2" s="1446"/>
      <c r="J2" s="1446"/>
      <c r="K2" s="1446"/>
      <c r="L2" s="1446"/>
      <c r="M2" s="1446"/>
      <c r="N2" s="1446"/>
      <c r="O2" s="1446"/>
      <c r="P2" s="1446"/>
      <c r="Q2" s="1446"/>
      <c r="R2" s="1446"/>
      <c r="S2" s="1446"/>
    </row>
    <row r="3" spans="1:19" s="1425" customFormat="1" ht="15">
      <c r="A3" s="1442"/>
      <c r="B3" s="1445"/>
      <c r="C3" s="1445"/>
      <c r="D3" s="1446"/>
      <c r="E3" s="1446"/>
      <c r="F3" s="1446"/>
      <c r="G3" s="1446"/>
      <c r="H3" s="1446"/>
      <c r="I3" s="1446"/>
      <c r="J3" s="1446"/>
      <c r="K3" s="1446"/>
      <c r="L3" s="1446"/>
      <c r="M3" s="1446"/>
      <c r="N3" s="1446"/>
      <c r="O3" s="1446"/>
      <c r="P3" s="1446"/>
      <c r="Q3" s="1446"/>
      <c r="R3" s="1446"/>
      <c r="S3" s="1446"/>
    </row>
    <row r="4" spans="1:19" s="1425" customFormat="1" ht="15">
      <c r="A4" s="1446"/>
      <c r="B4" s="1446"/>
      <c r="C4" s="1446"/>
      <c r="D4" s="1446"/>
      <c r="E4" s="1446"/>
      <c r="F4" s="1446"/>
      <c r="G4" s="1446"/>
      <c r="H4" s="1446"/>
      <c r="I4" s="1446"/>
      <c r="J4" s="1446"/>
      <c r="K4" s="1446"/>
      <c r="L4" s="1446"/>
      <c r="M4" s="1446"/>
      <c r="N4" s="1446"/>
      <c r="O4" s="1446"/>
      <c r="P4" s="1446"/>
      <c r="Q4" s="1446"/>
      <c r="R4" s="1446"/>
      <c r="S4" s="1446"/>
    </row>
    <row r="5" spans="1:19" s="1425" customFormat="1" ht="15">
      <c r="A5" s="1446"/>
      <c r="B5" s="1446"/>
      <c r="C5" s="1446"/>
      <c r="D5" s="1446"/>
      <c r="E5" s="1446"/>
      <c r="F5" s="1446"/>
      <c r="G5" s="1446"/>
      <c r="H5" s="1446"/>
      <c r="I5" s="1446"/>
      <c r="J5" s="1446"/>
      <c r="K5" s="1446"/>
      <c r="L5" s="1446"/>
      <c r="M5" s="1446"/>
      <c r="N5" s="1446"/>
      <c r="O5" s="1446"/>
      <c r="P5" s="1446"/>
      <c r="Q5" s="1446"/>
      <c r="R5" s="1446"/>
      <c r="S5" s="1446"/>
    </row>
    <row r="6" spans="1:19">
      <c r="A6" s="1442"/>
      <c r="B6" s="1442"/>
      <c r="C6" s="1442"/>
      <c r="D6" s="1442"/>
      <c r="E6" s="1442"/>
      <c r="F6" s="1442"/>
      <c r="G6" s="1442"/>
      <c r="H6" s="1442"/>
      <c r="I6" s="1442"/>
      <c r="J6" s="1442"/>
      <c r="K6" s="1442"/>
      <c r="L6" s="1442"/>
      <c r="M6" s="1442"/>
      <c r="N6" s="1442"/>
      <c r="O6" s="1442"/>
      <c r="P6" s="1442"/>
      <c r="Q6" s="1442"/>
      <c r="R6" s="1442"/>
      <c r="S6" s="1442"/>
    </row>
    <row r="7" spans="1:19">
      <c r="B7" s="1445"/>
      <c r="C7" s="1445"/>
      <c r="D7" s="1442"/>
      <c r="E7" s="1442"/>
      <c r="F7" s="1442"/>
      <c r="G7" s="1442"/>
      <c r="H7" s="1442"/>
      <c r="I7" s="1442"/>
      <c r="J7" s="1442"/>
      <c r="K7" s="1445"/>
      <c r="L7" s="1445"/>
      <c r="M7" s="1445"/>
      <c r="N7" s="1445"/>
      <c r="O7" s="1445"/>
      <c r="P7" s="1445"/>
      <c r="Q7" s="1445"/>
      <c r="R7" s="1445"/>
      <c r="S7" s="1445"/>
    </row>
    <row r="8" spans="1:19" ht="15.75">
      <c r="A8" s="1448"/>
      <c r="B8" s="1449"/>
      <c r="C8" s="1449"/>
      <c r="D8" s="1450"/>
      <c r="E8" s="1450"/>
      <c r="F8" s="1450"/>
      <c r="G8" s="448"/>
      <c r="K8" s="448"/>
      <c r="L8" s="448"/>
      <c r="M8" s="448"/>
      <c r="N8" s="448"/>
      <c r="O8" s="448"/>
      <c r="P8" s="448"/>
      <c r="Q8" s="448"/>
      <c r="R8" s="448"/>
      <c r="S8" s="448"/>
    </row>
    <row r="9" spans="1:19" ht="18">
      <c r="A9" s="1451"/>
      <c r="B9" s="1452"/>
      <c r="C9" s="1449"/>
      <c r="D9" s="1450"/>
      <c r="E9" s="1450"/>
      <c r="F9" s="1450"/>
      <c r="G9" s="448"/>
      <c r="H9" s="448"/>
      <c r="I9" s="448"/>
      <c r="J9" s="448"/>
      <c r="K9" s="448"/>
      <c r="L9" s="448"/>
      <c r="M9" s="448"/>
      <c r="N9" s="448"/>
      <c r="O9" s="448"/>
      <c r="P9" s="448"/>
      <c r="Q9" s="448"/>
      <c r="R9" s="448"/>
      <c r="S9" s="448"/>
    </row>
    <row r="10" spans="1:19" ht="18">
      <c r="A10" s="1451"/>
      <c r="B10" s="1452"/>
      <c r="C10" s="1449"/>
      <c r="D10" s="1450"/>
      <c r="E10" s="1450"/>
      <c r="F10" s="1450"/>
      <c r="G10" s="448"/>
      <c r="H10" s="448"/>
      <c r="I10" s="448"/>
      <c r="J10" s="448"/>
      <c r="K10" s="448"/>
      <c r="L10" s="448"/>
      <c r="M10" s="448"/>
      <c r="N10" s="448"/>
      <c r="O10" s="448"/>
      <c r="P10" s="448"/>
      <c r="Q10" s="448"/>
      <c r="R10" s="448"/>
      <c r="S10" s="448"/>
    </row>
    <row r="11" spans="1:19" ht="18">
      <c r="A11" s="1451"/>
      <c r="B11" s="1452"/>
      <c r="C11" s="1449"/>
      <c r="D11" s="1450"/>
      <c r="E11" s="1450"/>
      <c r="F11" s="1450"/>
      <c r="G11" s="448"/>
      <c r="H11" s="448"/>
      <c r="I11" s="448"/>
      <c r="J11" s="448"/>
      <c r="K11" s="448"/>
      <c r="L11" s="448"/>
      <c r="M11" s="448"/>
      <c r="N11" s="448"/>
      <c r="O11" s="448"/>
      <c r="P11" s="448"/>
      <c r="Q11" s="448"/>
      <c r="R11" s="448"/>
      <c r="S11" s="448"/>
    </row>
    <row r="12" spans="1:19">
      <c r="A12" s="1442"/>
      <c r="B12" s="1449"/>
      <c r="C12" s="1449"/>
      <c r="D12" s="1449"/>
      <c r="E12" s="1449"/>
      <c r="F12" s="1449"/>
      <c r="G12" s="448"/>
      <c r="H12" s="448"/>
      <c r="I12" s="448"/>
      <c r="J12" s="448"/>
      <c r="K12" s="448"/>
      <c r="L12" s="448"/>
      <c r="M12" s="448"/>
      <c r="N12" s="448"/>
      <c r="O12" s="448"/>
      <c r="P12" s="448"/>
      <c r="Q12" s="448"/>
      <c r="R12" s="448"/>
      <c r="S12" s="448"/>
    </row>
    <row r="13" spans="1:19">
      <c r="A13" s="1442"/>
      <c r="B13" s="1449"/>
      <c r="C13" s="1449"/>
      <c r="D13" s="1449"/>
      <c r="E13" s="1449"/>
      <c r="F13" s="1449"/>
      <c r="G13" s="448"/>
      <c r="H13" s="448"/>
      <c r="I13" s="448"/>
      <c r="J13" s="448"/>
      <c r="K13" s="448"/>
      <c r="L13" s="448"/>
      <c r="M13" s="448"/>
      <c r="N13" s="448"/>
      <c r="O13" s="448"/>
      <c r="P13" s="448"/>
      <c r="Q13" s="448"/>
      <c r="R13" s="448"/>
      <c r="S13" s="448"/>
    </row>
    <row r="14" spans="1:19" ht="18">
      <c r="A14" s="1447" t="s">
        <v>114</v>
      </c>
      <c r="B14" s="1449"/>
      <c r="C14" s="1449"/>
      <c r="D14" s="1449"/>
      <c r="E14" s="1449"/>
      <c r="F14" s="1449"/>
      <c r="G14" s="448"/>
      <c r="H14" s="448"/>
      <c r="I14" s="448"/>
      <c r="J14" s="448"/>
      <c r="K14" s="448"/>
      <c r="L14" s="448"/>
      <c r="M14" s="448"/>
      <c r="N14" s="448"/>
      <c r="O14" s="448"/>
      <c r="P14" s="448"/>
      <c r="Q14" s="448"/>
      <c r="R14" s="448"/>
      <c r="S14" s="448"/>
    </row>
    <row r="15" spans="1:19" ht="13.5" thickBot="1">
      <c r="A15" s="448"/>
      <c r="B15" s="448"/>
      <c r="C15" s="448"/>
      <c r="D15" s="448"/>
      <c r="E15" s="448"/>
      <c r="F15" s="448"/>
      <c r="G15" s="1442"/>
      <c r="H15" s="1442"/>
      <c r="I15" s="1442"/>
      <c r="J15" s="1442"/>
      <c r="K15" s="1442"/>
      <c r="L15" s="1442"/>
      <c r="M15" s="1442"/>
      <c r="N15" s="1442"/>
      <c r="O15" s="1442"/>
      <c r="P15" s="1442"/>
      <c r="Q15" s="1442"/>
      <c r="R15" s="1442"/>
      <c r="S15" s="448"/>
    </row>
    <row r="16" spans="1:19" ht="18">
      <c r="A16" s="453"/>
      <c r="B16" s="454"/>
      <c r="C16" s="454"/>
      <c r="D16" s="454"/>
      <c r="E16" s="454"/>
      <c r="F16" s="455"/>
      <c r="G16" s="1442"/>
      <c r="H16" s="1619" t="s">
        <v>117</v>
      </c>
      <c r="I16" s="448"/>
      <c r="J16" s="448"/>
      <c r="K16" s="448"/>
      <c r="L16" s="448"/>
      <c r="M16" s="448"/>
      <c r="N16" s="448"/>
      <c r="O16" s="448"/>
      <c r="P16" s="448"/>
      <c r="Q16" s="448"/>
      <c r="R16" s="448"/>
      <c r="S16" s="448"/>
    </row>
    <row r="17" spans="1:19" ht="18">
      <c r="A17" s="456"/>
      <c r="B17" s="457" t="s">
        <v>118</v>
      </c>
      <c r="C17" s="458"/>
      <c r="D17" s="458"/>
      <c r="E17" s="458"/>
      <c r="F17" s="459"/>
      <c r="G17" s="448"/>
      <c r="H17" s="1544" t="s">
        <v>908</v>
      </c>
      <c r="I17" s="1545"/>
      <c r="J17" s="1545"/>
      <c r="K17" s="1545"/>
      <c r="L17" s="1545"/>
      <c r="M17" s="1545"/>
      <c r="N17" s="1545"/>
      <c r="O17" s="1545"/>
      <c r="P17" s="1545"/>
      <c r="Q17" s="1545"/>
      <c r="R17" s="1546"/>
      <c r="S17" s="448"/>
    </row>
    <row r="18" spans="1:19" ht="14.25">
      <c r="A18" s="456"/>
      <c r="B18" s="458"/>
      <c r="C18" s="458"/>
      <c r="D18" s="458"/>
      <c r="E18" s="458"/>
      <c r="F18" s="459"/>
      <c r="G18" s="460"/>
      <c r="H18" s="2176"/>
      <c r="I18" s="1548"/>
      <c r="J18" s="1548"/>
      <c r="K18" s="1548"/>
      <c r="L18" s="1548"/>
      <c r="M18" s="1548"/>
      <c r="N18" s="1548"/>
      <c r="O18" s="1548"/>
      <c r="P18" s="1548"/>
      <c r="Q18" s="1548"/>
      <c r="R18" s="1549"/>
      <c r="S18" s="448"/>
    </row>
    <row r="19" spans="1:19" ht="14.25">
      <c r="A19" s="456"/>
      <c r="B19" s="458" t="s">
        <v>86</v>
      </c>
      <c r="C19" s="2997"/>
      <c r="D19" s="2997"/>
      <c r="E19" s="2997"/>
      <c r="F19" s="461"/>
      <c r="G19" s="448"/>
      <c r="H19" s="2176"/>
      <c r="I19" s="1548"/>
      <c r="J19" s="1548"/>
      <c r="K19" s="1548"/>
      <c r="L19" s="1548"/>
      <c r="M19" s="1548"/>
      <c r="N19" s="1548"/>
      <c r="O19" s="1548"/>
      <c r="P19" s="1548"/>
      <c r="Q19" s="1548"/>
      <c r="R19" s="1549"/>
      <c r="S19" s="448"/>
    </row>
    <row r="20" spans="1:19" ht="14.25">
      <c r="A20" s="456"/>
      <c r="B20" s="458" t="s">
        <v>87</v>
      </c>
      <c r="C20" s="2997"/>
      <c r="D20" s="2997"/>
      <c r="E20" s="2997"/>
      <c r="F20" s="459"/>
      <c r="G20" s="448"/>
      <c r="H20" s="2294"/>
      <c r="I20" s="1548"/>
      <c r="J20" s="1548"/>
      <c r="K20" s="1548"/>
      <c r="L20" s="1548"/>
      <c r="M20" s="1548"/>
      <c r="N20" s="1548"/>
      <c r="O20" s="1548"/>
      <c r="P20" s="1548"/>
      <c r="Q20" s="1548"/>
      <c r="R20" s="1549"/>
      <c r="S20" s="448"/>
    </row>
    <row r="21" spans="1:19" ht="14.25">
      <c r="A21" s="456"/>
      <c r="B21" s="458" t="s">
        <v>88</v>
      </c>
      <c r="C21" s="2997"/>
      <c r="D21" s="2997"/>
      <c r="E21" s="2997"/>
      <c r="F21" s="459"/>
      <c r="G21" s="448"/>
      <c r="H21" s="2294"/>
      <c r="I21" s="1548"/>
      <c r="J21" s="1548"/>
      <c r="K21" s="1548"/>
      <c r="L21" s="1548"/>
      <c r="M21" s="1548"/>
      <c r="N21" s="1548"/>
      <c r="O21" s="1548"/>
      <c r="P21" s="1548"/>
      <c r="Q21" s="1548"/>
      <c r="R21" s="1549"/>
      <c r="S21" s="448"/>
    </row>
    <row r="22" spans="1:19" ht="14.25">
      <c r="A22" s="456"/>
      <c r="B22" s="2529" t="s">
        <v>1587</v>
      </c>
      <c r="C22" s="2590"/>
      <c r="D22" s="2591"/>
      <c r="E22" s="2592" t="s">
        <v>1595</v>
      </c>
      <c r="F22" s="459"/>
      <c r="G22" s="448"/>
      <c r="H22" s="2294"/>
      <c r="I22" s="1548"/>
      <c r="J22" s="1548"/>
      <c r="K22" s="1548"/>
      <c r="L22" s="1548"/>
      <c r="M22" s="1548"/>
      <c r="N22" s="1548"/>
      <c r="O22" s="1548"/>
      <c r="P22" s="1548"/>
      <c r="Q22" s="1548"/>
      <c r="R22" s="1549"/>
      <c r="S22" s="448"/>
    </row>
    <row r="23" spans="1:19" ht="13.5" thickBot="1">
      <c r="A23" s="462"/>
      <c r="B23" s="463"/>
      <c r="C23" s="463"/>
      <c r="D23" s="463"/>
      <c r="E23" s="463"/>
      <c r="F23" s="464"/>
      <c r="G23" s="448"/>
      <c r="H23" s="1550"/>
      <c r="I23" s="1548"/>
      <c r="J23" s="1548"/>
      <c r="K23" s="1548"/>
      <c r="L23" s="1548"/>
      <c r="M23" s="1548"/>
      <c r="N23" s="1548"/>
      <c r="O23" s="1548"/>
      <c r="P23" s="1548"/>
      <c r="Q23" s="1548"/>
      <c r="R23" s="1549"/>
      <c r="S23" s="448"/>
    </row>
    <row r="24" spans="1:19" ht="13.5" thickBot="1">
      <c r="A24" s="448"/>
      <c r="B24" s="448"/>
      <c r="C24" s="448"/>
      <c r="D24" s="448"/>
      <c r="E24" s="448"/>
      <c r="F24" s="448"/>
      <c r="G24" s="448"/>
      <c r="H24" s="1550"/>
      <c r="I24" s="1548"/>
      <c r="J24" s="1548"/>
      <c r="K24" s="1548"/>
      <c r="L24" s="1548"/>
      <c r="M24" s="1548"/>
      <c r="N24" s="1548"/>
      <c r="O24" s="1548"/>
      <c r="P24" s="1548"/>
      <c r="Q24" s="1548"/>
      <c r="R24" s="1549"/>
      <c r="S24" s="448"/>
    </row>
    <row r="25" spans="1:19">
      <c r="A25" s="453"/>
      <c r="B25" s="454"/>
      <c r="C25" s="454"/>
      <c r="D25" s="454"/>
      <c r="E25" s="454"/>
      <c r="F25" s="455"/>
      <c r="G25" s="448"/>
      <c r="H25" s="448"/>
      <c r="I25" s="448"/>
      <c r="J25" s="448"/>
      <c r="K25" s="448"/>
      <c r="L25" s="448"/>
      <c r="M25" s="448"/>
      <c r="N25" s="448"/>
      <c r="O25" s="448"/>
      <c r="P25" s="448"/>
      <c r="Q25" s="448"/>
      <c r="R25" s="448"/>
      <c r="S25" s="448"/>
    </row>
    <row r="26" spans="1:19">
      <c r="A26" s="456"/>
      <c r="B26" s="457" t="s">
        <v>119</v>
      </c>
      <c r="C26" s="458"/>
      <c r="D26" s="458"/>
      <c r="E26" s="458"/>
      <c r="F26" s="459"/>
      <c r="G26" s="448"/>
      <c r="H26" s="448"/>
      <c r="I26" s="448"/>
      <c r="J26" s="448"/>
      <c r="K26" s="448"/>
      <c r="L26" s="448"/>
      <c r="M26" s="448"/>
      <c r="N26" s="448"/>
      <c r="O26" s="448"/>
      <c r="P26" s="448"/>
      <c r="Q26" s="448"/>
      <c r="R26" s="448"/>
      <c r="S26" s="448"/>
    </row>
    <row r="27" spans="1:19" ht="18">
      <c r="A27" s="456"/>
      <c r="B27" s="465"/>
      <c r="C27" s="466" t="s">
        <v>120</v>
      </c>
      <c r="D27" s="466" t="s">
        <v>121</v>
      </c>
      <c r="E27" s="467"/>
      <c r="F27" s="459"/>
      <c r="G27" s="448"/>
      <c r="H27" s="1544" t="s">
        <v>909</v>
      </c>
      <c r="I27" s="1545"/>
      <c r="J27" s="1545"/>
      <c r="K27" s="1545"/>
      <c r="L27" s="1545"/>
      <c r="M27" s="1545"/>
      <c r="N27" s="1545"/>
      <c r="O27" s="1545"/>
      <c r="P27" s="1545"/>
      <c r="Q27" s="1545"/>
      <c r="R27" s="1546"/>
      <c r="S27" s="448"/>
    </row>
    <row r="28" spans="1:19" ht="14.25">
      <c r="A28" s="456"/>
      <c r="B28" s="465" t="s">
        <v>122</v>
      </c>
      <c r="C28" s="12">
        <v>3.5999999999999997E-2</v>
      </c>
      <c r="D28" s="466" t="s">
        <v>123</v>
      </c>
      <c r="E28" s="467"/>
      <c r="F28" s="459"/>
      <c r="G28" s="448"/>
      <c r="H28" s="2176"/>
      <c r="I28" s="1548"/>
      <c r="J28" s="1548"/>
      <c r="K28" s="1548"/>
      <c r="L28" s="1548"/>
      <c r="M28" s="1548"/>
      <c r="N28" s="1548"/>
      <c r="O28" s="1548"/>
      <c r="P28" s="1548"/>
      <c r="Q28" s="1548"/>
      <c r="R28" s="1549"/>
      <c r="S28" s="448"/>
    </row>
    <row r="29" spans="1:19" ht="14.25">
      <c r="A29" s="456"/>
      <c r="B29" s="465" t="s">
        <v>124</v>
      </c>
      <c r="C29" s="12">
        <v>0.35399999999999998</v>
      </c>
      <c r="D29" s="466" t="s">
        <v>125</v>
      </c>
      <c r="E29" s="467"/>
      <c r="F29" s="459"/>
      <c r="G29" s="448"/>
      <c r="H29" s="2176"/>
      <c r="I29" s="1548"/>
      <c r="J29" s="1548"/>
      <c r="K29" s="1548"/>
      <c r="L29" s="1548"/>
      <c r="M29" s="1548"/>
      <c r="N29" s="1548"/>
      <c r="O29" s="1548"/>
      <c r="P29" s="1548"/>
      <c r="Q29" s="1548"/>
      <c r="R29" s="1549"/>
      <c r="S29" s="448"/>
    </row>
    <row r="30" spans="1:19" ht="14.25">
      <c r="A30" s="456"/>
      <c r="B30" s="465" t="s">
        <v>126</v>
      </c>
      <c r="C30" s="12">
        <v>0.39</v>
      </c>
      <c r="D30" s="466" t="s">
        <v>127</v>
      </c>
      <c r="E30" s="467"/>
      <c r="F30" s="459"/>
      <c r="G30" s="448"/>
      <c r="H30" s="2176"/>
      <c r="I30" s="1548"/>
      <c r="J30" s="1548"/>
      <c r="K30" s="1548"/>
      <c r="L30" s="1548"/>
      <c r="M30" s="1548"/>
      <c r="N30" s="1548"/>
      <c r="O30" s="1548"/>
      <c r="P30" s="1548"/>
      <c r="Q30" s="1548"/>
      <c r="R30" s="1549"/>
      <c r="S30" s="448"/>
    </row>
    <row r="31" spans="1:19" ht="14.25">
      <c r="A31" s="456"/>
      <c r="B31" s="1569" t="s">
        <v>128</v>
      </c>
      <c r="C31" s="1570">
        <v>0.22</v>
      </c>
      <c r="D31" s="1571" t="s">
        <v>129</v>
      </c>
      <c r="E31" s="467"/>
      <c r="F31" s="459"/>
      <c r="G31" s="448"/>
      <c r="H31" s="2176"/>
      <c r="I31" s="1548"/>
      <c r="J31" s="1548"/>
      <c r="K31" s="1548"/>
      <c r="L31" s="1548"/>
      <c r="M31" s="1548"/>
      <c r="N31" s="1548"/>
      <c r="O31" s="1548"/>
      <c r="P31" s="1548"/>
      <c r="Q31" s="1548"/>
      <c r="R31" s="1549"/>
      <c r="S31" s="448"/>
    </row>
    <row r="32" spans="1:19" ht="14.25">
      <c r="A32" s="456"/>
      <c r="B32" s="1573" t="s">
        <v>130</v>
      </c>
      <c r="C32" s="1574">
        <v>0</v>
      </c>
      <c r="D32" s="1575" t="s">
        <v>131</v>
      </c>
      <c r="E32" s="467"/>
      <c r="F32" s="459"/>
      <c r="G32" s="448"/>
      <c r="H32" s="2294"/>
      <c r="I32" s="1548"/>
      <c r="J32" s="1548"/>
      <c r="K32" s="1548"/>
      <c r="L32" s="1548"/>
      <c r="M32" s="1548"/>
      <c r="N32" s="1548"/>
      <c r="O32" s="1548"/>
      <c r="P32" s="1548"/>
      <c r="Q32" s="1548"/>
      <c r="R32" s="1549"/>
      <c r="S32" s="448"/>
    </row>
    <row r="33" spans="1:19" ht="14.25">
      <c r="A33" s="456"/>
      <c r="B33" s="458"/>
      <c r="C33" s="1572"/>
      <c r="D33" s="467"/>
      <c r="E33" s="467"/>
      <c r="F33" s="459"/>
      <c r="G33" s="448"/>
      <c r="H33" s="2294"/>
      <c r="I33" s="1548"/>
      <c r="J33" s="1548"/>
      <c r="K33" s="1548"/>
      <c r="L33" s="1548"/>
      <c r="M33" s="1548"/>
      <c r="N33" s="1548"/>
      <c r="O33" s="1548"/>
      <c r="P33" s="1548"/>
      <c r="Q33" s="1548"/>
      <c r="R33" s="1549"/>
      <c r="S33" s="448"/>
    </row>
    <row r="34" spans="1:19" ht="14.25">
      <c r="A34" s="456"/>
      <c r="B34" s="458"/>
      <c r="C34" s="1576">
        <f>SUM(C28:C33)</f>
        <v>1</v>
      </c>
      <c r="D34" s="2037" t="str">
        <f>IF(C34=1," ","Skall vara 100% !")</f>
        <v xml:space="preserve"> </v>
      </c>
      <c r="E34" s="458"/>
      <c r="F34" s="459"/>
      <c r="G34" s="448"/>
      <c r="H34" s="2294"/>
      <c r="I34" s="1548"/>
      <c r="J34" s="1548"/>
      <c r="K34" s="1548"/>
      <c r="L34" s="1548"/>
      <c r="M34" s="1548"/>
      <c r="N34" s="1548"/>
      <c r="O34" s="1548"/>
      <c r="P34" s="1548"/>
      <c r="Q34" s="1548"/>
      <c r="R34" s="1549"/>
      <c r="S34" s="448"/>
    </row>
    <row r="35" spans="1:19" ht="14.25">
      <c r="A35" s="2031"/>
      <c r="B35" s="2032"/>
      <c r="C35" s="1961"/>
      <c r="D35" s="1962"/>
      <c r="E35" s="458"/>
      <c r="F35" s="459"/>
      <c r="G35" s="448"/>
      <c r="H35" s="2294"/>
      <c r="I35" s="1548"/>
      <c r="J35" s="1548"/>
      <c r="K35" s="1548"/>
      <c r="L35" s="1548"/>
      <c r="M35" s="1548"/>
      <c r="N35" s="1548"/>
      <c r="O35" s="1548"/>
      <c r="P35" s="1548"/>
      <c r="Q35" s="1548"/>
      <c r="R35" s="1549"/>
      <c r="S35" s="448"/>
    </row>
    <row r="36" spans="1:19">
      <c r="A36" s="2033"/>
      <c r="B36" s="2034" t="s">
        <v>29</v>
      </c>
      <c r="C36" s="1960">
        <v>2.9</v>
      </c>
      <c r="D36" s="2032" t="s">
        <v>120</v>
      </c>
      <c r="E36" s="2032"/>
      <c r="F36" s="2035"/>
      <c r="H36" s="448"/>
      <c r="I36" s="448"/>
      <c r="J36" s="448"/>
      <c r="K36" s="468"/>
      <c r="L36" s="448"/>
      <c r="M36" s="448"/>
      <c r="N36" s="448"/>
      <c r="O36" s="448"/>
      <c r="P36" s="448"/>
      <c r="Q36" s="448"/>
      <c r="R36" s="448"/>
      <c r="S36" s="448"/>
    </row>
    <row r="37" spans="1:19">
      <c r="A37" s="2033"/>
      <c r="B37" s="2032"/>
      <c r="C37" s="2032"/>
      <c r="D37" s="2032"/>
      <c r="E37" s="2032"/>
      <c r="F37" s="2035"/>
      <c r="G37" s="448"/>
      <c r="H37" s="448"/>
      <c r="I37" s="448"/>
      <c r="J37" s="468"/>
      <c r="K37" s="468"/>
      <c r="L37" s="448"/>
      <c r="M37" s="448"/>
      <c r="N37" s="448"/>
      <c r="O37" s="448"/>
      <c r="P37" s="448"/>
      <c r="Q37" s="448"/>
      <c r="R37" s="448"/>
      <c r="S37" s="448"/>
    </row>
    <row r="38" spans="1:19">
      <c r="A38" s="2033"/>
      <c r="B38" s="1962" t="s">
        <v>1261</v>
      </c>
      <c r="C38" s="2032"/>
      <c r="D38" s="2032"/>
      <c r="E38" s="458"/>
      <c r="F38" s="459"/>
      <c r="G38" s="448"/>
      <c r="H38" s="448"/>
      <c r="I38" s="448"/>
      <c r="J38" s="468"/>
      <c r="K38" s="468"/>
      <c r="L38" s="448"/>
      <c r="M38" s="448"/>
      <c r="N38" s="448"/>
      <c r="O38" s="448"/>
      <c r="P38" s="448"/>
      <c r="Q38" s="448"/>
      <c r="R38" s="448"/>
      <c r="S38" s="448"/>
    </row>
    <row r="39" spans="1:19">
      <c r="A39" s="2036" t="s">
        <v>1259</v>
      </c>
      <c r="B39" s="2875" t="s">
        <v>1255</v>
      </c>
      <c r="C39" s="1959" t="s">
        <v>1260</v>
      </c>
      <c r="D39" s="2876" t="s">
        <v>1254</v>
      </c>
      <c r="E39" s="458"/>
      <c r="F39" s="459"/>
      <c r="G39" s="448"/>
      <c r="H39" s="448"/>
      <c r="I39" s="448"/>
      <c r="J39" s="468"/>
      <c r="K39" s="468"/>
      <c r="L39" s="448"/>
      <c r="M39" s="448"/>
      <c r="N39" s="448"/>
      <c r="O39" s="448"/>
      <c r="P39" s="448"/>
      <c r="Q39" s="448"/>
      <c r="R39" s="448"/>
      <c r="S39" s="448"/>
    </row>
    <row r="40" spans="1:19" ht="13.5" thickBot="1">
      <c r="A40" s="462"/>
      <c r="B40" s="463"/>
      <c r="C40" s="463"/>
      <c r="D40" s="463"/>
      <c r="E40" s="463"/>
      <c r="F40" s="464"/>
      <c r="G40" s="448"/>
      <c r="H40" s="448"/>
      <c r="I40" s="448"/>
      <c r="J40" s="468"/>
      <c r="K40" s="468"/>
      <c r="L40" s="448"/>
      <c r="M40" s="448"/>
      <c r="N40" s="448"/>
      <c r="O40" s="448"/>
      <c r="P40" s="448"/>
      <c r="Q40" s="448"/>
      <c r="R40" s="448"/>
      <c r="S40" s="448"/>
    </row>
    <row r="41" spans="1:19">
      <c r="A41" s="448"/>
      <c r="B41" s="448"/>
      <c r="C41" s="448"/>
      <c r="D41" s="448"/>
      <c r="E41" s="448"/>
      <c r="F41" s="448"/>
      <c r="G41" s="448"/>
      <c r="H41" s="448"/>
      <c r="I41" s="448"/>
      <c r="J41" s="468"/>
      <c r="K41" s="468"/>
      <c r="L41" s="448"/>
      <c r="M41" s="448"/>
      <c r="N41" s="448"/>
      <c r="O41" s="448"/>
      <c r="P41" s="448"/>
      <c r="Q41" s="448"/>
      <c r="R41" s="448"/>
      <c r="S41" s="448"/>
    </row>
    <row r="42" spans="1:19">
      <c r="A42" s="452" t="s">
        <v>900</v>
      </c>
      <c r="B42" s="448"/>
      <c r="C42" s="448"/>
      <c r="D42" s="448"/>
      <c r="E42" s="448"/>
      <c r="F42" s="448"/>
      <c r="G42" s="448"/>
      <c r="H42" s="448"/>
      <c r="I42" s="448"/>
      <c r="J42" s="448"/>
      <c r="K42" s="448"/>
      <c r="L42" s="448"/>
      <c r="M42" s="448"/>
      <c r="N42" s="448"/>
      <c r="O42" s="448"/>
      <c r="P42" s="448"/>
      <c r="Q42" s="448"/>
      <c r="R42" s="448"/>
      <c r="S42" s="448"/>
    </row>
    <row r="43" spans="1:19">
      <c r="A43" s="1438"/>
      <c r="B43" s="1514" t="s">
        <v>1728</v>
      </c>
      <c r="C43" s="1515"/>
      <c r="D43" s="1515"/>
      <c r="E43" s="1515"/>
      <c r="F43" s="1515"/>
      <c r="G43" s="1515"/>
      <c r="H43" s="1515"/>
      <c r="I43" s="1515"/>
      <c r="J43" s="1515"/>
      <c r="K43" s="1515"/>
      <c r="L43" s="1515"/>
      <c r="M43" s="1515"/>
      <c r="N43" s="1515"/>
      <c r="O43" s="1515"/>
      <c r="P43" s="1515"/>
      <c r="Q43" s="1515"/>
      <c r="R43" s="1516"/>
      <c r="S43" s="448"/>
    </row>
    <row r="44" spans="1:19">
      <c r="A44" s="1439"/>
      <c r="B44" s="1514" t="s">
        <v>899</v>
      </c>
      <c r="C44" s="1515"/>
      <c r="D44" s="1515"/>
      <c r="E44" s="1515"/>
      <c r="F44" s="1515"/>
      <c r="G44" s="1515"/>
      <c r="H44" s="1515"/>
      <c r="I44" s="1515"/>
      <c r="J44" s="1515"/>
      <c r="K44" s="1515"/>
      <c r="L44" s="1515"/>
      <c r="M44" s="1515"/>
      <c r="N44" s="1515"/>
      <c r="O44" s="1515"/>
      <c r="P44" s="1515"/>
      <c r="Q44" s="1515"/>
      <c r="R44" s="1516"/>
      <c r="S44" s="448"/>
    </row>
    <row r="45" spans="1:19">
      <c r="A45" s="2931"/>
      <c r="B45" s="1517" t="s">
        <v>1729</v>
      </c>
      <c r="C45" s="1518"/>
      <c r="D45" s="1518"/>
      <c r="E45" s="1518"/>
      <c r="F45" s="1518"/>
      <c r="G45" s="1518"/>
      <c r="H45" s="1518"/>
      <c r="I45" s="1518"/>
      <c r="J45" s="1518"/>
      <c r="K45" s="1518"/>
      <c r="L45" s="1518"/>
      <c r="M45" s="1518"/>
      <c r="N45" s="1518"/>
      <c r="O45" s="1518"/>
      <c r="P45" s="1518"/>
      <c r="Q45" s="1518"/>
      <c r="R45" s="1519"/>
      <c r="S45" s="1442"/>
    </row>
    <row r="46" spans="1:19">
      <c r="A46" s="2160"/>
      <c r="B46" s="2163" t="s">
        <v>1730</v>
      </c>
      <c r="C46" s="2164"/>
      <c r="D46" s="2164"/>
      <c r="E46" s="2164"/>
      <c r="F46" s="2164"/>
      <c r="G46" s="2164"/>
      <c r="H46" s="2164"/>
      <c r="I46" s="2164"/>
      <c r="J46" s="2164"/>
      <c r="K46" s="2164"/>
      <c r="L46" s="2164"/>
      <c r="M46" s="2164"/>
      <c r="N46" s="2164"/>
      <c r="O46" s="2164"/>
      <c r="P46" s="2164"/>
      <c r="Q46" s="2164"/>
      <c r="R46" s="2165"/>
      <c r="S46" s="1442"/>
    </row>
    <row r="47" spans="1:19">
      <c r="A47" s="2161"/>
      <c r="B47" s="2163" t="s">
        <v>1731</v>
      </c>
      <c r="C47" s="2164"/>
      <c r="D47" s="2164"/>
      <c r="E47" s="2164"/>
      <c r="F47" s="2164"/>
      <c r="G47" s="2164"/>
      <c r="H47" s="2164"/>
      <c r="I47" s="2164"/>
      <c r="J47" s="2164"/>
      <c r="K47" s="2164"/>
      <c r="L47" s="2164"/>
      <c r="M47" s="2164"/>
      <c r="N47" s="2164"/>
      <c r="O47" s="2164"/>
      <c r="P47" s="2164"/>
      <c r="Q47" s="2164"/>
      <c r="R47" s="2165"/>
      <c r="S47" s="1442"/>
    </row>
    <row r="48" spans="1:19">
      <c r="A48" s="2162"/>
      <c r="B48" s="2166" t="s">
        <v>1298</v>
      </c>
      <c r="C48" s="2167"/>
      <c r="D48" s="2167"/>
      <c r="E48" s="2167"/>
      <c r="F48" s="2167"/>
      <c r="G48" s="2167"/>
      <c r="H48" s="2167"/>
      <c r="I48" s="2167"/>
      <c r="J48" s="2167"/>
      <c r="K48" s="2167"/>
      <c r="L48" s="2167"/>
      <c r="M48" s="2167"/>
      <c r="N48" s="2167"/>
      <c r="O48" s="2167"/>
      <c r="P48" s="2167"/>
      <c r="Q48" s="2167"/>
      <c r="R48" s="2168"/>
      <c r="S48" s="1442"/>
    </row>
    <row r="49" spans="1:19">
      <c r="A49" s="1448"/>
      <c r="B49" s="1442"/>
      <c r="C49" s="1442"/>
      <c r="D49" s="1442"/>
      <c r="E49" s="1442"/>
      <c r="F49" s="1442"/>
      <c r="G49" s="1442"/>
      <c r="H49" s="1442"/>
      <c r="I49" s="1442"/>
      <c r="J49" s="1442"/>
      <c r="K49" s="1442"/>
      <c r="L49" s="1442"/>
      <c r="M49" s="1442"/>
      <c r="N49" s="1442"/>
      <c r="O49" s="1442"/>
      <c r="P49" s="1442"/>
      <c r="Q49" s="1442"/>
      <c r="R49" s="1442"/>
      <c r="S49" s="1442"/>
    </row>
  </sheetData>
  <sheetProtection sheet="1" objects="1" scenarios="1"/>
  <protectedRanges>
    <protectedRange sqref="C19:E22 H18:R24 H28:R35 C28:C32 B39 C36 D39" name="Område1"/>
  </protectedRanges>
  <mergeCells count="3">
    <mergeCell ref="C19:E19"/>
    <mergeCell ref="C20:E20"/>
    <mergeCell ref="C21:E21"/>
  </mergeCells>
  <phoneticPr fontId="24" type="noConversion"/>
  <conditionalFormatting sqref="C34">
    <cfRule type="cellIs" dxfId="21" priority="1" operator="lessThan">
      <formula>1</formula>
    </cfRule>
    <cfRule type="cellIs" dxfId="20" priority="2" operator="lessThan">
      <formula>1</formula>
    </cfRule>
    <cfRule type="cellIs" dxfId="19" priority="3" operator="greaterThan">
      <formula>1</formula>
    </cfRule>
    <cfRule type="cellIs" dxfId="18" priority="4" operator="lessThan">
      <formula>1</formula>
    </cfRule>
    <cfRule type="cellIs" dxfId="17" priority="5" operator="greaterThan">
      <formula>1</formula>
    </cfRule>
  </conditionalFormatting>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Produktionsområde!$B$3:$B$10</xm:f>
          </x14:formula1>
          <xm:sqref>E22</xm:sqref>
        </x14:dataValidation>
        <x14:dataValidation type="list" allowBlank="1" showInputMessage="1" showErrorMessage="1">
          <x14:formula1>
            <xm:f>'NPK-rekommendationer'!$J$94:$J$99</xm:f>
          </x14:formula1>
          <xm:sqref>B39</xm:sqref>
        </x14:dataValidation>
        <x14:dataValidation type="list" allowBlank="1" showInputMessage="1" showErrorMessage="1">
          <x14:formula1>
            <xm:f>'NPK-rekommendationer'!$K$94:$K$98</xm:f>
          </x14:formula1>
          <xm:sqref>D39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5">
    <tabColor theme="3" tint="0.59999389629810485"/>
  </sheetPr>
  <dimension ref="A1:Y136"/>
  <sheetViews>
    <sheetView topLeftCell="A57" zoomScale="80" zoomScaleNormal="80" workbookViewId="0">
      <selection activeCell="J77" sqref="J77"/>
    </sheetView>
  </sheetViews>
  <sheetFormatPr defaultRowHeight="12.75"/>
  <cols>
    <col min="1" max="1" width="27.140625" customWidth="1"/>
    <col min="2" max="8" width="9.140625" style="104"/>
    <col min="9" max="9" width="13" style="104" bestFit="1" customWidth="1"/>
    <col min="10" max="10" width="9.140625" style="104"/>
    <col min="18" max="18" width="10.5703125" customWidth="1"/>
    <col min="24" max="25" width="10.140625" bestFit="1" customWidth="1"/>
  </cols>
  <sheetData>
    <row r="1" spans="1:23">
      <c r="A1" s="486"/>
      <c r="B1" s="1354"/>
      <c r="C1" s="1354"/>
      <c r="D1" s="1354"/>
      <c r="E1" s="1354"/>
      <c r="F1" s="1354"/>
      <c r="G1" s="1354"/>
      <c r="H1" s="1354"/>
      <c r="I1" s="1354"/>
      <c r="J1" s="1354"/>
      <c r="K1" s="486"/>
      <c r="L1" s="486"/>
      <c r="M1" s="486"/>
      <c r="N1" s="486"/>
      <c r="O1" s="486"/>
      <c r="P1" s="486"/>
      <c r="Q1" s="486"/>
      <c r="R1" s="486"/>
      <c r="S1" s="486"/>
      <c r="T1" s="486"/>
      <c r="U1" s="486"/>
      <c r="V1" s="486"/>
      <c r="W1" s="486"/>
    </row>
    <row r="2" spans="1:23" ht="23.25">
      <c r="A2" s="709" t="s">
        <v>1785</v>
      </c>
      <c r="B2" s="1354"/>
      <c r="C2" s="1354"/>
      <c r="D2" s="1354"/>
      <c r="E2" s="1354"/>
      <c r="F2" s="1354"/>
      <c r="G2" s="1354"/>
      <c r="H2" s="1354"/>
      <c r="I2" s="1354"/>
      <c r="J2" s="1354"/>
      <c r="K2" s="486"/>
      <c r="L2" s="486"/>
      <c r="M2" s="486"/>
      <c r="N2" s="486"/>
      <c r="O2" s="486"/>
      <c r="P2" s="486"/>
      <c r="Q2" s="486"/>
      <c r="R2" s="486"/>
      <c r="S2" s="486"/>
      <c r="T2" s="486"/>
      <c r="U2" s="486"/>
      <c r="V2" s="486"/>
      <c r="W2" s="486"/>
    </row>
    <row r="3" spans="1:23" ht="15">
      <c r="A3" s="2954" t="s">
        <v>1800</v>
      </c>
      <c r="B3" s="1354"/>
      <c r="C3" s="1354"/>
      <c r="D3" s="1354"/>
      <c r="E3" s="1354"/>
      <c r="F3" s="1354"/>
      <c r="G3" s="1354"/>
      <c r="H3" s="1354"/>
      <c r="I3" s="1354"/>
      <c r="J3" s="1354"/>
      <c r="K3" s="486"/>
      <c r="L3" s="486"/>
      <c r="M3" s="486"/>
      <c r="N3" s="486"/>
      <c r="O3" s="486"/>
      <c r="P3" s="486"/>
      <c r="Q3" s="486"/>
      <c r="R3" s="486"/>
      <c r="S3" s="486"/>
      <c r="T3" s="486"/>
      <c r="U3" s="486"/>
      <c r="V3" s="486"/>
      <c r="W3" s="486"/>
    </row>
    <row r="4" spans="1:23" ht="15">
      <c r="A4" s="2954" t="s">
        <v>1792</v>
      </c>
      <c r="B4" s="2955"/>
      <c r="C4" s="2955"/>
      <c r="D4" s="2955"/>
      <c r="E4" s="2955"/>
      <c r="F4" s="2955"/>
      <c r="G4" s="2955"/>
      <c r="H4" s="2955"/>
      <c r="I4" s="2955"/>
      <c r="J4" s="2955"/>
      <c r="K4" s="1636"/>
      <c r="L4" s="1636"/>
      <c r="M4" s="2964" t="s">
        <v>952</v>
      </c>
      <c r="N4" s="486"/>
      <c r="O4" s="486"/>
      <c r="P4" s="486"/>
      <c r="Q4" s="486"/>
      <c r="R4" s="486"/>
      <c r="S4" s="486"/>
      <c r="T4" s="486"/>
      <c r="U4" s="486"/>
      <c r="V4" s="486"/>
      <c r="W4" s="486"/>
    </row>
    <row r="5" spans="1:23" s="164" customFormat="1" ht="15">
      <c r="A5" s="2956" t="s">
        <v>138</v>
      </c>
      <c r="B5" s="2956">
        <v>3000</v>
      </c>
      <c r="C5" s="2957">
        <v>4000</v>
      </c>
      <c r="D5" s="2957">
        <v>5000</v>
      </c>
      <c r="E5" s="2957">
        <v>6000</v>
      </c>
      <c r="F5" s="2957">
        <v>7000</v>
      </c>
      <c r="G5" s="2957">
        <v>8000</v>
      </c>
      <c r="H5" s="2957">
        <v>9000</v>
      </c>
      <c r="I5" s="2957">
        <v>10000</v>
      </c>
      <c r="J5" s="2957">
        <v>11000</v>
      </c>
      <c r="K5" s="2954"/>
      <c r="L5" s="2960" t="s">
        <v>139</v>
      </c>
      <c r="M5" s="2962" t="s">
        <v>74</v>
      </c>
      <c r="N5" s="2418"/>
      <c r="O5" s="2418"/>
      <c r="P5" s="2418"/>
      <c r="Q5" s="2418"/>
      <c r="R5" s="2418"/>
      <c r="S5" s="2418"/>
      <c r="T5" s="2418"/>
      <c r="U5" s="2418"/>
      <c r="V5" s="2418"/>
      <c r="W5" s="2418"/>
    </row>
    <row r="6" spans="1:23" ht="14.25">
      <c r="A6" s="2952" t="s">
        <v>195</v>
      </c>
      <c r="B6" s="2952"/>
      <c r="C6" s="2953"/>
      <c r="D6" s="2953">
        <v>125</v>
      </c>
      <c r="E6" s="2953">
        <v>145</v>
      </c>
      <c r="F6" s="2953">
        <v>165</v>
      </c>
      <c r="G6" s="2953">
        <v>185</v>
      </c>
      <c r="H6" s="2953">
        <v>205</v>
      </c>
      <c r="I6" s="2953">
        <v>225</v>
      </c>
      <c r="J6" s="2953">
        <v>245</v>
      </c>
      <c r="K6" s="1636"/>
      <c r="L6" s="2952">
        <f>Gröddata!C10</f>
        <v>8000</v>
      </c>
      <c r="M6" s="2963">
        <f>IF(Gröddata!C10&gt;4999,('NPK-rekommendationer'!D6+(((Gröddata!C10-'NPK-rekommendationer'!D$5)/1000)*20)))</f>
        <v>185</v>
      </c>
      <c r="N6" s="486"/>
      <c r="O6" s="486"/>
      <c r="P6" s="486"/>
      <c r="Q6" s="486"/>
      <c r="R6" s="486"/>
      <c r="S6" s="486"/>
      <c r="T6" s="486"/>
      <c r="U6" s="486"/>
      <c r="V6" s="486"/>
      <c r="W6" s="486"/>
    </row>
    <row r="7" spans="1:23" ht="14.25">
      <c r="A7" s="2952" t="s">
        <v>1787</v>
      </c>
      <c r="B7" s="2952"/>
      <c r="C7" s="2953"/>
      <c r="D7" s="2953">
        <v>115</v>
      </c>
      <c r="E7" s="2953">
        <v>135</v>
      </c>
      <c r="F7" s="2953">
        <v>150</v>
      </c>
      <c r="G7" s="2953">
        <v>165</v>
      </c>
      <c r="H7" s="2953">
        <v>180</v>
      </c>
      <c r="I7" s="2953">
        <v>195</v>
      </c>
      <c r="J7" s="2953">
        <v>210</v>
      </c>
      <c r="K7" s="1636"/>
      <c r="L7" s="2952">
        <f>Gröddata!C11</f>
        <v>8500</v>
      </c>
      <c r="M7" s="2694">
        <f>IF(Gröddata!C11&gt;4999,('NPK-rekommendationer'!D7+(((Gröddata!C11-'NPK-rekommendationer'!D$5)/1000)*20)))</f>
        <v>185</v>
      </c>
      <c r="N7" s="486"/>
      <c r="O7" s="486"/>
      <c r="P7" s="486"/>
      <c r="Q7" s="486"/>
      <c r="R7" s="486"/>
      <c r="S7" s="486"/>
      <c r="T7" s="486"/>
      <c r="U7" s="486"/>
      <c r="V7" s="486"/>
      <c r="W7" s="486"/>
    </row>
    <row r="8" spans="1:23" ht="14.25">
      <c r="A8" s="2952" t="s">
        <v>1175</v>
      </c>
      <c r="B8" s="2952"/>
      <c r="C8" s="2953"/>
      <c r="D8" s="2953">
        <v>95</v>
      </c>
      <c r="E8" s="2953">
        <v>115</v>
      </c>
      <c r="F8" s="2953">
        <v>130</v>
      </c>
      <c r="G8" s="2953">
        <v>135</v>
      </c>
      <c r="H8" s="2953">
        <v>140</v>
      </c>
      <c r="I8" s="2953"/>
      <c r="J8" s="2953"/>
      <c r="K8" s="1636"/>
      <c r="L8" s="2952">
        <f>Gröddata!C12</f>
        <v>6000</v>
      </c>
      <c r="M8" s="2694">
        <f>IF(Gröddata!C12&gt;4999,('NPK-rekommendationer'!D8+(((Gröddata!C12-'NPK-rekommendationer'!D$5)/1000)*20)))</f>
        <v>115</v>
      </c>
      <c r="N8" s="486"/>
      <c r="O8" s="486"/>
      <c r="P8" s="486"/>
      <c r="Q8" s="486"/>
      <c r="R8" s="486"/>
      <c r="S8" s="486"/>
      <c r="T8" s="486"/>
      <c r="U8" s="486"/>
      <c r="V8" s="486"/>
      <c r="W8" s="486"/>
    </row>
    <row r="9" spans="1:23" ht="14.25">
      <c r="A9" s="2952" t="s">
        <v>480</v>
      </c>
      <c r="B9" s="2952"/>
      <c r="C9" s="2953"/>
      <c r="D9" s="2953">
        <v>110</v>
      </c>
      <c r="E9" s="2953">
        <v>130</v>
      </c>
      <c r="F9" s="2953">
        <v>145</v>
      </c>
      <c r="G9" s="2953">
        <v>160</v>
      </c>
      <c r="H9" s="2953">
        <v>175</v>
      </c>
      <c r="I9" s="2953"/>
      <c r="J9" s="2953"/>
      <c r="K9" s="1636"/>
      <c r="L9" s="2952">
        <f>Gröddata!C13</f>
        <v>6000</v>
      </c>
      <c r="M9" s="2694">
        <f>IF(Gröddata!C13&gt;4999,('NPK-rekommendationer'!D9+(((Gröddata!C13-'NPK-rekommendationer'!D$5)/1000)*20)))</f>
        <v>130</v>
      </c>
      <c r="N9" s="486"/>
      <c r="O9" s="486"/>
      <c r="P9" s="486"/>
      <c r="Q9" s="486"/>
      <c r="R9" s="486"/>
      <c r="S9" s="486"/>
      <c r="T9" s="486"/>
      <c r="U9" s="486"/>
      <c r="V9" s="486"/>
      <c r="W9" s="486"/>
    </row>
    <row r="10" spans="1:23" ht="14.25">
      <c r="A10" s="2952" t="s">
        <v>481</v>
      </c>
      <c r="B10" s="2952"/>
      <c r="C10" s="2953"/>
      <c r="D10" s="2953">
        <v>110</v>
      </c>
      <c r="E10" s="2953">
        <v>130</v>
      </c>
      <c r="F10" s="2953">
        <v>145</v>
      </c>
      <c r="G10" s="2953">
        <v>160</v>
      </c>
      <c r="H10" s="2953">
        <v>175</v>
      </c>
      <c r="I10" s="2953"/>
      <c r="J10" s="2953"/>
      <c r="K10" s="1636"/>
      <c r="L10" s="2952">
        <f>Gröddata!C14</f>
        <v>6000</v>
      </c>
      <c r="M10" s="2694">
        <f>IF(Gröddata!C14&gt;4999,('NPK-rekommendationer'!D10+(((Gröddata!C14-'NPK-rekommendationer'!D$5)/1000)*20)))</f>
        <v>130</v>
      </c>
      <c r="N10" s="486"/>
      <c r="O10" s="486"/>
      <c r="P10" s="486"/>
      <c r="Q10" s="486"/>
      <c r="R10" s="486"/>
      <c r="S10" s="486"/>
      <c r="T10" s="486"/>
      <c r="U10" s="486"/>
      <c r="V10" s="486"/>
      <c r="W10" s="486"/>
    </row>
    <row r="11" spans="1:23" ht="14.25">
      <c r="A11" s="2952" t="s">
        <v>1788</v>
      </c>
      <c r="B11" s="2952"/>
      <c r="C11" s="2953">
        <v>60</v>
      </c>
      <c r="D11" s="2953">
        <v>80</v>
      </c>
      <c r="E11" s="2953">
        <v>95</v>
      </c>
      <c r="F11" s="2953">
        <v>110</v>
      </c>
      <c r="G11" s="2953">
        <v>125</v>
      </c>
      <c r="H11" s="2953">
        <v>140</v>
      </c>
      <c r="I11" s="2953"/>
      <c r="J11" s="2953"/>
      <c r="K11" s="1636"/>
      <c r="L11" s="2952">
        <f>Gröddata!C15</f>
        <v>5500</v>
      </c>
      <c r="M11" s="2694">
        <f>IF(Gröddata!C15&gt;4999,('NPK-rekommendationer'!D11+(((Gröddata!C15-'NPK-rekommendationer'!D$5)/1000)*20)))</f>
        <v>90</v>
      </c>
      <c r="N11" s="486"/>
      <c r="O11" s="486"/>
      <c r="P11" s="486"/>
      <c r="Q11" s="486"/>
      <c r="R11" s="486"/>
      <c r="S11" s="486"/>
      <c r="T11" s="486"/>
      <c r="U11" s="486"/>
      <c r="V11" s="486"/>
      <c r="W11" s="486"/>
    </row>
    <row r="12" spans="1:23" ht="14.25">
      <c r="A12" s="2952" t="s">
        <v>1789</v>
      </c>
      <c r="B12" s="2952"/>
      <c r="C12" s="2953">
        <v>65</v>
      </c>
      <c r="D12" s="2953">
        <v>85</v>
      </c>
      <c r="E12" s="2953">
        <v>100</v>
      </c>
      <c r="F12" s="2953">
        <v>115</v>
      </c>
      <c r="G12" s="2953">
        <v>130</v>
      </c>
      <c r="H12" s="2953">
        <v>145</v>
      </c>
      <c r="I12" s="2953"/>
      <c r="J12" s="2953"/>
      <c r="K12" s="1636"/>
      <c r="L12" s="2952">
        <f>Gröddata!C16</f>
        <v>5500</v>
      </c>
      <c r="M12" s="2694">
        <f>IF(Gröddata!C16&gt;4999,('NPK-rekommendationer'!D12+(((Gröddata!C16-'NPK-rekommendationer'!D$5)/1000)*20)))</f>
        <v>95</v>
      </c>
      <c r="N12" s="486"/>
      <c r="O12" s="486"/>
      <c r="P12" s="486"/>
      <c r="Q12" s="486"/>
      <c r="R12" s="486"/>
      <c r="S12" s="486"/>
      <c r="T12" s="486"/>
      <c r="U12" s="486"/>
      <c r="V12" s="486"/>
      <c r="W12" s="486"/>
    </row>
    <row r="13" spans="1:23" ht="14.25">
      <c r="A13" s="2952" t="s">
        <v>1784</v>
      </c>
      <c r="B13" s="2952"/>
      <c r="C13" s="2953">
        <v>125</v>
      </c>
      <c r="D13" s="2953">
        <v>145</v>
      </c>
      <c r="E13" s="2953">
        <v>165</v>
      </c>
      <c r="F13" s="2953">
        <v>185</v>
      </c>
      <c r="G13" s="2953">
        <v>205</v>
      </c>
      <c r="H13" s="2953"/>
      <c r="I13" s="2953"/>
      <c r="J13" s="2953"/>
      <c r="K13" s="1636"/>
      <c r="L13" s="2952">
        <f>Gröddata!C17</f>
        <v>5000</v>
      </c>
      <c r="M13" s="2694">
        <f>IF(Gröddata!C17&gt;4999,('NPK-rekommendationer'!D13+(((Gröddata!C17-'NPK-rekommendationer'!D$5)/1000)*20)))</f>
        <v>145</v>
      </c>
      <c r="N13" s="486"/>
      <c r="O13" s="486"/>
      <c r="P13" s="486"/>
      <c r="Q13" s="486"/>
      <c r="R13" s="486"/>
      <c r="S13" s="486"/>
      <c r="T13" s="486"/>
      <c r="U13" s="486"/>
      <c r="V13" s="486"/>
      <c r="W13" s="486"/>
    </row>
    <row r="14" spans="1:23" ht="14.25">
      <c r="A14" s="2952" t="s">
        <v>169</v>
      </c>
      <c r="B14" s="2952"/>
      <c r="C14" s="2953">
        <v>55</v>
      </c>
      <c r="D14" s="2953">
        <v>75</v>
      </c>
      <c r="E14" s="2953">
        <v>90</v>
      </c>
      <c r="F14" s="2953">
        <v>105</v>
      </c>
      <c r="G14" s="2953"/>
      <c r="H14" s="2953"/>
      <c r="I14" s="2953"/>
      <c r="J14" s="2953"/>
      <c r="K14" s="1636"/>
      <c r="L14" s="2952">
        <f>Gröddata!C18</f>
        <v>5500</v>
      </c>
      <c r="M14" s="2694">
        <f>IF(Gröddata!C18&gt;4999,('NPK-rekommendationer'!D14+(((Gröddata!C18-'NPK-rekommendationer'!D$5)/1000)*20)))</f>
        <v>85</v>
      </c>
      <c r="N14" s="486"/>
      <c r="O14" s="486"/>
      <c r="P14" s="486"/>
      <c r="Q14" s="486"/>
      <c r="R14" s="486"/>
      <c r="S14" s="486"/>
      <c r="T14" s="486"/>
      <c r="U14" s="486"/>
      <c r="V14" s="486"/>
      <c r="W14" s="486"/>
    </row>
    <row r="15" spans="1:23" ht="14.25">
      <c r="A15" s="1636"/>
      <c r="B15" s="2955"/>
      <c r="C15" s="2955"/>
      <c r="D15" s="2955"/>
      <c r="E15" s="2955"/>
      <c r="F15" s="2955"/>
      <c r="G15" s="2955"/>
      <c r="H15" s="2955"/>
      <c r="I15" s="2955"/>
      <c r="J15" s="2955"/>
      <c r="K15" s="1636"/>
      <c r="L15" s="1636"/>
      <c r="M15" s="1636"/>
      <c r="N15" s="486"/>
      <c r="O15" s="486"/>
      <c r="P15" s="486"/>
      <c r="Q15" s="486"/>
      <c r="R15" s="486"/>
      <c r="S15" s="486"/>
      <c r="T15" s="486"/>
      <c r="U15" s="486"/>
      <c r="V15" s="486"/>
      <c r="W15" s="486"/>
    </row>
    <row r="16" spans="1:23" ht="15">
      <c r="A16" s="2954" t="s">
        <v>1793</v>
      </c>
      <c r="B16" s="1636"/>
      <c r="C16" s="2955"/>
      <c r="D16" s="2955"/>
      <c r="E16" s="2955"/>
      <c r="F16" s="2955"/>
      <c r="G16" s="2955"/>
      <c r="H16" s="2955"/>
      <c r="I16" s="2955"/>
      <c r="J16" s="2955"/>
      <c r="K16" s="1636"/>
      <c r="L16" s="1636"/>
      <c r="M16" s="2964" t="s">
        <v>952</v>
      </c>
      <c r="N16" s="486"/>
      <c r="O16" s="486"/>
      <c r="P16" s="486"/>
      <c r="Q16" s="486"/>
      <c r="R16" s="486"/>
      <c r="S16" s="486"/>
      <c r="T16" s="486"/>
      <c r="U16" s="486"/>
      <c r="V16" s="486"/>
      <c r="W16" s="486"/>
    </row>
    <row r="17" spans="1:23" s="164" customFormat="1" ht="15">
      <c r="A17" s="2956" t="s">
        <v>138</v>
      </c>
      <c r="B17" s="2956">
        <v>3000</v>
      </c>
      <c r="C17" s="2957">
        <v>4000</v>
      </c>
      <c r="D17" s="2957">
        <v>5000</v>
      </c>
      <c r="E17" s="2957">
        <v>6000</v>
      </c>
      <c r="F17" s="2957">
        <v>7000</v>
      </c>
      <c r="G17" s="2957">
        <v>8000</v>
      </c>
      <c r="H17" s="2957">
        <v>9000</v>
      </c>
      <c r="I17" s="2957">
        <v>10000</v>
      </c>
      <c r="J17" s="2957">
        <v>11000</v>
      </c>
      <c r="K17" s="2954"/>
      <c r="L17" s="2960" t="s">
        <v>139</v>
      </c>
      <c r="M17" s="2962" t="s">
        <v>74</v>
      </c>
      <c r="N17" s="2418"/>
      <c r="O17" s="2418"/>
      <c r="P17" s="2418"/>
      <c r="Q17" s="2418"/>
      <c r="R17" s="2418"/>
      <c r="S17" s="2418"/>
      <c r="T17" s="2418"/>
      <c r="U17" s="2418"/>
      <c r="V17" s="2418"/>
      <c r="W17" s="2418"/>
    </row>
    <row r="18" spans="1:23" ht="14.25">
      <c r="A18" s="2952" t="s">
        <v>195</v>
      </c>
      <c r="B18" s="2952"/>
      <c r="C18" s="2953">
        <v>100</v>
      </c>
      <c r="D18" s="2953">
        <v>120</v>
      </c>
      <c r="E18" s="2953">
        <v>140</v>
      </c>
      <c r="F18" s="2953">
        <v>160</v>
      </c>
      <c r="G18" s="2953">
        <v>180</v>
      </c>
      <c r="H18" s="2953">
        <v>200</v>
      </c>
      <c r="I18" s="2953">
        <v>220</v>
      </c>
      <c r="J18" s="2953">
        <v>240</v>
      </c>
      <c r="K18" s="1636"/>
      <c r="L18" s="2952">
        <f>Gröddata!C10</f>
        <v>8000</v>
      </c>
      <c r="M18" s="2961">
        <f>IF(Gröddata!C10&gt;3999,('NPK-rekommendationer'!C18+(((Gröddata!C10-'NPK-rekommendationer'!C$5)/1000)*20)))</f>
        <v>180</v>
      </c>
      <c r="N18" s="486"/>
      <c r="O18" s="486"/>
      <c r="P18" s="486"/>
      <c r="Q18" s="486"/>
      <c r="R18" s="486"/>
      <c r="S18" s="486"/>
      <c r="T18" s="486"/>
      <c r="U18" s="486"/>
      <c r="V18" s="486"/>
      <c r="W18" s="486"/>
    </row>
    <row r="19" spans="1:23" ht="14.25">
      <c r="A19" s="2952" t="s">
        <v>1790</v>
      </c>
      <c r="B19" s="2952"/>
      <c r="C19" s="2953">
        <v>100</v>
      </c>
      <c r="D19" s="2953">
        <v>120</v>
      </c>
      <c r="E19" s="2953">
        <v>140</v>
      </c>
      <c r="F19" s="2953">
        <v>155</v>
      </c>
      <c r="G19" s="2953">
        <v>170</v>
      </c>
      <c r="H19" s="2953">
        <v>185</v>
      </c>
      <c r="I19" s="2953">
        <v>200</v>
      </c>
      <c r="J19" s="2953">
        <v>215</v>
      </c>
      <c r="K19" s="1636"/>
      <c r="L19" s="2952">
        <f>Gröddata!C11</f>
        <v>8500</v>
      </c>
      <c r="M19" s="2952">
        <f>IF(Gröddata!C11&gt;3999,('NPK-rekommendationer'!C19+(((Gröddata!C11-'NPK-rekommendationer'!C$5)/1000)*20)))</f>
        <v>190</v>
      </c>
      <c r="N19" s="486"/>
      <c r="O19" s="486"/>
      <c r="P19" s="486"/>
      <c r="Q19" s="486"/>
      <c r="R19" s="486"/>
      <c r="S19" s="486"/>
      <c r="T19" s="486"/>
      <c r="U19" s="486"/>
      <c r="V19" s="486"/>
      <c r="W19" s="486"/>
    </row>
    <row r="20" spans="1:23" ht="14.25">
      <c r="A20" s="2952" t="s">
        <v>1791</v>
      </c>
      <c r="B20" s="2952"/>
      <c r="C20" s="2953">
        <v>80</v>
      </c>
      <c r="D20" s="2953">
        <v>100</v>
      </c>
      <c r="E20" s="2953">
        <v>120</v>
      </c>
      <c r="F20" s="2953">
        <v>135</v>
      </c>
      <c r="G20" s="2953">
        <v>140</v>
      </c>
      <c r="H20" s="2953">
        <v>145</v>
      </c>
      <c r="I20" s="2953"/>
      <c r="J20" s="2953"/>
      <c r="K20" s="1636"/>
      <c r="L20" s="2952">
        <f>Gröddata!C12</f>
        <v>6000</v>
      </c>
      <c r="M20" s="2952">
        <f>IF(Gröddata!C12&gt;3999,('NPK-rekommendationer'!C20+(((Gröddata!C12-'NPK-rekommendationer'!C$5)/1000)*20)))</f>
        <v>120</v>
      </c>
      <c r="N20" s="486"/>
      <c r="O20" s="486"/>
      <c r="P20" s="486"/>
      <c r="Q20" s="486"/>
      <c r="R20" s="486"/>
      <c r="S20" s="486"/>
      <c r="T20" s="486"/>
      <c r="U20" s="486"/>
      <c r="V20" s="486"/>
      <c r="W20" s="486"/>
    </row>
    <row r="21" spans="1:23" ht="14.25">
      <c r="A21" s="2952" t="s">
        <v>480</v>
      </c>
      <c r="B21" s="2952"/>
      <c r="C21" s="2953">
        <v>95</v>
      </c>
      <c r="D21" s="2953">
        <v>115</v>
      </c>
      <c r="E21" s="2953">
        <v>135</v>
      </c>
      <c r="F21" s="2953">
        <v>150</v>
      </c>
      <c r="G21" s="2953">
        <v>165</v>
      </c>
      <c r="H21" s="2953">
        <v>180</v>
      </c>
      <c r="I21" s="2953"/>
      <c r="J21" s="2953"/>
      <c r="K21" s="1636"/>
      <c r="L21" s="2952">
        <f>Gröddata!C13</f>
        <v>6000</v>
      </c>
      <c r="M21" s="2952">
        <f>IF(Gröddata!C13&gt;3999,('NPK-rekommendationer'!C21+(((Gröddata!C13-'NPK-rekommendationer'!C$5)/1000)*20)))</f>
        <v>135</v>
      </c>
      <c r="N21" s="486"/>
      <c r="O21" s="486"/>
      <c r="P21" s="486"/>
      <c r="Q21" s="486"/>
      <c r="R21" s="486"/>
      <c r="S21" s="486"/>
      <c r="T21" s="486"/>
      <c r="U21" s="486"/>
      <c r="V21" s="486"/>
      <c r="W21" s="486"/>
    </row>
    <row r="22" spans="1:23" ht="14.25">
      <c r="A22" s="2952" t="s">
        <v>481</v>
      </c>
      <c r="B22" s="2952"/>
      <c r="C22" s="2953">
        <v>95</v>
      </c>
      <c r="D22" s="2953">
        <v>115</v>
      </c>
      <c r="E22" s="2953">
        <v>135</v>
      </c>
      <c r="F22" s="2953">
        <v>150</v>
      </c>
      <c r="G22" s="2953">
        <v>165</v>
      </c>
      <c r="H22" s="2953">
        <v>180</v>
      </c>
      <c r="I22" s="2953"/>
      <c r="J22" s="2953"/>
      <c r="K22" s="1636"/>
      <c r="L22" s="2952">
        <f>Gröddata!C14</f>
        <v>6000</v>
      </c>
      <c r="M22" s="2952">
        <f>IF(Gröddata!C14&gt;3999,('NPK-rekommendationer'!C22+(((Gröddata!C14-'NPK-rekommendationer'!C$5)/1000)*20)))</f>
        <v>135</v>
      </c>
      <c r="N22" s="486"/>
      <c r="O22" s="486"/>
      <c r="P22" s="486"/>
      <c r="Q22" s="486"/>
      <c r="R22" s="486"/>
      <c r="S22" s="486"/>
      <c r="T22" s="486"/>
      <c r="U22" s="486"/>
      <c r="V22" s="486"/>
      <c r="W22" s="486"/>
    </row>
    <row r="23" spans="1:23" ht="14.25">
      <c r="A23" s="2952" t="s">
        <v>1788</v>
      </c>
      <c r="B23" s="2952">
        <v>50</v>
      </c>
      <c r="C23" s="2953">
        <v>70</v>
      </c>
      <c r="D23" s="2953">
        <v>90</v>
      </c>
      <c r="E23" s="2953">
        <v>105</v>
      </c>
      <c r="F23" s="2953">
        <v>120</v>
      </c>
      <c r="G23" s="2953">
        <v>135</v>
      </c>
      <c r="H23" s="2953"/>
      <c r="I23" s="2953"/>
      <c r="J23" s="2953"/>
      <c r="K23" s="1636"/>
      <c r="L23" s="2952">
        <f>Gröddata!C15</f>
        <v>5500</v>
      </c>
      <c r="M23" s="2952">
        <f>IF(Gröddata!C15&gt;3999,('NPK-rekommendationer'!C23+(((Gröddata!C15-'NPK-rekommendationer'!C$5)/1000)*20)))</f>
        <v>100</v>
      </c>
      <c r="N23" s="486"/>
      <c r="O23" s="486"/>
      <c r="P23" s="486"/>
      <c r="Q23" s="486"/>
      <c r="R23" s="486"/>
      <c r="S23" s="486"/>
      <c r="T23" s="486"/>
      <c r="U23" s="486"/>
      <c r="V23" s="486"/>
      <c r="W23" s="486"/>
    </row>
    <row r="24" spans="1:23" ht="14.25">
      <c r="A24" s="2952" t="s">
        <v>1789</v>
      </c>
      <c r="B24" s="2952"/>
      <c r="C24" s="2953">
        <v>70</v>
      </c>
      <c r="D24" s="2953">
        <v>90</v>
      </c>
      <c r="E24" s="2953">
        <v>105</v>
      </c>
      <c r="F24" s="2953">
        <v>120</v>
      </c>
      <c r="G24" s="2953">
        <v>135</v>
      </c>
      <c r="H24" s="2953"/>
      <c r="I24" s="2953"/>
      <c r="J24" s="2953"/>
      <c r="K24" s="1636"/>
      <c r="L24" s="2952">
        <f>Gröddata!C16</f>
        <v>5500</v>
      </c>
      <c r="M24" s="2952">
        <f>IF(Gröddata!C16&gt;3999,('NPK-rekommendationer'!C24+(((Gröddata!C16-'NPK-rekommendationer'!C$5)/1000)*20)))</f>
        <v>100</v>
      </c>
      <c r="N24" s="486"/>
      <c r="O24" s="486"/>
      <c r="P24" s="486"/>
      <c r="Q24" s="486"/>
      <c r="R24" s="486"/>
      <c r="S24" s="486"/>
      <c r="T24" s="486"/>
      <c r="U24" s="486"/>
      <c r="V24" s="486"/>
      <c r="W24" s="486"/>
    </row>
    <row r="25" spans="1:23" ht="14.25">
      <c r="A25" s="2952" t="s">
        <v>200</v>
      </c>
      <c r="B25" s="2953"/>
      <c r="C25" s="2953"/>
      <c r="D25" s="2953"/>
      <c r="E25" s="2953"/>
      <c r="F25" s="2953"/>
      <c r="G25" s="2953"/>
      <c r="H25" s="2953"/>
      <c r="I25" s="2953"/>
      <c r="J25" s="2953"/>
      <c r="K25" s="1636"/>
      <c r="L25" s="2952"/>
      <c r="M25" s="2952"/>
      <c r="N25" s="486"/>
      <c r="O25" s="486"/>
      <c r="P25" s="486"/>
      <c r="Q25" s="486"/>
      <c r="R25" s="486"/>
      <c r="S25" s="486"/>
      <c r="T25" s="486"/>
      <c r="U25" s="486"/>
      <c r="V25" s="486"/>
      <c r="W25" s="486"/>
    </row>
    <row r="26" spans="1:23" ht="14.25">
      <c r="A26" s="2952" t="s">
        <v>169</v>
      </c>
      <c r="B26" s="2952">
        <v>45</v>
      </c>
      <c r="C26" s="2953">
        <v>65</v>
      </c>
      <c r="D26" s="2953">
        <v>85</v>
      </c>
      <c r="E26" s="2953">
        <v>100</v>
      </c>
      <c r="F26" s="2953">
        <v>115</v>
      </c>
      <c r="G26" s="2953"/>
      <c r="H26" s="2953"/>
      <c r="I26" s="2953"/>
      <c r="J26" s="2953"/>
      <c r="K26" s="1636"/>
      <c r="L26" s="2952">
        <f>Gröddata!C18</f>
        <v>5500</v>
      </c>
      <c r="M26" s="2952">
        <f>IF(Gröddata!C18&gt;3999,('NPK-rekommendationer'!C26+(((Gröddata!C18-'NPK-rekommendationer'!C$5)/1000)*20)))</f>
        <v>95</v>
      </c>
      <c r="N26" s="486"/>
      <c r="O26" s="486"/>
      <c r="P26" s="486"/>
      <c r="Q26" s="486"/>
      <c r="R26" s="486"/>
      <c r="S26" s="486"/>
      <c r="T26" s="486"/>
      <c r="U26" s="486"/>
      <c r="V26" s="486"/>
      <c r="W26" s="486"/>
    </row>
    <row r="27" spans="1:23" ht="14.25">
      <c r="A27" s="2958" t="s">
        <v>1786</v>
      </c>
      <c r="B27" s="2958">
        <v>45</v>
      </c>
      <c r="C27" s="2959">
        <v>65</v>
      </c>
      <c r="D27" s="2959">
        <v>85</v>
      </c>
      <c r="E27" s="2959">
        <v>100</v>
      </c>
      <c r="F27" s="2953"/>
      <c r="G27" s="2953"/>
      <c r="H27" s="2953"/>
      <c r="I27" s="2953"/>
      <c r="J27" s="2953"/>
      <c r="K27" s="1636"/>
      <c r="L27" s="2952"/>
      <c r="M27" s="2952"/>
      <c r="N27" s="486"/>
      <c r="O27" s="486"/>
      <c r="P27" s="486"/>
      <c r="Q27" s="486"/>
      <c r="R27" s="486"/>
      <c r="S27" s="486"/>
      <c r="T27" s="486"/>
      <c r="U27" s="486"/>
      <c r="V27" s="486"/>
      <c r="W27" s="486"/>
    </row>
    <row r="28" spans="1:23" ht="14.25">
      <c r="A28" s="2948"/>
      <c r="B28" s="2948"/>
      <c r="C28" s="2949"/>
      <c r="D28" s="2949"/>
      <c r="E28" s="2949"/>
      <c r="F28" s="2950"/>
      <c r="G28" s="2950"/>
      <c r="H28" s="2950"/>
      <c r="I28" s="2950"/>
      <c r="J28" s="2950"/>
      <c r="K28" s="1636"/>
      <c r="L28" s="2951"/>
      <c r="M28" s="2951"/>
      <c r="N28" s="486"/>
      <c r="O28" s="486"/>
      <c r="P28" s="486"/>
      <c r="Q28" s="486"/>
      <c r="R28" s="486"/>
      <c r="S28" s="486"/>
      <c r="T28" s="486"/>
      <c r="U28" s="486"/>
      <c r="V28" s="486"/>
      <c r="W28" s="486"/>
    </row>
    <row r="29" spans="1:23" ht="14.25">
      <c r="A29" s="2948"/>
      <c r="B29" s="2948"/>
      <c r="C29" s="2949"/>
      <c r="D29" s="2949"/>
      <c r="E29" s="2949"/>
      <c r="F29" s="2950"/>
      <c r="G29" s="2950"/>
      <c r="H29" s="2950"/>
      <c r="I29" s="2950"/>
      <c r="J29" s="2950"/>
      <c r="K29" s="1636"/>
      <c r="L29" s="2951"/>
      <c r="M29" s="2951"/>
      <c r="N29" s="486"/>
      <c r="O29" s="486"/>
      <c r="P29" s="486"/>
      <c r="Q29" s="486"/>
      <c r="R29" s="486"/>
      <c r="S29" s="486"/>
      <c r="T29" s="486"/>
      <c r="U29" s="486"/>
      <c r="V29" s="486"/>
      <c r="W29" s="486"/>
    </row>
    <row r="30" spans="1:23" ht="23.25">
      <c r="A30" s="709" t="s">
        <v>1794</v>
      </c>
      <c r="B30" s="2948"/>
      <c r="C30" s="2949"/>
      <c r="D30" s="2949"/>
      <c r="E30" s="2949"/>
      <c r="F30" s="2950"/>
      <c r="G30" s="2950"/>
      <c r="H30" s="2950"/>
      <c r="I30" s="2950"/>
      <c r="J30" s="2950"/>
      <c r="K30" s="1636"/>
      <c r="L30" s="2951"/>
      <c r="M30" s="2951"/>
      <c r="N30" s="486"/>
      <c r="O30" s="486"/>
      <c r="P30" s="486"/>
      <c r="Q30" s="486"/>
      <c r="R30" s="486"/>
      <c r="S30" s="486"/>
      <c r="T30" s="486"/>
      <c r="U30" s="486"/>
      <c r="V30" s="486"/>
      <c r="W30" s="486"/>
    </row>
    <row r="31" spans="1:23" ht="15">
      <c r="A31" s="2954" t="s">
        <v>1800</v>
      </c>
      <c r="B31" s="2948"/>
      <c r="C31" s="2949"/>
      <c r="D31" s="2949"/>
      <c r="E31" s="2949"/>
      <c r="F31" s="2950"/>
      <c r="G31" s="2950"/>
      <c r="H31" s="2950"/>
      <c r="I31" s="2950"/>
      <c r="J31" s="2950"/>
      <c r="K31" s="1636"/>
      <c r="L31" s="2951"/>
      <c r="M31" s="2951"/>
      <c r="N31" s="486"/>
      <c r="O31" s="486"/>
      <c r="P31" s="486"/>
      <c r="Q31" s="486"/>
      <c r="R31" s="486"/>
      <c r="S31" s="486"/>
      <c r="T31" s="486"/>
      <c r="U31" s="486"/>
      <c r="V31" s="486"/>
      <c r="W31" s="486"/>
    </row>
    <row r="32" spans="1:23" ht="15">
      <c r="A32" s="1202"/>
      <c r="B32" s="2948"/>
      <c r="C32" s="2949"/>
      <c r="D32" s="2949"/>
      <c r="E32" s="2949"/>
      <c r="F32" s="2950"/>
      <c r="G32" s="2950"/>
      <c r="H32" s="2950"/>
      <c r="I32" s="2950"/>
      <c r="J32" s="2950"/>
      <c r="K32" s="1636"/>
      <c r="L32" s="2951"/>
      <c r="M32" s="2951"/>
      <c r="N32" s="486"/>
      <c r="O32" s="486"/>
      <c r="P32" s="486"/>
      <c r="Q32" s="486"/>
      <c r="R32" s="486"/>
      <c r="S32" s="486"/>
      <c r="T32" s="486"/>
      <c r="U32" s="486"/>
      <c r="V32" s="486"/>
      <c r="W32" s="486"/>
    </row>
    <row r="33" spans="1:23" ht="14.25">
      <c r="A33" s="2947"/>
      <c r="B33" s="2948"/>
      <c r="C33" s="2949"/>
      <c r="D33" s="2949"/>
      <c r="E33" s="2949"/>
      <c r="F33" s="2950"/>
      <c r="G33" s="2950"/>
      <c r="H33" s="2950"/>
      <c r="I33" s="2950"/>
      <c r="J33" s="2950"/>
      <c r="K33" s="1636"/>
      <c r="L33" s="2951"/>
      <c r="M33" s="2951"/>
      <c r="N33" s="486"/>
      <c r="O33" s="486"/>
      <c r="P33" s="486"/>
      <c r="Q33" s="486"/>
      <c r="R33" s="486"/>
      <c r="S33" s="486"/>
      <c r="T33" s="486"/>
      <c r="U33" s="486"/>
      <c r="V33" s="486"/>
      <c r="W33" s="486"/>
    </row>
    <row r="34" spans="1:23" ht="14.25">
      <c r="A34" s="2947"/>
      <c r="B34" s="2948"/>
      <c r="C34" s="2949"/>
      <c r="D34" s="2949"/>
      <c r="E34" s="2949"/>
      <c r="F34" s="2950"/>
      <c r="G34" s="2950"/>
      <c r="H34" s="2950"/>
      <c r="I34" s="2950"/>
      <c r="J34" s="2950"/>
      <c r="K34" s="1636"/>
      <c r="L34" s="2951"/>
      <c r="M34" s="2951"/>
      <c r="N34" s="486"/>
      <c r="O34" s="486"/>
      <c r="P34" s="486"/>
      <c r="Q34" s="486"/>
      <c r="R34" s="486"/>
      <c r="S34" s="486"/>
      <c r="T34" s="486"/>
      <c r="U34" s="486"/>
      <c r="V34" s="486"/>
      <c r="W34" s="486"/>
    </row>
    <row r="35" spans="1:23" ht="14.25">
      <c r="A35" s="2947"/>
      <c r="B35" s="2948"/>
      <c r="C35" s="2949"/>
      <c r="D35" s="2949"/>
      <c r="E35" s="2949"/>
      <c r="F35" s="2950"/>
      <c r="G35" s="2950"/>
      <c r="H35" s="2950"/>
      <c r="I35" s="2950"/>
      <c r="J35" s="2950"/>
      <c r="K35" s="1636"/>
      <c r="L35" s="2951"/>
      <c r="M35" s="2951"/>
      <c r="N35" s="486"/>
      <c r="O35" s="486"/>
      <c r="P35" s="486"/>
      <c r="Q35" s="486"/>
      <c r="R35" s="486"/>
      <c r="S35" s="486"/>
      <c r="T35" s="486"/>
      <c r="U35" s="486"/>
      <c r="V35" s="486"/>
      <c r="W35" s="486"/>
    </row>
    <row r="36" spans="1:23" ht="14.25">
      <c r="A36" s="2947"/>
      <c r="B36" s="2948"/>
      <c r="C36" s="2949"/>
      <c r="D36" s="2949"/>
      <c r="E36" s="2949"/>
      <c r="F36" s="2950"/>
      <c r="G36" s="2950"/>
      <c r="H36" s="2950"/>
      <c r="I36" s="2950"/>
      <c r="J36" s="2950"/>
      <c r="K36" s="1636"/>
      <c r="L36" s="2951"/>
      <c r="M36" s="2951"/>
      <c r="N36" s="486"/>
      <c r="O36" s="486"/>
      <c r="P36" s="486"/>
      <c r="Q36" s="486"/>
      <c r="R36" s="486"/>
      <c r="S36" s="486"/>
      <c r="T36" s="486"/>
      <c r="U36" s="486"/>
      <c r="V36" s="486"/>
      <c r="W36" s="486"/>
    </row>
    <row r="37" spans="1:23" ht="14.25">
      <c r="A37" s="2947"/>
      <c r="B37" s="2948"/>
      <c r="C37" s="2949"/>
      <c r="D37" s="2949"/>
      <c r="E37" s="2949"/>
      <c r="F37" s="2950"/>
      <c r="G37" s="2950"/>
      <c r="H37" s="2950"/>
      <c r="I37" s="2950"/>
      <c r="J37" s="2950"/>
      <c r="K37" s="1636"/>
      <c r="L37" s="2951"/>
      <c r="M37" s="2951"/>
      <c r="N37" s="486"/>
      <c r="O37" s="486"/>
      <c r="P37" s="486"/>
      <c r="Q37" s="486"/>
      <c r="R37" s="486"/>
      <c r="S37" s="486"/>
      <c r="T37" s="486"/>
      <c r="U37" s="486"/>
      <c r="V37" s="486"/>
      <c r="W37" s="486"/>
    </row>
    <row r="38" spans="1:23" ht="15">
      <c r="A38" s="1211" t="s">
        <v>1797</v>
      </c>
      <c r="B38" s="2948"/>
      <c r="C38" s="2949"/>
      <c r="D38" s="2949"/>
      <c r="E38" s="2949"/>
      <c r="F38" s="2950"/>
      <c r="G38" s="2950"/>
      <c r="H38" s="2950"/>
      <c r="I38" s="2950"/>
      <c r="J38" s="2950"/>
      <c r="K38" s="1636"/>
      <c r="L38" s="2951"/>
      <c r="M38" s="2951"/>
      <c r="N38" s="486"/>
      <c r="O38" s="486"/>
      <c r="P38" s="486"/>
      <c r="Q38" s="486"/>
      <c r="R38" s="486"/>
      <c r="S38" s="486"/>
      <c r="T38" s="486"/>
      <c r="U38" s="486"/>
      <c r="V38" s="486"/>
      <c r="W38" s="486"/>
    </row>
    <row r="39" spans="1:23" ht="14.25">
      <c r="A39" s="2952" t="s">
        <v>139</v>
      </c>
      <c r="B39" s="2953">
        <v>2500</v>
      </c>
      <c r="C39" s="2953">
        <v>3000</v>
      </c>
      <c r="D39" s="2953">
        <v>3500</v>
      </c>
      <c r="E39" s="2953">
        <v>4000</v>
      </c>
      <c r="F39" s="2953">
        <v>4500</v>
      </c>
      <c r="G39" s="2950"/>
      <c r="H39" s="1354"/>
      <c r="I39" s="1354"/>
      <c r="J39" s="2950"/>
      <c r="K39" s="1636"/>
      <c r="L39" s="2951"/>
      <c r="M39" s="2951"/>
      <c r="N39" s="2541"/>
      <c r="O39" s="2541"/>
      <c r="P39" s="486"/>
      <c r="Q39" s="486"/>
      <c r="R39" s="486"/>
      <c r="S39" s="486"/>
      <c r="T39" s="486"/>
      <c r="U39" s="486"/>
      <c r="V39" s="486"/>
      <c r="W39" s="486"/>
    </row>
    <row r="40" spans="1:23" ht="15">
      <c r="A40" s="2952" t="s">
        <v>1796</v>
      </c>
      <c r="B40" s="1108">
        <v>60</v>
      </c>
      <c r="C40" s="1108">
        <v>60</v>
      </c>
      <c r="D40" s="1108">
        <v>60</v>
      </c>
      <c r="E40" s="1108">
        <v>60</v>
      </c>
      <c r="F40" s="1108">
        <v>60</v>
      </c>
      <c r="G40" s="2950"/>
      <c r="H40" s="1636"/>
      <c r="I40" s="2964" t="s">
        <v>952</v>
      </c>
      <c r="J40" s="2950"/>
      <c r="K40" s="1636"/>
      <c r="L40" s="2951"/>
      <c r="M40" s="2951"/>
      <c r="N40" s="2541"/>
      <c r="O40" s="2541"/>
      <c r="P40" s="486"/>
      <c r="Q40" s="486"/>
      <c r="R40" s="486"/>
      <c r="S40" s="486"/>
      <c r="T40" s="486"/>
      <c r="U40" s="486"/>
      <c r="V40" s="486"/>
      <c r="W40" s="486"/>
    </row>
    <row r="41" spans="1:23" ht="15">
      <c r="A41" s="2952" t="s">
        <v>1795</v>
      </c>
      <c r="B41" s="2953">
        <v>130</v>
      </c>
      <c r="C41" s="2953">
        <v>140</v>
      </c>
      <c r="D41" s="2953">
        <v>150</v>
      </c>
      <c r="E41" s="2953">
        <v>160</v>
      </c>
      <c r="F41" s="2953">
        <v>170</v>
      </c>
      <c r="G41" s="2950"/>
      <c r="H41" s="2960" t="s">
        <v>139</v>
      </c>
      <c r="I41" s="2962" t="s">
        <v>74</v>
      </c>
      <c r="J41" s="2950"/>
      <c r="K41" s="1636"/>
      <c r="L41" s="2951"/>
      <c r="M41" s="2951"/>
      <c r="N41" s="2541"/>
      <c r="O41" s="2541"/>
      <c r="P41" s="486"/>
      <c r="Q41" s="486"/>
      <c r="R41" s="486"/>
      <c r="S41" s="486"/>
      <c r="T41" s="486"/>
      <c r="U41" s="486"/>
      <c r="V41" s="486"/>
      <c r="W41" s="486"/>
    </row>
    <row r="42" spans="1:23" ht="14.25">
      <c r="A42" s="2952" t="s">
        <v>824</v>
      </c>
      <c r="B42" s="2953">
        <f>SUM(B40:B41)</f>
        <v>190</v>
      </c>
      <c r="C42" s="2953">
        <f t="shared" ref="C42:F42" si="0">SUM(C40:C41)</f>
        <v>200</v>
      </c>
      <c r="D42" s="2953">
        <f t="shared" si="0"/>
        <v>210</v>
      </c>
      <c r="E42" s="2953">
        <f t="shared" si="0"/>
        <v>220</v>
      </c>
      <c r="F42" s="2953">
        <f t="shared" si="0"/>
        <v>230</v>
      </c>
      <c r="G42" s="2950"/>
      <c r="H42" s="2952">
        <f>Gröddata!C20</f>
        <v>3500</v>
      </c>
      <c r="I42" s="2961">
        <f>IF(H42&gt;2499,B42+((H42-B39)*0.02),0)</f>
        <v>210</v>
      </c>
      <c r="J42" s="2950"/>
      <c r="K42" s="1636"/>
      <c r="L42" s="2951"/>
      <c r="M42" s="2951"/>
      <c r="N42" s="2541"/>
      <c r="O42" s="2541"/>
      <c r="P42" s="486"/>
      <c r="Q42" s="486"/>
      <c r="R42" s="486"/>
      <c r="S42" s="486"/>
      <c r="T42" s="486"/>
      <c r="U42" s="486"/>
      <c r="V42" s="486"/>
      <c r="W42" s="486"/>
    </row>
    <row r="43" spans="1:23" ht="14.25">
      <c r="A43" s="2951"/>
      <c r="B43" s="2951"/>
      <c r="C43" s="2950"/>
      <c r="D43" s="2950"/>
      <c r="E43" s="2950"/>
      <c r="F43" s="2950"/>
      <c r="G43" s="2950"/>
      <c r="H43" s="2950"/>
      <c r="I43" s="2950"/>
      <c r="J43" s="2950"/>
      <c r="K43" s="1636"/>
      <c r="L43" s="2951"/>
      <c r="M43" s="2951"/>
      <c r="N43" s="2541"/>
      <c r="O43" s="2541"/>
      <c r="P43" s="486"/>
      <c r="Q43" s="486"/>
      <c r="R43" s="486"/>
      <c r="S43" s="486"/>
      <c r="T43" s="486"/>
      <c r="U43" s="486"/>
      <c r="V43" s="486"/>
      <c r="W43" s="486"/>
    </row>
    <row r="44" spans="1:23" ht="15">
      <c r="A44" s="1211" t="s">
        <v>1805</v>
      </c>
      <c r="B44" s="1354"/>
      <c r="C44" s="1354"/>
      <c r="D44" s="1354"/>
      <c r="E44" s="1354"/>
      <c r="F44" s="2950"/>
      <c r="G44" s="2950"/>
      <c r="H44" s="1636"/>
      <c r="I44" s="2964" t="s">
        <v>952</v>
      </c>
      <c r="J44" s="2950"/>
      <c r="K44" s="2951"/>
      <c r="L44" s="2951"/>
      <c r="M44" s="2951"/>
      <c r="N44" s="2541"/>
      <c r="O44" s="2541"/>
      <c r="P44" s="486"/>
      <c r="Q44" s="486"/>
      <c r="R44" s="486"/>
      <c r="S44" s="486"/>
      <c r="T44" s="486"/>
      <c r="U44" s="486"/>
      <c r="V44" s="486"/>
      <c r="W44" s="486"/>
    </row>
    <row r="45" spans="1:23" ht="15">
      <c r="A45" s="2952" t="s">
        <v>139</v>
      </c>
      <c r="B45" s="2953">
        <v>1500</v>
      </c>
      <c r="C45" s="2953">
        <v>2000</v>
      </c>
      <c r="D45" s="2953">
        <v>2500</v>
      </c>
      <c r="E45" s="2953">
        <v>3000</v>
      </c>
      <c r="F45" s="2950"/>
      <c r="G45" s="2950"/>
      <c r="H45" s="2960" t="s">
        <v>139</v>
      </c>
      <c r="I45" s="2962" t="s">
        <v>74</v>
      </c>
      <c r="J45" s="2950"/>
      <c r="K45" s="2951"/>
      <c r="L45" s="1211"/>
      <c r="M45" s="2951"/>
      <c r="N45" s="2541"/>
      <c r="O45" s="2541"/>
      <c r="P45" s="486"/>
      <c r="Q45" s="486"/>
      <c r="R45" s="486"/>
      <c r="S45" s="486"/>
      <c r="T45" s="486"/>
      <c r="U45" s="486"/>
      <c r="V45" s="486"/>
      <c r="W45" s="486"/>
    </row>
    <row r="46" spans="1:23" ht="15">
      <c r="A46" s="2952" t="s">
        <v>1798</v>
      </c>
      <c r="B46" s="2953">
        <v>100</v>
      </c>
      <c r="C46" s="2953">
        <v>110</v>
      </c>
      <c r="D46" s="2953">
        <v>120</v>
      </c>
      <c r="E46" s="2953">
        <v>130</v>
      </c>
      <c r="F46" s="2950"/>
      <c r="G46" s="2950"/>
      <c r="H46" s="2952">
        <f>Gröddata!B21</f>
        <v>2000</v>
      </c>
      <c r="I46" s="2961">
        <f>IF(H46&gt;1499,B46+((H46-B45)*0.02),0)</f>
        <v>110</v>
      </c>
      <c r="J46" s="2950"/>
      <c r="K46" s="1211"/>
      <c r="L46" s="1211"/>
      <c r="M46" s="2951"/>
      <c r="N46" s="2541"/>
      <c r="O46" s="2541"/>
      <c r="P46" s="486"/>
      <c r="Q46" s="486"/>
      <c r="R46" s="486"/>
      <c r="S46" s="486"/>
      <c r="T46" s="486"/>
      <c r="U46" s="486"/>
      <c r="V46" s="486"/>
      <c r="W46" s="486"/>
    </row>
    <row r="47" spans="1:23" ht="14.25">
      <c r="A47" s="2952" t="s">
        <v>1799</v>
      </c>
      <c r="B47" s="2739">
        <v>50</v>
      </c>
      <c r="C47" s="2739">
        <v>70</v>
      </c>
      <c r="D47" s="2739">
        <v>90</v>
      </c>
      <c r="E47" s="2739"/>
      <c r="F47" s="1454"/>
      <c r="G47" s="1454"/>
      <c r="H47" s="2952">
        <f>Gröddata!B22</f>
        <v>1500</v>
      </c>
      <c r="I47" s="2961">
        <f>IF(H47&gt;1499,B47+((H47-B45)*0.04),0)</f>
        <v>50</v>
      </c>
      <c r="J47" s="1454"/>
      <c r="K47" s="710"/>
      <c r="L47" s="710"/>
      <c r="M47" s="2541"/>
      <c r="N47" s="2541"/>
      <c r="O47" s="2541"/>
      <c r="P47" s="486"/>
      <c r="Q47" s="486"/>
      <c r="R47" s="486"/>
      <c r="S47" s="486"/>
      <c r="T47" s="486"/>
      <c r="U47" s="486"/>
      <c r="V47" s="486"/>
      <c r="W47" s="486"/>
    </row>
    <row r="48" spans="1:23" ht="14.25">
      <c r="A48" s="2951"/>
      <c r="B48" s="2965"/>
      <c r="C48" s="2965"/>
      <c r="D48" s="2965"/>
      <c r="E48" s="2965"/>
      <c r="F48" s="1454"/>
      <c r="G48" s="1454"/>
      <c r="H48" s="2951"/>
      <c r="I48" s="2951"/>
      <c r="J48" s="1454"/>
      <c r="K48" s="710"/>
      <c r="L48" s="710"/>
      <c r="M48" s="2541"/>
      <c r="N48" s="2541"/>
      <c r="O48" s="2541"/>
      <c r="P48" s="486"/>
      <c r="Q48" s="486"/>
      <c r="R48" s="486"/>
      <c r="S48" s="486"/>
      <c r="T48" s="486"/>
      <c r="U48" s="486"/>
      <c r="V48" s="486"/>
      <c r="W48" s="486"/>
    </row>
    <row r="49" spans="1:23" ht="23.25">
      <c r="A49" s="709" t="s">
        <v>1803</v>
      </c>
      <c r="B49" s="2965"/>
      <c r="C49" s="2965"/>
      <c r="D49" s="2965"/>
      <c r="E49" s="2965"/>
      <c r="F49" s="1454"/>
      <c r="G49" s="1454"/>
      <c r="H49" s="2951"/>
      <c r="I49" s="2951"/>
      <c r="J49" s="1454"/>
      <c r="K49" s="710"/>
      <c r="L49" s="710"/>
      <c r="M49" s="2541"/>
      <c r="N49" s="2541"/>
      <c r="O49" s="2541"/>
      <c r="P49" s="486"/>
      <c r="Q49" s="486"/>
      <c r="R49" s="486"/>
      <c r="S49" s="486"/>
      <c r="T49" s="486"/>
      <c r="U49" s="486"/>
      <c r="V49" s="486"/>
      <c r="W49" s="486"/>
    </row>
    <row r="50" spans="1:23" ht="15">
      <c r="A50" s="2954" t="s">
        <v>1800</v>
      </c>
      <c r="B50" s="2965"/>
      <c r="C50" s="2965"/>
      <c r="D50" s="2965"/>
      <c r="E50" s="2965"/>
      <c r="F50" s="1454"/>
      <c r="G50" s="1454"/>
      <c r="H50" s="2951"/>
      <c r="I50" s="2951"/>
      <c r="J50" s="1454"/>
      <c r="K50" s="710"/>
      <c r="L50" s="710"/>
      <c r="M50" s="2541"/>
      <c r="N50" s="2541"/>
      <c r="O50" s="2541"/>
      <c r="P50" s="486"/>
      <c r="Q50" s="486"/>
      <c r="R50" s="486"/>
      <c r="S50" s="486"/>
      <c r="T50" s="486"/>
      <c r="U50" s="486"/>
      <c r="V50" s="486"/>
      <c r="W50" s="486"/>
    </row>
    <row r="51" spans="1:23" ht="14.25">
      <c r="A51" s="2951"/>
      <c r="B51" s="2965"/>
      <c r="C51" s="2965"/>
      <c r="D51" s="2965"/>
      <c r="E51" s="2965"/>
      <c r="F51" s="1454"/>
      <c r="G51" s="1454"/>
      <c r="H51" s="2951"/>
      <c r="I51" s="2951"/>
      <c r="J51" s="1454"/>
      <c r="K51" s="710"/>
      <c r="L51" s="710"/>
      <c r="M51" s="2541"/>
      <c r="N51" s="2541"/>
      <c r="O51" s="2541"/>
      <c r="P51" s="486"/>
      <c r="Q51" s="486"/>
      <c r="R51" s="486"/>
      <c r="S51" s="486"/>
      <c r="T51" s="486"/>
      <c r="U51" s="486"/>
      <c r="V51" s="486"/>
      <c r="W51" s="486"/>
    </row>
    <row r="52" spans="1:23" ht="15">
      <c r="A52" s="1211" t="s">
        <v>1806</v>
      </c>
      <c r="B52" s="2965"/>
      <c r="C52" s="2965"/>
      <c r="D52" s="2965"/>
      <c r="E52" s="2965"/>
      <c r="F52" s="1454"/>
      <c r="G52" s="1454"/>
      <c r="H52" s="1636"/>
      <c r="I52" s="2964" t="s">
        <v>952</v>
      </c>
      <c r="J52" s="1454"/>
      <c r="K52" s="710"/>
      <c r="L52" s="710"/>
      <c r="M52" s="2541"/>
      <c r="N52" s="2541"/>
      <c r="O52" s="2541"/>
      <c r="P52" s="486"/>
      <c r="Q52" s="486"/>
      <c r="R52" s="486"/>
      <c r="S52" s="486"/>
      <c r="T52" s="486"/>
      <c r="U52" s="486"/>
      <c r="V52" s="486"/>
      <c r="W52" s="486"/>
    </row>
    <row r="53" spans="1:23" ht="15">
      <c r="A53" s="2952" t="s">
        <v>139</v>
      </c>
      <c r="B53" s="2739">
        <v>20000</v>
      </c>
      <c r="C53" s="2739">
        <v>30000</v>
      </c>
      <c r="D53" s="2739">
        <v>40000</v>
      </c>
      <c r="E53" s="2739">
        <v>50000</v>
      </c>
      <c r="F53" s="2739">
        <v>60000</v>
      </c>
      <c r="G53" s="1454"/>
      <c r="H53" s="2960" t="s">
        <v>139</v>
      </c>
      <c r="I53" s="2962" t="s">
        <v>74</v>
      </c>
      <c r="J53" s="1454"/>
      <c r="K53" s="710"/>
      <c r="L53" s="710"/>
      <c r="M53" s="2541"/>
      <c r="N53" s="2541"/>
      <c r="O53" s="2541"/>
      <c r="P53" s="486"/>
      <c r="Q53" s="486"/>
      <c r="R53" s="486"/>
      <c r="S53" s="486"/>
      <c r="T53" s="486"/>
      <c r="U53" s="486"/>
      <c r="V53" s="486"/>
      <c r="W53" s="486"/>
    </row>
    <row r="54" spans="1:23" ht="14.25">
      <c r="A54" s="2952" t="s">
        <v>1804</v>
      </c>
      <c r="B54" s="2739">
        <v>60</v>
      </c>
      <c r="C54" s="2739">
        <v>95</v>
      </c>
      <c r="D54" s="2739">
        <v>125</v>
      </c>
      <c r="E54" s="2739">
        <v>155</v>
      </c>
      <c r="F54" s="2739">
        <v>175</v>
      </c>
      <c r="G54" s="1454"/>
      <c r="H54" s="2969">
        <f>Gröddata!C29</f>
        <v>50000</v>
      </c>
      <c r="I54" s="2970">
        <f>IF(H53&gt;19999,B54+((H54-B53)*0.003),0)</f>
        <v>150</v>
      </c>
      <c r="J54" s="1454"/>
      <c r="K54" s="710"/>
      <c r="L54" s="710"/>
      <c r="M54" s="2541"/>
      <c r="N54" s="2541"/>
      <c r="O54" s="2541"/>
      <c r="P54" s="486"/>
      <c r="Q54" s="486"/>
      <c r="R54" s="486"/>
      <c r="S54" s="486"/>
      <c r="T54" s="486"/>
      <c r="U54" s="486"/>
      <c r="V54" s="486"/>
      <c r="W54" s="486"/>
    </row>
    <row r="55" spans="1:23" ht="14.25">
      <c r="A55" s="2951"/>
      <c r="B55" s="1454"/>
      <c r="C55" s="1454"/>
      <c r="D55" s="1454"/>
      <c r="E55" s="1454"/>
      <c r="F55" s="1454"/>
      <c r="G55" s="1454"/>
      <c r="J55" s="1454"/>
      <c r="K55" s="710"/>
      <c r="L55" s="710"/>
      <c r="M55" s="2541"/>
      <c r="N55" s="2541"/>
      <c r="O55" s="2541"/>
      <c r="P55" s="486"/>
      <c r="Q55" s="486"/>
      <c r="R55" s="486"/>
      <c r="S55" s="486"/>
      <c r="T55" s="486"/>
      <c r="U55" s="486"/>
      <c r="V55" s="486"/>
      <c r="W55" s="486"/>
    </row>
    <row r="56" spans="1:23" ht="15">
      <c r="A56" s="1211" t="s">
        <v>1807</v>
      </c>
      <c r="B56" s="2965"/>
      <c r="C56" s="2965"/>
      <c r="D56" s="2965"/>
      <c r="E56" s="2965"/>
      <c r="F56" s="1454"/>
      <c r="G56" s="1454"/>
      <c r="H56" s="2951"/>
      <c r="I56" s="2951"/>
      <c r="J56" s="1454"/>
      <c r="K56" s="710"/>
      <c r="L56" s="710"/>
      <c r="M56" s="2541"/>
      <c r="N56" s="2541"/>
      <c r="O56" s="2541"/>
      <c r="P56" s="486"/>
      <c r="Q56" s="486"/>
      <c r="R56" s="486"/>
      <c r="S56" s="486"/>
      <c r="T56" s="486"/>
      <c r="U56" s="486"/>
      <c r="V56" s="486"/>
      <c r="W56" s="486"/>
    </row>
    <row r="57" spans="1:23" ht="14.25">
      <c r="A57" s="2952" t="s">
        <v>1808</v>
      </c>
      <c r="B57" s="2739" t="s">
        <v>1245</v>
      </c>
      <c r="C57" s="2965"/>
      <c r="D57" s="2965"/>
      <c r="E57" s="2965"/>
      <c r="F57" s="2965"/>
      <c r="G57" s="1454"/>
      <c r="H57" s="2951"/>
      <c r="I57" s="2951"/>
      <c r="J57" s="1454"/>
      <c r="K57" s="710"/>
      <c r="L57" s="710"/>
      <c r="M57" s="2541"/>
      <c r="N57" s="2541"/>
      <c r="O57" s="2541"/>
      <c r="P57" s="486"/>
      <c r="Q57" s="486"/>
      <c r="R57" s="486"/>
      <c r="S57" s="486"/>
      <c r="T57" s="486"/>
      <c r="U57" s="486"/>
      <c r="V57" s="486"/>
      <c r="W57" s="486"/>
    </row>
    <row r="58" spans="1:23" ht="14.25">
      <c r="A58" s="2952" t="s">
        <v>1804</v>
      </c>
      <c r="B58" s="2739">
        <v>85</v>
      </c>
      <c r="C58" s="2965"/>
      <c r="D58" s="2965"/>
      <c r="E58" s="2965"/>
      <c r="F58" s="2965"/>
      <c r="G58" s="1454"/>
      <c r="H58" s="2951"/>
      <c r="I58" s="2951"/>
      <c r="J58" s="1454"/>
      <c r="K58" s="710"/>
      <c r="L58" s="710"/>
      <c r="M58" s="2541"/>
      <c r="N58" s="2541"/>
      <c r="O58" s="2541"/>
      <c r="P58" s="486"/>
      <c r="Q58" s="486"/>
      <c r="R58" s="486"/>
      <c r="S58" s="486"/>
      <c r="T58" s="486"/>
      <c r="U58" s="486"/>
      <c r="V58" s="486"/>
      <c r="W58" s="486"/>
    </row>
    <row r="59" spans="1:23" ht="14.25">
      <c r="A59" s="2951"/>
      <c r="B59" s="2965"/>
      <c r="C59" s="2965"/>
      <c r="D59" s="2965"/>
      <c r="E59" s="2965"/>
      <c r="F59" s="1454"/>
      <c r="G59" s="1454"/>
      <c r="H59" s="2951"/>
      <c r="I59" s="2951"/>
      <c r="J59" s="1454"/>
      <c r="K59" s="710"/>
      <c r="L59" s="710"/>
      <c r="M59" s="2541"/>
      <c r="N59" s="2541"/>
      <c r="O59" s="2541"/>
      <c r="P59" s="486"/>
      <c r="Q59" s="486"/>
      <c r="R59" s="486"/>
      <c r="S59" s="486"/>
      <c r="T59" s="486"/>
      <c r="U59" s="486"/>
      <c r="V59" s="486"/>
      <c r="W59" s="486"/>
    </row>
    <row r="60" spans="1:23" ht="14.25">
      <c r="A60" s="2951"/>
      <c r="B60" s="2965"/>
      <c r="C60" s="2965"/>
      <c r="D60" s="2965"/>
      <c r="E60" s="2965"/>
      <c r="F60" s="1454"/>
      <c r="G60" s="1454"/>
      <c r="H60" s="2951"/>
      <c r="I60" s="2951"/>
      <c r="J60" s="1454"/>
      <c r="K60" s="710"/>
      <c r="L60" s="710"/>
      <c r="M60" s="2541"/>
      <c r="N60" s="2541"/>
      <c r="O60" s="2541"/>
      <c r="P60" s="486"/>
      <c r="Q60" s="486"/>
      <c r="R60" s="486"/>
      <c r="S60" s="486"/>
      <c r="T60" s="486"/>
      <c r="U60" s="486"/>
      <c r="V60" s="486"/>
      <c r="W60" s="486"/>
    </row>
    <row r="61" spans="1:23" ht="14.25">
      <c r="A61" s="2951"/>
      <c r="B61" s="2965"/>
      <c r="C61" s="2965"/>
      <c r="D61" s="2965"/>
      <c r="E61" s="2965"/>
      <c r="F61" s="1454"/>
      <c r="G61" s="1454"/>
      <c r="H61" s="2951"/>
      <c r="I61" s="2951"/>
      <c r="J61" s="1454"/>
      <c r="K61" s="710"/>
      <c r="L61" s="710"/>
      <c r="M61" s="2541"/>
      <c r="N61" s="2541"/>
      <c r="O61" s="2541"/>
      <c r="P61" s="486"/>
      <c r="Q61" s="486"/>
      <c r="R61" s="486"/>
      <c r="S61" s="486"/>
      <c r="T61" s="486"/>
      <c r="U61" s="486"/>
      <c r="V61" s="486"/>
      <c r="W61" s="486"/>
    </row>
    <row r="62" spans="1:23" ht="14.25">
      <c r="A62" s="2951"/>
      <c r="B62" s="2965"/>
      <c r="C62" s="2965"/>
      <c r="D62" s="2965"/>
      <c r="E62" s="2965"/>
      <c r="F62" s="1454"/>
      <c r="G62" s="1454"/>
      <c r="H62" s="2951"/>
      <c r="I62" s="2951"/>
      <c r="J62" s="1454"/>
      <c r="K62" s="710"/>
      <c r="L62" s="710"/>
      <c r="M62" s="2541"/>
      <c r="N62" s="2541"/>
      <c r="O62" s="2541"/>
      <c r="P62" s="486"/>
      <c r="Q62" s="486"/>
      <c r="R62" s="486"/>
      <c r="S62" s="486"/>
      <c r="T62" s="486"/>
      <c r="U62" s="486"/>
      <c r="V62" s="486"/>
      <c r="W62" s="486"/>
    </row>
    <row r="63" spans="1:23" ht="14.25">
      <c r="A63" s="2951"/>
      <c r="B63" s="2965"/>
      <c r="C63" s="2965"/>
      <c r="D63" s="2965"/>
      <c r="E63" s="2965"/>
      <c r="F63" s="1454"/>
      <c r="G63" s="1454"/>
      <c r="H63" s="2951"/>
      <c r="I63" s="2951"/>
      <c r="J63" s="1454"/>
      <c r="K63" s="710"/>
      <c r="L63" s="710"/>
      <c r="M63" s="2541"/>
      <c r="N63" s="2541"/>
      <c r="O63" s="2541"/>
      <c r="P63" s="486"/>
      <c r="Q63" s="486"/>
      <c r="R63" s="486"/>
      <c r="S63" s="486"/>
      <c r="T63" s="486"/>
      <c r="U63" s="486"/>
      <c r="V63" s="486"/>
      <c r="W63" s="486"/>
    </row>
    <row r="64" spans="1:23" ht="23.25">
      <c r="A64" s="709" t="s">
        <v>1818</v>
      </c>
      <c r="B64" s="2965"/>
      <c r="C64" s="2965"/>
      <c r="D64" s="2965"/>
      <c r="E64" s="2965"/>
      <c r="F64" s="1454"/>
      <c r="G64" s="1454"/>
      <c r="H64" s="2951"/>
      <c r="I64" s="2951"/>
      <c r="J64" s="1454"/>
      <c r="K64" s="710"/>
      <c r="L64" s="710"/>
      <c r="M64" s="2541"/>
      <c r="N64" s="2541"/>
      <c r="O64" s="2541"/>
      <c r="P64" s="486"/>
      <c r="Q64" s="486"/>
      <c r="R64" s="486"/>
      <c r="S64" s="486"/>
      <c r="T64" s="486"/>
      <c r="U64" s="486"/>
      <c r="V64" s="486"/>
      <c r="W64" s="486"/>
    </row>
    <row r="65" spans="1:23" ht="15">
      <c r="A65" s="2954" t="s">
        <v>1800</v>
      </c>
      <c r="B65" s="2965"/>
      <c r="C65" s="2965"/>
      <c r="D65" s="2965"/>
      <c r="E65" s="2965"/>
      <c r="F65" s="1454"/>
      <c r="G65" s="1454"/>
      <c r="H65" s="2951"/>
      <c r="I65" s="2951"/>
      <c r="J65" s="1454"/>
      <c r="K65" s="710"/>
      <c r="L65" s="710"/>
      <c r="M65" s="2541"/>
      <c r="N65" s="2541"/>
      <c r="O65" s="2541"/>
      <c r="P65" s="486"/>
      <c r="Q65" s="486"/>
      <c r="R65" s="486"/>
      <c r="S65" s="486"/>
      <c r="T65" s="486"/>
      <c r="U65" s="486"/>
      <c r="V65" s="486"/>
      <c r="W65" s="486"/>
    </row>
    <row r="66" spans="1:23" ht="14.25">
      <c r="A66" s="486"/>
      <c r="B66" s="1354"/>
      <c r="C66" s="1354"/>
      <c r="D66" s="1354"/>
      <c r="E66" s="1354"/>
      <c r="F66" s="1354"/>
      <c r="G66" s="1354"/>
      <c r="H66" s="2951"/>
      <c r="I66" s="2951"/>
      <c r="J66" s="1454"/>
      <c r="K66" s="710"/>
      <c r="L66" s="710"/>
      <c r="M66" s="2541"/>
      <c r="N66" s="2541"/>
      <c r="O66" s="2541"/>
      <c r="P66" s="486"/>
      <c r="Q66" s="486"/>
      <c r="R66" s="486"/>
      <c r="S66" s="486"/>
      <c r="T66" s="486"/>
      <c r="U66" s="486"/>
      <c r="V66" s="486"/>
      <c r="W66" s="486"/>
    </row>
    <row r="67" spans="1:23" ht="15">
      <c r="A67" s="1211" t="s">
        <v>1801</v>
      </c>
      <c r="B67" s="1354"/>
      <c r="C67" s="1354"/>
      <c r="D67" s="1354"/>
      <c r="E67" s="1354"/>
      <c r="F67" s="1454"/>
      <c r="G67" s="1454"/>
      <c r="H67" s="2951"/>
      <c r="I67" s="1636"/>
      <c r="J67" s="2964" t="s">
        <v>952</v>
      </c>
      <c r="K67" s="710"/>
      <c r="L67" s="710"/>
      <c r="M67" s="2541"/>
      <c r="N67" s="2541"/>
      <c r="O67" s="2541"/>
      <c r="P67" s="486"/>
      <c r="Q67" s="486"/>
      <c r="R67" s="486"/>
      <c r="S67" s="486"/>
      <c r="T67" s="486"/>
      <c r="U67" s="486"/>
      <c r="V67" s="486"/>
      <c r="W67" s="486"/>
    </row>
    <row r="68" spans="1:23" ht="15">
      <c r="A68" s="2952" t="s">
        <v>139</v>
      </c>
      <c r="B68" s="2953">
        <v>6000</v>
      </c>
      <c r="C68" s="2953">
        <v>7000</v>
      </c>
      <c r="D68" s="2953">
        <v>8000</v>
      </c>
      <c r="E68" s="2953">
        <v>9000</v>
      </c>
      <c r="F68" s="2739">
        <v>10000</v>
      </c>
      <c r="G68" s="2739">
        <v>11000</v>
      </c>
      <c r="H68" s="2951"/>
      <c r="I68" s="2960" t="s">
        <v>139</v>
      </c>
      <c r="J68" s="2962" t="s">
        <v>74</v>
      </c>
      <c r="K68" s="710"/>
      <c r="L68" s="710"/>
      <c r="M68" s="2541"/>
      <c r="N68" s="2541"/>
      <c r="O68" s="2541"/>
      <c r="P68" s="486"/>
      <c r="Q68" s="486"/>
      <c r="R68" s="486"/>
      <c r="S68" s="486"/>
      <c r="T68" s="486"/>
      <c r="U68" s="486"/>
      <c r="V68" s="486"/>
      <c r="W68" s="486"/>
    </row>
    <row r="69" spans="1:23" ht="14.25">
      <c r="A69" s="2952" t="s">
        <v>74</v>
      </c>
      <c r="B69" s="2953">
        <v>130</v>
      </c>
      <c r="C69" s="2953">
        <v>145</v>
      </c>
      <c r="D69" s="2953">
        <v>160</v>
      </c>
      <c r="E69" s="2953">
        <v>180</v>
      </c>
      <c r="F69" s="2739">
        <v>200</v>
      </c>
      <c r="G69" s="2739">
        <v>215</v>
      </c>
      <c r="H69" s="2951"/>
      <c r="I69" s="2952">
        <f>Gröddata!C31</f>
        <v>9000</v>
      </c>
      <c r="J69" s="2952">
        <f>IF(I69&gt;5999,B69+((I69-B68)*0.017),0)</f>
        <v>181</v>
      </c>
      <c r="K69" s="710"/>
      <c r="L69" s="710"/>
      <c r="M69" s="2541"/>
      <c r="N69" s="2541"/>
      <c r="O69" s="2541"/>
      <c r="P69" s="486"/>
      <c r="Q69" s="486"/>
      <c r="R69" s="486"/>
      <c r="S69" s="486"/>
      <c r="T69" s="486"/>
      <c r="U69" s="486"/>
      <c r="V69" s="486"/>
      <c r="W69" s="486"/>
    </row>
    <row r="70" spans="1:23" ht="14.25">
      <c r="H70" s="2951"/>
      <c r="I70" s="2951"/>
      <c r="J70" s="2951"/>
      <c r="K70" s="710"/>
      <c r="L70" s="710"/>
      <c r="M70" s="2541"/>
      <c r="N70" s="2541"/>
      <c r="O70" s="2541"/>
      <c r="P70" s="486"/>
      <c r="Q70" s="486"/>
      <c r="R70" s="486"/>
      <c r="S70" s="486"/>
      <c r="T70" s="486"/>
      <c r="U70" s="486"/>
      <c r="V70" s="486"/>
      <c r="W70" s="486"/>
    </row>
    <row r="71" spans="1:23" s="486" customFormat="1" ht="14.25">
      <c r="A71" s="2951"/>
      <c r="B71" s="2965"/>
      <c r="C71" s="2965"/>
      <c r="D71" s="2965"/>
      <c r="E71" s="2965"/>
      <c r="F71" s="1454"/>
      <c r="G71" s="1454"/>
      <c r="H71" s="2951"/>
      <c r="I71" s="2951"/>
      <c r="J71" s="1454"/>
      <c r="K71" s="710"/>
      <c r="L71" s="710"/>
      <c r="M71" s="2541"/>
      <c r="N71" s="2541"/>
      <c r="O71" s="2541"/>
    </row>
    <row r="72" spans="1:23" s="486" customFormat="1" ht="23.25">
      <c r="A72" s="709" t="s">
        <v>1819</v>
      </c>
      <c r="B72" s="2965"/>
      <c r="C72" s="2965"/>
      <c r="D72" s="2965"/>
      <c r="E72" s="2965"/>
      <c r="F72" s="1454"/>
      <c r="G72" s="1454"/>
      <c r="H72" s="2951"/>
      <c r="I72" s="2951"/>
      <c r="J72" s="1454"/>
      <c r="K72" s="710"/>
      <c r="L72" s="710"/>
      <c r="M72" s="2541"/>
      <c r="N72" s="2541"/>
      <c r="O72" s="2541"/>
    </row>
    <row r="73" spans="1:23" s="486" customFormat="1" ht="15">
      <c r="A73" s="2954" t="s">
        <v>1800</v>
      </c>
      <c r="B73" s="2965"/>
      <c r="C73" s="2965"/>
      <c r="D73" s="2965"/>
      <c r="E73" s="2965"/>
      <c r="F73" s="1454"/>
      <c r="G73" s="1454"/>
      <c r="H73" s="2951"/>
      <c r="I73" s="2951"/>
      <c r="J73" s="1454"/>
      <c r="K73" s="710"/>
      <c r="L73" s="710"/>
      <c r="M73" s="2541"/>
      <c r="N73" s="2541"/>
      <c r="O73" s="2541"/>
    </row>
    <row r="74" spans="1:23" s="486" customFormat="1" ht="15">
      <c r="A74" s="2954"/>
      <c r="B74" s="2965"/>
      <c r="C74" s="2965"/>
      <c r="D74" s="2965"/>
      <c r="E74" s="2965"/>
      <c r="F74" s="1454"/>
      <c r="G74" s="1454"/>
      <c r="H74" s="2951"/>
      <c r="I74" s="2951"/>
      <c r="J74" s="1454"/>
      <c r="K74" s="710"/>
      <c r="L74" s="710"/>
      <c r="M74" s="2541"/>
      <c r="N74" s="2541"/>
      <c r="O74" s="2541"/>
    </row>
    <row r="75" spans="1:23" s="486" customFormat="1" ht="15">
      <c r="A75" s="1211" t="s">
        <v>1869</v>
      </c>
      <c r="B75" s="1454"/>
      <c r="C75" s="1454"/>
      <c r="D75" s="1454"/>
      <c r="E75" s="1454"/>
      <c r="F75" s="1454"/>
      <c r="G75" s="1454"/>
      <c r="H75" s="2951"/>
      <c r="I75" s="1636"/>
      <c r="J75" s="2964" t="s">
        <v>952</v>
      </c>
      <c r="K75" s="710"/>
      <c r="L75" s="710"/>
      <c r="M75" s="2541"/>
      <c r="N75" s="2541"/>
      <c r="O75" s="2541"/>
    </row>
    <row r="76" spans="1:23" s="486" customFormat="1" ht="15">
      <c r="A76" s="2952" t="s">
        <v>139</v>
      </c>
      <c r="B76" s="2739">
        <v>5000</v>
      </c>
      <c r="C76" s="2953">
        <v>6000</v>
      </c>
      <c r="D76" s="2953">
        <v>7000</v>
      </c>
      <c r="E76" s="2953">
        <v>8000</v>
      </c>
      <c r="F76" s="2953"/>
      <c r="G76" s="2739"/>
      <c r="H76" s="2951"/>
      <c r="I76" s="2960" t="s">
        <v>139</v>
      </c>
      <c r="J76" s="2962" t="s">
        <v>74</v>
      </c>
      <c r="K76" s="710"/>
      <c r="L76" s="710"/>
      <c r="M76" s="2541"/>
      <c r="N76" s="2541"/>
      <c r="O76" s="2541"/>
    </row>
    <row r="77" spans="1:23" s="486" customFormat="1" ht="14.25">
      <c r="A77" s="2952" t="s">
        <v>74</v>
      </c>
      <c r="B77" s="2739">
        <v>40</v>
      </c>
      <c r="C77" s="2953">
        <v>50</v>
      </c>
      <c r="D77" s="2953">
        <v>60</v>
      </c>
      <c r="E77" s="2953">
        <v>80</v>
      </c>
      <c r="F77" s="2953"/>
      <c r="G77" s="2739"/>
      <c r="H77" s="2951"/>
      <c r="I77" s="2952">
        <f>Gröddata!C32</f>
        <v>5000</v>
      </c>
      <c r="J77" s="2952">
        <f>IF(I77&gt;4999,B77+((I77-B76)*0.01),0)</f>
        <v>40</v>
      </c>
      <c r="K77" s="710"/>
      <c r="L77" s="710"/>
      <c r="M77" s="2541"/>
      <c r="N77" s="2541"/>
      <c r="O77" s="2541"/>
    </row>
    <row r="78" spans="1:23" s="486" customFormat="1" ht="14.25">
      <c r="A78" s="2951"/>
      <c r="B78" s="2965"/>
      <c r="C78" s="2965"/>
      <c r="D78" s="2965"/>
      <c r="E78" s="2965"/>
      <c r="F78" s="1454"/>
      <c r="G78" s="1454"/>
      <c r="H78" s="2951"/>
      <c r="I78" s="2951"/>
      <c r="J78" s="1454"/>
      <c r="K78" s="710"/>
      <c r="L78" s="710"/>
      <c r="M78" s="2541"/>
      <c r="N78" s="2541"/>
      <c r="O78" s="2541"/>
    </row>
    <row r="79" spans="1:23" s="486" customFormat="1" ht="14.25">
      <c r="A79" s="2951"/>
      <c r="B79" s="2965"/>
      <c r="C79" s="2965"/>
      <c r="D79" s="2965"/>
      <c r="E79" s="2965"/>
      <c r="F79" s="1454"/>
      <c r="G79" s="1454"/>
      <c r="H79" s="2951"/>
      <c r="I79" s="2951"/>
      <c r="J79" s="1454"/>
      <c r="K79" s="710"/>
      <c r="L79" s="710"/>
      <c r="M79" s="2541"/>
      <c r="N79" s="2541"/>
      <c r="O79" s="2541"/>
    </row>
    <row r="80" spans="1:23" s="486" customFormat="1" ht="14.25">
      <c r="A80" s="2951"/>
      <c r="B80" s="2965"/>
      <c r="C80" s="2965"/>
      <c r="D80" s="2965"/>
      <c r="E80" s="2965"/>
      <c r="F80" s="1454"/>
      <c r="G80" s="1454"/>
      <c r="H80" s="2951"/>
      <c r="I80" s="2951"/>
      <c r="J80" s="1454"/>
      <c r="K80" s="710"/>
      <c r="L80" s="710"/>
      <c r="M80" s="2541"/>
      <c r="N80" s="2541"/>
      <c r="O80" s="2541"/>
    </row>
    <row r="81" spans="1:25" s="486" customFormat="1" ht="23.25">
      <c r="A81" s="709" t="s">
        <v>1820</v>
      </c>
      <c r="B81" s="2965"/>
      <c r="C81" s="2965"/>
      <c r="D81" s="2965"/>
      <c r="E81" s="2965"/>
      <c r="F81" s="1454"/>
      <c r="G81" s="1454"/>
      <c r="H81" s="2951"/>
      <c r="I81" s="2951"/>
      <c r="J81" s="1454"/>
      <c r="K81" s="710"/>
      <c r="L81" s="710"/>
      <c r="M81" s="2541"/>
      <c r="N81" s="2541"/>
      <c r="O81" s="2541"/>
    </row>
    <row r="82" spans="1:25" s="486" customFormat="1" ht="15">
      <c r="A82" s="2954" t="s">
        <v>1800</v>
      </c>
      <c r="B82" s="1454"/>
      <c r="C82" s="1454"/>
      <c r="D82" s="1454"/>
      <c r="E82" s="1454"/>
      <c r="F82" s="1454"/>
      <c r="G82" s="1454"/>
      <c r="H82" s="1454"/>
      <c r="I82" s="1454"/>
      <c r="J82" s="1454"/>
      <c r="K82" s="1206"/>
      <c r="L82" s="1206"/>
      <c r="M82" s="2541"/>
      <c r="N82" s="2541"/>
      <c r="O82" s="2541"/>
    </row>
    <row r="83" spans="1:25" s="486" customFormat="1" ht="15">
      <c r="A83" s="2954"/>
      <c r="B83" s="1454"/>
      <c r="C83" s="1454"/>
      <c r="D83" s="1454"/>
      <c r="E83" s="1454"/>
      <c r="F83" s="1454"/>
      <c r="G83" s="1454"/>
      <c r="H83" s="1454"/>
      <c r="I83" s="1454"/>
      <c r="J83" s="1454"/>
      <c r="K83" s="1206"/>
      <c r="L83" s="1206"/>
      <c r="M83" s="2541"/>
      <c r="N83" s="2541"/>
      <c r="O83" s="2541"/>
    </row>
    <row r="84" spans="1:25" s="486" customFormat="1" ht="15">
      <c r="A84" s="1211" t="s">
        <v>1821</v>
      </c>
      <c r="B84" s="1354"/>
      <c r="C84" s="1354"/>
      <c r="D84" s="1354"/>
      <c r="E84" s="1354"/>
      <c r="F84" s="1454"/>
      <c r="G84" s="1454"/>
      <c r="H84" s="2951"/>
      <c r="I84" s="1636"/>
      <c r="J84" s="2964" t="s">
        <v>952</v>
      </c>
      <c r="K84" s="1206"/>
      <c r="L84" s="1206"/>
      <c r="M84" s="2541"/>
      <c r="N84" s="2541"/>
      <c r="O84" s="2541"/>
    </row>
    <row r="85" spans="1:25" s="486" customFormat="1" ht="15">
      <c r="A85" s="2952" t="s">
        <v>139</v>
      </c>
      <c r="B85" s="2953">
        <v>8000</v>
      </c>
      <c r="C85" s="2953">
        <v>9000</v>
      </c>
      <c r="D85" s="2953">
        <v>10000</v>
      </c>
      <c r="E85" s="2953">
        <v>11000</v>
      </c>
      <c r="F85" s="2739">
        <v>12000</v>
      </c>
      <c r="G85" s="2739"/>
      <c r="H85" s="2951"/>
      <c r="I85" s="2960" t="s">
        <v>139</v>
      </c>
      <c r="J85" s="2962" t="s">
        <v>74</v>
      </c>
      <c r="K85" s="1206"/>
      <c r="L85" s="1206"/>
      <c r="M85" s="2541"/>
      <c r="N85" s="2541"/>
      <c r="O85" s="2541"/>
    </row>
    <row r="86" spans="1:25" s="486" customFormat="1" ht="14.25">
      <c r="A86" s="2952" t="s">
        <v>74</v>
      </c>
      <c r="B86" s="2953">
        <v>130</v>
      </c>
      <c r="C86" s="2953">
        <v>145</v>
      </c>
      <c r="D86" s="2953">
        <v>160</v>
      </c>
      <c r="E86" s="2953">
        <v>180</v>
      </c>
      <c r="F86" s="2739">
        <v>200</v>
      </c>
      <c r="G86" s="2739"/>
      <c r="H86" s="2951"/>
      <c r="I86" s="2952">
        <f>Gröddata!C33</f>
        <v>10000</v>
      </c>
      <c r="J86" s="2952">
        <f>IF(I86&gt;7999,B86+((I86-B85)*0.015),0)</f>
        <v>160</v>
      </c>
      <c r="K86" s="1206"/>
      <c r="L86" s="1206"/>
      <c r="M86" s="2541"/>
      <c r="N86" s="2541"/>
      <c r="O86" s="2541"/>
    </row>
    <row r="87" spans="1:25" s="486" customFormat="1" ht="15">
      <c r="A87" s="2954"/>
      <c r="B87" s="1454"/>
      <c r="C87" s="1454"/>
      <c r="D87" s="1454"/>
      <c r="E87" s="1454"/>
      <c r="F87" s="1454"/>
      <c r="G87" s="1454"/>
      <c r="H87" s="1454"/>
      <c r="I87" s="1454"/>
      <c r="J87" s="1454"/>
      <c r="K87" s="1206"/>
      <c r="L87" s="1206"/>
      <c r="M87" s="2541"/>
      <c r="N87" s="2541"/>
      <c r="O87" s="2541"/>
    </row>
    <row r="88" spans="1:25" s="486" customFormat="1" ht="15">
      <c r="A88" s="2954"/>
      <c r="B88" s="1454"/>
      <c r="C88" s="1454"/>
      <c r="D88" s="1454"/>
      <c r="E88" s="1454"/>
      <c r="F88" s="1454"/>
      <c r="G88" s="1454"/>
      <c r="H88" s="1454"/>
      <c r="I88" s="1454"/>
      <c r="J88" s="1454"/>
      <c r="K88" s="1206"/>
      <c r="L88" s="1206"/>
      <c r="M88" s="2541"/>
      <c r="N88" s="2541"/>
      <c r="O88" s="2541"/>
    </row>
    <row r="89" spans="1:25" s="486" customFormat="1" ht="15">
      <c r="A89" s="2954"/>
      <c r="B89" s="1454"/>
      <c r="C89" s="1454"/>
      <c r="D89" s="1454"/>
      <c r="E89" s="1454"/>
      <c r="F89" s="1454"/>
      <c r="G89" s="1454"/>
      <c r="H89" s="1454"/>
      <c r="I89" s="1454"/>
      <c r="J89" s="1454"/>
      <c r="K89" s="2541"/>
      <c r="L89" s="2541"/>
      <c r="M89" s="2541"/>
      <c r="N89" s="2541"/>
      <c r="O89" s="2541"/>
    </row>
    <row r="90" spans="1:25" s="486" customFormat="1">
      <c r="B90" s="1354"/>
      <c r="C90" s="1354"/>
      <c r="D90" s="1354"/>
      <c r="E90" s="1354"/>
      <c r="F90" s="1354"/>
      <c r="G90" s="1354"/>
      <c r="H90" s="1354"/>
      <c r="I90" s="1354" t="s">
        <v>327</v>
      </c>
      <c r="J90" s="1354"/>
    </row>
    <row r="91" spans="1:25" ht="23.25">
      <c r="A91" s="709" t="s">
        <v>1783</v>
      </c>
      <c r="B91" s="1354"/>
      <c r="C91" s="1354"/>
      <c r="D91" s="1354"/>
      <c r="E91" s="1354"/>
      <c r="F91" s="1354"/>
      <c r="G91" s="1354"/>
      <c r="H91" s="1354"/>
      <c r="I91" s="1354"/>
      <c r="J91" s="1354"/>
      <c r="K91" s="486"/>
      <c r="L91" s="486"/>
      <c r="M91" s="486"/>
      <c r="N91" s="486"/>
      <c r="O91" s="486"/>
      <c r="P91" s="486"/>
      <c r="Q91" s="486"/>
      <c r="R91" s="486"/>
      <c r="S91" s="486"/>
      <c r="T91" s="486"/>
      <c r="U91" s="486"/>
      <c r="V91" s="486"/>
      <c r="W91" s="486"/>
      <c r="X91" s="486"/>
      <c r="Y91" s="486"/>
    </row>
    <row r="92" spans="1:25" ht="15">
      <c r="A92" s="2954" t="s">
        <v>1800</v>
      </c>
      <c r="B92" s="1354"/>
      <c r="C92" s="1354"/>
      <c r="D92" s="1354"/>
      <c r="E92" s="1354"/>
      <c r="F92" s="1354"/>
      <c r="G92" s="1354"/>
      <c r="H92" s="1354"/>
      <c r="I92" s="1354"/>
      <c r="J92" s="2126" t="s">
        <v>1262</v>
      </c>
      <c r="K92" s="2126"/>
      <c r="L92" s="486"/>
      <c r="M92" s="486"/>
      <c r="N92" s="486"/>
      <c r="O92" s="486"/>
      <c r="P92" s="486"/>
      <c r="Q92" s="486"/>
      <c r="R92" s="486"/>
      <c r="S92" s="486"/>
      <c r="T92" s="486"/>
      <c r="U92" s="486"/>
      <c r="V92" s="486"/>
      <c r="W92" s="486"/>
      <c r="X92" s="486"/>
      <c r="Y92" s="486"/>
    </row>
    <row r="93" spans="1:25">
      <c r="A93" s="486"/>
      <c r="B93" s="1354"/>
      <c r="C93" s="1354"/>
      <c r="D93" s="1354"/>
      <c r="E93" s="1354"/>
      <c r="F93" s="1354"/>
      <c r="G93" s="1354"/>
      <c r="H93" s="1354"/>
      <c r="I93" s="1354"/>
      <c r="J93" s="1108" t="s">
        <v>1259</v>
      </c>
      <c r="K93" s="1108" t="s">
        <v>1260</v>
      </c>
      <c r="L93" s="486"/>
      <c r="M93" s="486"/>
      <c r="N93" s="486"/>
      <c r="O93" s="486"/>
      <c r="P93" s="486"/>
      <c r="Q93" s="486"/>
      <c r="R93" s="486"/>
      <c r="S93" s="486"/>
      <c r="T93" s="486"/>
      <c r="U93" s="486"/>
      <c r="V93" s="486"/>
      <c r="W93" s="486"/>
      <c r="X93" s="486"/>
      <c r="Y93" s="486"/>
    </row>
    <row r="94" spans="1:25">
      <c r="A94" s="486"/>
      <c r="B94" s="2127" t="s">
        <v>1263</v>
      </c>
      <c r="C94" s="1354"/>
      <c r="D94" s="1354"/>
      <c r="E94" s="1354"/>
      <c r="F94" s="1354"/>
      <c r="G94" s="1354"/>
      <c r="H94" s="1354"/>
      <c r="I94" s="1354"/>
      <c r="J94" s="1108" t="s">
        <v>1252</v>
      </c>
      <c r="K94" s="1108" t="s">
        <v>1252</v>
      </c>
      <c r="L94" s="486"/>
      <c r="M94" s="486"/>
      <c r="N94" s="486"/>
      <c r="O94" s="486"/>
      <c r="P94" s="486"/>
      <c r="Q94" s="486"/>
      <c r="R94" s="486"/>
      <c r="S94" s="486"/>
      <c r="T94" s="486"/>
      <c r="U94" s="486"/>
      <c r="V94" s="486"/>
      <c r="W94" s="486"/>
      <c r="X94" s="486"/>
      <c r="Y94" s="486"/>
    </row>
    <row r="95" spans="1:25">
      <c r="A95" s="486"/>
      <c r="B95" s="1108" t="s">
        <v>1259</v>
      </c>
      <c r="C95" s="1108" t="s">
        <v>1260</v>
      </c>
      <c r="D95" s="1354"/>
      <c r="E95" s="1354"/>
      <c r="F95" s="1354"/>
      <c r="G95" s="1354"/>
      <c r="H95" s="1354"/>
      <c r="I95" s="1354"/>
      <c r="J95" s="1108" t="s">
        <v>1253</v>
      </c>
      <c r="K95" s="1108" t="s">
        <v>1253</v>
      </c>
      <c r="L95" s="486"/>
      <c r="M95" s="486"/>
      <c r="N95" s="486"/>
      <c r="O95" s="486"/>
      <c r="P95" s="486"/>
      <c r="Q95" s="486"/>
      <c r="R95" s="486"/>
      <c r="S95" s="486"/>
      <c r="T95" s="486"/>
      <c r="U95" s="486"/>
      <c r="V95" s="486"/>
      <c r="W95" s="486"/>
      <c r="X95" s="486"/>
      <c r="Y95" s="486"/>
    </row>
    <row r="96" spans="1:25">
      <c r="A96" s="486"/>
      <c r="B96" s="1348" t="str">
        <f>Grunddata!B39</f>
        <v>IVA</v>
      </c>
      <c r="C96" s="1108" t="str">
        <f>Grunddata!D39</f>
        <v>III</v>
      </c>
      <c r="D96" s="1354"/>
      <c r="E96" s="1354"/>
      <c r="F96" s="1354"/>
      <c r="G96" s="1354"/>
      <c r="H96" s="1354"/>
      <c r="I96" s="1354"/>
      <c r="J96" s="1108" t="s">
        <v>1254</v>
      </c>
      <c r="K96" s="1108" t="s">
        <v>1254</v>
      </c>
      <c r="L96" s="486"/>
      <c r="M96" s="486"/>
      <c r="N96" s="486"/>
      <c r="O96" s="486"/>
      <c r="P96" s="486"/>
      <c r="Q96" s="486"/>
      <c r="R96" s="486"/>
      <c r="S96" s="486"/>
      <c r="T96" s="486"/>
      <c r="U96" s="486"/>
      <c r="V96" s="486"/>
      <c r="W96" s="486"/>
      <c r="X96" s="486"/>
      <c r="Y96" s="486"/>
    </row>
    <row r="97" spans="1:25">
      <c r="A97" s="486"/>
      <c r="B97" s="1354"/>
      <c r="C97" s="1354"/>
      <c r="D97" s="1354"/>
      <c r="E97" s="1354"/>
      <c r="F97" s="1354"/>
      <c r="G97" s="1354"/>
      <c r="H97" s="1354"/>
      <c r="I97" s="1354"/>
      <c r="J97" s="1108" t="s">
        <v>1255</v>
      </c>
      <c r="K97" s="1108" t="s">
        <v>1258</v>
      </c>
      <c r="L97" s="486"/>
      <c r="M97" s="486"/>
      <c r="N97" s="486"/>
      <c r="O97" s="486"/>
      <c r="P97" s="486"/>
      <c r="Q97" s="486"/>
      <c r="R97" s="486"/>
      <c r="S97" s="486"/>
      <c r="T97" s="486"/>
      <c r="U97" s="486"/>
      <c r="V97" s="486"/>
      <c r="W97" s="486"/>
      <c r="X97" s="486"/>
      <c r="Y97" s="486"/>
    </row>
    <row r="98" spans="1:25" ht="15.75">
      <c r="A98" s="2128"/>
      <c r="B98" s="1354"/>
      <c r="C98" s="1354"/>
      <c r="D98" s="1354"/>
      <c r="E98" s="1354"/>
      <c r="F98" s="1354"/>
      <c r="G98" s="1354"/>
      <c r="H98" s="1354"/>
      <c r="I98" s="1354"/>
      <c r="J98" s="1108" t="s">
        <v>1256</v>
      </c>
      <c r="K98" s="1108" t="s">
        <v>1257</v>
      </c>
      <c r="L98" s="486"/>
      <c r="M98" s="486"/>
      <c r="N98" s="486"/>
      <c r="O98" s="486"/>
      <c r="P98" s="486"/>
      <c r="Q98" s="486"/>
      <c r="R98" s="2128"/>
      <c r="S98" s="486"/>
      <c r="T98" s="486"/>
      <c r="U98" s="486"/>
      <c r="V98" s="486"/>
      <c r="W98" s="486"/>
      <c r="X98" s="486"/>
      <c r="Y98" s="486"/>
    </row>
    <row r="99" spans="1:25" ht="15.75">
      <c r="A99" s="2128"/>
      <c r="B99" s="2128" t="s">
        <v>1811</v>
      </c>
      <c r="C99" s="1354"/>
      <c r="D99" s="1354"/>
      <c r="E99" s="1354"/>
      <c r="F99" s="1354"/>
      <c r="G99" s="1354"/>
      <c r="H99" s="1354"/>
      <c r="I99" s="1354"/>
      <c r="J99" s="1108" t="s">
        <v>1257</v>
      </c>
      <c r="K99" s="1455"/>
      <c r="L99" s="486"/>
      <c r="M99" s="486"/>
      <c r="N99" s="486"/>
      <c r="O99" s="486"/>
      <c r="P99" s="486"/>
      <c r="Q99" s="486"/>
      <c r="R99" s="2128" t="s">
        <v>1264</v>
      </c>
      <c r="S99" s="486"/>
      <c r="T99" s="486"/>
      <c r="U99" s="486"/>
      <c r="V99" s="486"/>
      <c r="W99" s="486"/>
      <c r="X99" s="486"/>
      <c r="Y99" s="486"/>
    </row>
    <row r="100" spans="1:25" ht="15.75">
      <c r="A100" s="2128"/>
      <c r="B100" s="1354"/>
      <c r="C100" s="2128"/>
      <c r="D100" s="1354"/>
      <c r="E100" s="1354"/>
      <c r="F100" s="1354"/>
      <c r="G100" s="1354"/>
      <c r="H100" s="1354"/>
      <c r="I100" s="1354"/>
      <c r="J100" s="1354"/>
      <c r="K100" s="486"/>
      <c r="L100" s="486"/>
      <c r="M100" s="486"/>
      <c r="N100" s="486"/>
      <c r="O100" s="486"/>
      <c r="P100" s="486"/>
      <c r="Q100" s="486"/>
      <c r="R100" s="2128"/>
      <c r="S100" s="486"/>
      <c r="T100" s="486"/>
      <c r="U100" s="486"/>
      <c r="V100" s="486"/>
      <c r="W100" s="486"/>
      <c r="X100" s="486"/>
      <c r="Y100" s="486"/>
    </row>
    <row r="101" spans="1:25" ht="15.75">
      <c r="A101" s="2128"/>
      <c r="B101" s="1948" t="s">
        <v>811</v>
      </c>
      <c r="C101" s="2006"/>
      <c r="D101" s="2007" t="s">
        <v>407</v>
      </c>
      <c r="E101" s="2006"/>
      <c r="F101" s="2006"/>
      <c r="G101" s="2006"/>
      <c r="H101" s="2006"/>
      <c r="I101" s="2006"/>
      <c r="J101" s="1948" t="s">
        <v>811</v>
      </c>
      <c r="K101" s="1964"/>
      <c r="L101" s="1963" t="s">
        <v>409</v>
      </c>
      <c r="M101" s="1964"/>
      <c r="N101" s="1964"/>
      <c r="O101" s="1964"/>
      <c r="P101" s="1965"/>
      <c r="R101" s="478" t="s">
        <v>407</v>
      </c>
      <c r="S101" s="181"/>
      <c r="T101" s="181"/>
      <c r="U101" s="182"/>
      <c r="V101" s="478" t="s">
        <v>409</v>
      </c>
      <c r="W101" s="181"/>
      <c r="X101" s="181"/>
      <c r="Y101" s="182"/>
    </row>
    <row r="102" spans="1:25" ht="15">
      <c r="A102" s="486"/>
      <c r="B102" s="1949"/>
      <c r="C102" s="2008"/>
      <c r="D102" s="2009"/>
      <c r="E102" s="2008"/>
      <c r="F102" s="2008"/>
      <c r="G102" s="2008"/>
      <c r="H102" s="2008"/>
      <c r="I102" s="2008"/>
      <c r="J102" s="1949"/>
      <c r="K102" s="1967"/>
      <c r="L102" s="1966"/>
      <c r="M102" s="1967"/>
      <c r="N102" s="1967"/>
      <c r="O102" s="1967"/>
      <c r="P102" s="1968"/>
      <c r="R102" s="1359" t="s">
        <v>1268</v>
      </c>
      <c r="S102" s="1359" t="s">
        <v>952</v>
      </c>
      <c r="T102" s="1359" t="s">
        <v>768</v>
      </c>
      <c r="U102" s="1359" t="s">
        <v>952</v>
      </c>
      <c r="V102" s="1359" t="s">
        <v>465</v>
      </c>
      <c r="W102" s="1359" t="s">
        <v>952</v>
      </c>
      <c r="X102" s="1359" t="s">
        <v>768</v>
      </c>
      <c r="Y102" s="1359" t="s">
        <v>952</v>
      </c>
    </row>
    <row r="103" spans="1:25">
      <c r="A103" s="486"/>
      <c r="B103" s="471" t="s">
        <v>139</v>
      </c>
      <c r="C103" s="2010" t="s">
        <v>1252</v>
      </c>
      <c r="D103" s="2010" t="s">
        <v>1253</v>
      </c>
      <c r="E103" s="2010" t="s">
        <v>1254</v>
      </c>
      <c r="F103" s="2010" t="s">
        <v>1255</v>
      </c>
      <c r="G103" s="2010" t="s">
        <v>1256</v>
      </c>
      <c r="H103" s="2010" t="s">
        <v>1257</v>
      </c>
      <c r="I103" s="2935" t="s">
        <v>198</v>
      </c>
      <c r="J103" s="1949" t="s">
        <v>139</v>
      </c>
      <c r="K103" s="2937" t="s">
        <v>1252</v>
      </c>
      <c r="L103" s="1958" t="s">
        <v>1253</v>
      </c>
      <c r="M103" s="1958" t="s">
        <v>1254</v>
      </c>
      <c r="N103" s="1958" t="s">
        <v>1258</v>
      </c>
      <c r="O103" s="1958" t="s">
        <v>1257</v>
      </c>
      <c r="P103" s="1958" t="s">
        <v>198</v>
      </c>
      <c r="R103" s="1347" t="s">
        <v>1267</v>
      </c>
      <c r="S103" s="1347" t="s">
        <v>139</v>
      </c>
      <c r="T103" s="1347" t="s">
        <v>1266</v>
      </c>
      <c r="U103" s="1347" t="s">
        <v>1267</v>
      </c>
      <c r="V103" s="1347" t="s">
        <v>1265</v>
      </c>
      <c r="W103" s="1347" t="s">
        <v>139</v>
      </c>
      <c r="X103" s="1347" t="s">
        <v>1266</v>
      </c>
      <c r="Y103" s="1347" t="s">
        <v>1267</v>
      </c>
    </row>
    <row r="104" spans="1:25">
      <c r="A104" s="1727" t="str">
        <f>Gröddata!A10</f>
        <v>Höstvete bröd</v>
      </c>
      <c r="B104" s="471">
        <v>7000</v>
      </c>
      <c r="C104" s="2010">
        <v>30</v>
      </c>
      <c r="D104" s="2010">
        <v>25</v>
      </c>
      <c r="E104" s="2010">
        <v>20</v>
      </c>
      <c r="F104" s="2010">
        <v>10</v>
      </c>
      <c r="G104" s="2010">
        <v>0</v>
      </c>
      <c r="H104" s="2010">
        <v>0</v>
      </c>
      <c r="I104" s="2935">
        <v>3</v>
      </c>
      <c r="J104" s="471">
        <v>5000</v>
      </c>
      <c r="K104" s="2937">
        <v>40</v>
      </c>
      <c r="L104" s="1958">
        <v>30</v>
      </c>
      <c r="M104" s="1958">
        <v>10</v>
      </c>
      <c r="N104" s="1958">
        <v>0</v>
      </c>
      <c r="O104" s="1958">
        <v>0</v>
      </c>
      <c r="P104" s="1958">
        <v>5</v>
      </c>
      <c r="R104" s="1108">
        <f t="shared" ref="R104:R112" si="1">IF(B$96="I",C104,IF(B$96="II",D104,IF(B$96="III",E104,IF(B$96="IVA",F104,IF(B$96="IVB",G104,H104)))))</f>
        <v>10</v>
      </c>
      <c r="S104" s="1108">
        <f>Gröddata!C10</f>
        <v>8000</v>
      </c>
      <c r="T104" s="1107">
        <f>R104+((S104-B104)*(I104/1000))</f>
        <v>13</v>
      </c>
      <c r="U104" s="1107">
        <f>IF(T104&gt;0,T104,0)</f>
        <v>13</v>
      </c>
      <c r="V104" s="1108">
        <f t="shared" ref="V104:V128" si="2">IF(C$96="I",K104,IF(C$96="II",L104,IF(C$96="III",M104,IF(C$96="IV",N104,O104))))</f>
        <v>10</v>
      </c>
      <c r="W104" s="1108">
        <f>Gröddata!C10</f>
        <v>8000</v>
      </c>
      <c r="X104" s="1107">
        <f>V104+((W104-J104)*(P104/1000))</f>
        <v>25</v>
      </c>
      <c r="Y104" s="1107">
        <f>IF(X104&gt;0,X104,0)</f>
        <v>25</v>
      </c>
    </row>
    <row r="105" spans="1:25">
      <c r="A105" s="1727" t="str">
        <f>Gröddata!A11</f>
        <v>Höstvete, foder</v>
      </c>
      <c r="B105" s="471">
        <v>7000</v>
      </c>
      <c r="C105" s="2010">
        <v>30</v>
      </c>
      <c r="D105" s="2010">
        <v>25</v>
      </c>
      <c r="E105" s="2010">
        <v>20</v>
      </c>
      <c r="F105" s="2010">
        <v>10</v>
      </c>
      <c r="G105" s="2010">
        <v>0</v>
      </c>
      <c r="H105" s="2010">
        <v>0</v>
      </c>
      <c r="I105" s="2935">
        <v>3</v>
      </c>
      <c r="J105" s="471">
        <v>5000</v>
      </c>
      <c r="K105" s="2937">
        <v>40</v>
      </c>
      <c r="L105" s="1958">
        <v>30</v>
      </c>
      <c r="M105" s="1958">
        <v>10</v>
      </c>
      <c r="N105" s="1958">
        <v>0</v>
      </c>
      <c r="O105" s="1958">
        <v>0</v>
      </c>
      <c r="P105" s="1958">
        <v>5</v>
      </c>
      <c r="R105" s="1108">
        <f t="shared" si="1"/>
        <v>10</v>
      </c>
      <c r="S105" s="1108">
        <f>Gröddata!C11</f>
        <v>8500</v>
      </c>
      <c r="T105" s="1107">
        <f t="shared" ref="T105:T128" si="3">R105+((S105-B105)*(I105/1000))</f>
        <v>14.5</v>
      </c>
      <c r="U105" s="1107">
        <f t="shared" ref="U105:U128" si="4">IF(T105&gt;0,T105,0)</f>
        <v>14.5</v>
      </c>
      <c r="V105" s="1108">
        <f t="shared" si="2"/>
        <v>10</v>
      </c>
      <c r="W105" s="1108">
        <f>Gröddata!C11</f>
        <v>8500</v>
      </c>
      <c r="X105" s="1107">
        <f t="shared" ref="X105:X136" si="5">V105+((W105-J105)*(P105/1000))</f>
        <v>27.5</v>
      </c>
      <c r="Y105" s="1107">
        <f t="shared" ref="Y105:Y128" si="6">IF(X105&gt;0,X105,0)</f>
        <v>27.5</v>
      </c>
    </row>
    <row r="106" spans="1:25">
      <c r="A106" s="1727" t="str">
        <f>Gröddata!A12</f>
        <v>Råg, hybrid</v>
      </c>
      <c r="B106" s="471">
        <v>7000</v>
      </c>
      <c r="C106" s="2010">
        <v>25</v>
      </c>
      <c r="D106" s="2010">
        <v>20</v>
      </c>
      <c r="E106" s="2010">
        <v>15</v>
      </c>
      <c r="F106" s="2010">
        <v>5</v>
      </c>
      <c r="G106" s="2010">
        <v>0</v>
      </c>
      <c r="H106" s="2010">
        <v>0</v>
      </c>
      <c r="I106" s="2935">
        <v>3</v>
      </c>
      <c r="J106" s="471">
        <v>5000</v>
      </c>
      <c r="K106" s="2937">
        <v>40</v>
      </c>
      <c r="L106" s="1958">
        <v>30</v>
      </c>
      <c r="M106" s="1958">
        <v>10</v>
      </c>
      <c r="N106" s="1958">
        <v>0</v>
      </c>
      <c r="O106" s="1958">
        <v>0</v>
      </c>
      <c r="P106" s="1958">
        <v>5</v>
      </c>
      <c r="R106" s="1108">
        <f t="shared" si="1"/>
        <v>5</v>
      </c>
      <c r="S106" s="1108">
        <f>Gröddata!C12</f>
        <v>6000</v>
      </c>
      <c r="T106" s="1107">
        <f t="shared" si="3"/>
        <v>2</v>
      </c>
      <c r="U106" s="1107">
        <f t="shared" si="4"/>
        <v>2</v>
      </c>
      <c r="V106" s="1108">
        <f t="shared" si="2"/>
        <v>10</v>
      </c>
      <c r="W106" s="1108">
        <f>Gröddata!C12</f>
        <v>6000</v>
      </c>
      <c r="X106" s="1107">
        <f t="shared" si="5"/>
        <v>15</v>
      </c>
      <c r="Y106" s="1107">
        <f t="shared" si="6"/>
        <v>15</v>
      </c>
    </row>
    <row r="107" spans="1:25">
      <c r="A107" s="1727" t="str">
        <f>Gröddata!A13</f>
        <v>Rågvete</v>
      </c>
      <c r="B107" s="471">
        <v>7000</v>
      </c>
      <c r="C107" s="2010">
        <v>25</v>
      </c>
      <c r="D107" s="2010">
        <v>20</v>
      </c>
      <c r="E107" s="2010">
        <v>15</v>
      </c>
      <c r="F107" s="2010">
        <v>5</v>
      </c>
      <c r="G107" s="2010">
        <v>0</v>
      </c>
      <c r="H107" s="2010">
        <v>0</v>
      </c>
      <c r="I107" s="2935">
        <v>3</v>
      </c>
      <c r="J107" s="471">
        <v>5000</v>
      </c>
      <c r="K107" s="2937">
        <v>40</v>
      </c>
      <c r="L107" s="1958">
        <v>30</v>
      </c>
      <c r="M107" s="1958">
        <v>10</v>
      </c>
      <c r="N107" s="1958">
        <v>0</v>
      </c>
      <c r="O107" s="1958">
        <v>0</v>
      </c>
      <c r="P107" s="1958">
        <v>5</v>
      </c>
      <c r="R107" s="1108">
        <f t="shared" si="1"/>
        <v>5</v>
      </c>
      <c r="S107" s="1108">
        <f>Gröddata!C13</f>
        <v>6000</v>
      </c>
      <c r="T107" s="1107">
        <f t="shared" si="3"/>
        <v>2</v>
      </c>
      <c r="U107" s="1107">
        <f t="shared" si="4"/>
        <v>2</v>
      </c>
      <c r="V107" s="1108">
        <f t="shared" si="2"/>
        <v>10</v>
      </c>
      <c r="W107" s="1108">
        <f>Gröddata!C13</f>
        <v>6000</v>
      </c>
      <c r="X107" s="1107">
        <f t="shared" si="5"/>
        <v>15</v>
      </c>
      <c r="Y107" s="1107">
        <f t="shared" si="6"/>
        <v>15</v>
      </c>
    </row>
    <row r="108" spans="1:25">
      <c r="A108" s="1727" t="str">
        <f>Gröddata!A14</f>
        <v>Höstkorn</v>
      </c>
      <c r="B108" s="471">
        <v>7000</v>
      </c>
      <c r="C108" s="2010">
        <v>25</v>
      </c>
      <c r="D108" s="2010">
        <v>20</v>
      </c>
      <c r="E108" s="2010">
        <v>15</v>
      </c>
      <c r="F108" s="2010">
        <v>5</v>
      </c>
      <c r="G108" s="2010">
        <v>0</v>
      </c>
      <c r="H108" s="2010">
        <v>0</v>
      </c>
      <c r="I108" s="2935">
        <v>3</v>
      </c>
      <c r="J108" s="471">
        <v>5000</v>
      </c>
      <c r="K108" s="2937">
        <v>40</v>
      </c>
      <c r="L108" s="1958">
        <v>30</v>
      </c>
      <c r="M108" s="1958">
        <v>10</v>
      </c>
      <c r="N108" s="1958">
        <v>0</v>
      </c>
      <c r="O108" s="1958">
        <v>0</v>
      </c>
      <c r="P108" s="1958">
        <v>5</v>
      </c>
      <c r="R108" s="1108">
        <f t="shared" si="1"/>
        <v>5</v>
      </c>
      <c r="S108" s="1108">
        <f>Gröddata!C14</f>
        <v>6000</v>
      </c>
      <c r="T108" s="1107">
        <f t="shared" si="3"/>
        <v>2</v>
      </c>
      <c r="U108" s="1107">
        <f t="shared" si="4"/>
        <v>2</v>
      </c>
      <c r="V108" s="1108">
        <f t="shared" si="2"/>
        <v>10</v>
      </c>
      <c r="W108" s="1108">
        <f>Gröddata!C14</f>
        <v>6000</v>
      </c>
      <c r="X108" s="1107">
        <f t="shared" si="5"/>
        <v>15</v>
      </c>
      <c r="Y108" s="1107">
        <f t="shared" si="6"/>
        <v>15</v>
      </c>
    </row>
    <row r="109" spans="1:25">
      <c r="A109" s="1727" t="str">
        <f>Gröddata!A15</f>
        <v>Vårkorn, foder</v>
      </c>
      <c r="B109" s="471">
        <v>5000</v>
      </c>
      <c r="C109" s="2010">
        <v>25</v>
      </c>
      <c r="D109" s="2010">
        <v>20</v>
      </c>
      <c r="E109" s="2010">
        <v>15</v>
      </c>
      <c r="F109" s="2010">
        <v>5</v>
      </c>
      <c r="G109" s="2010">
        <v>0</v>
      </c>
      <c r="H109" s="2010">
        <v>0</v>
      </c>
      <c r="I109" s="2935">
        <v>3</v>
      </c>
      <c r="J109" s="471">
        <v>5000</v>
      </c>
      <c r="K109" s="2937">
        <v>40</v>
      </c>
      <c r="L109" s="1958">
        <v>30</v>
      </c>
      <c r="M109" s="1958">
        <v>10</v>
      </c>
      <c r="N109" s="1958">
        <v>0</v>
      </c>
      <c r="O109" s="1958">
        <v>0</v>
      </c>
      <c r="P109" s="1958">
        <v>5</v>
      </c>
      <c r="R109" s="1108">
        <f t="shared" si="1"/>
        <v>5</v>
      </c>
      <c r="S109" s="1108">
        <f>Gröddata!C15</f>
        <v>5500</v>
      </c>
      <c r="T109" s="1107">
        <f t="shared" si="3"/>
        <v>6.5</v>
      </c>
      <c r="U109" s="1107">
        <f t="shared" si="4"/>
        <v>6.5</v>
      </c>
      <c r="V109" s="1108">
        <f t="shared" si="2"/>
        <v>10</v>
      </c>
      <c r="W109" s="1108">
        <f>Gröddata!C15</f>
        <v>5500</v>
      </c>
      <c r="X109" s="1107">
        <f t="shared" si="5"/>
        <v>12.5</v>
      </c>
      <c r="Y109" s="1107">
        <f t="shared" si="6"/>
        <v>12.5</v>
      </c>
    </row>
    <row r="110" spans="1:25">
      <c r="A110" s="1727" t="str">
        <f>Gröddata!A16</f>
        <v>Maltkorn</v>
      </c>
      <c r="B110" s="471">
        <v>5000</v>
      </c>
      <c r="C110" s="2010">
        <v>25</v>
      </c>
      <c r="D110" s="2010">
        <v>20</v>
      </c>
      <c r="E110" s="2010">
        <v>15</v>
      </c>
      <c r="F110" s="2010">
        <v>5</v>
      </c>
      <c r="G110" s="2010">
        <v>0</v>
      </c>
      <c r="H110" s="2010">
        <v>0</v>
      </c>
      <c r="I110" s="2935">
        <v>3</v>
      </c>
      <c r="J110" s="471">
        <v>5000</v>
      </c>
      <c r="K110" s="2937">
        <v>40</v>
      </c>
      <c r="L110" s="1958">
        <v>30</v>
      </c>
      <c r="M110" s="1958">
        <v>10</v>
      </c>
      <c r="N110" s="1958">
        <v>0</v>
      </c>
      <c r="O110" s="1958">
        <v>0</v>
      </c>
      <c r="P110" s="1958">
        <v>5</v>
      </c>
      <c r="R110" s="1108">
        <f t="shared" si="1"/>
        <v>5</v>
      </c>
      <c r="S110" s="1108">
        <f>Gröddata!C16</f>
        <v>5500</v>
      </c>
      <c r="T110" s="1107">
        <f t="shared" si="3"/>
        <v>6.5</v>
      </c>
      <c r="U110" s="1107">
        <f t="shared" si="4"/>
        <v>6.5</v>
      </c>
      <c r="V110" s="1108">
        <f t="shared" si="2"/>
        <v>10</v>
      </c>
      <c r="W110" s="1108">
        <f>Gröddata!C16</f>
        <v>5500</v>
      </c>
      <c r="X110" s="1107">
        <f t="shared" si="5"/>
        <v>12.5</v>
      </c>
      <c r="Y110" s="1107">
        <f t="shared" si="6"/>
        <v>12.5</v>
      </c>
    </row>
    <row r="111" spans="1:25">
      <c r="A111" s="1727" t="str">
        <f>Gröddata!A17</f>
        <v>Vårvete</v>
      </c>
      <c r="B111" s="471">
        <v>5000</v>
      </c>
      <c r="C111" s="2010">
        <v>25</v>
      </c>
      <c r="D111" s="2010">
        <v>20</v>
      </c>
      <c r="E111" s="2010">
        <v>15</v>
      </c>
      <c r="F111" s="2010">
        <v>5</v>
      </c>
      <c r="G111" s="2010">
        <v>0</v>
      </c>
      <c r="H111" s="2010">
        <v>0</v>
      </c>
      <c r="I111" s="2935">
        <v>3</v>
      </c>
      <c r="J111" s="471">
        <v>5000</v>
      </c>
      <c r="K111" s="2937">
        <v>40</v>
      </c>
      <c r="L111" s="1958">
        <v>30</v>
      </c>
      <c r="M111" s="1958">
        <v>10</v>
      </c>
      <c r="N111" s="1958">
        <v>0</v>
      </c>
      <c r="O111" s="1958">
        <v>0</v>
      </c>
      <c r="P111" s="1958">
        <v>5</v>
      </c>
      <c r="R111" s="1108">
        <f t="shared" si="1"/>
        <v>5</v>
      </c>
      <c r="S111" s="1108">
        <f>Gröddata!C17</f>
        <v>5000</v>
      </c>
      <c r="T111" s="1107">
        <f t="shared" si="3"/>
        <v>5</v>
      </c>
      <c r="U111" s="1107">
        <f t="shared" si="4"/>
        <v>5</v>
      </c>
      <c r="V111" s="1108">
        <f t="shared" si="2"/>
        <v>10</v>
      </c>
      <c r="W111" s="1108">
        <f>Gröddata!C17</f>
        <v>5000</v>
      </c>
      <c r="X111" s="1107">
        <f t="shared" si="5"/>
        <v>10</v>
      </c>
      <c r="Y111" s="1107">
        <f t="shared" si="6"/>
        <v>10</v>
      </c>
    </row>
    <row r="112" spans="1:25">
      <c r="A112" s="1727" t="str">
        <f>Gröddata!A18</f>
        <v>Havre</v>
      </c>
      <c r="B112" s="471">
        <v>5000</v>
      </c>
      <c r="C112" s="2010">
        <v>25</v>
      </c>
      <c r="D112" s="2010">
        <v>20</v>
      </c>
      <c r="E112" s="2010">
        <v>15</v>
      </c>
      <c r="F112" s="2010">
        <v>5</v>
      </c>
      <c r="G112" s="2010">
        <v>0</v>
      </c>
      <c r="H112" s="2010">
        <v>0</v>
      </c>
      <c r="I112" s="2935">
        <v>3</v>
      </c>
      <c r="J112" s="471">
        <v>5000</v>
      </c>
      <c r="K112" s="2937">
        <v>40</v>
      </c>
      <c r="L112" s="1958">
        <v>30</v>
      </c>
      <c r="M112" s="1958">
        <v>10</v>
      </c>
      <c r="N112" s="1958">
        <v>0</v>
      </c>
      <c r="O112" s="1958">
        <v>0</v>
      </c>
      <c r="P112" s="1958">
        <v>5</v>
      </c>
      <c r="R112" s="1108">
        <f t="shared" si="1"/>
        <v>5</v>
      </c>
      <c r="S112" s="1108">
        <f>Gröddata!C18</f>
        <v>5500</v>
      </c>
      <c r="T112" s="1107">
        <f t="shared" si="3"/>
        <v>6.5</v>
      </c>
      <c r="U112" s="1107">
        <f t="shared" si="4"/>
        <v>6.5</v>
      </c>
      <c r="V112" s="1108">
        <f t="shared" si="2"/>
        <v>10</v>
      </c>
      <c r="W112" s="1108">
        <f>Gröddata!C18</f>
        <v>5500</v>
      </c>
      <c r="X112" s="1107">
        <f t="shared" si="5"/>
        <v>12.5</v>
      </c>
      <c r="Y112" s="1107">
        <f t="shared" si="6"/>
        <v>12.5</v>
      </c>
    </row>
    <row r="113" spans="1:25">
      <c r="A113" s="894" t="s">
        <v>1009</v>
      </c>
      <c r="B113" s="1956"/>
      <c r="C113" s="1956"/>
      <c r="D113" s="1956"/>
      <c r="E113" s="1956"/>
      <c r="F113" s="1956"/>
      <c r="G113" s="1956"/>
      <c r="H113" s="1956"/>
      <c r="I113" s="894"/>
      <c r="J113" s="1956"/>
      <c r="K113" s="895"/>
      <c r="L113" s="1956"/>
      <c r="M113" s="1956"/>
      <c r="N113" s="1956"/>
      <c r="O113" s="1956"/>
      <c r="P113" s="1956"/>
      <c r="R113" s="1108"/>
      <c r="S113" s="1108">
        <f>Gröddata!C19</f>
        <v>0</v>
      </c>
      <c r="T113" s="1107">
        <f t="shared" si="3"/>
        <v>0</v>
      </c>
      <c r="U113" s="1107">
        <f t="shared" si="4"/>
        <v>0</v>
      </c>
      <c r="V113" s="1108">
        <f t="shared" si="2"/>
        <v>0</v>
      </c>
      <c r="W113" s="1108">
        <f>Gröddata!C19</f>
        <v>0</v>
      </c>
      <c r="X113" s="1107">
        <f t="shared" si="5"/>
        <v>0</v>
      </c>
      <c r="Y113" s="1107">
        <f t="shared" si="6"/>
        <v>0</v>
      </c>
    </row>
    <row r="114" spans="1:25">
      <c r="A114" s="1727" t="str">
        <f>Gröddata!A20</f>
        <v xml:space="preserve">Höstraps </v>
      </c>
      <c r="B114" s="471">
        <v>3500</v>
      </c>
      <c r="C114" s="2010">
        <v>40</v>
      </c>
      <c r="D114" s="2010">
        <v>35</v>
      </c>
      <c r="E114" s="2010">
        <v>25</v>
      </c>
      <c r="F114" s="2010">
        <v>15</v>
      </c>
      <c r="G114" s="2010">
        <v>0</v>
      </c>
      <c r="H114" s="2010">
        <v>0</v>
      </c>
      <c r="I114" s="2935">
        <v>5</v>
      </c>
      <c r="J114" s="471">
        <v>3500</v>
      </c>
      <c r="K114" s="2937">
        <v>55</v>
      </c>
      <c r="L114" s="1958">
        <v>45</v>
      </c>
      <c r="M114" s="1958">
        <v>25</v>
      </c>
      <c r="N114" s="1958">
        <v>10</v>
      </c>
      <c r="O114" s="1958">
        <v>0</v>
      </c>
      <c r="P114" s="1958">
        <v>10</v>
      </c>
      <c r="R114" s="1108">
        <f>IF(B$96="I",C114,IF(B$96="II",D114,IF(B$96="III",E114,IF(B$96="IVA",F114,IF(B$96="IVB",G114,H114)))))</f>
        <v>15</v>
      </c>
      <c r="S114" s="1108">
        <f>Gröddata!C20</f>
        <v>3500</v>
      </c>
      <c r="T114" s="1107">
        <f t="shared" si="3"/>
        <v>15</v>
      </c>
      <c r="U114" s="1107">
        <f t="shared" si="4"/>
        <v>15</v>
      </c>
      <c r="V114" s="1108">
        <f t="shared" si="2"/>
        <v>25</v>
      </c>
      <c r="W114" s="1108">
        <f>Gröddata!C20</f>
        <v>3500</v>
      </c>
      <c r="X114" s="1107">
        <f t="shared" si="5"/>
        <v>25</v>
      </c>
      <c r="Y114" s="1107">
        <f t="shared" si="6"/>
        <v>25</v>
      </c>
    </row>
    <row r="115" spans="1:25">
      <c r="A115" s="1727" t="str">
        <f>Gröddata!A21</f>
        <v>Vårraps</v>
      </c>
      <c r="B115" s="471">
        <v>2000</v>
      </c>
      <c r="C115" s="2010">
        <v>30</v>
      </c>
      <c r="D115" s="2010">
        <v>25</v>
      </c>
      <c r="E115" s="2010">
        <v>15</v>
      </c>
      <c r="F115" s="2010">
        <v>10</v>
      </c>
      <c r="G115" s="2010">
        <v>0</v>
      </c>
      <c r="H115" s="2010">
        <v>0</v>
      </c>
      <c r="I115" s="2935">
        <v>5</v>
      </c>
      <c r="J115" s="471">
        <v>2000</v>
      </c>
      <c r="K115" s="2937">
        <v>40</v>
      </c>
      <c r="L115" s="1958">
        <v>30</v>
      </c>
      <c r="M115" s="1958">
        <v>10</v>
      </c>
      <c r="N115" s="1958">
        <v>0</v>
      </c>
      <c r="O115" s="1958">
        <v>0</v>
      </c>
      <c r="P115" s="1958">
        <v>10</v>
      </c>
      <c r="R115" s="1108">
        <f>IF(B$96="I",C115,IF(B$96="II",D115,IF(B$96="III",E115,IF(B$96="IVA",F115,IF(B$96="IVB",G115,H115)))))</f>
        <v>10</v>
      </c>
      <c r="S115" s="1108">
        <f>Gröddata!C21</f>
        <v>2000</v>
      </c>
      <c r="T115" s="1107">
        <f t="shared" si="3"/>
        <v>10</v>
      </c>
      <c r="U115" s="1107">
        <f t="shared" si="4"/>
        <v>10</v>
      </c>
      <c r="V115" s="1108">
        <f t="shared" si="2"/>
        <v>10</v>
      </c>
      <c r="W115" s="1108">
        <f>Gröddata!C21</f>
        <v>2000</v>
      </c>
      <c r="X115" s="1107">
        <f t="shared" si="5"/>
        <v>10</v>
      </c>
      <c r="Y115" s="1107">
        <f t="shared" si="6"/>
        <v>10</v>
      </c>
    </row>
    <row r="116" spans="1:25">
      <c r="A116" s="1727" t="str">
        <f>Gröddata!A22</f>
        <v>Oljelin</v>
      </c>
      <c r="B116" s="471">
        <v>2000</v>
      </c>
      <c r="C116" s="2010">
        <v>15</v>
      </c>
      <c r="D116" s="2010">
        <v>10</v>
      </c>
      <c r="E116" s="2010">
        <v>5</v>
      </c>
      <c r="F116" s="2010">
        <v>0</v>
      </c>
      <c r="G116" s="2010">
        <v>0</v>
      </c>
      <c r="H116" s="2010">
        <v>0</v>
      </c>
      <c r="I116" s="2935">
        <v>5</v>
      </c>
      <c r="J116" s="471">
        <v>2000</v>
      </c>
      <c r="K116" s="2937">
        <v>40</v>
      </c>
      <c r="L116" s="1958">
        <v>30</v>
      </c>
      <c r="M116" s="1958">
        <v>10</v>
      </c>
      <c r="N116" s="1958">
        <v>0</v>
      </c>
      <c r="O116" s="1958">
        <v>0</v>
      </c>
      <c r="P116" s="1958">
        <v>10</v>
      </c>
      <c r="R116" s="1108">
        <f>IF(B$96="I",C116,IF(B$96="II",D116,IF(B$96="III",E116,IF(B$96="IVA",F116,IF(B$96="IVB",G116,H116)))))</f>
        <v>0</v>
      </c>
      <c r="S116" s="1108">
        <f>Gröddata!C22</f>
        <v>1500</v>
      </c>
      <c r="T116" s="1107">
        <f t="shared" si="3"/>
        <v>-2.5</v>
      </c>
      <c r="U116" s="1107">
        <f t="shared" si="4"/>
        <v>0</v>
      </c>
      <c r="V116" s="1108">
        <f t="shared" si="2"/>
        <v>10</v>
      </c>
      <c r="W116" s="1108">
        <f>Gröddata!C22</f>
        <v>1500</v>
      </c>
      <c r="X116" s="1107">
        <f t="shared" si="5"/>
        <v>5</v>
      </c>
      <c r="Y116" s="1107">
        <f t="shared" si="6"/>
        <v>5</v>
      </c>
    </row>
    <row r="117" spans="1:25">
      <c r="A117" s="1708" t="s">
        <v>1010</v>
      </c>
      <c r="B117" s="1957"/>
      <c r="C117" s="1957"/>
      <c r="D117" s="1957"/>
      <c r="E117" s="1957"/>
      <c r="F117" s="1957"/>
      <c r="G117" s="1957"/>
      <c r="H117" s="1957"/>
      <c r="I117" s="1708"/>
      <c r="J117" s="1957"/>
      <c r="K117" s="2938"/>
      <c r="L117" s="1957"/>
      <c r="M117" s="1957"/>
      <c r="N117" s="1957"/>
      <c r="O117" s="1957"/>
      <c r="P117" s="1957"/>
      <c r="R117" s="1108"/>
      <c r="S117" s="1108">
        <f>Gröddata!C23</f>
        <v>0</v>
      </c>
      <c r="T117" s="1107">
        <f t="shared" si="3"/>
        <v>0</v>
      </c>
      <c r="U117" s="1107">
        <f t="shared" si="4"/>
        <v>0</v>
      </c>
      <c r="V117" s="1108">
        <f t="shared" si="2"/>
        <v>0</v>
      </c>
      <c r="W117" s="1108">
        <f>Gröddata!C23</f>
        <v>0</v>
      </c>
      <c r="X117" s="1107">
        <f t="shared" si="5"/>
        <v>0</v>
      </c>
      <c r="Y117" s="1107">
        <f t="shared" si="6"/>
        <v>0</v>
      </c>
    </row>
    <row r="118" spans="1:25">
      <c r="A118" s="1727" t="str">
        <f>Gröddata!A24</f>
        <v>Foderärt</v>
      </c>
      <c r="B118" s="471">
        <v>3500</v>
      </c>
      <c r="C118" s="2010">
        <v>20</v>
      </c>
      <c r="D118" s="2010">
        <v>15</v>
      </c>
      <c r="E118" s="2010">
        <v>10</v>
      </c>
      <c r="F118" s="2010">
        <v>0</v>
      </c>
      <c r="G118" s="2010">
        <v>0</v>
      </c>
      <c r="H118" s="2010">
        <v>0</v>
      </c>
      <c r="I118" s="2935">
        <v>3</v>
      </c>
      <c r="J118" s="471">
        <v>3500</v>
      </c>
      <c r="K118" s="2937">
        <v>50</v>
      </c>
      <c r="L118" s="1958">
        <v>40</v>
      </c>
      <c r="M118" s="1958">
        <v>20</v>
      </c>
      <c r="N118" s="1958">
        <v>0</v>
      </c>
      <c r="O118" s="1958">
        <v>0</v>
      </c>
      <c r="P118" s="1958">
        <v>10</v>
      </c>
      <c r="R118" s="1108">
        <f>IF(B$96="I",C118,IF(B$96="II",D118,IF(B$96="III",E118,IF(B$96="IVA",F118,IF(B$96="IVB",G118,H118)))))</f>
        <v>0</v>
      </c>
      <c r="S118" s="1108">
        <f>Gröddata!C24</f>
        <v>4000</v>
      </c>
      <c r="T118" s="1107">
        <f t="shared" si="3"/>
        <v>1.5</v>
      </c>
      <c r="U118" s="1107">
        <f t="shared" si="4"/>
        <v>1.5</v>
      </c>
      <c r="V118" s="1108">
        <f t="shared" si="2"/>
        <v>20</v>
      </c>
      <c r="W118" s="1108">
        <f>Gröddata!C24</f>
        <v>4000</v>
      </c>
      <c r="X118" s="1107">
        <f t="shared" si="5"/>
        <v>25</v>
      </c>
      <c r="Y118" s="1107">
        <f t="shared" si="6"/>
        <v>25</v>
      </c>
    </row>
    <row r="119" spans="1:25">
      <c r="A119" s="1727" t="str">
        <f>Gröddata!A25</f>
        <v>Konservärter</v>
      </c>
      <c r="B119" s="471">
        <v>3500</v>
      </c>
      <c r="C119" s="2010">
        <v>20</v>
      </c>
      <c r="D119" s="2010">
        <v>15</v>
      </c>
      <c r="E119" s="2010">
        <v>10</v>
      </c>
      <c r="F119" s="2010">
        <v>0</v>
      </c>
      <c r="G119" s="2010">
        <v>0</v>
      </c>
      <c r="H119" s="2010">
        <v>0</v>
      </c>
      <c r="I119" s="2935">
        <v>3</v>
      </c>
      <c r="J119" s="471">
        <v>3500</v>
      </c>
      <c r="K119" s="2937">
        <v>50</v>
      </c>
      <c r="L119" s="1958">
        <v>40</v>
      </c>
      <c r="M119" s="1958">
        <v>20</v>
      </c>
      <c r="N119" s="1958">
        <v>0</v>
      </c>
      <c r="O119" s="1958">
        <v>0</v>
      </c>
      <c r="P119" s="1958">
        <v>10</v>
      </c>
      <c r="R119" s="1108">
        <f>IF(B$96="I",C119,IF(B$96="II",D119,IF(B$96="III",E119,IF(B$96="IVA",F119,IF(B$96="IVB",G119,H119)))))</f>
        <v>0</v>
      </c>
      <c r="S119" s="1108">
        <f>Gröddata!C25</f>
        <v>3600</v>
      </c>
      <c r="T119" s="1107">
        <f t="shared" si="3"/>
        <v>0.3</v>
      </c>
      <c r="U119" s="1107">
        <f t="shared" si="4"/>
        <v>0.3</v>
      </c>
      <c r="V119" s="1108">
        <f t="shared" si="2"/>
        <v>20</v>
      </c>
      <c r="W119" s="1108">
        <f>Gröddata!C25</f>
        <v>3600</v>
      </c>
      <c r="X119" s="1107">
        <f t="shared" si="5"/>
        <v>21</v>
      </c>
      <c r="Y119" s="1107">
        <f t="shared" si="6"/>
        <v>21</v>
      </c>
    </row>
    <row r="120" spans="1:25">
      <c r="A120" s="1727" t="str">
        <f>Gröddata!A26</f>
        <v>Åkerbönor</v>
      </c>
      <c r="B120" s="471">
        <v>3500</v>
      </c>
      <c r="C120" s="2010">
        <v>20</v>
      </c>
      <c r="D120" s="2010">
        <v>15</v>
      </c>
      <c r="E120" s="2010">
        <v>10</v>
      </c>
      <c r="F120" s="2010">
        <v>0</v>
      </c>
      <c r="G120" s="2010">
        <v>0</v>
      </c>
      <c r="H120" s="2010">
        <v>0</v>
      </c>
      <c r="I120" s="2935">
        <v>3</v>
      </c>
      <c r="J120" s="471">
        <v>3500</v>
      </c>
      <c r="K120" s="2937">
        <v>50</v>
      </c>
      <c r="L120" s="1958">
        <v>40</v>
      </c>
      <c r="M120" s="1958">
        <v>20</v>
      </c>
      <c r="N120" s="1958">
        <v>0</v>
      </c>
      <c r="O120" s="1958">
        <v>0</v>
      </c>
      <c r="P120" s="1958">
        <v>10</v>
      </c>
      <c r="R120" s="1108">
        <f>IF(B$96="I",C120,IF(B$96="II",D120,IF(B$96="III",E120,IF(B$96="IVA",F120,IF(B$96="IVB",G120,H120)))))</f>
        <v>0</v>
      </c>
      <c r="S120" s="1108">
        <f>Gröddata!C26</f>
        <v>4000</v>
      </c>
      <c r="T120" s="1107">
        <f t="shared" si="3"/>
        <v>1.5</v>
      </c>
      <c r="U120" s="1107">
        <f t="shared" si="4"/>
        <v>1.5</v>
      </c>
      <c r="V120" s="1108">
        <f t="shared" si="2"/>
        <v>20</v>
      </c>
      <c r="W120" s="1108">
        <f>Gröddata!C26</f>
        <v>4000</v>
      </c>
      <c r="X120" s="1107">
        <f t="shared" si="5"/>
        <v>25</v>
      </c>
      <c r="Y120" s="1107">
        <f t="shared" si="6"/>
        <v>25</v>
      </c>
    </row>
    <row r="121" spans="1:25">
      <c r="A121" s="1713" t="s">
        <v>1011</v>
      </c>
      <c r="B121" s="1641"/>
      <c r="C121" s="1641"/>
      <c r="D121" s="1641"/>
      <c r="E121" s="1641"/>
      <c r="F121" s="1641"/>
      <c r="G121" s="1641"/>
      <c r="H121" s="1641"/>
      <c r="I121" s="1713"/>
      <c r="J121" s="1641"/>
      <c r="K121" s="1715"/>
      <c r="L121" s="1641"/>
      <c r="M121" s="1641"/>
      <c r="N121" s="1641"/>
      <c r="O121" s="1641"/>
      <c r="P121" s="1641"/>
      <c r="R121" s="1108"/>
      <c r="S121" s="1108">
        <f>Gröddata!C27</f>
        <v>0</v>
      </c>
      <c r="T121" s="1107">
        <f t="shared" si="3"/>
        <v>0</v>
      </c>
      <c r="U121" s="1107">
        <f t="shared" si="4"/>
        <v>0</v>
      </c>
      <c r="V121" s="1108">
        <f t="shared" si="2"/>
        <v>0</v>
      </c>
      <c r="W121" s="1108">
        <f>Gröddata!C27</f>
        <v>0</v>
      </c>
      <c r="X121" s="1107">
        <f t="shared" si="5"/>
        <v>0</v>
      </c>
      <c r="Y121" s="1107">
        <f t="shared" si="6"/>
        <v>0</v>
      </c>
    </row>
    <row r="122" spans="1:25">
      <c r="A122" s="1727" t="str">
        <f>Gröddata!A28</f>
        <v>Sockerbetor</v>
      </c>
      <c r="B122" s="471">
        <v>65000</v>
      </c>
      <c r="C122" s="2010">
        <v>60</v>
      </c>
      <c r="D122" s="2010">
        <v>45</v>
      </c>
      <c r="E122" s="2010">
        <v>35</v>
      </c>
      <c r="F122" s="2010">
        <v>25</v>
      </c>
      <c r="G122" s="2010">
        <v>10</v>
      </c>
      <c r="H122" s="2010">
        <v>0</v>
      </c>
      <c r="I122" s="2935">
        <v>0.5</v>
      </c>
      <c r="J122" s="471">
        <v>65000</v>
      </c>
      <c r="K122" s="2937">
        <v>80</v>
      </c>
      <c r="L122" s="1958">
        <v>50</v>
      </c>
      <c r="M122" s="1958">
        <v>30</v>
      </c>
      <c r="N122" s="1958">
        <v>10</v>
      </c>
      <c r="O122" s="1958">
        <v>0</v>
      </c>
      <c r="P122" s="1958">
        <v>1.5</v>
      </c>
      <c r="R122" s="1108">
        <f>IF(B$96="I",C122,IF(B$96="II",D122,IF(B$96="III",E122,IF(B$96="IVA",F122,IF(B$96="IVB",G122,H122)))))</f>
        <v>25</v>
      </c>
      <c r="S122" s="1108">
        <f>Gröddata!C28</f>
        <v>50000</v>
      </c>
      <c r="T122" s="1107">
        <f t="shared" si="3"/>
        <v>17.5</v>
      </c>
      <c r="U122" s="1107">
        <f t="shared" si="4"/>
        <v>17.5</v>
      </c>
      <c r="V122" s="1108">
        <f t="shared" si="2"/>
        <v>30</v>
      </c>
      <c r="W122" s="1108">
        <f>Gröddata!C28</f>
        <v>50000</v>
      </c>
      <c r="X122" s="1107">
        <f t="shared" si="5"/>
        <v>7.5</v>
      </c>
      <c r="Y122" s="1107">
        <f t="shared" si="6"/>
        <v>7.5</v>
      </c>
    </row>
    <row r="123" spans="1:25">
      <c r="A123" s="1727" t="str">
        <f>Gröddata!A29</f>
        <v>Matpotatis (parti)*</v>
      </c>
      <c r="B123" s="471">
        <v>40000</v>
      </c>
      <c r="C123" s="2010">
        <v>50</v>
      </c>
      <c r="D123" s="2010">
        <v>35</v>
      </c>
      <c r="E123" s="2010">
        <v>30</v>
      </c>
      <c r="F123" s="2010">
        <v>30</v>
      </c>
      <c r="G123" s="2010">
        <v>20</v>
      </c>
      <c r="H123" s="2010">
        <v>15</v>
      </c>
      <c r="I123" s="2935">
        <v>0.5</v>
      </c>
      <c r="J123" s="471">
        <v>40000</v>
      </c>
      <c r="K123" s="2937">
        <v>260</v>
      </c>
      <c r="L123" s="1958">
        <v>210</v>
      </c>
      <c r="M123" s="1958">
        <v>160</v>
      </c>
      <c r="N123" s="1958">
        <v>110</v>
      </c>
      <c r="O123" s="1958">
        <v>15</v>
      </c>
      <c r="P123" s="1958">
        <v>4</v>
      </c>
      <c r="R123" s="1108">
        <f>IF(B$96="I",C123,IF(B$96="II",D123,IF(B$96="III",E123,IF(B$96="IVA",F123,IF(B$96="IVB",G123,H123)))))</f>
        <v>30</v>
      </c>
      <c r="S123" s="1108">
        <f>Gröddata!C29</f>
        <v>50000</v>
      </c>
      <c r="T123" s="1107">
        <f t="shared" si="3"/>
        <v>35</v>
      </c>
      <c r="U123" s="1107">
        <f t="shared" si="4"/>
        <v>35</v>
      </c>
      <c r="V123" s="1108">
        <f t="shared" si="2"/>
        <v>160</v>
      </c>
      <c r="W123" s="1108">
        <f>Gröddata!C29</f>
        <v>50000</v>
      </c>
      <c r="X123" s="1107">
        <f t="shared" si="5"/>
        <v>200</v>
      </c>
      <c r="Y123" s="1107">
        <f t="shared" si="6"/>
        <v>200</v>
      </c>
    </row>
    <row r="124" spans="1:25">
      <c r="A124" s="1708" t="s">
        <v>1012</v>
      </c>
      <c r="B124" s="1957"/>
      <c r="C124" s="1957"/>
      <c r="D124" s="1957"/>
      <c r="E124" s="1957"/>
      <c r="F124" s="1957"/>
      <c r="G124" s="1957"/>
      <c r="H124" s="1957"/>
      <c r="I124" s="1708"/>
      <c r="J124" s="1957"/>
      <c r="K124" s="2938"/>
      <c r="L124" s="1957"/>
      <c r="M124" s="1957"/>
      <c r="N124" s="1957"/>
      <c r="O124" s="1957"/>
      <c r="P124" s="1957"/>
      <c r="R124" s="1108"/>
      <c r="S124" s="1108">
        <f>Gröddata!C30</f>
        <v>0</v>
      </c>
      <c r="T124" s="1107">
        <f t="shared" si="3"/>
        <v>0</v>
      </c>
      <c r="U124" s="1107">
        <f t="shared" si="4"/>
        <v>0</v>
      </c>
      <c r="V124" s="1108">
        <f t="shared" si="2"/>
        <v>0</v>
      </c>
      <c r="W124" s="1108">
        <f>Gröddata!C30</f>
        <v>0</v>
      </c>
      <c r="X124" s="1107">
        <f t="shared" si="5"/>
        <v>0</v>
      </c>
      <c r="Y124" s="1107">
        <f t="shared" si="6"/>
        <v>0</v>
      </c>
    </row>
    <row r="125" spans="1:25">
      <c r="A125" s="1727" t="str">
        <f>Gröddata!A31</f>
        <v>Slåttervall, ensilage</v>
      </c>
      <c r="B125" s="471">
        <v>6000</v>
      </c>
      <c r="C125" s="2010">
        <v>25</v>
      </c>
      <c r="D125" s="2010">
        <v>15</v>
      </c>
      <c r="E125" s="2010">
        <v>10</v>
      </c>
      <c r="F125" s="2010">
        <v>0</v>
      </c>
      <c r="G125" s="2010">
        <v>0</v>
      </c>
      <c r="H125" s="2010">
        <v>0</v>
      </c>
      <c r="I125" s="2935">
        <v>3</v>
      </c>
      <c r="J125" s="471">
        <v>6000</v>
      </c>
      <c r="K125" s="2937">
        <v>160</v>
      </c>
      <c r="L125" s="1958">
        <v>120</v>
      </c>
      <c r="M125" s="1958">
        <v>80</v>
      </c>
      <c r="N125" s="1958">
        <v>40</v>
      </c>
      <c r="O125" s="1958">
        <v>0</v>
      </c>
      <c r="P125" s="1958">
        <v>20</v>
      </c>
      <c r="R125" s="1108">
        <f>IF(B$96="I",C125,IF(B$96="II",D125,IF(B$96="III",E125,IF(B$96="IVA",F125,IF(B$96="IVB",G125,H125)))))</f>
        <v>0</v>
      </c>
      <c r="S125" s="1108">
        <f>Gröddata!C31</f>
        <v>9000</v>
      </c>
      <c r="T125" s="1107">
        <f t="shared" si="3"/>
        <v>9</v>
      </c>
      <c r="U125" s="1107">
        <f t="shared" si="4"/>
        <v>9</v>
      </c>
      <c r="V125" s="1108">
        <f t="shared" si="2"/>
        <v>80</v>
      </c>
      <c r="W125" s="1108">
        <f>Gröddata!C31</f>
        <v>9000</v>
      </c>
      <c r="X125" s="1107">
        <f t="shared" si="5"/>
        <v>140</v>
      </c>
      <c r="Y125" s="1107">
        <f t="shared" si="6"/>
        <v>140</v>
      </c>
    </row>
    <row r="126" spans="1:25">
      <c r="A126" s="1727" t="str">
        <f>Gröddata!A32</f>
        <v>Helsädesensilage</v>
      </c>
      <c r="B126" s="471">
        <v>6000</v>
      </c>
      <c r="C126" s="2010">
        <v>25</v>
      </c>
      <c r="D126" s="2010">
        <v>15</v>
      </c>
      <c r="E126" s="2010">
        <v>10</v>
      </c>
      <c r="F126" s="2010">
        <v>0</v>
      </c>
      <c r="G126" s="2010">
        <v>0</v>
      </c>
      <c r="H126" s="2010">
        <v>0</v>
      </c>
      <c r="I126" s="2935">
        <v>3</v>
      </c>
      <c r="J126" s="471">
        <v>6000</v>
      </c>
      <c r="K126" s="2937">
        <v>160</v>
      </c>
      <c r="L126" s="1958">
        <v>120</v>
      </c>
      <c r="M126" s="1958">
        <v>80</v>
      </c>
      <c r="N126" s="1958">
        <v>40</v>
      </c>
      <c r="O126" s="1958">
        <v>0</v>
      </c>
      <c r="P126" s="1958">
        <v>20</v>
      </c>
      <c r="R126" s="1108">
        <f>IF(B$96="I",C126,IF(B$96="II",D126,IF(B$96="III",E126,IF(B$96="IVA",F126,IF(B$96="IVB",G126,H126)))))</f>
        <v>0</v>
      </c>
      <c r="S126" s="1108">
        <f>Gröddata!C32</f>
        <v>5000</v>
      </c>
      <c r="T126" s="1107">
        <f t="shared" si="3"/>
        <v>-3</v>
      </c>
      <c r="U126" s="1107">
        <f t="shared" si="4"/>
        <v>0</v>
      </c>
      <c r="V126" s="1108">
        <f t="shared" si="2"/>
        <v>80</v>
      </c>
      <c r="W126" s="1108">
        <f>Gröddata!C32</f>
        <v>5000</v>
      </c>
      <c r="X126" s="1107">
        <f t="shared" si="5"/>
        <v>60</v>
      </c>
      <c r="Y126" s="1107">
        <f t="shared" si="6"/>
        <v>60</v>
      </c>
    </row>
    <row r="127" spans="1:25">
      <c r="A127" s="1727" t="str">
        <f>Gröddata!A33</f>
        <v>Fodermajs</v>
      </c>
      <c r="B127" s="471">
        <v>10000</v>
      </c>
      <c r="C127" s="2010">
        <v>35</v>
      </c>
      <c r="D127" s="2010">
        <v>30</v>
      </c>
      <c r="E127" s="2010">
        <v>25</v>
      </c>
      <c r="F127" s="2010">
        <v>20</v>
      </c>
      <c r="G127" s="2010">
        <v>15</v>
      </c>
      <c r="H127" s="2010">
        <v>15</v>
      </c>
      <c r="I127" s="2935">
        <v>3</v>
      </c>
      <c r="J127" s="471">
        <v>10000</v>
      </c>
      <c r="K127" s="2937">
        <v>160</v>
      </c>
      <c r="L127" s="1958">
        <v>140</v>
      </c>
      <c r="M127" s="1958">
        <v>120</v>
      </c>
      <c r="N127" s="1958">
        <v>80</v>
      </c>
      <c r="O127" s="1958">
        <v>0</v>
      </c>
      <c r="P127" s="1958">
        <v>10</v>
      </c>
      <c r="R127" s="1108">
        <f>IF(B$96="I",C127,IF(B$96="II",D127,IF(B$96="III",E127,IF(B$96="IVA",F127,IF(B$96="IVB",G127,H127)))))</f>
        <v>20</v>
      </c>
      <c r="S127" s="1108">
        <f>Gröddata!C33</f>
        <v>10000</v>
      </c>
      <c r="T127" s="1107">
        <f t="shared" si="3"/>
        <v>20</v>
      </c>
      <c r="U127" s="1107">
        <f t="shared" si="4"/>
        <v>20</v>
      </c>
      <c r="V127" s="1108">
        <f t="shared" si="2"/>
        <v>120</v>
      </c>
      <c r="W127" s="1108">
        <f>Gröddata!C33</f>
        <v>10000</v>
      </c>
      <c r="X127" s="1107">
        <f t="shared" si="5"/>
        <v>120</v>
      </c>
      <c r="Y127" s="1107">
        <f t="shared" si="6"/>
        <v>120</v>
      </c>
    </row>
    <row r="128" spans="1:25">
      <c r="A128" s="1727">
        <f>Gröddata!A34</f>
        <v>0</v>
      </c>
      <c r="B128" s="471"/>
      <c r="C128" s="2010"/>
      <c r="D128" s="2010"/>
      <c r="E128" s="2010"/>
      <c r="F128" s="2010"/>
      <c r="G128" s="2010"/>
      <c r="H128" s="2010"/>
      <c r="I128" s="2935"/>
      <c r="J128" s="471"/>
      <c r="K128" s="2937"/>
      <c r="L128" s="1958"/>
      <c r="M128" s="1958"/>
      <c r="N128" s="1958"/>
      <c r="O128" s="1958"/>
      <c r="P128" s="1958"/>
      <c r="R128" s="1108">
        <f>IF(B$96="I",C128,IF(B$96="II",D128,IF(B$96="III",E128,IF(B$96="IVA",F128,IF(B$96="IVB",G128,H128)))))</f>
        <v>0</v>
      </c>
      <c r="S128" s="1108">
        <f>Gröddata!C34</f>
        <v>0</v>
      </c>
      <c r="T128" s="1108">
        <f t="shared" si="3"/>
        <v>0</v>
      </c>
      <c r="U128" s="1107">
        <f t="shared" si="4"/>
        <v>0</v>
      </c>
      <c r="V128" s="1108">
        <f t="shared" si="2"/>
        <v>0</v>
      </c>
      <c r="W128" s="1108">
        <f>Gröddata!C34</f>
        <v>0</v>
      </c>
      <c r="X128" s="1107">
        <f t="shared" si="5"/>
        <v>0</v>
      </c>
      <c r="Y128" s="1107">
        <f t="shared" si="6"/>
        <v>0</v>
      </c>
    </row>
    <row r="129" spans="1:25">
      <c r="A129" s="362" t="s">
        <v>812</v>
      </c>
      <c r="B129" s="471"/>
      <c r="C129" s="2010"/>
      <c r="D129" s="2010"/>
      <c r="E129" s="2010"/>
      <c r="F129" s="2010"/>
      <c r="G129" s="2010"/>
      <c r="H129" s="2010"/>
      <c r="I129" s="2935"/>
      <c r="J129" s="471"/>
      <c r="K129" s="2937"/>
      <c r="L129" s="1958"/>
      <c r="M129" s="1958"/>
      <c r="N129" s="1958"/>
      <c r="O129" s="1958"/>
      <c r="P129" s="1958"/>
      <c r="R129" s="1108">
        <f t="shared" ref="R129:R136" si="7">IF(B$96="I",C129,IF(B$96="II",D129,IF(B$96="III",E129,IF(B$96="IVA",F129,IF(B$96="IVB",G129,H129)))))</f>
        <v>0</v>
      </c>
      <c r="S129" s="1108">
        <f>Gröddata!C35</f>
        <v>0</v>
      </c>
      <c r="T129" s="1108">
        <f t="shared" ref="T129:T136" si="8">R129+((S129-B129)*(I129/1000))</f>
        <v>0</v>
      </c>
      <c r="U129" s="1107">
        <f t="shared" ref="U129:U136" si="9">IF(T129&gt;0,T129,0)</f>
        <v>0</v>
      </c>
      <c r="V129" s="1108">
        <f t="shared" ref="V129:V136" si="10">IF(C$96="I",K129,IF(C$96="II",L129,IF(C$96="III",M129,IF(C$96="IV",N129,O129))))</f>
        <v>0</v>
      </c>
      <c r="W129" s="1108">
        <f>Gröddata!C35</f>
        <v>0</v>
      </c>
      <c r="X129" s="1107">
        <f t="shared" si="5"/>
        <v>0</v>
      </c>
      <c r="Y129" s="1107">
        <f t="shared" ref="Y129:Y136" si="11">IF(X129&gt;0,X129,0)</f>
        <v>0</v>
      </c>
    </row>
    <row r="130" spans="1:25">
      <c r="A130" s="311" t="str">
        <f>Gröddata!A38</f>
        <v>Gröngödsling</v>
      </c>
      <c r="B130" s="471"/>
      <c r="C130" s="2010"/>
      <c r="D130" s="2010"/>
      <c r="E130" s="2010"/>
      <c r="F130" s="2010"/>
      <c r="G130" s="2010"/>
      <c r="H130" s="2010"/>
      <c r="I130" s="2935"/>
      <c r="J130" s="471"/>
      <c r="K130" s="2937"/>
      <c r="L130" s="1958"/>
      <c r="M130" s="1958"/>
      <c r="N130" s="1958"/>
      <c r="O130" s="1958"/>
      <c r="P130" s="1958"/>
      <c r="R130" s="1108">
        <f t="shared" si="7"/>
        <v>0</v>
      </c>
      <c r="S130" s="1108">
        <f>Gröddata!C38</f>
        <v>3000</v>
      </c>
      <c r="T130" s="1108">
        <f t="shared" si="8"/>
        <v>0</v>
      </c>
      <c r="U130" s="1107">
        <f t="shared" si="9"/>
        <v>0</v>
      </c>
      <c r="V130" s="1108">
        <f t="shared" si="10"/>
        <v>0</v>
      </c>
      <c r="W130" s="1108">
        <f>Gröddata!C38</f>
        <v>3000</v>
      </c>
      <c r="X130" s="1107">
        <f t="shared" si="5"/>
        <v>0</v>
      </c>
      <c r="Y130" s="1107">
        <f t="shared" si="11"/>
        <v>0</v>
      </c>
    </row>
    <row r="131" spans="1:25">
      <c r="A131" s="311" t="str">
        <f>Gröddata!A39</f>
        <v>Fröodling</v>
      </c>
      <c r="B131" s="471">
        <v>600</v>
      </c>
      <c r="C131" s="2010">
        <v>25</v>
      </c>
      <c r="D131" s="2010">
        <v>15</v>
      </c>
      <c r="E131" s="2010">
        <v>10</v>
      </c>
      <c r="F131" s="2010">
        <v>0</v>
      </c>
      <c r="G131" s="2010">
        <v>0</v>
      </c>
      <c r="H131" s="2010">
        <v>0</v>
      </c>
      <c r="I131" s="2935">
        <v>3</v>
      </c>
      <c r="J131" s="471">
        <v>600</v>
      </c>
      <c r="K131" s="2937">
        <v>160</v>
      </c>
      <c r="L131" s="1958">
        <v>120</v>
      </c>
      <c r="M131" s="1958">
        <v>80</v>
      </c>
      <c r="N131" s="1958">
        <v>40</v>
      </c>
      <c r="O131" s="1958">
        <v>0</v>
      </c>
      <c r="P131" s="1958">
        <v>0</v>
      </c>
      <c r="R131" s="1108">
        <f t="shared" si="7"/>
        <v>0</v>
      </c>
      <c r="S131" s="1108">
        <f>Gröddata!C39</f>
        <v>600</v>
      </c>
      <c r="T131" s="1108">
        <f t="shared" si="8"/>
        <v>0</v>
      </c>
      <c r="U131" s="1107">
        <f t="shared" si="9"/>
        <v>0</v>
      </c>
      <c r="V131" s="1108">
        <f t="shared" si="10"/>
        <v>80</v>
      </c>
      <c r="W131" s="1108">
        <f>Gröddata!C39</f>
        <v>600</v>
      </c>
      <c r="X131" s="1107">
        <f t="shared" si="5"/>
        <v>80</v>
      </c>
      <c r="Y131" s="1107">
        <f t="shared" si="11"/>
        <v>80</v>
      </c>
    </row>
    <row r="132" spans="1:25">
      <c r="A132" s="311">
        <f>Gröddata!A40</f>
        <v>0</v>
      </c>
      <c r="B132" s="471"/>
      <c r="C132" s="484"/>
      <c r="D132" s="484"/>
      <c r="E132" s="484"/>
      <c r="F132" s="484"/>
      <c r="G132" s="484"/>
      <c r="H132" s="484"/>
      <c r="I132" s="2936"/>
      <c r="J132" s="471"/>
      <c r="K132" s="2939"/>
      <c r="L132" s="484"/>
      <c r="M132" s="484"/>
      <c r="N132" s="484"/>
      <c r="O132" s="484"/>
      <c r="P132" s="484"/>
      <c r="R132" s="1108">
        <f t="shared" si="7"/>
        <v>0</v>
      </c>
      <c r="S132" s="1108">
        <f>Gröddata!C40</f>
        <v>0</v>
      </c>
      <c r="T132" s="1108">
        <f t="shared" si="8"/>
        <v>0</v>
      </c>
      <c r="U132" s="1107">
        <f t="shared" si="9"/>
        <v>0</v>
      </c>
      <c r="V132" s="1108">
        <f t="shared" si="10"/>
        <v>0</v>
      </c>
      <c r="W132" s="1108">
        <f>Gröddata!C40</f>
        <v>0</v>
      </c>
      <c r="X132" s="1107">
        <f t="shared" si="5"/>
        <v>0</v>
      </c>
      <c r="Y132" s="1107">
        <f t="shared" si="11"/>
        <v>0</v>
      </c>
    </row>
    <row r="133" spans="1:25">
      <c r="A133" s="311">
        <f>Gröddata!A41</f>
        <v>0</v>
      </c>
      <c r="B133" s="471"/>
      <c r="C133" s="484"/>
      <c r="D133" s="484"/>
      <c r="E133" s="484"/>
      <c r="F133" s="484"/>
      <c r="G133" s="484"/>
      <c r="H133" s="484"/>
      <c r="I133" s="2936"/>
      <c r="J133" s="471"/>
      <c r="K133" s="2939"/>
      <c r="L133" s="484"/>
      <c r="M133" s="484"/>
      <c r="N133" s="484"/>
      <c r="O133" s="484"/>
      <c r="P133" s="484"/>
      <c r="R133" s="1108">
        <f t="shared" si="7"/>
        <v>0</v>
      </c>
      <c r="S133" s="1108">
        <f>Gröddata!C41</f>
        <v>0</v>
      </c>
      <c r="T133" s="1108">
        <f t="shared" si="8"/>
        <v>0</v>
      </c>
      <c r="U133" s="1107">
        <f t="shared" si="9"/>
        <v>0</v>
      </c>
      <c r="V133" s="1108">
        <f t="shared" si="10"/>
        <v>0</v>
      </c>
      <c r="W133" s="1108">
        <f>Gröddata!C41</f>
        <v>0</v>
      </c>
      <c r="X133" s="1107">
        <f t="shared" si="5"/>
        <v>0</v>
      </c>
      <c r="Y133" s="1107">
        <f t="shared" si="11"/>
        <v>0</v>
      </c>
    </row>
    <row r="134" spans="1:25">
      <c r="A134" s="311">
        <f>Gröddata!A42</f>
        <v>0</v>
      </c>
      <c r="B134" s="471"/>
      <c r="C134" s="484"/>
      <c r="D134" s="484"/>
      <c r="E134" s="484"/>
      <c r="F134" s="484"/>
      <c r="G134" s="484"/>
      <c r="H134" s="484"/>
      <c r="I134" s="2936"/>
      <c r="J134" s="471"/>
      <c r="K134" s="2939"/>
      <c r="L134" s="484"/>
      <c r="M134" s="484"/>
      <c r="N134" s="484"/>
      <c r="O134" s="484"/>
      <c r="P134" s="484"/>
      <c r="R134" s="1108">
        <f t="shared" si="7"/>
        <v>0</v>
      </c>
      <c r="S134" s="1108">
        <f>Gröddata!C42</f>
        <v>0</v>
      </c>
      <c r="T134" s="1108">
        <f t="shared" si="8"/>
        <v>0</v>
      </c>
      <c r="U134" s="1107">
        <f t="shared" si="9"/>
        <v>0</v>
      </c>
      <c r="V134" s="1108">
        <f t="shared" si="10"/>
        <v>0</v>
      </c>
      <c r="W134" s="1108">
        <f>Gröddata!C42</f>
        <v>0</v>
      </c>
      <c r="X134" s="1107">
        <f t="shared" si="5"/>
        <v>0</v>
      </c>
      <c r="Y134" s="1107">
        <f t="shared" si="11"/>
        <v>0</v>
      </c>
    </row>
    <row r="135" spans="1:25">
      <c r="A135" s="311">
        <f>Gröddata!A43</f>
        <v>0</v>
      </c>
      <c r="B135" s="471"/>
      <c r="C135" s="484"/>
      <c r="D135" s="484"/>
      <c r="E135" s="484"/>
      <c r="F135" s="484"/>
      <c r="G135" s="484"/>
      <c r="H135" s="484"/>
      <c r="I135" s="2936"/>
      <c r="J135" s="471"/>
      <c r="K135" s="2939"/>
      <c r="L135" s="484"/>
      <c r="M135" s="484"/>
      <c r="N135" s="484"/>
      <c r="O135" s="484"/>
      <c r="P135" s="484"/>
      <c r="R135" s="1108">
        <f t="shared" si="7"/>
        <v>0</v>
      </c>
      <c r="S135" s="1108">
        <f>Gröddata!C43</f>
        <v>0</v>
      </c>
      <c r="T135" s="1108">
        <f t="shared" si="8"/>
        <v>0</v>
      </c>
      <c r="U135" s="1107">
        <f t="shared" si="9"/>
        <v>0</v>
      </c>
      <c r="V135" s="1108">
        <f t="shared" si="10"/>
        <v>0</v>
      </c>
      <c r="W135" s="1108">
        <f>Gröddata!C43</f>
        <v>0</v>
      </c>
      <c r="X135" s="1107">
        <f t="shared" si="5"/>
        <v>0</v>
      </c>
      <c r="Y135" s="1107">
        <f t="shared" si="11"/>
        <v>0</v>
      </c>
    </row>
    <row r="136" spans="1:25">
      <c r="A136" s="311">
        <f>Gröddata!A44</f>
        <v>0</v>
      </c>
      <c r="B136" s="471"/>
      <c r="C136" s="484"/>
      <c r="D136" s="484"/>
      <c r="E136" s="484"/>
      <c r="F136" s="484"/>
      <c r="G136" s="484"/>
      <c r="H136" s="484"/>
      <c r="I136" s="2936"/>
      <c r="J136" s="471"/>
      <c r="K136" s="2939"/>
      <c r="L136" s="484"/>
      <c r="M136" s="484"/>
      <c r="N136" s="484"/>
      <c r="O136" s="484"/>
      <c r="P136" s="484"/>
      <c r="R136" s="1108">
        <f t="shared" si="7"/>
        <v>0</v>
      </c>
      <c r="S136" s="1108">
        <f>Gröddata!C44</f>
        <v>0</v>
      </c>
      <c r="T136" s="1108">
        <f t="shared" si="8"/>
        <v>0</v>
      </c>
      <c r="U136" s="1107">
        <f t="shared" si="9"/>
        <v>0</v>
      </c>
      <c r="V136" s="1108">
        <f t="shared" si="10"/>
        <v>0</v>
      </c>
      <c r="W136" s="1108">
        <f>Gröddata!C44</f>
        <v>0</v>
      </c>
      <c r="X136" s="1107">
        <f t="shared" si="5"/>
        <v>0</v>
      </c>
      <c r="Y136" s="1107">
        <f t="shared" si="11"/>
        <v>0</v>
      </c>
    </row>
  </sheetData>
  <sheetProtection sheet="1" objects="1" scenarios="1"/>
  <protectedRanges>
    <protectedRange sqref="C132:I136 K132:P136" name="Område1"/>
  </protectedRanges>
  <pageMargins left="0.7" right="0.7" top="0.75" bottom="0.75" header="0.3" footer="0.3"/>
  <pageSetup paperSize="9" orientation="portrait"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6">
    <tabColor theme="4" tint="0.39997558519241921"/>
  </sheetPr>
  <dimension ref="B1:AQ259"/>
  <sheetViews>
    <sheetView zoomScale="80" zoomScaleNormal="80" zoomScaleSheetLayoutView="100" workbookViewId="0">
      <selection activeCell="S8" sqref="S8"/>
    </sheetView>
  </sheetViews>
  <sheetFormatPr defaultColWidth="9.140625" defaultRowHeight="12.75"/>
  <cols>
    <col min="1" max="1" width="3.7109375" style="1733" customWidth="1"/>
    <col min="2" max="2" width="1.5703125" style="1733" customWidth="1"/>
    <col min="3" max="3" width="19.85546875" style="1733" customWidth="1"/>
    <col min="4" max="4" width="1.28515625" style="1733" customWidth="1"/>
    <col min="5" max="5" width="8.5703125" style="1735" customWidth="1"/>
    <col min="6" max="6" width="8.7109375" style="1735" hidden="1" customWidth="1"/>
    <col min="7" max="7" width="1.28515625" style="1733" customWidth="1"/>
    <col min="8" max="8" width="11.42578125" style="1733" customWidth="1"/>
    <col min="9" max="9" width="1.42578125" style="1733" customWidth="1"/>
    <col min="10" max="10" width="7.42578125" style="1735" customWidth="1"/>
    <col min="11" max="11" width="1.28515625" style="1735" customWidth="1"/>
    <col min="12" max="12" width="7.28515625" style="1735" customWidth="1"/>
    <col min="13" max="13" width="1.28515625" style="1735" customWidth="1"/>
    <col min="14" max="14" width="7.42578125" style="1735" customWidth="1"/>
    <col min="15" max="15" width="0.85546875" style="1733" customWidth="1"/>
    <col min="16" max="16" width="0.42578125" style="1733" customWidth="1"/>
    <col min="17" max="17" width="9.28515625" style="1733" customWidth="1"/>
    <col min="18" max="18" width="1.42578125" style="1733" customWidth="1"/>
    <col min="19" max="19" width="7.42578125" style="1735" customWidth="1"/>
    <col min="20" max="20" width="1.28515625" style="1735" customWidth="1"/>
    <col min="21" max="21" width="7.42578125" style="1735" customWidth="1"/>
    <col min="22" max="22" width="1.42578125" style="1735" customWidth="1"/>
    <col min="23" max="23" width="7.42578125" style="1735" customWidth="1"/>
    <col min="24" max="26" width="1.42578125" style="1733" customWidth="1"/>
    <col min="27" max="27" width="5.85546875" style="1735" customWidth="1"/>
    <col min="28" max="28" width="5.5703125" style="1827" customWidth="1"/>
    <col min="29" max="29" width="1.140625" style="1735" customWidth="1"/>
    <col min="30" max="30" width="11.85546875" style="1827" customWidth="1"/>
    <col min="31" max="33" width="1.42578125" style="1733" customWidth="1"/>
    <col min="34" max="34" width="15" style="1827" customWidth="1"/>
    <col min="35" max="35" width="2.140625" style="1733" customWidth="1"/>
    <col min="36" max="36" width="6.7109375" style="1733" customWidth="1"/>
    <col min="37" max="39" width="9.140625" style="1733"/>
    <col min="40" max="40" width="9.42578125" style="1733" customWidth="1"/>
    <col min="41" max="16384" width="9.140625" style="1733"/>
  </cols>
  <sheetData>
    <row r="1" spans="2:43" ht="50.25" customHeight="1">
      <c r="E1" s="1734" t="s">
        <v>1042</v>
      </c>
      <c r="AB1" s="1733"/>
      <c r="AD1" s="1733"/>
      <c r="AH1" s="1733"/>
    </row>
    <row r="2" spans="2:43" ht="18" customHeight="1">
      <c r="E2" s="1736" t="s">
        <v>1043</v>
      </c>
      <c r="AB2" s="1733"/>
      <c r="AD2" s="1733"/>
      <c r="AH2" s="1733"/>
    </row>
    <row r="3" spans="2:43" ht="18" customHeight="1">
      <c r="E3" s="1736" t="s">
        <v>1044</v>
      </c>
      <c r="H3" s="1735"/>
      <c r="S3" s="1733"/>
      <c r="AB3" s="1733"/>
      <c r="AD3" s="1733"/>
      <c r="AH3" s="1733"/>
    </row>
    <row r="4" spans="2:43" s="1737" customFormat="1" ht="13.5" customHeight="1" thickBot="1">
      <c r="F4" s="1738"/>
      <c r="J4" s="1738"/>
      <c r="K4" s="1739"/>
      <c r="M4" s="1739"/>
      <c r="N4" s="1739"/>
      <c r="S4" s="1738"/>
      <c r="T4" s="1738"/>
      <c r="U4" s="1738"/>
      <c r="V4" s="1738"/>
      <c r="W4" s="1738"/>
      <c r="AA4" s="1738"/>
      <c r="AB4" s="1738"/>
      <c r="AC4" s="1738"/>
      <c r="AH4" s="1738"/>
    </row>
    <row r="5" spans="2:43" s="1737" customFormat="1" ht="9" customHeight="1">
      <c r="B5" s="1740"/>
      <c r="C5" s="1741"/>
      <c r="D5" s="1741"/>
      <c r="E5" s="1742"/>
      <c r="F5" s="1742"/>
      <c r="G5" s="1741"/>
      <c r="H5" s="1741"/>
      <c r="I5" s="1741"/>
      <c r="J5" s="1742"/>
      <c r="K5" s="1742"/>
      <c r="L5" s="1742"/>
      <c r="M5" s="1742"/>
      <c r="N5" s="1742"/>
      <c r="O5" s="1741"/>
      <c r="P5" s="1741"/>
      <c r="Q5" s="1741"/>
      <c r="R5" s="1741"/>
      <c r="S5" s="1742"/>
      <c r="T5" s="1742"/>
      <c r="U5" s="1742"/>
      <c r="V5" s="1742"/>
      <c r="W5" s="1742"/>
      <c r="X5" s="1743"/>
      <c r="Z5" s="1740"/>
      <c r="AA5" s="1742"/>
      <c r="AB5" s="1742"/>
      <c r="AC5" s="1742"/>
      <c r="AD5" s="1741"/>
      <c r="AE5" s="1741"/>
      <c r="AF5" s="1744"/>
      <c r="AG5" s="1740"/>
      <c r="AH5" s="1742"/>
      <c r="AI5" s="1743"/>
      <c r="AJ5" s="1745"/>
    </row>
    <row r="6" spans="2:43" s="1737" customFormat="1" ht="16.5" customHeight="1">
      <c r="B6" s="1745"/>
      <c r="C6" s="1746" t="s">
        <v>1045</v>
      </c>
      <c r="D6" s="1746"/>
      <c r="E6" s="1747" t="s">
        <v>1046</v>
      </c>
      <c r="F6" s="1747"/>
      <c r="G6" s="1746"/>
      <c r="H6" s="1746"/>
      <c r="I6" s="1746"/>
      <c r="J6" s="1739"/>
      <c r="K6" s="1739"/>
      <c r="L6" s="1739"/>
      <c r="M6" s="1739"/>
      <c r="N6" s="1739"/>
      <c r="O6" s="1746"/>
      <c r="P6" s="1746"/>
      <c r="Q6" s="1746"/>
      <c r="R6" s="1746"/>
      <c r="S6" s="1739"/>
      <c r="T6" s="1739"/>
      <c r="U6" s="1739"/>
      <c r="V6" s="1739"/>
      <c r="W6" s="1739"/>
      <c r="X6" s="1748"/>
      <c r="Z6" s="1745"/>
      <c r="AA6" s="1746" t="s">
        <v>1047</v>
      </c>
      <c r="AB6" s="1739"/>
      <c r="AC6" s="1739"/>
      <c r="AF6" s="1744"/>
      <c r="AG6" s="1745"/>
      <c r="AH6" s="1746" t="s">
        <v>1048</v>
      </c>
      <c r="AI6" s="1748"/>
      <c r="AJ6" s="1745"/>
    </row>
    <row r="7" spans="2:43" s="1737" customFormat="1" ht="16.5" customHeight="1">
      <c r="B7" s="1745"/>
      <c r="C7" s="1746"/>
      <c r="D7" s="1746"/>
      <c r="E7" s="1749" t="s">
        <v>1049</v>
      </c>
      <c r="F7" s="1749"/>
      <c r="G7" s="1746"/>
      <c r="H7" s="1746"/>
      <c r="I7" s="1746"/>
      <c r="J7" s="1739"/>
      <c r="K7" s="1739"/>
      <c r="L7" s="1739"/>
      <c r="M7" s="1739"/>
      <c r="N7" s="1750"/>
      <c r="O7" s="1746"/>
      <c r="P7" s="1746"/>
      <c r="Q7" s="1746"/>
      <c r="R7" s="1746"/>
      <c r="S7" s="1739" t="s">
        <v>1050</v>
      </c>
      <c r="T7" s="1739"/>
      <c r="U7" s="1746"/>
      <c r="V7" s="1746"/>
      <c r="W7" s="1739"/>
      <c r="X7" s="1748"/>
      <c r="Z7" s="1745"/>
      <c r="AA7" s="1737" t="s">
        <v>1051</v>
      </c>
      <c r="AC7" s="1739"/>
      <c r="AF7" s="1744"/>
      <c r="AG7" s="1745"/>
      <c r="AH7" s="1746" t="s">
        <v>1052</v>
      </c>
      <c r="AI7" s="1748"/>
      <c r="AJ7" s="1745"/>
    </row>
    <row r="8" spans="2:43" s="1737" customFormat="1" ht="16.5" customHeight="1">
      <c r="B8" s="1745"/>
      <c r="E8" s="3019" t="s">
        <v>1238</v>
      </c>
      <c r="F8" s="3019"/>
      <c r="G8" s="3019"/>
      <c r="H8" s="3019"/>
      <c r="I8" s="3019"/>
      <c r="J8" s="3019"/>
      <c r="K8" s="3019"/>
      <c r="L8" s="3019"/>
      <c r="O8" s="1746"/>
      <c r="P8" s="1746"/>
      <c r="Q8" s="1746"/>
      <c r="R8" s="1746"/>
      <c r="S8" s="1971">
        <f>Kopplingsfil!C5</f>
        <v>11.3</v>
      </c>
      <c r="T8" s="1751"/>
      <c r="U8" s="1739" t="s">
        <v>103</v>
      </c>
      <c r="V8" s="1739"/>
      <c r="W8" s="1739"/>
      <c r="X8" s="1748"/>
      <c r="Z8" s="1745"/>
      <c r="AA8" s="1737" t="s">
        <v>1054</v>
      </c>
      <c r="AC8" s="1739"/>
      <c r="AF8" s="1744"/>
      <c r="AG8" s="1745"/>
      <c r="AH8" s="1737" t="s">
        <v>1055</v>
      </c>
      <c r="AI8" s="1748"/>
      <c r="AJ8" s="1745"/>
    </row>
    <row r="9" spans="2:43" s="1737" customFormat="1" ht="15.75" customHeight="1" thickBot="1">
      <c r="B9" s="1752"/>
      <c r="C9" s="1753"/>
      <c r="D9" s="1753"/>
      <c r="E9" s="1753"/>
      <c r="F9" s="1753"/>
      <c r="G9" s="1753"/>
      <c r="H9" s="1753"/>
      <c r="I9" s="1753"/>
      <c r="J9" s="1753"/>
      <c r="K9" s="1753"/>
      <c r="L9" s="1753"/>
      <c r="M9" s="1753"/>
      <c r="N9" s="1753"/>
      <c r="O9" s="1753"/>
      <c r="P9" s="1753"/>
      <c r="Q9" s="1753"/>
      <c r="R9" s="1753"/>
      <c r="S9" s="1753"/>
      <c r="T9" s="1753"/>
      <c r="U9" s="1753"/>
      <c r="V9" s="1753"/>
      <c r="W9" s="1754"/>
      <c r="X9" s="1755"/>
      <c r="Z9" s="1745"/>
      <c r="AA9" s="1737" t="s">
        <v>1056</v>
      </c>
      <c r="AB9" s="1739"/>
      <c r="AC9" s="1739"/>
      <c r="AF9" s="1744"/>
      <c r="AG9" s="1745"/>
      <c r="AH9" s="1737" t="s">
        <v>1057</v>
      </c>
      <c r="AI9" s="1748"/>
      <c r="AJ9" s="1745"/>
    </row>
    <row r="10" spans="2:43" s="1737" customFormat="1" ht="6.75" customHeight="1" thickBot="1">
      <c r="B10" s="1756"/>
      <c r="C10" s="1757"/>
      <c r="D10" s="1756"/>
      <c r="E10" s="1758"/>
      <c r="F10" s="1758"/>
      <c r="G10" s="1756"/>
      <c r="H10" s="1756"/>
      <c r="I10" s="1756"/>
      <c r="J10" s="1759"/>
      <c r="K10" s="1760"/>
      <c r="L10" s="1760"/>
      <c r="M10" s="1760"/>
      <c r="N10" s="1758"/>
      <c r="O10" s="1756"/>
      <c r="P10" s="1756"/>
      <c r="Q10" s="1756"/>
      <c r="R10" s="1756"/>
      <c r="S10" s="1758"/>
      <c r="T10" s="1758"/>
      <c r="U10" s="1760"/>
      <c r="V10" s="1760"/>
      <c r="W10" s="1760"/>
      <c r="X10" s="1756"/>
      <c r="Z10" s="1745"/>
      <c r="AB10" s="1739"/>
      <c r="AC10" s="1739"/>
      <c r="AF10" s="1744"/>
      <c r="AG10" s="1745"/>
      <c r="AH10" s="1739"/>
      <c r="AI10" s="1748"/>
      <c r="AJ10" s="1745"/>
    </row>
    <row r="11" spans="2:43" s="1737" customFormat="1" ht="20.25" customHeight="1">
      <c r="B11" s="1740"/>
      <c r="C11" s="1741" t="s">
        <v>1058</v>
      </c>
      <c r="D11" s="1741"/>
      <c r="E11" s="1741"/>
      <c r="F11" s="1741"/>
      <c r="G11" s="1741"/>
      <c r="H11" s="1741"/>
      <c r="I11" s="1741"/>
      <c r="J11" s="1741"/>
      <c r="K11" s="1741"/>
      <c r="L11" s="1741"/>
      <c r="M11" s="1741"/>
      <c r="N11" s="1741"/>
      <c r="O11" s="1741"/>
      <c r="P11" s="1741"/>
      <c r="Q11" s="1741"/>
      <c r="R11" s="1741"/>
      <c r="S11" s="1761"/>
      <c r="T11" s="1761"/>
      <c r="U11" s="1742"/>
      <c r="V11" s="1742"/>
      <c r="W11" s="1742"/>
      <c r="X11" s="1743"/>
      <c r="Z11" s="1745"/>
      <c r="AA11" s="1746" t="s">
        <v>1059</v>
      </c>
      <c r="AF11" s="1744"/>
      <c r="AG11" s="1745"/>
      <c r="AI11" s="1748"/>
      <c r="AJ11" s="1745"/>
      <c r="AL11" s="1737" t="s">
        <v>327</v>
      </c>
    </row>
    <row r="12" spans="2:43" s="1737" customFormat="1" ht="15" customHeight="1">
      <c r="B12" s="1745"/>
      <c r="C12" s="1746" t="s">
        <v>1060</v>
      </c>
      <c r="D12" s="1746"/>
      <c r="E12" s="1739"/>
      <c r="F12" s="1739"/>
      <c r="G12" s="1746"/>
      <c r="H12" s="1746"/>
      <c r="I12" s="1746"/>
      <c r="J12" s="1739"/>
      <c r="K12" s="1739"/>
      <c r="L12" s="1739"/>
      <c r="M12" s="1739"/>
      <c r="N12" s="1739"/>
      <c r="O12" s="1746"/>
      <c r="P12" s="1746"/>
      <c r="Q12" s="1746"/>
      <c r="R12" s="1746"/>
      <c r="S12" s="1739"/>
      <c r="T12" s="1739"/>
      <c r="U12" s="1739"/>
      <c r="V12" s="1739"/>
      <c r="W12" s="1739"/>
      <c r="X12" s="1748"/>
      <c r="Z12" s="1745"/>
      <c r="AA12" s="1737" t="s">
        <v>1061</v>
      </c>
      <c r="AF12" s="1744"/>
      <c r="AG12" s="1745"/>
      <c r="AH12" s="1746" t="s">
        <v>1062</v>
      </c>
      <c r="AI12" s="1748"/>
      <c r="AJ12" s="1745"/>
    </row>
    <row r="13" spans="2:43" ht="6.6" customHeight="1">
      <c r="B13" s="1762"/>
      <c r="C13" s="1763"/>
      <c r="D13" s="1763"/>
      <c r="E13" s="1764"/>
      <c r="F13" s="1764"/>
      <c r="G13" s="1763"/>
      <c r="H13" s="1763"/>
      <c r="I13" s="1763"/>
      <c r="J13" s="1764"/>
      <c r="K13" s="1764"/>
      <c r="L13" s="1764"/>
      <c r="M13" s="1764"/>
      <c r="N13" s="1764"/>
      <c r="O13" s="1763"/>
      <c r="P13" s="1763"/>
      <c r="Q13" s="1763"/>
      <c r="R13" s="1763"/>
      <c r="S13" s="1764"/>
      <c r="T13" s="1764"/>
      <c r="U13" s="1764"/>
      <c r="V13" s="1764"/>
      <c r="W13" s="1764"/>
      <c r="X13" s="1765"/>
      <c r="Z13" s="1762"/>
      <c r="AA13" s="1764"/>
      <c r="AB13" s="1739"/>
      <c r="AC13" s="1764"/>
      <c r="AD13" s="1733"/>
      <c r="AF13" s="1766"/>
      <c r="AG13" s="1762"/>
      <c r="AH13" s="1763"/>
      <c r="AI13" s="1765"/>
      <c r="AJ13" s="1762"/>
    </row>
    <row r="14" spans="2:43" s="1772" customFormat="1">
      <c r="B14" s="1767"/>
      <c r="C14" s="1768" t="s">
        <v>1063</v>
      </c>
      <c r="D14" s="1769"/>
      <c r="E14" s="1770" t="s">
        <v>1064</v>
      </c>
      <c r="F14" s="1770"/>
      <c r="G14" s="1769"/>
      <c r="H14" s="1770" t="s">
        <v>1065</v>
      </c>
      <c r="I14" s="1769"/>
      <c r="J14" s="1768" t="s">
        <v>154</v>
      </c>
      <c r="K14" s="1770"/>
      <c r="L14" s="1768"/>
      <c r="M14" s="1770"/>
      <c r="N14" s="1770"/>
      <c r="O14" s="1769"/>
      <c r="P14" s="1769"/>
      <c r="Q14" s="1770" t="s">
        <v>1066</v>
      </c>
      <c r="R14" s="1769"/>
      <c r="S14" s="1770" t="s">
        <v>139</v>
      </c>
      <c r="T14" s="1770"/>
      <c r="U14" s="1770" t="s">
        <v>1067</v>
      </c>
      <c r="V14" s="1770"/>
      <c r="W14" s="1770" t="s">
        <v>1068</v>
      </c>
      <c r="X14" s="1771"/>
      <c r="Z14" s="1767"/>
      <c r="AA14" s="3020" t="s">
        <v>728</v>
      </c>
      <c r="AB14" s="3021"/>
      <c r="AC14" s="1773"/>
      <c r="AD14" s="1774" t="s">
        <v>1069</v>
      </c>
      <c r="AF14" s="1775"/>
      <c r="AG14" s="1767"/>
      <c r="AH14" s="1776" t="s">
        <v>1070</v>
      </c>
      <c r="AI14" s="1771"/>
      <c r="AJ14" s="1767"/>
      <c r="AM14" s="1773"/>
      <c r="AO14" s="1777"/>
      <c r="AQ14" s="1769"/>
    </row>
    <row r="15" spans="2:43" s="1772" customFormat="1" ht="13.5">
      <c r="B15" s="1767"/>
      <c r="C15" s="1773"/>
      <c r="D15" s="1769"/>
      <c r="E15" s="1770" t="s">
        <v>1071</v>
      </c>
      <c r="F15" s="1770"/>
      <c r="G15" s="1769"/>
      <c r="H15" s="1778" t="s">
        <v>744</v>
      </c>
      <c r="I15" s="1769"/>
      <c r="J15" s="1779" t="s">
        <v>1072</v>
      </c>
      <c r="K15" s="1780"/>
      <c r="L15" s="1781"/>
      <c r="M15" s="1780"/>
      <c r="N15" s="1781"/>
      <c r="O15" s="1769"/>
      <c r="P15" s="1769"/>
      <c r="Q15" s="1770" t="s">
        <v>1073</v>
      </c>
      <c r="R15" s="1769"/>
      <c r="S15" s="1778" t="s">
        <v>1074</v>
      </c>
      <c r="T15" s="1778"/>
      <c r="U15" s="1770" t="s">
        <v>1075</v>
      </c>
      <c r="V15" s="1770"/>
      <c r="W15" s="1778" t="s">
        <v>1076</v>
      </c>
      <c r="X15" s="1771"/>
      <c r="Z15" s="1767"/>
      <c r="AA15" s="3022" t="s">
        <v>1077</v>
      </c>
      <c r="AB15" s="3023"/>
      <c r="AC15" s="1773"/>
      <c r="AD15" s="1774" t="s">
        <v>1078</v>
      </c>
      <c r="AF15" s="1775"/>
      <c r="AG15" s="1767"/>
      <c r="AH15" s="1773"/>
      <c r="AI15" s="1771"/>
      <c r="AJ15" s="1767"/>
      <c r="AM15" s="1773"/>
      <c r="AN15" s="1773"/>
      <c r="AO15" s="1773"/>
      <c r="AQ15" s="1769"/>
    </row>
    <row r="16" spans="2:43" s="1772" customFormat="1" ht="14.25" thickBot="1">
      <c r="B16" s="1767"/>
      <c r="C16" s="1773"/>
      <c r="D16" s="1769"/>
      <c r="E16" s="1773"/>
      <c r="F16" s="1773"/>
      <c r="G16" s="1769"/>
      <c r="H16" s="1778" t="s">
        <v>1079</v>
      </c>
      <c r="I16" s="1769"/>
      <c r="J16" s="1779" t="s">
        <v>1080</v>
      </c>
      <c r="K16" s="1780"/>
      <c r="L16" s="1781"/>
      <c r="M16" s="1782"/>
      <c r="N16" s="1783"/>
      <c r="O16" s="1769"/>
      <c r="P16" s="1769"/>
      <c r="Q16" s="1770" t="s">
        <v>744</v>
      </c>
      <c r="R16" s="1769"/>
      <c r="S16" s="1778" t="s">
        <v>1081</v>
      </c>
      <c r="T16" s="1778"/>
      <c r="U16" s="1778"/>
      <c r="V16" s="1778"/>
      <c r="W16" s="1778" t="s">
        <v>192</v>
      </c>
      <c r="X16" s="1771"/>
      <c r="Z16" s="1767"/>
      <c r="AA16" s="3022" t="s">
        <v>1082</v>
      </c>
      <c r="AB16" s="3023"/>
      <c r="AC16" s="1773"/>
      <c r="AD16" s="1774" t="s">
        <v>1083</v>
      </c>
      <c r="AF16" s="1775"/>
      <c r="AG16" s="1767"/>
      <c r="AH16" s="1784" t="s">
        <v>1084</v>
      </c>
      <c r="AI16" s="1771"/>
      <c r="AJ16" s="1767"/>
      <c r="AM16" s="1773"/>
      <c r="AN16" s="1773"/>
      <c r="AO16" s="1769"/>
      <c r="AQ16" s="1769"/>
    </row>
    <row r="17" spans="2:43" s="1772" customFormat="1" ht="14.25" thickBot="1">
      <c r="B17" s="1767"/>
      <c r="C17" s="1773"/>
      <c r="D17" s="1769"/>
      <c r="E17" s="1773"/>
      <c r="F17" s="1773"/>
      <c r="G17" s="1769"/>
      <c r="H17" s="1769"/>
      <c r="I17" s="1769"/>
      <c r="J17" s="1785"/>
      <c r="K17" s="1764"/>
      <c r="L17" s="1763"/>
      <c r="M17" s="1786"/>
      <c r="N17" s="1763"/>
      <c r="O17" s="1769"/>
      <c r="P17" s="1769"/>
      <c r="Q17" s="1769"/>
      <c r="R17" s="1769"/>
      <c r="S17" s="1769"/>
      <c r="T17" s="1769"/>
      <c r="U17" s="1769"/>
      <c r="V17" s="1769"/>
      <c r="W17" s="1769"/>
      <c r="X17" s="1771"/>
      <c r="Z17" s="1767"/>
      <c r="AA17" s="1787" t="s">
        <v>1085</v>
      </c>
      <c r="AB17" s="1788">
        <v>0</v>
      </c>
      <c r="AC17" s="1773"/>
      <c r="AD17" s="1769"/>
      <c r="AF17" s="1775"/>
      <c r="AG17" s="1767"/>
      <c r="AH17" s="1773"/>
      <c r="AI17" s="1771"/>
      <c r="AJ17" s="1767"/>
      <c r="AM17" s="1769"/>
      <c r="AN17" s="1769"/>
      <c r="AO17" s="1769"/>
      <c r="AQ17" s="1769"/>
    </row>
    <row r="18" spans="2:43" ht="13.15" customHeight="1">
      <c r="B18" s="1762"/>
      <c r="C18" s="1773"/>
      <c r="D18" s="1763"/>
      <c r="E18" s="1764"/>
      <c r="F18" s="1764"/>
      <c r="G18" s="1763"/>
      <c r="H18" s="1770" t="s">
        <v>1086</v>
      </c>
      <c r="I18" s="1763"/>
      <c r="J18" s="1763"/>
      <c r="K18" s="1764"/>
      <c r="L18" s="1763"/>
      <c r="M18" s="1786"/>
      <c r="N18" s="1763"/>
      <c r="O18" s="1763"/>
      <c r="P18" s="1763"/>
      <c r="Q18" s="1770" t="s">
        <v>1086</v>
      </c>
      <c r="R18" s="1763"/>
      <c r="S18" s="1770" t="s">
        <v>1086</v>
      </c>
      <c r="T18" s="1770"/>
      <c r="U18" s="1770" t="s">
        <v>103</v>
      </c>
      <c r="V18" s="1770"/>
      <c r="W18" s="1770" t="s">
        <v>103</v>
      </c>
      <c r="X18" s="1765"/>
      <c r="Z18" s="1762"/>
      <c r="AA18" s="1789" t="s">
        <v>1087</v>
      </c>
      <c r="AB18" s="1788">
        <v>0</v>
      </c>
      <c r="AC18" s="1764"/>
      <c r="AD18" s="1774" t="s">
        <v>1088</v>
      </c>
      <c r="AF18" s="1766"/>
      <c r="AG18" s="1762"/>
      <c r="AH18" s="1776" t="s">
        <v>1088</v>
      </c>
      <c r="AI18" s="1765"/>
      <c r="AJ18" s="1762"/>
      <c r="AM18" s="1773"/>
      <c r="AN18" s="1773"/>
      <c r="AO18" s="1763"/>
      <c r="AQ18" s="1763"/>
    </row>
    <row r="19" spans="2:43" ht="5.45" customHeight="1">
      <c r="B19" s="1762"/>
      <c r="C19" s="1763"/>
      <c r="D19" s="1763"/>
      <c r="E19" s="1764"/>
      <c r="F19" s="1764"/>
      <c r="G19" s="1763"/>
      <c r="H19" s="1763"/>
      <c r="I19" s="1763"/>
      <c r="J19" s="1785"/>
      <c r="K19" s="1786"/>
      <c r="L19" s="1785"/>
      <c r="M19" s="1786"/>
      <c r="N19" s="1785"/>
      <c r="O19" s="1763"/>
      <c r="P19" s="1763"/>
      <c r="Q19" s="1764"/>
      <c r="R19" s="1763"/>
      <c r="S19" s="1764"/>
      <c r="T19" s="1764"/>
      <c r="U19" s="1764"/>
      <c r="V19" s="1764"/>
      <c r="W19" s="1764"/>
      <c r="X19" s="1765"/>
      <c r="Z19" s="1762"/>
      <c r="AA19" s="1764"/>
      <c r="AB19" s="1764"/>
      <c r="AC19" s="1764"/>
      <c r="AD19" s="1764"/>
      <c r="AF19" s="1766"/>
      <c r="AG19" s="1762"/>
      <c r="AH19" s="1764"/>
      <c r="AI19" s="1765"/>
      <c r="AJ19" s="1762"/>
      <c r="AM19" s="1764"/>
      <c r="AN19" s="1764"/>
      <c r="AO19" s="1763"/>
      <c r="AQ19" s="1763"/>
    </row>
    <row r="20" spans="2:43" ht="15">
      <c r="B20" s="1762"/>
      <c r="C20" s="1768" t="s">
        <v>1089</v>
      </c>
      <c r="D20" s="1790"/>
      <c r="E20" s="1791">
        <v>0.11</v>
      </c>
      <c r="F20" s="1791"/>
      <c r="G20" s="1790"/>
      <c r="H20" s="1792">
        <f>Kopplingsfil!D11</f>
        <v>85</v>
      </c>
      <c r="I20" s="1790"/>
      <c r="J20" s="3024" t="s">
        <v>1090</v>
      </c>
      <c r="K20" s="3024"/>
      <c r="L20" s="3024"/>
      <c r="M20" s="3024"/>
      <c r="N20" s="3024"/>
      <c r="O20" s="1763"/>
      <c r="P20" s="1763"/>
      <c r="Q20" s="2068">
        <f>VLOOKUP(J20,Förfruktseffekter,3)</f>
        <v>0</v>
      </c>
      <c r="R20" s="1763"/>
      <c r="S20" s="2066">
        <f t="shared" ref="S20:S36" si="0">H20+Q20</f>
        <v>85</v>
      </c>
      <c r="T20" s="1793"/>
      <c r="U20" s="1794">
        <f>Kopplingsfil!E11</f>
        <v>1.4</v>
      </c>
      <c r="V20" s="1795"/>
      <c r="W20" s="1794">
        <v>0.25</v>
      </c>
      <c r="X20" s="1765"/>
      <c r="Z20" s="1762"/>
      <c r="AA20" s="3025">
        <f>($AB$17*stallgödseleffekt!$B$14)+($AB$18*stallgödseleffekt!$C$14)</f>
        <v>0</v>
      </c>
      <c r="AB20" s="3026"/>
      <c r="AD20" s="1796">
        <f>VLOOKUP(J20,Förfruktseffekter,2)</f>
        <v>0</v>
      </c>
      <c r="AF20" s="1766"/>
      <c r="AG20" s="1762"/>
      <c r="AH20" s="1797">
        <f>IF(S20&gt;Listor!D2,IF(E$8="Södra Götaland",Giva_S!O8,(IF(E$8="Norra Götaland o Svealand",Giva_N!N8,0))),"-")</f>
        <v>159.57901037472462</v>
      </c>
      <c r="AI20" s="1765"/>
      <c r="AJ20" s="1762"/>
      <c r="AL20" s="1798"/>
      <c r="AM20" s="1799"/>
      <c r="AN20" s="1799"/>
      <c r="AO20" s="1800"/>
      <c r="AQ20" s="1763"/>
    </row>
    <row r="21" spans="2:43" ht="6" customHeight="1">
      <c r="B21" s="1762"/>
      <c r="C21" s="1769"/>
      <c r="D21" s="1763"/>
      <c r="E21" s="1801"/>
      <c r="F21" s="1801"/>
      <c r="G21" s="1763"/>
      <c r="H21" s="1763"/>
      <c r="I21" s="1763"/>
      <c r="J21" s="1802"/>
      <c r="K21" s="1802"/>
      <c r="L21" s="1802"/>
      <c r="M21" s="1802"/>
      <c r="N21" s="1802"/>
      <c r="O21" s="1763"/>
      <c r="P21" s="1763"/>
      <c r="Q21" s="1764"/>
      <c r="R21" s="1763"/>
      <c r="S21" s="1803"/>
      <c r="T21" s="1764"/>
      <c r="U21" s="1764"/>
      <c r="V21" s="1804"/>
      <c r="W21" s="1804"/>
      <c r="X21" s="1765"/>
      <c r="Z21" s="1762"/>
      <c r="AA21" s="1805"/>
      <c r="AB21" s="1805"/>
      <c r="AD21" s="1764"/>
      <c r="AF21" s="1766"/>
      <c r="AG21" s="1762"/>
      <c r="AH21" s="1806"/>
      <c r="AI21" s="1765"/>
      <c r="AJ21" s="1762"/>
      <c r="AL21" s="1798"/>
      <c r="AM21" s="1807"/>
      <c r="AN21" s="1807"/>
      <c r="AO21" s="1800"/>
      <c r="AQ21" s="1763"/>
    </row>
    <row r="22" spans="2:43" ht="15">
      <c r="B22" s="1762"/>
      <c r="C22" s="1768" t="s">
        <v>1091</v>
      </c>
      <c r="D22" s="1790"/>
      <c r="E22" s="1791">
        <v>0.12</v>
      </c>
      <c r="F22" s="1791"/>
      <c r="G22" s="1790"/>
      <c r="H22" s="1792">
        <f>Kopplingsfil!D13</f>
        <v>80</v>
      </c>
      <c r="I22" s="1790"/>
      <c r="J22" s="3024" t="s">
        <v>1090</v>
      </c>
      <c r="K22" s="3024"/>
      <c r="L22" s="3024"/>
      <c r="M22" s="3024"/>
      <c r="N22" s="3024"/>
      <c r="O22" s="1763"/>
      <c r="P22" s="1763"/>
      <c r="Q22" s="2068">
        <f>VLOOKUP(J22,Förfruktseffekter,3)</f>
        <v>0</v>
      </c>
      <c r="R22" s="1763"/>
      <c r="S22" s="2066">
        <f t="shared" si="0"/>
        <v>80</v>
      </c>
      <c r="T22" s="1793"/>
      <c r="U22" s="1794">
        <f>Kopplingsfil!E13</f>
        <v>1.47</v>
      </c>
      <c r="V22" s="1795"/>
      <c r="W22" s="1794">
        <v>0.25</v>
      </c>
      <c r="X22" s="1765"/>
      <c r="Z22" s="1762"/>
      <c r="AA22" s="3025">
        <f>($AB$17*stallgödseleffekt!$B$14)+($AB$18*stallgödseleffekt!$C$14)</f>
        <v>0</v>
      </c>
      <c r="AB22" s="3026"/>
      <c r="AD22" s="1796">
        <f>VLOOKUP(J22,Förfruktseffekter,2)</f>
        <v>0</v>
      </c>
      <c r="AF22" s="1766"/>
      <c r="AG22" s="1762"/>
      <c r="AH22" s="1808">
        <f>IF(S22&gt;Listor!D4,IF(E$8="Södra Götaland",Giva_S!O10,(IF(E$8="Norra Götaland o Svealand",Giva_N!N10,0))),"-")</f>
        <v>155.4955230549366</v>
      </c>
      <c r="AI22" s="1765"/>
      <c r="AJ22" s="1762"/>
      <c r="AL22" s="1798"/>
      <c r="AM22" s="1799"/>
      <c r="AN22" s="1799"/>
      <c r="AO22" s="1800"/>
      <c r="AQ22" s="1763"/>
    </row>
    <row r="23" spans="2:43" ht="6" customHeight="1">
      <c r="B23" s="1762"/>
      <c r="C23" s="1769"/>
      <c r="D23" s="1763"/>
      <c r="E23" s="1801"/>
      <c r="F23" s="1801"/>
      <c r="G23" s="1763"/>
      <c r="H23" s="1763"/>
      <c r="I23" s="1763"/>
      <c r="J23" s="1802"/>
      <c r="K23" s="1802"/>
      <c r="L23" s="1802"/>
      <c r="M23" s="1802"/>
      <c r="N23" s="1802"/>
      <c r="O23" s="1763"/>
      <c r="P23" s="1763"/>
      <c r="Q23" s="1764"/>
      <c r="R23" s="1763"/>
      <c r="S23" s="1803"/>
      <c r="T23" s="1764"/>
      <c r="U23" s="1764"/>
      <c r="V23" s="1804"/>
      <c r="W23" s="1804"/>
      <c r="X23" s="1765"/>
      <c r="Z23" s="1762"/>
      <c r="AA23" s="1805"/>
      <c r="AB23" s="1805"/>
      <c r="AD23" s="1764"/>
      <c r="AF23" s="1766"/>
      <c r="AG23" s="1762"/>
      <c r="AH23" s="1806"/>
      <c r="AI23" s="1765"/>
      <c r="AJ23" s="1762"/>
      <c r="AL23" s="1798"/>
      <c r="AM23" s="1807"/>
      <c r="AN23" s="1807"/>
      <c r="AO23" s="1800"/>
      <c r="AQ23" s="1763"/>
    </row>
    <row r="24" spans="2:43" ht="15">
      <c r="B24" s="1762"/>
      <c r="C24" s="1782" t="s">
        <v>1092</v>
      </c>
      <c r="D24" s="1763"/>
      <c r="E24" s="1791">
        <v>0.13500000000000001</v>
      </c>
      <c r="F24" s="1791"/>
      <c r="G24" s="1763"/>
      <c r="H24" s="1792">
        <f>Kopplingsfil!D15</f>
        <v>50</v>
      </c>
      <c r="I24" s="1763"/>
      <c r="J24" s="3024" t="s">
        <v>1090</v>
      </c>
      <c r="K24" s="3024"/>
      <c r="L24" s="3024"/>
      <c r="M24" s="3024"/>
      <c r="N24" s="3024"/>
      <c r="O24" s="1763"/>
      <c r="P24" s="1763"/>
      <c r="Q24" s="2068">
        <f>VLOOKUP(J24,Förfruktseffekter,5)</f>
        <v>0</v>
      </c>
      <c r="R24" s="1763"/>
      <c r="S24" s="2066">
        <f t="shared" si="0"/>
        <v>50</v>
      </c>
      <c r="T24" s="1793"/>
      <c r="U24" s="1794">
        <f>Kopplingsfil!E15</f>
        <v>1.56</v>
      </c>
      <c r="V24" s="1795"/>
      <c r="W24" s="1794">
        <v>0.25</v>
      </c>
      <c r="X24" s="1765"/>
      <c r="Z24" s="1762"/>
      <c r="AA24" s="3025">
        <f>($AB$17*stallgödseleffekt!$B$14)+($AB$18*stallgödseleffekt!$C$14)</f>
        <v>0</v>
      </c>
      <c r="AB24" s="3026"/>
      <c r="AD24" s="1796">
        <f>VLOOKUP(J24,Förfruktseffekter,4)</f>
        <v>0</v>
      </c>
      <c r="AF24" s="1766"/>
      <c r="AG24" s="1762"/>
      <c r="AH24" s="1808">
        <f>IF(S24&gt;Listor!D5,IF(E$8="Södra Götaland",Giva_S!O12,(IF(E$8="Norra Götaland o Svealand",Giva_N!N12,0))),"-")</f>
        <v>130.10534716629948</v>
      </c>
      <c r="AI24" s="1765"/>
      <c r="AJ24" s="1762"/>
      <c r="AL24" s="1798"/>
      <c r="AM24" s="1799"/>
      <c r="AN24" s="1799"/>
      <c r="AO24" s="1800"/>
      <c r="AQ24" s="1763"/>
    </row>
    <row r="25" spans="2:43" ht="6" customHeight="1">
      <c r="B25" s="1762"/>
      <c r="C25" s="1769"/>
      <c r="D25" s="1763"/>
      <c r="E25" s="1801"/>
      <c r="F25" s="1801"/>
      <c r="G25" s="1763"/>
      <c r="H25" s="1763"/>
      <c r="I25" s="1763"/>
      <c r="J25" s="1802"/>
      <c r="K25" s="1802"/>
      <c r="L25" s="1802"/>
      <c r="M25" s="1802"/>
      <c r="N25" s="1802"/>
      <c r="O25" s="1763"/>
      <c r="P25" s="1763"/>
      <c r="Q25" s="1764"/>
      <c r="R25" s="1763"/>
      <c r="S25" s="1803"/>
      <c r="T25" s="1764"/>
      <c r="U25" s="1764"/>
      <c r="V25" s="1804"/>
      <c r="W25" s="1804"/>
      <c r="X25" s="1765"/>
      <c r="Z25" s="1762"/>
      <c r="AA25" s="1805"/>
      <c r="AB25" s="1805"/>
      <c r="AD25" s="1764"/>
      <c r="AF25" s="1766"/>
      <c r="AG25" s="1762"/>
      <c r="AH25" s="1806"/>
      <c r="AI25" s="1765"/>
      <c r="AJ25" s="1762"/>
      <c r="AL25" s="1798"/>
      <c r="AM25" s="1807"/>
      <c r="AN25" s="1807"/>
      <c r="AO25" s="1800"/>
      <c r="AQ25" s="1763"/>
    </row>
    <row r="26" spans="2:43" ht="15">
      <c r="B26" s="1762"/>
      <c r="C26" s="1782" t="s">
        <v>1093</v>
      </c>
      <c r="D26" s="1763"/>
      <c r="E26" s="1791">
        <v>0.1</v>
      </c>
      <c r="F26" s="1791"/>
      <c r="G26" s="1763"/>
      <c r="H26" s="1792">
        <f>Kopplingsfil!D17</f>
        <v>60</v>
      </c>
      <c r="I26" s="1763"/>
      <c r="J26" s="3024" t="s">
        <v>1090</v>
      </c>
      <c r="K26" s="3024"/>
      <c r="L26" s="3024"/>
      <c r="M26" s="3024"/>
      <c r="N26" s="3024"/>
      <c r="O26" s="1763"/>
      <c r="P26" s="1763"/>
      <c r="Q26" s="2068">
        <f>VLOOKUP(J26,Förfruktseffekter,3)</f>
        <v>0</v>
      </c>
      <c r="R26" s="1763"/>
      <c r="S26" s="2066">
        <f t="shared" si="0"/>
        <v>60</v>
      </c>
      <c r="T26" s="1793"/>
      <c r="U26" s="1794">
        <f>Kopplingsfil!E17</f>
        <v>1.1299999999999999</v>
      </c>
      <c r="V26" s="1795"/>
      <c r="W26" s="1794">
        <v>0.25</v>
      </c>
      <c r="X26" s="1765"/>
      <c r="Z26" s="1762"/>
      <c r="AA26" s="3025">
        <f>($AB$17*stallgödseleffekt!$B$14)+($AB$18*stallgödseleffekt!$C$14)</f>
        <v>0</v>
      </c>
      <c r="AB26" s="3026"/>
      <c r="AD26" s="1796">
        <f>VLOOKUP(J26,Förfruktseffekter,2)</f>
        <v>0</v>
      </c>
      <c r="AF26" s="1766"/>
      <c r="AG26" s="1762"/>
      <c r="AH26" s="1797">
        <f>IF(S26&gt;Listor!D6,IF(E$8="Södra Götaland",Giva_S!O14,(IF(E$8="Norra Götaland o Svealand",Giva_N!N14,0))),"-")</f>
        <v>110.49272492740727</v>
      </c>
      <c r="AI26" s="1765"/>
      <c r="AJ26" s="1762"/>
      <c r="AL26" s="1798"/>
      <c r="AM26" s="1799"/>
      <c r="AN26" s="1799"/>
      <c r="AO26" s="1800"/>
      <c r="AQ26" s="1763"/>
    </row>
    <row r="27" spans="2:43" ht="6" customHeight="1">
      <c r="B27" s="1762"/>
      <c r="C27" s="1769"/>
      <c r="D27" s="1763"/>
      <c r="E27" s="1801"/>
      <c r="F27" s="1801"/>
      <c r="G27" s="1763"/>
      <c r="H27" s="1763"/>
      <c r="I27" s="1763"/>
      <c r="J27" s="1802"/>
      <c r="K27" s="1802"/>
      <c r="L27" s="1802"/>
      <c r="M27" s="1802"/>
      <c r="N27" s="1802"/>
      <c r="O27" s="1763"/>
      <c r="P27" s="1763"/>
      <c r="Q27" s="1764"/>
      <c r="R27" s="1763"/>
      <c r="S27" s="1803"/>
      <c r="T27" s="1764"/>
      <c r="U27" s="1764"/>
      <c r="V27" s="1804"/>
      <c r="W27" s="1804"/>
      <c r="X27" s="1765"/>
      <c r="Z27" s="1762"/>
      <c r="AA27" s="1805"/>
      <c r="AB27" s="1805"/>
      <c r="AD27" s="1764"/>
      <c r="AF27" s="1766"/>
      <c r="AG27" s="1762"/>
      <c r="AH27" s="1806"/>
      <c r="AI27" s="1765"/>
      <c r="AJ27" s="1762"/>
      <c r="AL27" s="1798"/>
      <c r="AM27" s="1807"/>
      <c r="AN27" s="1807"/>
      <c r="AO27" s="1800"/>
      <c r="AQ27" s="1763"/>
    </row>
    <row r="28" spans="2:43" ht="15">
      <c r="B28" s="1762"/>
      <c r="C28" s="1782" t="s">
        <v>1094</v>
      </c>
      <c r="D28" s="1763"/>
      <c r="E28" s="1791">
        <v>0.11</v>
      </c>
      <c r="F28" s="1791"/>
      <c r="G28" s="1763"/>
      <c r="H28" s="1792">
        <f>Kopplingsfil!D19</f>
        <v>55</v>
      </c>
      <c r="I28" s="1763"/>
      <c r="J28" s="3024" t="s">
        <v>1090</v>
      </c>
      <c r="K28" s="3024"/>
      <c r="L28" s="3024"/>
      <c r="M28" s="3024"/>
      <c r="N28" s="3024"/>
      <c r="O28" s="1763"/>
      <c r="P28" s="1763"/>
      <c r="Q28" s="2068">
        <f>VLOOKUP(J28,Förfruktseffekter,5)</f>
        <v>0</v>
      </c>
      <c r="R28" s="1763"/>
      <c r="S28" s="2066">
        <f t="shared" si="0"/>
        <v>55</v>
      </c>
      <c r="T28" s="1793"/>
      <c r="U28" s="1794">
        <f>Kopplingsfil!E19</f>
        <v>1.31</v>
      </c>
      <c r="V28" s="1795"/>
      <c r="W28" s="1794">
        <v>0.25</v>
      </c>
      <c r="X28" s="1765"/>
      <c r="Z28" s="1762"/>
      <c r="AA28" s="3025">
        <f>($AB$17*stallgödseleffekt!$B$14)+($AB$18*stallgödseleffekt!$C$14)</f>
        <v>0</v>
      </c>
      <c r="AB28" s="3026"/>
      <c r="AD28" s="1796">
        <f>VLOOKUP(J28,Förfruktseffekter,4)</f>
        <v>0</v>
      </c>
      <c r="AF28" s="1766"/>
      <c r="AG28" s="1762"/>
      <c r="AH28" s="1797">
        <f>IF(S28&gt;Listor!D7,IF(E$8="Södra Götaland",Giva_S!O16,(IF(E$8="Norra Götaland o Svealand",Giva_N!N16,0))),"-")</f>
        <v>91.353803500011196</v>
      </c>
      <c r="AI28" s="1765"/>
      <c r="AJ28" s="1762"/>
      <c r="AL28" s="1798"/>
      <c r="AM28" s="1799"/>
      <c r="AN28" s="1799"/>
      <c r="AO28" s="1800"/>
      <c r="AQ28" s="1763"/>
    </row>
    <row r="29" spans="2:43" ht="6" customHeight="1">
      <c r="B29" s="1762"/>
      <c r="C29" s="1769"/>
      <c r="D29" s="1763"/>
      <c r="E29" s="1801"/>
      <c r="F29" s="1801"/>
      <c r="G29" s="1763"/>
      <c r="H29" s="1763"/>
      <c r="I29" s="1763"/>
      <c r="J29" s="1802"/>
      <c r="K29" s="1802"/>
      <c r="L29" s="1802"/>
      <c r="M29" s="1802"/>
      <c r="N29" s="1802"/>
      <c r="O29" s="1763"/>
      <c r="P29" s="1763"/>
      <c r="Q29" s="1764"/>
      <c r="R29" s="1763"/>
      <c r="S29" s="1803"/>
      <c r="T29" s="1764"/>
      <c r="U29" s="1764"/>
      <c r="V29" s="1804"/>
      <c r="W29" s="1804"/>
      <c r="X29" s="1765"/>
      <c r="Z29" s="1762"/>
      <c r="AA29" s="1805"/>
      <c r="AB29" s="1805"/>
      <c r="AD29" s="1764"/>
      <c r="AF29" s="1766"/>
      <c r="AG29" s="1762"/>
      <c r="AH29" s="1806"/>
      <c r="AI29" s="1765"/>
      <c r="AJ29" s="1762"/>
      <c r="AM29" s="1764"/>
      <c r="AN29" s="1764"/>
      <c r="AO29" s="1800"/>
      <c r="AQ29" s="1763"/>
    </row>
    <row r="30" spans="2:43" ht="15">
      <c r="B30" s="1762"/>
      <c r="C30" s="1782" t="s">
        <v>1095</v>
      </c>
      <c r="D30" s="1763"/>
      <c r="E30" s="1791">
        <v>0.1</v>
      </c>
      <c r="F30" s="1791"/>
      <c r="G30" s="1763"/>
      <c r="H30" s="1792">
        <f>Kopplingsfil!D21</f>
        <v>55</v>
      </c>
      <c r="I30" s="1763"/>
      <c r="J30" s="3024" t="s">
        <v>1090</v>
      </c>
      <c r="K30" s="3024"/>
      <c r="L30" s="3024"/>
      <c r="M30" s="3024"/>
      <c r="N30" s="3024"/>
      <c r="O30" s="1763"/>
      <c r="P30" s="1763"/>
      <c r="Q30" s="2068">
        <f>VLOOKUP(J30,Förfruktseffekter,5)</f>
        <v>0</v>
      </c>
      <c r="R30" s="1763"/>
      <c r="S30" s="2066">
        <f t="shared" si="0"/>
        <v>55</v>
      </c>
      <c r="T30" s="1793"/>
      <c r="U30" s="1794">
        <f>Kopplingsfil!E21</f>
        <v>1.62</v>
      </c>
      <c r="V30" s="1795"/>
      <c r="W30" s="1794">
        <v>0.25</v>
      </c>
      <c r="X30" s="1765"/>
      <c r="Z30" s="1762"/>
      <c r="AA30" s="3025">
        <f>($AB$17*stallgödseleffekt!$B$14)+($AB$18*stallgödseleffekt!$C$14)</f>
        <v>0</v>
      </c>
      <c r="AB30" s="3026"/>
      <c r="AD30" s="1796">
        <f>VLOOKUP(J30,Förfruktseffekter,4)</f>
        <v>0</v>
      </c>
      <c r="AF30" s="1766"/>
      <c r="AG30" s="1762"/>
      <c r="AH30" s="1797">
        <f>IF(S30&gt;Listor!D8,IF(E$8="Södra Götaland",Giva_S!O18,(IF(E$8="Norra Götaland o Svealand",Giva_N!N18,0))),"-")</f>
        <v>98.17429950000701</v>
      </c>
      <c r="AI30" s="1765"/>
      <c r="AJ30" s="1762"/>
      <c r="AM30" s="1799"/>
      <c r="AN30" s="1799"/>
      <c r="AO30" s="1800"/>
      <c r="AQ30" s="1763"/>
    </row>
    <row r="31" spans="2:43" ht="6" customHeight="1">
      <c r="B31" s="1762"/>
      <c r="C31" s="1769"/>
      <c r="D31" s="1763"/>
      <c r="E31" s="1801"/>
      <c r="F31" s="1801"/>
      <c r="G31" s="1763"/>
      <c r="H31" s="1763"/>
      <c r="I31" s="1763"/>
      <c r="J31" s="1802"/>
      <c r="K31" s="1802"/>
      <c r="L31" s="1802"/>
      <c r="M31" s="1802"/>
      <c r="N31" s="1802"/>
      <c r="O31" s="1763"/>
      <c r="P31" s="1763"/>
      <c r="Q31" s="1764"/>
      <c r="R31" s="1763"/>
      <c r="S31" s="1803"/>
      <c r="T31" s="1764"/>
      <c r="U31" s="1764"/>
      <c r="V31" s="1804"/>
      <c r="W31" s="1804"/>
      <c r="X31" s="1765"/>
      <c r="Z31" s="1762"/>
      <c r="AA31" s="1805"/>
      <c r="AB31" s="1805"/>
      <c r="AD31" s="1764"/>
      <c r="AF31" s="1766"/>
      <c r="AG31" s="1762"/>
      <c r="AH31" s="1806"/>
      <c r="AI31" s="1765"/>
      <c r="AJ31" s="1762"/>
      <c r="AM31" s="1764"/>
      <c r="AN31" s="1764"/>
      <c r="AO31" s="1800"/>
      <c r="AQ31" s="1763"/>
    </row>
    <row r="32" spans="2:43" ht="15">
      <c r="B32" s="1762"/>
      <c r="C32" s="1782" t="s">
        <v>1096</v>
      </c>
      <c r="D32" s="1763"/>
      <c r="E32" s="1791">
        <v>0.1</v>
      </c>
      <c r="F32" s="1791"/>
      <c r="G32" s="1763"/>
      <c r="H32" s="1792">
        <f>Kopplingsfil!D23</f>
        <v>60</v>
      </c>
      <c r="I32" s="1763"/>
      <c r="J32" s="3024" t="s">
        <v>1090</v>
      </c>
      <c r="K32" s="3024"/>
      <c r="L32" s="3024"/>
      <c r="M32" s="3024"/>
      <c r="N32" s="3024"/>
      <c r="O32" s="1763"/>
      <c r="P32" s="1763"/>
      <c r="Q32" s="2068">
        <f>VLOOKUP(J32,Förfruktseffekter,3)</f>
        <v>0</v>
      </c>
      <c r="R32" s="1763"/>
      <c r="S32" s="2066">
        <f t="shared" si="0"/>
        <v>60</v>
      </c>
      <c r="T32" s="1793"/>
      <c r="U32" s="1794">
        <f>Kopplingsfil!E23</f>
        <v>1.1299999999999999</v>
      </c>
      <c r="V32" s="1795"/>
      <c r="W32" s="1794">
        <v>0.25</v>
      </c>
      <c r="X32" s="1765"/>
      <c r="Z32" s="1762"/>
      <c r="AA32" s="3025">
        <f>($AB$17*stallgödseleffekt!$B$14)+($AB$18*stallgödseleffekt!$C$14)</f>
        <v>0</v>
      </c>
      <c r="AB32" s="3026"/>
      <c r="AD32" s="1796">
        <f>VLOOKUP(J32,Förfruktseffekter,2)</f>
        <v>0</v>
      </c>
      <c r="AF32" s="1766"/>
      <c r="AG32" s="1762"/>
      <c r="AH32" s="1797">
        <f>IF(S32&gt;Listor!D9,IF(E$8="Södra Götaland",Giva_S!O20,(IF(E$8="Norra Götaland o Svealand",Giva_N!N20,0))),"-")</f>
        <v>101.04830130099424</v>
      </c>
      <c r="AI32" s="1765"/>
      <c r="AJ32" s="1762"/>
      <c r="AM32" s="1799"/>
      <c r="AN32" s="1799"/>
      <c r="AO32" s="1800"/>
      <c r="AQ32" s="1763"/>
    </row>
    <row r="33" spans="2:43" ht="6" customHeight="1">
      <c r="B33" s="1762"/>
      <c r="C33" s="1769"/>
      <c r="D33" s="1763"/>
      <c r="E33" s="1801"/>
      <c r="F33" s="1801"/>
      <c r="G33" s="1763"/>
      <c r="H33" s="1763"/>
      <c r="I33" s="1763"/>
      <c r="J33" s="1802"/>
      <c r="K33" s="1802"/>
      <c r="L33" s="1802"/>
      <c r="M33" s="1802"/>
      <c r="N33" s="1802"/>
      <c r="O33" s="1763"/>
      <c r="P33" s="1763"/>
      <c r="Q33" s="1764"/>
      <c r="R33" s="1763"/>
      <c r="S33" s="1803"/>
      <c r="T33" s="1764"/>
      <c r="U33" s="1764"/>
      <c r="V33" s="1804"/>
      <c r="W33" s="1804"/>
      <c r="X33" s="1765"/>
      <c r="Z33" s="1762"/>
      <c r="AA33" s="1805"/>
      <c r="AB33" s="1805"/>
      <c r="AD33" s="1764"/>
      <c r="AF33" s="1766"/>
      <c r="AG33" s="1762"/>
      <c r="AH33" s="1806"/>
      <c r="AI33" s="1765"/>
      <c r="AJ33" s="1762"/>
      <c r="AM33" s="1764"/>
      <c r="AN33" s="1764"/>
      <c r="AO33" s="1800"/>
      <c r="AQ33" s="1763"/>
    </row>
    <row r="34" spans="2:43" ht="15">
      <c r="B34" s="1762"/>
      <c r="C34" s="1782" t="s">
        <v>1097</v>
      </c>
      <c r="D34" s="1763"/>
      <c r="E34" s="1791">
        <v>0.1</v>
      </c>
      <c r="F34" s="1791"/>
      <c r="G34" s="1763"/>
      <c r="H34" s="1792">
        <f>Kopplingsfil!D25</f>
        <v>60</v>
      </c>
      <c r="I34" s="1763"/>
      <c r="J34" s="3024" t="s">
        <v>1090</v>
      </c>
      <c r="K34" s="3024"/>
      <c r="L34" s="3024"/>
      <c r="M34" s="3024"/>
      <c r="N34" s="3024"/>
      <c r="O34" s="1763"/>
      <c r="P34" s="1763"/>
      <c r="Q34" s="2068">
        <f>VLOOKUP(J34,Förfruktseffekter,3)</f>
        <v>0</v>
      </c>
      <c r="R34" s="1763"/>
      <c r="S34" s="2066">
        <f t="shared" si="0"/>
        <v>60</v>
      </c>
      <c r="T34" s="1793"/>
      <c r="U34" s="1794">
        <f>Kopplingsfil!E25</f>
        <v>1.25</v>
      </c>
      <c r="V34" s="1795"/>
      <c r="W34" s="1794">
        <v>0.25</v>
      </c>
      <c r="X34" s="1765"/>
      <c r="Z34" s="1762"/>
      <c r="AA34" s="3025">
        <f>($AB$17*stallgödseleffekt!$B$14)+($AB$18*stallgödseleffekt!$C$14)</f>
        <v>0</v>
      </c>
      <c r="AB34" s="3026"/>
      <c r="AD34" s="1796">
        <f>VLOOKUP(J34,Förfruktseffekter,2)</f>
        <v>0</v>
      </c>
      <c r="AF34" s="1766"/>
      <c r="AG34" s="1762"/>
      <c r="AH34" s="1797">
        <f>IF(S34&gt;Listor!D10,IF(E$8="Södra Götaland",Giva_S!O22,(IF(E$8="Norra Götaland o Svealand",Giva_N!N22,0))),"-")</f>
        <v>114.56267346325428</v>
      </c>
      <c r="AI34" s="1765"/>
      <c r="AJ34" s="1762"/>
      <c r="AM34" s="1799"/>
      <c r="AN34" s="1799"/>
      <c r="AO34" s="1800"/>
      <c r="AQ34" s="1763"/>
    </row>
    <row r="35" spans="2:43" ht="6" customHeight="1">
      <c r="B35" s="1762"/>
      <c r="C35" s="1769"/>
      <c r="D35" s="1763"/>
      <c r="E35" s="1801"/>
      <c r="F35" s="1801"/>
      <c r="G35" s="1763"/>
      <c r="H35" s="1763"/>
      <c r="I35" s="1763"/>
      <c r="J35" s="1802"/>
      <c r="K35" s="1802"/>
      <c r="L35" s="1802"/>
      <c r="M35" s="1802"/>
      <c r="N35" s="1802"/>
      <c r="O35" s="1763"/>
      <c r="P35" s="1763"/>
      <c r="Q35" s="1764"/>
      <c r="R35" s="1763"/>
      <c r="S35" s="1803"/>
      <c r="T35" s="1764"/>
      <c r="U35" s="1764"/>
      <c r="V35" s="1804"/>
      <c r="W35" s="1804"/>
      <c r="X35" s="1765"/>
      <c r="Z35" s="1762"/>
      <c r="AA35" s="1805"/>
      <c r="AB35" s="1805"/>
      <c r="AD35" s="1764"/>
      <c r="AF35" s="1766"/>
      <c r="AG35" s="1762"/>
      <c r="AH35" s="1806"/>
      <c r="AI35" s="1765"/>
      <c r="AJ35" s="1762"/>
      <c r="AM35" s="1764"/>
      <c r="AN35" s="1764"/>
      <c r="AO35" s="1800"/>
      <c r="AQ35" s="1763"/>
    </row>
    <row r="36" spans="2:43" ht="15">
      <c r="B36" s="1762"/>
      <c r="C36" s="1782" t="s">
        <v>1098</v>
      </c>
      <c r="D36" s="1763"/>
      <c r="E36" s="1791">
        <v>0.1</v>
      </c>
      <c r="F36" s="1791"/>
      <c r="G36" s="1763"/>
      <c r="H36" s="1792">
        <f>Kopplingsfil!D27</f>
        <v>55</v>
      </c>
      <c r="I36" s="1763"/>
      <c r="J36" s="3024" t="s">
        <v>1090</v>
      </c>
      <c r="K36" s="3024"/>
      <c r="L36" s="3024"/>
      <c r="M36" s="3024"/>
      <c r="N36" s="3024"/>
      <c r="O36" s="1763"/>
      <c r="P36" s="1763"/>
      <c r="Q36" s="2068">
        <f>VLOOKUP(J36,Förfruktseffekter,5)</f>
        <v>0</v>
      </c>
      <c r="R36" s="1763"/>
      <c r="S36" s="2066">
        <f t="shared" si="0"/>
        <v>55</v>
      </c>
      <c r="T36" s="1793"/>
      <c r="U36" s="1794">
        <f>Kopplingsfil!E27</f>
        <v>1.6</v>
      </c>
      <c r="V36" s="1795"/>
      <c r="W36" s="1794">
        <v>0.25</v>
      </c>
      <c r="X36" s="1765"/>
      <c r="Z36" s="1762"/>
      <c r="AA36" s="3025">
        <f>($AB$17*stallgödseleffekt!$B$14)+($AB$18*stallgödseleffekt!$C$14)</f>
        <v>0</v>
      </c>
      <c r="AB36" s="3026"/>
      <c r="AD36" s="1796">
        <f>VLOOKUP(J36,Förfruktseffekter,4)</f>
        <v>0</v>
      </c>
      <c r="AF36" s="1766"/>
      <c r="AG36" s="1762"/>
      <c r="AH36" s="1797">
        <f>IF(S36&gt;Listor!D11,IF(E$8="Södra Götaland",Giva_S!O24,(IF(E$8="Norra Götaland o Svealand",Giva_N!N24,0))),"-")</f>
        <v>99.035812000006459</v>
      </c>
      <c r="AI36" s="1765"/>
      <c r="AJ36" s="1762"/>
      <c r="AM36" s="1799"/>
      <c r="AN36" s="1799"/>
      <c r="AO36" s="1800"/>
      <c r="AQ36" s="1763"/>
    </row>
    <row r="37" spans="2:43" ht="6" customHeight="1">
      <c r="B37" s="1762"/>
      <c r="C37" s="1763"/>
      <c r="D37" s="1763"/>
      <c r="E37" s="1763"/>
      <c r="F37" s="1763"/>
      <c r="G37" s="1763"/>
      <c r="H37" s="1763"/>
      <c r="I37" s="1763"/>
      <c r="J37" s="1809"/>
      <c r="K37" s="1809"/>
      <c r="L37" s="1809"/>
      <c r="M37" s="1809"/>
      <c r="N37" s="1809"/>
      <c r="O37" s="1763"/>
      <c r="P37" s="1763"/>
      <c r="Q37" s="1763"/>
      <c r="R37" s="1763"/>
      <c r="S37" s="1763"/>
      <c r="U37" s="1763"/>
      <c r="V37" s="1810"/>
      <c r="W37" s="1810"/>
      <c r="X37" s="1765"/>
      <c r="Z37" s="1762"/>
      <c r="AA37" s="1772"/>
      <c r="AB37" s="1772"/>
      <c r="AC37" s="1733"/>
      <c r="AD37" s="1733"/>
      <c r="AF37" s="1766"/>
      <c r="AG37" s="1762"/>
      <c r="AH37" s="1806"/>
      <c r="AI37" s="1765"/>
      <c r="AJ37" s="1762"/>
      <c r="AQ37" s="1763"/>
    </row>
    <row r="38" spans="2:43" ht="15">
      <c r="B38" s="1762"/>
      <c r="C38" s="1782" t="s">
        <v>1099</v>
      </c>
      <c r="D38" s="1763"/>
      <c r="E38" s="2273">
        <v>0.4</v>
      </c>
      <c r="F38" s="1791"/>
      <c r="G38" s="1763"/>
      <c r="H38" s="1792">
        <f>Kopplingsfil!D29</f>
        <v>35</v>
      </c>
      <c r="I38" s="1763"/>
      <c r="J38" s="1763"/>
      <c r="K38" s="1763"/>
      <c r="L38" s="1763"/>
      <c r="M38" s="1763"/>
      <c r="N38" s="1763"/>
      <c r="O38" s="1763"/>
      <c r="P38" s="1763"/>
      <c r="Q38" s="1763"/>
      <c r="R38" s="1763"/>
      <c r="S38" s="2067">
        <f>H38</f>
        <v>35</v>
      </c>
      <c r="T38" s="1793"/>
      <c r="U38" s="1794">
        <f>Kopplingsfil!E29</f>
        <v>4.0999999999999996</v>
      </c>
      <c r="V38" s="1795"/>
      <c r="W38" s="1794">
        <v>0.4</v>
      </c>
      <c r="X38" s="1765"/>
      <c r="Z38" s="1762"/>
      <c r="AA38" s="3025">
        <f>($AB$17*stallgödseleffekt!$B$14)+($AB$18*stallgödseleffekt!$C$14)</f>
        <v>0</v>
      </c>
      <c r="AB38" s="3026"/>
      <c r="AD38" s="1733"/>
      <c r="AF38" s="1766"/>
      <c r="AG38" s="1762"/>
      <c r="AH38" s="1797">
        <f>IF(S38&gt;Listor!D12,IF(E$8="Södra Götaland",Giva_S!O26,(IF(E$8="Norra Götaland o Svealand",Giva_N!N26,0))),"-")</f>
        <v>158.47502399999996</v>
      </c>
      <c r="AI38" s="1765"/>
      <c r="AJ38" s="1762"/>
      <c r="AM38" s="1799"/>
      <c r="AN38" s="1799"/>
      <c r="AO38" s="1800"/>
      <c r="AP38" s="1733" t="s">
        <v>327</v>
      </c>
      <c r="AQ38" s="1763"/>
    </row>
    <row r="39" spans="2:43" ht="6" customHeight="1">
      <c r="B39" s="1762"/>
      <c r="C39" s="1769"/>
      <c r="D39" s="1763"/>
      <c r="E39" s="2274"/>
      <c r="F39" s="1801"/>
      <c r="G39" s="1763"/>
      <c r="H39" s="1763"/>
      <c r="I39" s="1763"/>
      <c r="J39" s="1763"/>
      <c r="K39" s="1763"/>
      <c r="L39" s="1763"/>
      <c r="M39" s="1763"/>
      <c r="N39" s="1763"/>
      <c r="O39" s="1763"/>
      <c r="P39" s="1763"/>
      <c r="Q39" s="1763"/>
      <c r="R39" s="1763"/>
      <c r="S39" s="1764"/>
      <c r="T39" s="1764"/>
      <c r="U39" s="1764"/>
      <c r="V39" s="1804"/>
      <c r="W39" s="1804"/>
      <c r="X39" s="1765"/>
      <c r="Z39" s="1762"/>
      <c r="AA39" s="1805"/>
      <c r="AB39" s="1805"/>
      <c r="AD39" s="1733"/>
      <c r="AF39" s="1766"/>
      <c r="AG39" s="1762"/>
      <c r="AH39" s="1806"/>
      <c r="AI39" s="1765"/>
      <c r="AJ39" s="1762"/>
      <c r="AM39" s="1764"/>
      <c r="AN39" s="1764"/>
      <c r="AO39" s="1800"/>
      <c r="AQ39" s="1763"/>
    </row>
    <row r="40" spans="2:43" ht="15">
      <c r="B40" s="1762"/>
      <c r="C40" s="1782" t="s">
        <v>1100</v>
      </c>
      <c r="D40" s="1763"/>
      <c r="E40" s="2273">
        <v>0.4</v>
      </c>
      <c r="F40" s="1791"/>
      <c r="G40" s="1763"/>
      <c r="H40" s="1792">
        <f>Kopplingsfil!D31</f>
        <v>20</v>
      </c>
      <c r="I40" s="1763"/>
      <c r="J40" s="1763"/>
      <c r="K40" s="1763"/>
      <c r="L40" s="1763"/>
      <c r="M40" s="1763"/>
      <c r="N40" s="1763"/>
      <c r="O40" s="1763"/>
      <c r="P40" s="1763"/>
      <c r="Q40" s="1763"/>
      <c r="R40" s="1763"/>
      <c r="S40" s="2067">
        <f>H40</f>
        <v>20</v>
      </c>
      <c r="T40" s="1793"/>
      <c r="U40" s="1794">
        <f>Kopplingsfil!E31</f>
        <v>2.81</v>
      </c>
      <c r="V40" s="1795"/>
      <c r="W40" s="1794">
        <v>0.4</v>
      </c>
      <c r="X40" s="1765"/>
      <c r="Z40" s="1762"/>
      <c r="AA40" s="3025">
        <f>($AB$17*stallgödseleffekt!$B$14)+($AB$18*stallgödseleffekt!$C$14)</f>
        <v>0</v>
      </c>
      <c r="AB40" s="3026"/>
      <c r="AD40" s="1733"/>
      <c r="AF40" s="1766"/>
      <c r="AG40" s="1762"/>
      <c r="AH40" s="1797">
        <f>IF(S40&gt;Listor!D13,IF(E$8="Södra Götaland",Giva_S!O28,(IF(E$8="Norra Götaland o Svealand",Giva_N!N28,0))),"-")</f>
        <v>111.09874600000001</v>
      </c>
      <c r="AI40" s="1765"/>
      <c r="AJ40" s="1762"/>
      <c r="AM40" s="1799"/>
      <c r="AN40" s="1799"/>
      <c r="AO40" s="1800"/>
      <c r="AQ40" s="1763"/>
    </row>
    <row r="41" spans="2:43" ht="6.75" customHeight="1">
      <c r="B41" s="1762"/>
      <c r="C41" s="1769"/>
      <c r="D41" s="1763"/>
      <c r="E41" s="1801"/>
      <c r="F41" s="1801"/>
      <c r="G41" s="1763"/>
      <c r="H41" s="1763"/>
      <c r="I41" s="1763"/>
      <c r="J41" s="1811"/>
      <c r="K41" s="1811"/>
      <c r="L41" s="1811"/>
      <c r="M41" s="1811"/>
      <c r="N41" s="1811"/>
      <c r="O41" s="1763"/>
      <c r="P41" s="1763"/>
      <c r="Q41" s="1763"/>
      <c r="R41" s="1763"/>
      <c r="S41" s="1793"/>
      <c r="T41" s="1793"/>
      <c r="U41" s="1795"/>
      <c r="V41" s="1795"/>
      <c r="W41" s="1795"/>
      <c r="X41" s="1765"/>
      <c r="Z41" s="1762"/>
      <c r="AA41" s="1812"/>
      <c r="AB41" s="1812"/>
      <c r="AC41" s="1764"/>
      <c r="AD41" s="1733"/>
      <c r="AF41" s="1766"/>
      <c r="AG41" s="1762"/>
      <c r="AH41" s="1806"/>
      <c r="AI41" s="1765"/>
      <c r="AJ41" s="1762"/>
      <c r="AM41" s="1799"/>
      <c r="AN41" s="1799"/>
      <c r="AO41" s="1800"/>
      <c r="AQ41" s="1763"/>
    </row>
    <row r="42" spans="2:43" ht="15.75" customHeight="1">
      <c r="B42" s="1762"/>
      <c r="C42" s="1763"/>
      <c r="D42" s="1763"/>
      <c r="E42" s="1763"/>
      <c r="F42" s="1763"/>
      <c r="G42" s="1763"/>
      <c r="H42" s="1770" t="s">
        <v>1101</v>
      </c>
      <c r="I42" s="1763"/>
      <c r="J42" s="1763"/>
      <c r="K42" s="1763"/>
      <c r="L42" s="1763"/>
      <c r="M42" s="1763"/>
      <c r="N42" s="1763"/>
      <c r="O42" s="1763"/>
      <c r="P42" s="1763"/>
      <c r="Q42" s="1782" t="s">
        <v>1102</v>
      </c>
      <c r="R42" s="1763"/>
      <c r="S42" s="1770" t="s">
        <v>1103</v>
      </c>
      <c r="T42" s="1770"/>
      <c r="U42" s="1770" t="s">
        <v>1104</v>
      </c>
      <c r="V42" s="1770"/>
      <c r="W42" s="1770" t="s">
        <v>1105</v>
      </c>
      <c r="X42" s="1765"/>
      <c r="Z42" s="1762"/>
      <c r="AB42" s="1812"/>
      <c r="AC42" s="1764"/>
      <c r="AD42" s="1733"/>
      <c r="AF42" s="1766"/>
      <c r="AG42" s="1762"/>
      <c r="AH42" s="1806"/>
      <c r="AI42" s="1765"/>
      <c r="AJ42" s="1762"/>
      <c r="AM42" s="1799"/>
      <c r="AN42" s="1799"/>
      <c r="AO42" s="1800"/>
      <c r="AQ42" s="1763"/>
    </row>
    <row r="43" spans="2:43" ht="10.5" customHeight="1">
      <c r="B43" s="1762"/>
      <c r="C43" s="1763"/>
      <c r="D43" s="1763"/>
      <c r="E43" s="1764"/>
      <c r="F43" s="1770"/>
      <c r="G43" s="1763"/>
      <c r="H43" s="1770" t="s">
        <v>744</v>
      </c>
      <c r="I43" s="1763"/>
      <c r="J43" s="1764"/>
      <c r="K43" s="1763"/>
      <c r="L43" s="1763"/>
      <c r="M43" s="1763"/>
      <c r="N43" s="1763"/>
      <c r="O43" s="1763"/>
      <c r="P43" s="1763"/>
      <c r="Q43" s="1783"/>
      <c r="R43" s="1763"/>
      <c r="S43" s="1770" t="s">
        <v>1071</v>
      </c>
      <c r="T43" s="1770"/>
      <c r="U43" s="1770" t="s">
        <v>1075</v>
      </c>
      <c r="V43" s="1770"/>
      <c r="W43" s="1778" t="s">
        <v>192</v>
      </c>
      <c r="X43" s="1765"/>
      <c r="Z43" s="1762"/>
      <c r="AA43" s="1813" t="s">
        <v>1106</v>
      </c>
      <c r="AB43" s="1805"/>
      <c r="AC43" s="1764"/>
      <c r="AD43" s="1733"/>
      <c r="AF43" s="1766"/>
      <c r="AG43" s="1762"/>
      <c r="AH43" s="1764"/>
      <c r="AI43" s="1765"/>
      <c r="AJ43" s="1762"/>
      <c r="AM43" s="1764"/>
      <c r="AN43" s="1764"/>
      <c r="AO43" s="1763"/>
      <c r="AQ43" s="1763"/>
    </row>
    <row r="44" spans="2:43" ht="13.5" customHeight="1">
      <c r="B44" s="1762"/>
      <c r="C44" s="1769"/>
      <c r="D44" s="1763"/>
      <c r="E44" s="1764"/>
      <c r="F44" s="1770"/>
      <c r="G44" s="1763"/>
      <c r="H44" s="1770" t="s">
        <v>974</v>
      </c>
      <c r="I44" s="1763"/>
      <c r="J44" s="1764"/>
      <c r="K44" s="1763"/>
      <c r="L44" s="1763"/>
      <c r="M44" s="1763"/>
      <c r="N44" s="1763"/>
      <c r="O44" s="1763"/>
      <c r="P44" s="1763"/>
      <c r="Q44" s="1783"/>
      <c r="R44" s="1763"/>
      <c r="S44" s="1780" t="s">
        <v>120</v>
      </c>
      <c r="T44" s="1770"/>
      <c r="U44" s="1770" t="s">
        <v>1107</v>
      </c>
      <c r="V44" s="1770"/>
      <c r="W44" s="1778" t="s">
        <v>1107</v>
      </c>
      <c r="X44" s="1765"/>
      <c r="Z44" s="1762"/>
      <c r="AA44" s="1813" t="s">
        <v>1108</v>
      </c>
      <c r="AB44" s="1805"/>
      <c r="AC44" s="1764"/>
      <c r="AD44" s="1733"/>
      <c r="AF44" s="1766"/>
      <c r="AG44" s="1762"/>
      <c r="AH44" s="1814" t="s">
        <v>1109</v>
      </c>
      <c r="AI44" s="1765"/>
      <c r="AJ44" s="1762"/>
      <c r="AM44" s="1764"/>
      <c r="AN44" s="1764"/>
      <c r="AO44" s="1763"/>
      <c r="AQ44" s="1763"/>
    </row>
    <row r="45" spans="2:43" ht="5.25" customHeight="1">
      <c r="B45" s="1762"/>
      <c r="C45" s="1763"/>
      <c r="D45" s="1763"/>
      <c r="E45" s="1764"/>
      <c r="F45" s="1764"/>
      <c r="G45" s="1763"/>
      <c r="H45" s="1764"/>
      <c r="I45" s="1763"/>
      <c r="J45" s="1764"/>
      <c r="K45" s="1764"/>
      <c r="L45" s="1764"/>
      <c r="M45" s="1764"/>
      <c r="N45" s="1764"/>
      <c r="O45" s="1763"/>
      <c r="P45" s="1763"/>
      <c r="Q45" s="1763"/>
      <c r="R45" s="1763"/>
      <c r="S45" s="1764"/>
      <c r="T45" s="1764"/>
      <c r="U45" s="1764"/>
      <c r="V45" s="1764"/>
      <c r="W45" s="1764"/>
      <c r="X45" s="1765"/>
      <c r="Z45" s="1762"/>
      <c r="AB45" s="1733"/>
      <c r="AD45" s="1733"/>
      <c r="AF45" s="1766"/>
      <c r="AG45" s="1762"/>
      <c r="AH45" s="1764"/>
      <c r="AI45" s="1765"/>
      <c r="AJ45" s="1762"/>
    </row>
    <row r="46" spans="2:43" ht="16.5" customHeight="1">
      <c r="B46" s="1762"/>
      <c r="C46" s="1782" t="s">
        <v>1110</v>
      </c>
      <c r="D46" s="1763"/>
      <c r="E46" s="1764"/>
      <c r="F46" s="1815"/>
      <c r="G46" s="1763"/>
      <c r="H46" s="1815">
        <f>Kopplingsfil!D33</f>
        <v>9</v>
      </c>
      <c r="I46" s="1763"/>
      <c r="J46" s="1764"/>
      <c r="K46" s="1763"/>
      <c r="L46" s="1763"/>
      <c r="M46" s="1763"/>
      <c r="N46" s="1763"/>
      <c r="O46" s="1763"/>
      <c r="P46" s="1763"/>
      <c r="Q46" s="1783" t="str">
        <f>IF(S46=0,"Gräsvall","Blandvall")</f>
        <v>Gräsvall</v>
      </c>
      <c r="R46" s="1763"/>
      <c r="S46" s="1815">
        <v>0</v>
      </c>
      <c r="T46" s="1793"/>
      <c r="U46" s="1816">
        <f>Kopplingsfil!E33</f>
        <v>1.25</v>
      </c>
      <c r="V46" s="1793"/>
      <c r="W46" s="1792">
        <v>0.5</v>
      </c>
      <c r="X46" s="1765"/>
      <c r="Z46" s="1762"/>
      <c r="AA46" s="3025">
        <f>($AB$17*stallgödseleffekt!$B$14)+($AB$18*stallgödseleffekt!$C$14)</f>
        <v>0</v>
      </c>
      <c r="AB46" s="3026"/>
      <c r="AC46" s="1764"/>
      <c r="AD46" s="1733"/>
      <c r="AF46" s="1766"/>
      <c r="AG46" s="1762"/>
      <c r="AH46" s="1817">
        <f>IF(S46&lt;50,Vall!E2,"-")</f>
        <v>220.24312</v>
      </c>
      <c r="AI46" s="1765"/>
      <c r="AJ46" s="1762"/>
      <c r="AM46" s="1799"/>
      <c r="AN46" s="1806"/>
      <c r="AO46" s="1763"/>
      <c r="AQ46" s="1763"/>
    </row>
    <row r="47" spans="2:43" ht="6.75" customHeight="1">
      <c r="B47" s="1762"/>
      <c r="C47" s="1769"/>
      <c r="D47" s="1763"/>
      <c r="E47" s="1764"/>
      <c r="F47" s="1764"/>
      <c r="G47" s="1763"/>
      <c r="H47" s="1764"/>
      <c r="I47" s="1763"/>
      <c r="J47" s="1764"/>
      <c r="K47" s="1763"/>
      <c r="L47" s="1763"/>
      <c r="M47" s="1763"/>
      <c r="N47" s="1763"/>
      <c r="O47" s="1763"/>
      <c r="P47" s="1763"/>
      <c r="Q47" s="1763"/>
      <c r="R47" s="1763"/>
      <c r="S47" s="1764"/>
      <c r="T47" s="1793"/>
      <c r="U47" s="1804"/>
      <c r="V47" s="1793"/>
      <c r="W47" s="1793"/>
      <c r="X47" s="1765"/>
      <c r="Z47" s="1762"/>
      <c r="AA47" s="1733"/>
      <c r="AB47" s="1733"/>
      <c r="AC47" s="1764"/>
      <c r="AD47" s="1733"/>
      <c r="AF47" s="1766"/>
      <c r="AG47" s="1762"/>
      <c r="AH47" s="1769"/>
      <c r="AI47" s="1765"/>
      <c r="AJ47" s="1762"/>
      <c r="AM47" s="1799"/>
      <c r="AN47" s="1806" t="str">
        <f>IF(H47&gt;Listor!D21,IF(E$8="Sydsverige",Giva_S!O32,(IF(E$8="Norra Götaland o Svealand",Giva_N!N41,0))),"-")</f>
        <v>-</v>
      </c>
      <c r="AO47" s="1763"/>
      <c r="AQ47" s="1763"/>
    </row>
    <row r="48" spans="2:43" ht="16.5" customHeight="1">
      <c r="B48" s="1762"/>
      <c r="C48" s="1782" t="s">
        <v>1111</v>
      </c>
      <c r="D48" s="1763"/>
      <c r="E48" s="1764"/>
      <c r="F48" s="1815"/>
      <c r="G48" s="1763"/>
      <c r="H48" s="1815">
        <f>Kopplingsfil!D35</f>
        <v>9</v>
      </c>
      <c r="I48" s="1763"/>
      <c r="J48" s="1764"/>
      <c r="K48" s="1763"/>
      <c r="L48" s="1763"/>
      <c r="M48" s="1763"/>
      <c r="N48" s="1763"/>
      <c r="O48" s="1763"/>
      <c r="P48" s="1763"/>
      <c r="Q48" s="1783" t="str">
        <f>IF(S48=0,"Gräsvall","Blandvall")</f>
        <v>Gräsvall</v>
      </c>
      <c r="R48" s="1763"/>
      <c r="S48" s="1815">
        <v>0</v>
      </c>
      <c r="T48" s="1793"/>
      <c r="U48" s="1816">
        <f>Kopplingsfil!E35</f>
        <v>1.25</v>
      </c>
      <c r="V48" s="1793"/>
      <c r="W48" s="1792">
        <v>0.6</v>
      </c>
      <c r="X48" s="1765"/>
      <c r="Z48" s="1762"/>
      <c r="AA48" s="3025">
        <f>($AB$17*stallgödseleffekt!$B$14)+($AB$18*stallgödseleffekt!$C$14)</f>
        <v>0</v>
      </c>
      <c r="AB48" s="3026"/>
      <c r="AC48" s="1764"/>
      <c r="AD48" s="1733"/>
      <c r="AF48" s="1766"/>
      <c r="AG48" s="1762"/>
      <c r="AH48" s="1817">
        <f>IF(S48&lt;59,Vall!S3,"-")</f>
        <v>241.5643</v>
      </c>
      <c r="AI48" s="1765"/>
      <c r="AJ48" s="1762"/>
      <c r="AM48" s="1799"/>
      <c r="AN48" s="1806"/>
      <c r="AO48" s="1763"/>
      <c r="AQ48" s="1763"/>
    </row>
    <row r="49" spans="2:43" ht="8.25" customHeight="1" thickBot="1">
      <c r="B49" s="1818"/>
      <c r="C49" s="1819"/>
      <c r="D49" s="1820"/>
      <c r="E49" s="1821"/>
      <c r="F49" s="1821"/>
      <c r="G49" s="1820"/>
      <c r="H49" s="1820"/>
      <c r="I49" s="1820"/>
      <c r="J49" s="1822"/>
      <c r="K49" s="1822"/>
      <c r="L49" s="1822"/>
      <c r="M49" s="1822"/>
      <c r="N49" s="1822"/>
      <c r="O49" s="1820"/>
      <c r="P49" s="1820"/>
      <c r="Q49" s="1820"/>
      <c r="R49" s="1820"/>
      <c r="S49" s="1823"/>
      <c r="T49" s="1823"/>
      <c r="U49" s="1824"/>
      <c r="V49" s="1824"/>
      <c r="W49" s="1824"/>
      <c r="X49" s="1825"/>
      <c r="Z49" s="1818"/>
      <c r="AA49" s="1826"/>
      <c r="AB49" s="1826"/>
      <c r="AC49" s="1826"/>
      <c r="AD49" s="1820"/>
      <c r="AE49" s="1825"/>
      <c r="AF49" s="1766"/>
      <c r="AG49" s="1818"/>
      <c r="AH49" s="1826"/>
      <c r="AI49" s="1825"/>
      <c r="AJ49" s="1762"/>
      <c r="AM49" s="1764"/>
      <c r="AN49" s="1764"/>
      <c r="AO49" s="1763"/>
      <c r="AQ49" s="1763"/>
    </row>
    <row r="50" spans="2:43">
      <c r="AB50" s="1735"/>
      <c r="AD50" s="1733"/>
      <c r="AH50" s="1735"/>
    </row>
    <row r="51" spans="2:43">
      <c r="AB51" s="1735"/>
      <c r="AD51" s="1733"/>
      <c r="AH51" s="1735"/>
    </row>
    <row r="52" spans="2:43">
      <c r="AB52" s="1735"/>
      <c r="AD52" s="1733"/>
      <c r="AH52" s="1735"/>
    </row>
    <row r="53" spans="2:43">
      <c r="AB53" s="1735"/>
      <c r="AD53" s="1733"/>
      <c r="AE53" s="1735"/>
      <c r="AF53" s="1735"/>
      <c r="AG53" s="1735"/>
      <c r="AH53" s="1735"/>
      <c r="AI53" s="1735"/>
      <c r="AJ53" s="1735"/>
    </row>
    <row r="54" spans="2:43">
      <c r="AB54" s="1735"/>
      <c r="AD54" s="1733"/>
      <c r="AH54" s="1735"/>
    </row>
    <row r="55" spans="2:43">
      <c r="AB55" s="1735"/>
      <c r="AD55" s="1733"/>
      <c r="AH55" s="1735"/>
    </row>
    <row r="56" spans="2:43">
      <c r="U56" s="1735" t="s">
        <v>327</v>
      </c>
      <c r="AB56" s="1735"/>
      <c r="AD56" s="1733"/>
      <c r="AH56" s="1735"/>
    </row>
    <row r="57" spans="2:43">
      <c r="AB57" s="1735"/>
      <c r="AD57" s="1733"/>
      <c r="AH57" s="1735"/>
    </row>
    <row r="58" spans="2:43">
      <c r="AB58" s="1735"/>
      <c r="AD58" s="1733"/>
      <c r="AH58" s="1735"/>
    </row>
    <row r="59" spans="2:43">
      <c r="AB59" s="1735"/>
      <c r="AD59" s="1733"/>
      <c r="AH59" s="1735"/>
    </row>
    <row r="60" spans="2:43">
      <c r="AB60" s="1735"/>
      <c r="AD60" s="1733"/>
      <c r="AH60" s="1735"/>
    </row>
    <row r="61" spans="2:43">
      <c r="AB61" s="1735"/>
      <c r="AD61" s="1733"/>
      <c r="AH61" s="1735"/>
    </row>
    <row r="62" spans="2:43">
      <c r="AB62" s="1735"/>
      <c r="AD62" s="1733"/>
      <c r="AH62" s="1735"/>
    </row>
    <row r="63" spans="2:43">
      <c r="AB63" s="1735"/>
      <c r="AD63" s="1733"/>
      <c r="AH63" s="1735"/>
    </row>
    <row r="64" spans="2:43">
      <c r="AB64" s="1735"/>
      <c r="AD64" s="1733"/>
      <c r="AH64" s="1735"/>
    </row>
    <row r="65" spans="28:34">
      <c r="AB65" s="1735"/>
      <c r="AD65" s="1733"/>
      <c r="AH65" s="1735"/>
    </row>
    <row r="66" spans="28:34">
      <c r="AB66" s="1735"/>
      <c r="AD66" s="1733"/>
      <c r="AH66" s="1735"/>
    </row>
    <row r="67" spans="28:34">
      <c r="AB67" s="1735"/>
      <c r="AD67" s="1733"/>
      <c r="AH67" s="1735"/>
    </row>
    <row r="68" spans="28:34">
      <c r="AB68" s="1735"/>
      <c r="AD68" s="1733"/>
      <c r="AH68" s="1735"/>
    </row>
    <row r="69" spans="28:34">
      <c r="AB69" s="1735"/>
      <c r="AD69" s="1733"/>
      <c r="AH69" s="1735"/>
    </row>
    <row r="70" spans="28:34">
      <c r="AB70" s="1735"/>
      <c r="AD70" s="1733"/>
      <c r="AH70" s="1735"/>
    </row>
    <row r="71" spans="28:34">
      <c r="AB71" s="1735"/>
      <c r="AD71" s="1733"/>
      <c r="AH71" s="1735"/>
    </row>
    <row r="72" spans="28:34">
      <c r="AB72" s="1735"/>
      <c r="AD72" s="1733"/>
      <c r="AH72" s="1735"/>
    </row>
    <row r="73" spans="28:34">
      <c r="AB73" s="1735"/>
      <c r="AD73" s="1733"/>
      <c r="AH73" s="1735"/>
    </row>
    <row r="74" spans="28:34">
      <c r="AB74" s="1735"/>
      <c r="AD74" s="1733"/>
      <c r="AH74" s="1735"/>
    </row>
    <row r="75" spans="28:34">
      <c r="AB75" s="1735"/>
      <c r="AD75" s="1733"/>
      <c r="AH75" s="1735"/>
    </row>
    <row r="76" spans="28:34">
      <c r="AB76" s="1735"/>
      <c r="AD76" s="1733"/>
      <c r="AH76" s="1735"/>
    </row>
    <row r="77" spans="28:34">
      <c r="AB77" s="1735"/>
      <c r="AD77" s="1733"/>
      <c r="AH77" s="1735"/>
    </row>
    <row r="78" spans="28:34">
      <c r="AB78" s="1735"/>
      <c r="AD78" s="1733"/>
      <c r="AH78" s="1735"/>
    </row>
    <row r="79" spans="28:34">
      <c r="AB79" s="1735"/>
      <c r="AD79" s="1733"/>
      <c r="AH79" s="1735"/>
    </row>
    <row r="80" spans="28:34">
      <c r="AB80" s="1735"/>
      <c r="AD80" s="1733"/>
      <c r="AH80" s="1735"/>
    </row>
    <row r="81" spans="16:34">
      <c r="AB81" s="1735"/>
      <c r="AD81" s="1733"/>
      <c r="AH81" s="1735"/>
    </row>
    <row r="82" spans="16:34">
      <c r="AB82" s="1735"/>
      <c r="AD82" s="1733"/>
      <c r="AH82" s="1735"/>
    </row>
    <row r="83" spans="16:34">
      <c r="AB83" s="1735"/>
      <c r="AD83" s="1733"/>
      <c r="AH83" s="1735"/>
    </row>
    <row r="84" spans="16:34">
      <c r="AB84" s="1735"/>
      <c r="AD84" s="1733"/>
      <c r="AH84" s="1735"/>
    </row>
    <row r="85" spans="16:34">
      <c r="AB85" s="1735"/>
      <c r="AD85" s="1733"/>
      <c r="AH85" s="1735"/>
    </row>
    <row r="86" spans="16:34">
      <c r="AB86" s="1735"/>
      <c r="AD86" s="1733"/>
      <c r="AH86" s="1735"/>
    </row>
    <row r="87" spans="16:34">
      <c r="AB87" s="1735"/>
      <c r="AD87" s="1733"/>
      <c r="AH87" s="1735"/>
    </row>
    <row r="88" spans="16:34">
      <c r="AB88" s="1735"/>
      <c r="AD88" s="1733"/>
      <c r="AH88" s="1735"/>
    </row>
    <row r="89" spans="16:34">
      <c r="AB89" s="1735"/>
      <c r="AD89" s="1733"/>
      <c r="AH89" s="1735"/>
    </row>
    <row r="90" spans="16:34">
      <c r="AB90" s="1735"/>
      <c r="AD90" s="1733"/>
      <c r="AH90" s="1735"/>
    </row>
    <row r="91" spans="16:34">
      <c r="AB91" s="1735"/>
      <c r="AD91" s="1733"/>
      <c r="AH91" s="1735"/>
    </row>
    <row r="92" spans="16:34">
      <c r="P92" s="1735"/>
      <c r="Q92" s="1735"/>
      <c r="R92" s="1735"/>
      <c r="X92" s="1735"/>
      <c r="Y92" s="1735"/>
      <c r="Z92" s="1735"/>
      <c r="AB92" s="1735"/>
      <c r="AD92" s="1733"/>
      <c r="AH92" s="1735"/>
    </row>
    <row r="93" spans="16:34">
      <c r="P93" s="1735"/>
      <c r="Q93" s="1735"/>
      <c r="R93" s="1735"/>
      <c r="X93" s="1735"/>
      <c r="Y93" s="1735"/>
      <c r="Z93" s="1735"/>
      <c r="AB93" s="1735"/>
      <c r="AD93" s="1733"/>
      <c r="AH93" s="1735"/>
    </row>
    <row r="94" spans="16:34">
      <c r="P94" s="1735"/>
      <c r="Q94" s="1735"/>
      <c r="R94" s="1735"/>
      <c r="X94" s="1735"/>
      <c r="Y94" s="1735"/>
      <c r="Z94" s="1735"/>
      <c r="AB94" s="1735"/>
      <c r="AD94" s="1733"/>
      <c r="AH94" s="1735"/>
    </row>
    <row r="95" spans="16:34">
      <c r="P95" s="1735"/>
      <c r="Q95" s="1735"/>
      <c r="R95" s="1735"/>
      <c r="X95" s="1735"/>
      <c r="Y95" s="1735"/>
      <c r="Z95" s="1735"/>
      <c r="AB95" s="1735"/>
      <c r="AD95" s="1733"/>
      <c r="AH95" s="1735"/>
    </row>
    <row r="96" spans="16:34">
      <c r="P96" s="1735"/>
      <c r="Q96" s="1735"/>
      <c r="R96" s="1735"/>
      <c r="X96" s="1735"/>
      <c r="Y96" s="1735"/>
      <c r="Z96" s="1735"/>
      <c r="AB96" s="1735"/>
      <c r="AD96" s="1733"/>
      <c r="AH96" s="1735"/>
    </row>
    <row r="97" spans="16:34">
      <c r="P97" s="1735"/>
      <c r="Q97" s="1735"/>
      <c r="R97" s="1735"/>
      <c r="X97" s="1735"/>
      <c r="Y97" s="1735"/>
      <c r="Z97" s="1735"/>
      <c r="AB97" s="1735"/>
      <c r="AD97" s="1733"/>
      <c r="AH97" s="1735"/>
    </row>
    <row r="98" spans="16:34">
      <c r="P98" s="1735"/>
      <c r="Q98" s="1735"/>
      <c r="R98" s="1735"/>
      <c r="X98" s="1735"/>
      <c r="Y98" s="1735"/>
      <c r="Z98" s="1735"/>
      <c r="AB98" s="1735"/>
      <c r="AD98" s="1733"/>
      <c r="AH98" s="1735"/>
    </row>
    <row r="99" spans="16:34">
      <c r="P99" s="1735"/>
      <c r="Q99" s="1735"/>
      <c r="R99" s="1735"/>
      <c r="X99" s="1735"/>
      <c r="Y99" s="1735"/>
      <c r="Z99" s="1735"/>
      <c r="AB99" s="1735"/>
      <c r="AD99" s="1733"/>
      <c r="AH99" s="1735"/>
    </row>
    <row r="100" spans="16:34">
      <c r="P100" s="1735"/>
      <c r="Q100" s="1735"/>
      <c r="R100" s="1735"/>
      <c r="X100" s="1735"/>
      <c r="Y100" s="1735"/>
      <c r="Z100" s="1735"/>
      <c r="AB100" s="1735"/>
      <c r="AD100" s="1733"/>
      <c r="AH100" s="1735"/>
    </row>
    <row r="101" spans="16:34">
      <c r="P101" s="1735"/>
      <c r="Q101" s="1735"/>
      <c r="R101" s="1735"/>
      <c r="X101" s="1735"/>
      <c r="Y101" s="1735"/>
      <c r="Z101" s="1735"/>
      <c r="AB101" s="1735"/>
      <c r="AD101" s="1733"/>
      <c r="AH101" s="1735"/>
    </row>
    <row r="102" spans="16:34">
      <c r="P102" s="1735"/>
      <c r="Q102" s="1735"/>
      <c r="R102" s="1735"/>
      <c r="X102" s="1735"/>
      <c r="Y102" s="1735"/>
      <c r="Z102" s="1735"/>
      <c r="AB102" s="1735"/>
      <c r="AD102" s="1733"/>
      <c r="AH102" s="1735"/>
    </row>
    <row r="103" spans="16:34">
      <c r="P103" s="1735"/>
      <c r="Q103" s="1735"/>
      <c r="R103" s="1735"/>
      <c r="X103" s="1735"/>
      <c r="Y103" s="1735"/>
      <c r="Z103" s="1735"/>
      <c r="AB103" s="1735"/>
      <c r="AD103" s="1733"/>
      <c r="AH103" s="1735"/>
    </row>
    <row r="104" spans="16:34">
      <c r="P104" s="1735"/>
      <c r="Q104" s="1735"/>
      <c r="R104" s="1735"/>
      <c r="X104" s="1735"/>
      <c r="Y104" s="1735"/>
      <c r="Z104" s="1735"/>
      <c r="AB104" s="1735"/>
      <c r="AD104" s="1733"/>
      <c r="AH104" s="1735"/>
    </row>
    <row r="105" spans="16:34">
      <c r="P105" s="1735"/>
      <c r="Q105" s="1735"/>
      <c r="R105" s="1735"/>
      <c r="X105" s="1735"/>
      <c r="Y105" s="1735"/>
      <c r="Z105" s="1735"/>
      <c r="AB105" s="1735"/>
      <c r="AD105" s="1733"/>
      <c r="AH105" s="1735"/>
    </row>
    <row r="106" spans="16:34">
      <c r="P106" s="1735"/>
      <c r="Q106" s="1735"/>
      <c r="R106" s="1735"/>
      <c r="X106" s="1735"/>
      <c r="Y106" s="1735"/>
      <c r="Z106" s="1735"/>
      <c r="AB106" s="1735"/>
      <c r="AD106" s="1733"/>
      <c r="AH106" s="1735"/>
    </row>
    <row r="107" spans="16:34">
      <c r="P107" s="1735"/>
      <c r="Q107" s="1735"/>
      <c r="R107" s="1735"/>
      <c r="X107" s="1735"/>
      <c r="Y107" s="1735"/>
      <c r="Z107" s="1735"/>
      <c r="AB107" s="1735"/>
      <c r="AD107" s="1733"/>
      <c r="AH107" s="1735"/>
    </row>
    <row r="108" spans="16:34">
      <c r="P108" s="1735"/>
      <c r="Q108" s="1735"/>
      <c r="R108" s="1735"/>
      <c r="X108" s="1735"/>
      <c r="Y108" s="1735"/>
      <c r="Z108" s="1735"/>
      <c r="AB108" s="1735"/>
      <c r="AD108" s="1733"/>
      <c r="AH108" s="1735"/>
    </row>
    <row r="109" spans="16:34">
      <c r="P109" s="1735"/>
      <c r="Q109" s="1735"/>
      <c r="R109" s="1735"/>
      <c r="X109" s="1735"/>
      <c r="Y109" s="1735"/>
      <c r="Z109" s="1735"/>
      <c r="AB109" s="1735"/>
      <c r="AD109" s="1733"/>
      <c r="AH109" s="1735"/>
    </row>
    <row r="110" spans="16:34">
      <c r="P110" s="1735"/>
      <c r="Q110" s="1735"/>
      <c r="R110" s="1735"/>
      <c r="X110" s="1735"/>
      <c r="Y110" s="1735"/>
      <c r="Z110" s="1735"/>
      <c r="AB110" s="1735"/>
      <c r="AD110" s="1733"/>
      <c r="AH110" s="1735"/>
    </row>
    <row r="111" spans="16:34">
      <c r="P111" s="1735"/>
      <c r="Q111" s="1735"/>
      <c r="R111" s="1735"/>
      <c r="X111" s="1735"/>
      <c r="Y111" s="1735"/>
      <c r="Z111" s="1735"/>
      <c r="AB111" s="1735"/>
      <c r="AD111" s="1733"/>
      <c r="AH111" s="1735"/>
    </row>
    <row r="112" spans="16:34">
      <c r="P112" s="1735"/>
      <c r="Q112" s="1735"/>
      <c r="R112" s="1735"/>
      <c r="X112" s="1735"/>
      <c r="Y112" s="1735"/>
      <c r="Z112" s="1735"/>
      <c r="AB112" s="1735"/>
      <c r="AD112" s="1733"/>
      <c r="AH112" s="1735"/>
    </row>
    <row r="113" spans="16:34">
      <c r="P113" s="1735"/>
      <c r="Q113" s="1735"/>
      <c r="R113" s="1735"/>
      <c r="X113" s="1735"/>
      <c r="Y113" s="1735"/>
      <c r="Z113" s="1735"/>
      <c r="AB113" s="1735"/>
      <c r="AD113" s="1733"/>
      <c r="AH113" s="1735"/>
    </row>
    <row r="114" spans="16:34">
      <c r="P114" s="1735"/>
      <c r="Q114" s="1735"/>
      <c r="R114" s="1735"/>
      <c r="X114" s="1735"/>
      <c r="Y114" s="1735"/>
      <c r="Z114" s="1735"/>
      <c r="AB114" s="1735"/>
      <c r="AD114" s="1733"/>
      <c r="AH114" s="1735"/>
    </row>
    <row r="115" spans="16:34">
      <c r="P115" s="1735"/>
      <c r="Q115" s="1735"/>
      <c r="R115" s="1735"/>
      <c r="X115" s="1735"/>
      <c r="Y115" s="1735"/>
      <c r="Z115" s="1735"/>
      <c r="AB115" s="1735"/>
      <c r="AD115" s="1733"/>
      <c r="AH115" s="1735"/>
    </row>
    <row r="116" spans="16:34">
      <c r="P116" s="1735"/>
      <c r="Q116" s="1735"/>
      <c r="R116" s="1735"/>
      <c r="X116" s="1735"/>
      <c r="Y116" s="1735"/>
      <c r="Z116" s="1735"/>
      <c r="AB116" s="1735"/>
      <c r="AD116" s="1733"/>
      <c r="AH116" s="1735"/>
    </row>
    <row r="117" spans="16:34">
      <c r="P117" s="1735"/>
      <c r="Q117" s="1735"/>
      <c r="R117" s="1735"/>
      <c r="X117" s="1735"/>
      <c r="Y117" s="1735"/>
      <c r="Z117" s="1735"/>
      <c r="AB117" s="1735"/>
      <c r="AD117" s="1733"/>
      <c r="AH117" s="1735"/>
    </row>
    <row r="118" spans="16:34">
      <c r="P118" s="1735"/>
      <c r="Q118" s="1735"/>
      <c r="R118" s="1735"/>
      <c r="X118" s="1735"/>
      <c r="Y118" s="1735"/>
      <c r="Z118" s="1735"/>
      <c r="AB118" s="1735"/>
      <c r="AD118" s="1733"/>
      <c r="AH118" s="1735"/>
    </row>
    <row r="119" spans="16:34">
      <c r="P119" s="1735"/>
      <c r="Q119" s="1735"/>
      <c r="R119" s="1735"/>
      <c r="X119" s="1735"/>
      <c r="Y119" s="1735"/>
      <c r="Z119" s="1735"/>
      <c r="AB119" s="1735"/>
      <c r="AD119" s="1733"/>
      <c r="AH119" s="1735"/>
    </row>
    <row r="120" spans="16:34">
      <c r="P120" s="1735"/>
      <c r="Q120" s="1735"/>
      <c r="R120" s="1735"/>
      <c r="X120" s="1735"/>
      <c r="Y120" s="1735"/>
      <c r="Z120" s="1735"/>
      <c r="AB120" s="1735"/>
      <c r="AD120" s="1733"/>
      <c r="AH120" s="1735"/>
    </row>
    <row r="121" spans="16:34">
      <c r="P121" s="1735"/>
      <c r="Q121" s="1735"/>
      <c r="R121" s="1735"/>
      <c r="X121" s="1735"/>
      <c r="Y121" s="1735"/>
      <c r="Z121" s="1735"/>
      <c r="AB121" s="1735"/>
      <c r="AD121" s="1733"/>
      <c r="AH121" s="1735"/>
    </row>
    <row r="122" spans="16:34">
      <c r="P122" s="1735"/>
      <c r="Q122" s="1735"/>
      <c r="R122" s="1735"/>
      <c r="X122" s="1735"/>
      <c r="Y122" s="1735"/>
      <c r="Z122" s="1735"/>
      <c r="AB122" s="1735"/>
      <c r="AD122" s="1733"/>
      <c r="AH122" s="1735"/>
    </row>
    <row r="123" spans="16:34">
      <c r="P123" s="1735"/>
      <c r="Q123" s="1735"/>
      <c r="R123" s="1735"/>
      <c r="X123" s="1735"/>
      <c r="Y123" s="1735"/>
      <c r="Z123" s="1735"/>
      <c r="AB123" s="1735"/>
      <c r="AD123" s="1733"/>
      <c r="AH123" s="1735"/>
    </row>
    <row r="124" spans="16:34">
      <c r="P124" s="1735"/>
      <c r="Q124" s="1735"/>
      <c r="R124" s="1735"/>
      <c r="X124" s="1735"/>
      <c r="Y124" s="1735"/>
      <c r="Z124" s="1735"/>
      <c r="AB124" s="1735"/>
      <c r="AD124" s="1733"/>
      <c r="AH124" s="1735"/>
    </row>
    <row r="125" spans="16:34">
      <c r="P125" s="1735"/>
      <c r="Q125" s="1735"/>
      <c r="R125" s="1735"/>
      <c r="X125" s="1735"/>
      <c r="Y125" s="1735"/>
      <c r="Z125" s="1735"/>
      <c r="AB125" s="1735"/>
      <c r="AD125" s="1733"/>
      <c r="AH125" s="1735"/>
    </row>
    <row r="126" spans="16:34">
      <c r="P126" s="1735"/>
      <c r="Q126" s="1735"/>
      <c r="R126" s="1735"/>
      <c r="X126" s="1735"/>
      <c r="Y126" s="1735"/>
      <c r="Z126" s="1735"/>
      <c r="AB126" s="1735"/>
      <c r="AD126" s="1733"/>
      <c r="AH126" s="1735"/>
    </row>
    <row r="127" spans="16:34">
      <c r="P127" s="1735"/>
      <c r="Q127" s="1735"/>
      <c r="R127" s="1735"/>
      <c r="X127" s="1735"/>
      <c r="Y127" s="1735"/>
      <c r="Z127" s="1735"/>
      <c r="AB127" s="1735"/>
      <c r="AD127" s="1733"/>
      <c r="AH127" s="1735"/>
    </row>
    <row r="128" spans="16:34">
      <c r="P128" s="1735"/>
      <c r="Q128" s="1735"/>
      <c r="R128" s="1735"/>
      <c r="X128" s="1735"/>
      <c r="Y128" s="1735"/>
      <c r="Z128" s="1735"/>
      <c r="AB128" s="1735"/>
      <c r="AD128" s="1733"/>
      <c r="AH128" s="1735"/>
    </row>
    <row r="129" spans="16:34">
      <c r="P129" s="1735"/>
      <c r="Q129" s="1735"/>
      <c r="R129" s="1735"/>
      <c r="X129" s="1735"/>
      <c r="Y129" s="1735"/>
      <c r="Z129" s="1735"/>
      <c r="AB129" s="1735"/>
      <c r="AD129" s="1733"/>
      <c r="AH129" s="1735"/>
    </row>
    <row r="130" spans="16:34">
      <c r="P130" s="1735"/>
      <c r="Q130" s="1735"/>
      <c r="R130" s="1735"/>
      <c r="X130" s="1735"/>
      <c r="Y130" s="1735"/>
      <c r="Z130" s="1735"/>
      <c r="AB130" s="1735"/>
      <c r="AD130" s="1733"/>
      <c r="AH130" s="1735"/>
    </row>
    <row r="131" spans="16:34">
      <c r="P131" s="1735"/>
      <c r="Q131" s="1735"/>
      <c r="R131" s="1735"/>
      <c r="X131" s="1735"/>
      <c r="Y131" s="1735"/>
      <c r="Z131" s="1735"/>
      <c r="AB131" s="1735"/>
      <c r="AD131" s="1733"/>
      <c r="AH131" s="1735"/>
    </row>
    <row r="132" spans="16:34">
      <c r="P132" s="1735"/>
      <c r="Q132" s="1735"/>
      <c r="R132" s="1735"/>
      <c r="X132" s="1735"/>
      <c r="Y132" s="1735"/>
      <c r="Z132" s="1735"/>
      <c r="AB132" s="1735"/>
      <c r="AD132" s="1733"/>
      <c r="AH132" s="1735"/>
    </row>
    <row r="133" spans="16:34">
      <c r="P133" s="1735"/>
      <c r="Q133" s="1735"/>
      <c r="R133" s="1735"/>
      <c r="X133" s="1735"/>
      <c r="Y133" s="1735"/>
      <c r="Z133" s="1735"/>
      <c r="AB133" s="1735"/>
      <c r="AD133" s="1733"/>
      <c r="AH133" s="1735"/>
    </row>
    <row r="134" spans="16:34">
      <c r="P134" s="1735"/>
      <c r="Q134" s="1735"/>
      <c r="R134" s="1735"/>
      <c r="X134" s="1735"/>
      <c r="Y134" s="1735"/>
      <c r="Z134" s="1735"/>
      <c r="AB134" s="1735"/>
      <c r="AD134" s="1733"/>
      <c r="AH134" s="1735"/>
    </row>
    <row r="135" spans="16:34">
      <c r="P135" s="1735"/>
      <c r="Q135" s="1735"/>
      <c r="R135" s="1735"/>
      <c r="X135" s="1735"/>
      <c r="Y135" s="1735"/>
      <c r="Z135" s="1735"/>
      <c r="AB135" s="1735"/>
      <c r="AD135" s="1733"/>
      <c r="AH135" s="1735"/>
    </row>
    <row r="136" spans="16:34">
      <c r="P136" s="1735"/>
      <c r="Q136" s="1735"/>
      <c r="R136" s="1735"/>
      <c r="X136" s="1735"/>
      <c r="Y136" s="1735"/>
      <c r="Z136" s="1735"/>
      <c r="AB136" s="1735"/>
      <c r="AD136" s="1733"/>
      <c r="AH136" s="1735"/>
    </row>
    <row r="137" spans="16:34">
      <c r="P137" s="1735"/>
      <c r="Q137" s="1735"/>
      <c r="R137" s="1735"/>
      <c r="X137" s="1735"/>
      <c r="Y137" s="1735"/>
      <c r="Z137" s="1735"/>
      <c r="AB137" s="1735"/>
      <c r="AD137" s="1733"/>
      <c r="AH137" s="1735"/>
    </row>
    <row r="138" spans="16:34">
      <c r="P138" s="1735"/>
      <c r="Q138" s="1735"/>
      <c r="R138" s="1735"/>
      <c r="X138" s="1735"/>
      <c r="Y138" s="1735"/>
      <c r="Z138" s="1735"/>
      <c r="AB138" s="1735"/>
      <c r="AD138" s="1733"/>
      <c r="AH138" s="1735"/>
    </row>
    <row r="139" spans="16:34">
      <c r="P139" s="1735"/>
      <c r="Q139" s="1735"/>
      <c r="R139" s="1735"/>
      <c r="X139" s="1735"/>
      <c r="Y139" s="1735"/>
      <c r="Z139" s="1735"/>
      <c r="AB139" s="1735"/>
      <c r="AD139" s="1733"/>
      <c r="AH139" s="1735"/>
    </row>
    <row r="140" spans="16:34">
      <c r="P140" s="1735"/>
      <c r="Q140" s="1735"/>
      <c r="R140" s="1735"/>
      <c r="X140" s="1735"/>
      <c r="Y140" s="1735"/>
      <c r="Z140" s="1735"/>
      <c r="AB140" s="1735"/>
      <c r="AD140" s="1733"/>
      <c r="AH140" s="1735"/>
    </row>
    <row r="141" spans="16:34">
      <c r="P141" s="1735"/>
      <c r="Q141" s="1735"/>
      <c r="R141" s="1735"/>
      <c r="X141" s="1735"/>
      <c r="Y141" s="1735"/>
      <c r="Z141" s="1735"/>
      <c r="AB141" s="1735"/>
      <c r="AD141" s="1733"/>
      <c r="AH141" s="1735"/>
    </row>
    <row r="142" spans="16:34">
      <c r="P142" s="1735"/>
      <c r="Q142" s="1735"/>
      <c r="R142" s="1735"/>
      <c r="X142" s="1735"/>
      <c r="Y142" s="1735"/>
      <c r="Z142" s="1735"/>
      <c r="AB142" s="1735"/>
      <c r="AD142" s="1733"/>
      <c r="AH142" s="1735"/>
    </row>
    <row r="143" spans="16:34">
      <c r="P143" s="1735"/>
      <c r="Q143" s="1735"/>
      <c r="R143" s="1735"/>
      <c r="X143" s="1735"/>
      <c r="Y143" s="1735"/>
      <c r="Z143" s="1735"/>
      <c r="AB143" s="1735"/>
      <c r="AD143" s="1733"/>
      <c r="AH143" s="1735"/>
    </row>
    <row r="144" spans="16:34">
      <c r="P144" s="1735"/>
      <c r="Q144" s="1735"/>
      <c r="R144" s="1735"/>
      <c r="X144" s="1735"/>
      <c r="Y144" s="1735"/>
      <c r="Z144" s="1735"/>
      <c r="AB144" s="1735"/>
      <c r="AD144" s="1733"/>
      <c r="AH144" s="1735"/>
    </row>
    <row r="145" spans="16:34">
      <c r="P145" s="1735"/>
      <c r="Q145" s="1735"/>
      <c r="R145" s="1735"/>
      <c r="X145" s="1735"/>
      <c r="Y145" s="1735"/>
      <c r="Z145" s="1735"/>
      <c r="AB145" s="1735"/>
      <c r="AD145" s="1733"/>
      <c r="AH145" s="1735"/>
    </row>
    <row r="146" spans="16:34">
      <c r="P146" s="1735"/>
      <c r="Q146" s="1735"/>
      <c r="R146" s="1735"/>
      <c r="X146" s="1735"/>
      <c r="Y146" s="1735"/>
      <c r="Z146" s="1735"/>
      <c r="AB146" s="1735"/>
      <c r="AD146" s="1733"/>
      <c r="AH146" s="1735"/>
    </row>
    <row r="147" spans="16:34">
      <c r="P147" s="1735"/>
      <c r="Q147" s="1735"/>
      <c r="R147" s="1735"/>
      <c r="X147" s="1735"/>
      <c r="Y147" s="1735"/>
      <c r="Z147" s="1735"/>
      <c r="AB147" s="1735"/>
      <c r="AD147" s="1733"/>
      <c r="AH147" s="1735"/>
    </row>
    <row r="148" spans="16:34">
      <c r="P148" s="1735"/>
      <c r="Q148" s="1735"/>
      <c r="R148" s="1735"/>
      <c r="X148" s="1735"/>
      <c r="Y148" s="1735"/>
      <c r="Z148" s="1735"/>
      <c r="AB148" s="1735"/>
      <c r="AD148" s="1733"/>
      <c r="AH148" s="1735"/>
    </row>
    <row r="149" spans="16:34">
      <c r="P149" s="1735"/>
      <c r="Q149" s="1735"/>
      <c r="R149" s="1735"/>
      <c r="X149" s="1735"/>
      <c r="Y149" s="1735"/>
      <c r="Z149" s="1735"/>
      <c r="AB149" s="1735"/>
      <c r="AD149" s="1733"/>
      <c r="AH149" s="1735"/>
    </row>
    <row r="150" spans="16:34">
      <c r="P150" s="1735"/>
      <c r="Q150" s="1735"/>
      <c r="R150" s="1735"/>
      <c r="X150" s="1735"/>
      <c r="Y150" s="1735"/>
      <c r="Z150" s="1735"/>
      <c r="AB150" s="1735"/>
      <c r="AD150" s="1733"/>
      <c r="AH150" s="1735"/>
    </row>
    <row r="151" spans="16:34">
      <c r="P151" s="1735"/>
      <c r="Q151" s="1735"/>
      <c r="R151" s="1735"/>
      <c r="X151" s="1735"/>
      <c r="Y151" s="1735"/>
      <c r="Z151" s="1735"/>
      <c r="AB151" s="1735"/>
      <c r="AD151" s="1733"/>
      <c r="AH151" s="1735"/>
    </row>
    <row r="152" spans="16:34">
      <c r="P152" s="1735"/>
      <c r="Q152" s="1735"/>
      <c r="R152" s="1735"/>
      <c r="X152" s="1735"/>
      <c r="Y152" s="1735"/>
      <c r="Z152" s="1735"/>
      <c r="AB152" s="1735"/>
      <c r="AD152" s="1733"/>
      <c r="AH152" s="1735"/>
    </row>
    <row r="153" spans="16:34">
      <c r="P153" s="1735"/>
      <c r="Q153" s="1735"/>
      <c r="R153" s="1735"/>
      <c r="X153" s="1735"/>
      <c r="Y153" s="1735"/>
      <c r="Z153" s="1735"/>
      <c r="AB153" s="1735"/>
      <c r="AD153" s="1733"/>
      <c r="AH153" s="1735"/>
    </row>
    <row r="154" spans="16:34">
      <c r="P154" s="1735"/>
      <c r="Q154" s="1735"/>
      <c r="R154" s="1735"/>
      <c r="X154" s="1735"/>
      <c r="Y154" s="1735"/>
      <c r="Z154" s="1735"/>
      <c r="AB154" s="1735"/>
      <c r="AD154" s="1733"/>
      <c r="AH154" s="1735"/>
    </row>
    <row r="155" spans="16:34">
      <c r="P155" s="1735"/>
      <c r="Q155" s="1735"/>
      <c r="R155" s="1735"/>
      <c r="X155" s="1735"/>
      <c r="Y155" s="1735"/>
      <c r="Z155" s="1735"/>
      <c r="AB155" s="1735"/>
      <c r="AD155" s="1733"/>
      <c r="AH155" s="1735"/>
    </row>
    <row r="156" spans="16:34">
      <c r="P156" s="1735"/>
      <c r="Q156" s="1735"/>
      <c r="R156" s="1735"/>
      <c r="X156" s="1735"/>
      <c r="Y156" s="1735"/>
      <c r="Z156" s="1735"/>
      <c r="AB156" s="1735"/>
      <c r="AD156" s="1733"/>
      <c r="AH156" s="1735"/>
    </row>
    <row r="157" spans="16:34">
      <c r="P157" s="1735"/>
      <c r="Q157" s="1735"/>
      <c r="R157" s="1735"/>
      <c r="X157" s="1735"/>
      <c r="Y157" s="1735"/>
      <c r="Z157" s="1735"/>
      <c r="AB157" s="1735"/>
      <c r="AD157" s="1733"/>
      <c r="AH157" s="1735"/>
    </row>
    <row r="158" spans="16:34">
      <c r="P158" s="1735"/>
      <c r="Q158" s="1735"/>
      <c r="R158" s="1735"/>
      <c r="X158" s="1735"/>
      <c r="Y158" s="1735"/>
      <c r="Z158" s="1735"/>
      <c r="AB158" s="1735"/>
      <c r="AD158" s="1733"/>
      <c r="AH158" s="1735"/>
    </row>
    <row r="159" spans="16:34">
      <c r="P159" s="1735"/>
      <c r="Q159" s="1735"/>
      <c r="R159" s="1735"/>
      <c r="X159" s="1735"/>
      <c r="Y159" s="1735"/>
      <c r="Z159" s="1735"/>
      <c r="AB159" s="1735"/>
      <c r="AD159" s="1733"/>
      <c r="AH159" s="1735"/>
    </row>
    <row r="160" spans="16:34">
      <c r="P160" s="1735"/>
      <c r="Q160" s="1735"/>
      <c r="R160" s="1735"/>
      <c r="X160" s="1735"/>
      <c r="Y160" s="1735"/>
      <c r="Z160" s="1735"/>
      <c r="AB160" s="1735"/>
      <c r="AD160" s="1733"/>
      <c r="AH160" s="1735"/>
    </row>
    <row r="161" spans="16:34">
      <c r="P161" s="1735"/>
      <c r="Q161" s="1735"/>
      <c r="R161" s="1735"/>
      <c r="X161" s="1735"/>
      <c r="Y161" s="1735"/>
      <c r="Z161" s="1735"/>
      <c r="AB161" s="1735"/>
      <c r="AD161" s="1733"/>
      <c r="AH161" s="1735"/>
    </row>
    <row r="162" spans="16:34">
      <c r="P162" s="1735"/>
      <c r="Q162" s="1735"/>
      <c r="R162" s="1735"/>
      <c r="X162" s="1735"/>
      <c r="Y162" s="1735"/>
      <c r="Z162" s="1735"/>
      <c r="AB162" s="1735"/>
      <c r="AD162" s="1733"/>
      <c r="AH162" s="1735"/>
    </row>
    <row r="163" spans="16:34">
      <c r="P163" s="1735"/>
      <c r="Q163" s="1735"/>
      <c r="R163" s="1735"/>
      <c r="X163" s="1735"/>
      <c r="Y163" s="1735"/>
      <c r="Z163" s="1735"/>
      <c r="AB163" s="1735"/>
      <c r="AD163" s="1733"/>
      <c r="AH163" s="1735"/>
    </row>
    <row r="164" spans="16:34">
      <c r="P164" s="1735"/>
      <c r="Q164" s="1735"/>
      <c r="R164" s="1735"/>
      <c r="X164" s="1735"/>
      <c r="Y164" s="1735"/>
      <c r="Z164" s="1735"/>
      <c r="AB164" s="1735"/>
      <c r="AD164" s="1733"/>
      <c r="AH164" s="1735"/>
    </row>
    <row r="165" spans="16:34">
      <c r="P165" s="1735"/>
      <c r="Q165" s="1735"/>
      <c r="R165" s="1735"/>
      <c r="X165" s="1735"/>
      <c r="Y165" s="1735"/>
      <c r="Z165" s="1735"/>
      <c r="AB165" s="1735"/>
      <c r="AD165" s="1733"/>
      <c r="AH165" s="1735"/>
    </row>
    <row r="166" spans="16:34">
      <c r="P166" s="1735"/>
      <c r="Q166" s="1735"/>
      <c r="R166" s="1735"/>
      <c r="X166" s="1735"/>
      <c r="Y166" s="1735"/>
      <c r="Z166" s="1735"/>
      <c r="AB166" s="1735"/>
      <c r="AD166" s="1733"/>
      <c r="AH166" s="1735"/>
    </row>
    <row r="167" spans="16:34">
      <c r="P167" s="1735"/>
      <c r="Q167" s="1735"/>
      <c r="R167" s="1735"/>
      <c r="X167" s="1735"/>
      <c r="Y167" s="1735"/>
      <c r="Z167" s="1735"/>
      <c r="AB167" s="1735"/>
      <c r="AD167" s="1733"/>
      <c r="AH167" s="1735"/>
    </row>
    <row r="168" spans="16:34">
      <c r="P168" s="1735"/>
      <c r="Q168" s="1735"/>
      <c r="R168" s="1735"/>
      <c r="X168" s="1735"/>
      <c r="Y168" s="1735"/>
      <c r="Z168" s="1735"/>
      <c r="AB168" s="1735"/>
      <c r="AD168" s="1733"/>
      <c r="AH168" s="1735"/>
    </row>
    <row r="169" spans="16:34">
      <c r="P169" s="1735"/>
      <c r="Q169" s="1735"/>
      <c r="R169" s="1735"/>
      <c r="X169" s="1735"/>
      <c r="Y169" s="1735"/>
      <c r="Z169" s="1735"/>
      <c r="AB169" s="1735"/>
      <c r="AD169" s="1733"/>
      <c r="AH169" s="1735"/>
    </row>
    <row r="170" spans="16:34">
      <c r="P170" s="1735"/>
      <c r="Q170" s="1735"/>
      <c r="R170" s="1735"/>
      <c r="X170" s="1735"/>
      <c r="Y170" s="1735"/>
      <c r="Z170" s="1735"/>
      <c r="AB170" s="1735"/>
      <c r="AD170" s="1733"/>
      <c r="AH170" s="1735"/>
    </row>
    <row r="171" spans="16:34">
      <c r="P171" s="1735"/>
      <c r="Q171" s="1735"/>
      <c r="R171" s="1735"/>
      <c r="X171" s="1735"/>
      <c r="Y171" s="1735"/>
      <c r="Z171" s="1735"/>
      <c r="AB171" s="1735"/>
      <c r="AD171" s="1733"/>
      <c r="AH171" s="1735"/>
    </row>
    <row r="172" spans="16:34">
      <c r="P172" s="1735"/>
      <c r="Q172" s="1735"/>
      <c r="R172" s="1735"/>
      <c r="X172" s="1735"/>
      <c r="Y172" s="1735"/>
      <c r="Z172" s="1735"/>
      <c r="AB172" s="1735"/>
      <c r="AD172" s="1733"/>
      <c r="AH172" s="1735"/>
    </row>
    <row r="173" spans="16:34">
      <c r="P173" s="1735"/>
      <c r="Q173" s="1735"/>
      <c r="R173" s="1735"/>
      <c r="X173" s="1735"/>
      <c r="Y173" s="1735"/>
      <c r="Z173" s="1735"/>
      <c r="AB173" s="1735"/>
      <c r="AD173" s="1733"/>
      <c r="AH173" s="1735"/>
    </row>
    <row r="174" spans="16:34">
      <c r="P174" s="1735"/>
      <c r="Q174" s="1735"/>
      <c r="R174" s="1735"/>
      <c r="X174" s="1735"/>
      <c r="Y174" s="1735"/>
      <c r="Z174" s="1735"/>
      <c r="AB174" s="1735"/>
      <c r="AD174" s="1733"/>
      <c r="AH174" s="1735"/>
    </row>
    <row r="175" spans="16:34">
      <c r="P175" s="1735"/>
      <c r="Q175" s="1735"/>
      <c r="R175" s="1735"/>
      <c r="X175" s="1735"/>
      <c r="Y175" s="1735"/>
      <c r="Z175" s="1735"/>
      <c r="AB175" s="1735"/>
      <c r="AD175" s="1733"/>
      <c r="AH175" s="1735"/>
    </row>
    <row r="176" spans="16:34">
      <c r="P176" s="1735"/>
      <c r="Q176" s="1735"/>
      <c r="R176" s="1735"/>
      <c r="X176" s="1735"/>
      <c r="Y176" s="1735"/>
      <c r="Z176" s="1735"/>
      <c r="AB176" s="1735"/>
      <c r="AD176" s="1733"/>
      <c r="AH176" s="1735"/>
    </row>
    <row r="177" spans="16:34">
      <c r="P177" s="1735"/>
      <c r="Q177" s="1735"/>
      <c r="R177" s="1735"/>
      <c r="X177" s="1735"/>
      <c r="Y177" s="1735"/>
      <c r="Z177" s="1735"/>
      <c r="AB177" s="1735"/>
      <c r="AD177" s="1733"/>
      <c r="AH177" s="1735"/>
    </row>
    <row r="178" spans="16:34">
      <c r="P178" s="1735"/>
      <c r="Q178" s="1735"/>
      <c r="R178" s="1735"/>
      <c r="X178" s="1735"/>
      <c r="Y178" s="1735"/>
      <c r="Z178" s="1735"/>
      <c r="AB178" s="1735"/>
      <c r="AD178" s="1733"/>
      <c r="AH178" s="1735"/>
    </row>
    <row r="179" spans="16:34">
      <c r="P179" s="1735"/>
      <c r="Q179" s="1735"/>
      <c r="R179" s="1735"/>
      <c r="X179" s="1735"/>
      <c r="Y179" s="1735"/>
      <c r="Z179" s="1735"/>
      <c r="AB179" s="1735"/>
      <c r="AD179" s="1733"/>
      <c r="AH179" s="1735"/>
    </row>
    <row r="180" spans="16:34">
      <c r="P180" s="1735"/>
      <c r="Q180" s="1735"/>
      <c r="R180" s="1735"/>
      <c r="X180" s="1735"/>
      <c r="Y180" s="1735"/>
      <c r="Z180" s="1735"/>
      <c r="AB180" s="1735"/>
      <c r="AD180" s="1733"/>
      <c r="AH180" s="1735"/>
    </row>
    <row r="181" spans="16:34">
      <c r="P181" s="1735"/>
      <c r="Q181" s="1735"/>
      <c r="R181" s="1735"/>
      <c r="X181" s="1735"/>
      <c r="Y181" s="1735"/>
      <c r="Z181" s="1735"/>
      <c r="AB181" s="1735"/>
      <c r="AD181" s="1733"/>
      <c r="AH181" s="1735"/>
    </row>
    <row r="182" spans="16:34">
      <c r="P182" s="1735"/>
      <c r="Q182" s="1735"/>
      <c r="R182" s="1735"/>
      <c r="X182" s="1735"/>
      <c r="Y182" s="1735"/>
      <c r="Z182" s="1735"/>
      <c r="AB182" s="1735"/>
      <c r="AD182" s="1733"/>
      <c r="AH182" s="1735"/>
    </row>
    <row r="183" spans="16:34">
      <c r="P183" s="1735"/>
      <c r="Q183" s="1735"/>
      <c r="R183" s="1735"/>
      <c r="X183" s="1735"/>
      <c r="Y183" s="1735"/>
      <c r="Z183" s="1735"/>
      <c r="AB183" s="1735"/>
      <c r="AD183" s="1733"/>
      <c r="AH183" s="1735"/>
    </row>
    <row r="184" spans="16:34">
      <c r="P184" s="1735"/>
      <c r="Q184" s="1735"/>
      <c r="R184" s="1735"/>
      <c r="X184" s="1735"/>
      <c r="Y184" s="1735"/>
      <c r="Z184" s="1735"/>
      <c r="AB184" s="1735"/>
      <c r="AD184" s="1733"/>
      <c r="AH184" s="1735"/>
    </row>
    <row r="185" spans="16:34">
      <c r="P185" s="1735"/>
      <c r="Q185" s="1735"/>
      <c r="R185" s="1735"/>
      <c r="X185" s="1735"/>
      <c r="Y185" s="1735"/>
      <c r="Z185" s="1735"/>
      <c r="AB185" s="1735"/>
      <c r="AD185" s="1733"/>
      <c r="AH185" s="1735"/>
    </row>
    <row r="186" spans="16:34">
      <c r="P186" s="1735"/>
      <c r="Q186" s="1735"/>
      <c r="R186" s="1735"/>
      <c r="X186" s="1735"/>
      <c r="Y186" s="1735"/>
      <c r="Z186" s="1735"/>
      <c r="AB186" s="1735"/>
      <c r="AD186" s="1733"/>
      <c r="AH186" s="1735"/>
    </row>
    <row r="187" spans="16:34">
      <c r="P187" s="1735"/>
      <c r="Q187" s="1735"/>
      <c r="R187" s="1735"/>
      <c r="X187" s="1735"/>
      <c r="Y187" s="1735"/>
      <c r="Z187" s="1735"/>
      <c r="AB187" s="1735"/>
      <c r="AD187" s="1733"/>
      <c r="AH187" s="1735"/>
    </row>
    <row r="188" spans="16:34">
      <c r="P188" s="1735"/>
      <c r="Q188" s="1735"/>
      <c r="R188" s="1735"/>
      <c r="X188" s="1735"/>
      <c r="Y188" s="1735"/>
      <c r="Z188" s="1735"/>
      <c r="AB188" s="1735"/>
      <c r="AD188" s="1733"/>
      <c r="AH188" s="1735"/>
    </row>
    <row r="189" spans="16:34">
      <c r="P189" s="1735"/>
      <c r="Q189" s="1735"/>
      <c r="R189" s="1735"/>
      <c r="X189" s="1735"/>
      <c r="Y189" s="1735"/>
      <c r="Z189" s="1735"/>
      <c r="AB189" s="1735"/>
      <c r="AD189" s="1733"/>
      <c r="AH189" s="1735"/>
    </row>
    <row r="190" spans="16:34">
      <c r="P190" s="1735"/>
      <c r="Q190" s="1735"/>
      <c r="R190" s="1735"/>
      <c r="X190" s="1735"/>
      <c r="Y190" s="1735"/>
      <c r="Z190" s="1735"/>
      <c r="AB190" s="1735"/>
      <c r="AD190" s="1733"/>
      <c r="AH190" s="1735"/>
    </row>
    <row r="191" spans="16:34">
      <c r="P191" s="1735"/>
      <c r="Q191" s="1735"/>
      <c r="R191" s="1735"/>
      <c r="X191" s="1735"/>
      <c r="Y191" s="1735"/>
      <c r="Z191" s="1735"/>
      <c r="AB191" s="1735"/>
      <c r="AD191" s="1733"/>
      <c r="AH191" s="1735"/>
    </row>
    <row r="192" spans="16:34">
      <c r="P192" s="1735"/>
      <c r="Q192" s="1735"/>
      <c r="R192" s="1735"/>
      <c r="X192" s="1735"/>
      <c r="Y192" s="1735"/>
      <c r="Z192" s="1735"/>
      <c r="AB192" s="1735"/>
      <c r="AD192" s="1733"/>
      <c r="AH192" s="1735"/>
    </row>
    <row r="193" spans="16:34">
      <c r="P193" s="1735"/>
      <c r="Q193" s="1735"/>
      <c r="R193" s="1735"/>
      <c r="X193" s="1735"/>
      <c r="Y193" s="1735"/>
      <c r="Z193" s="1735"/>
      <c r="AB193" s="1735"/>
      <c r="AD193" s="1733"/>
      <c r="AH193" s="1735"/>
    </row>
    <row r="194" spans="16:34">
      <c r="P194" s="1735"/>
      <c r="Q194" s="1735"/>
      <c r="R194" s="1735"/>
      <c r="X194" s="1735"/>
      <c r="Y194" s="1735"/>
      <c r="Z194" s="1735"/>
      <c r="AB194" s="1735"/>
      <c r="AD194" s="1733"/>
      <c r="AH194" s="1735"/>
    </row>
    <row r="195" spans="16:34">
      <c r="P195" s="1735"/>
      <c r="Q195" s="1735"/>
      <c r="R195" s="1735"/>
      <c r="X195" s="1735"/>
      <c r="Y195" s="1735"/>
      <c r="Z195" s="1735"/>
      <c r="AB195" s="1735"/>
      <c r="AD195" s="1733"/>
      <c r="AH195" s="1735"/>
    </row>
    <row r="196" spans="16:34">
      <c r="P196" s="1735"/>
      <c r="Q196" s="1735"/>
      <c r="R196" s="1735"/>
      <c r="X196" s="1735"/>
      <c r="Y196" s="1735"/>
      <c r="Z196" s="1735"/>
      <c r="AB196" s="1735"/>
      <c r="AD196" s="1733"/>
      <c r="AH196" s="1735"/>
    </row>
    <row r="197" spans="16:34">
      <c r="P197" s="1735"/>
      <c r="Q197" s="1735"/>
      <c r="R197" s="1735"/>
      <c r="X197" s="1735"/>
      <c r="Y197" s="1735"/>
      <c r="Z197" s="1735"/>
      <c r="AB197" s="1735"/>
      <c r="AD197" s="1733"/>
      <c r="AH197" s="1735"/>
    </row>
    <row r="198" spans="16:34">
      <c r="P198" s="1735"/>
      <c r="Q198" s="1735"/>
      <c r="R198" s="1735"/>
      <c r="X198" s="1735"/>
      <c r="Y198" s="1735"/>
      <c r="Z198" s="1735"/>
      <c r="AB198" s="1735"/>
      <c r="AD198" s="1733"/>
      <c r="AH198" s="1735"/>
    </row>
    <row r="199" spans="16:34">
      <c r="P199" s="1735"/>
      <c r="Q199" s="1735"/>
      <c r="R199" s="1735"/>
      <c r="X199" s="1735"/>
      <c r="Y199" s="1735"/>
      <c r="Z199" s="1735"/>
      <c r="AB199" s="1735"/>
      <c r="AD199" s="1733"/>
      <c r="AH199" s="1735"/>
    </row>
    <row r="200" spans="16:34">
      <c r="P200" s="1735"/>
      <c r="Q200" s="1735"/>
      <c r="R200" s="1735"/>
      <c r="X200" s="1735"/>
      <c r="Y200" s="1735"/>
      <c r="Z200" s="1735"/>
      <c r="AB200" s="1735"/>
      <c r="AD200" s="1733"/>
      <c r="AH200" s="1735"/>
    </row>
    <row r="201" spans="16:34">
      <c r="P201" s="1735"/>
      <c r="Q201" s="1735"/>
      <c r="R201" s="1735"/>
      <c r="X201" s="1735"/>
      <c r="Y201" s="1735"/>
      <c r="Z201" s="1735"/>
      <c r="AB201" s="1735"/>
      <c r="AD201" s="1733"/>
      <c r="AH201" s="1735"/>
    </row>
    <row r="202" spans="16:34">
      <c r="P202" s="1735"/>
      <c r="Q202" s="1735"/>
      <c r="R202" s="1735"/>
      <c r="X202" s="1735"/>
      <c r="Y202" s="1735"/>
      <c r="Z202" s="1735"/>
      <c r="AB202" s="1735"/>
      <c r="AD202" s="1733"/>
      <c r="AH202" s="1735"/>
    </row>
    <row r="203" spans="16:34">
      <c r="P203" s="1735"/>
      <c r="Q203" s="1735"/>
      <c r="R203" s="1735"/>
      <c r="X203" s="1735"/>
      <c r="Y203" s="1735"/>
      <c r="Z203" s="1735"/>
      <c r="AB203" s="1735"/>
      <c r="AD203" s="1733"/>
      <c r="AH203" s="1735"/>
    </row>
    <row r="204" spans="16:34">
      <c r="P204" s="1735"/>
      <c r="Q204" s="1735"/>
      <c r="R204" s="1735"/>
      <c r="X204" s="1735"/>
      <c r="Y204" s="1735"/>
      <c r="Z204" s="1735"/>
      <c r="AB204" s="1735"/>
      <c r="AD204" s="1733"/>
      <c r="AH204" s="1735"/>
    </row>
    <row r="205" spans="16:34">
      <c r="P205" s="1735"/>
      <c r="Q205" s="1735"/>
      <c r="R205" s="1735"/>
      <c r="X205" s="1735"/>
      <c r="Y205" s="1735"/>
      <c r="Z205" s="1735"/>
      <c r="AB205" s="1735"/>
      <c r="AD205" s="1733"/>
      <c r="AH205" s="1735"/>
    </row>
    <row r="206" spans="16:34">
      <c r="P206" s="1735"/>
      <c r="Q206" s="1735"/>
      <c r="R206" s="1735"/>
      <c r="X206" s="1735"/>
      <c r="Y206" s="1735"/>
      <c r="Z206" s="1735"/>
      <c r="AB206" s="1735"/>
      <c r="AD206" s="1733"/>
      <c r="AH206" s="1735"/>
    </row>
    <row r="207" spans="16:34">
      <c r="P207" s="1735"/>
      <c r="Q207" s="1735"/>
      <c r="R207" s="1735"/>
      <c r="X207" s="1735"/>
      <c r="Y207" s="1735"/>
      <c r="Z207" s="1735"/>
      <c r="AB207" s="1735"/>
      <c r="AD207" s="1733"/>
      <c r="AH207" s="1735"/>
    </row>
    <row r="208" spans="16:34">
      <c r="P208" s="1735"/>
      <c r="Q208" s="1735"/>
      <c r="R208" s="1735"/>
      <c r="X208" s="1735"/>
      <c r="Y208" s="1735"/>
      <c r="Z208" s="1735"/>
      <c r="AB208" s="1735"/>
      <c r="AD208" s="1733"/>
      <c r="AH208" s="1735"/>
    </row>
    <row r="209" spans="16:34">
      <c r="P209" s="1735"/>
      <c r="Q209" s="1735"/>
      <c r="R209" s="1735"/>
      <c r="X209" s="1735"/>
      <c r="Y209" s="1735"/>
      <c r="Z209" s="1735"/>
      <c r="AB209" s="1735"/>
      <c r="AD209" s="1733"/>
      <c r="AH209" s="1735"/>
    </row>
    <row r="210" spans="16:34">
      <c r="P210" s="1735"/>
      <c r="Q210" s="1735"/>
      <c r="R210" s="1735"/>
      <c r="X210" s="1735"/>
      <c r="Y210" s="1735"/>
      <c r="Z210" s="1735"/>
      <c r="AB210" s="1735"/>
      <c r="AD210" s="1733"/>
      <c r="AH210" s="1735"/>
    </row>
    <row r="211" spans="16:34">
      <c r="P211" s="1735"/>
      <c r="Q211" s="1735"/>
      <c r="R211" s="1735"/>
      <c r="X211" s="1735"/>
      <c r="Y211" s="1735"/>
      <c r="Z211" s="1735"/>
      <c r="AB211" s="1735"/>
      <c r="AD211" s="1733"/>
      <c r="AH211" s="1735"/>
    </row>
    <row r="212" spans="16:34">
      <c r="P212" s="1735"/>
      <c r="Q212" s="1735"/>
      <c r="R212" s="1735"/>
      <c r="X212" s="1735"/>
      <c r="Y212" s="1735"/>
      <c r="Z212" s="1735"/>
      <c r="AB212" s="1735"/>
      <c r="AD212" s="1733"/>
      <c r="AH212" s="1735"/>
    </row>
    <row r="213" spans="16:34">
      <c r="P213" s="1735"/>
      <c r="Q213" s="1735"/>
      <c r="R213" s="1735"/>
      <c r="X213" s="1735"/>
      <c r="Y213" s="1735"/>
      <c r="Z213" s="1735"/>
      <c r="AB213" s="1735"/>
      <c r="AD213" s="1733"/>
      <c r="AH213" s="1735"/>
    </row>
    <row r="214" spans="16:34">
      <c r="P214" s="1735"/>
      <c r="Q214" s="1735"/>
      <c r="R214" s="1735"/>
      <c r="X214" s="1735"/>
      <c r="Y214" s="1735"/>
      <c r="Z214" s="1735"/>
      <c r="AB214" s="1735"/>
      <c r="AD214" s="1733"/>
      <c r="AH214" s="1735"/>
    </row>
    <row r="215" spans="16:34">
      <c r="P215" s="1735"/>
      <c r="Q215" s="1735"/>
      <c r="R215" s="1735"/>
      <c r="X215" s="1735"/>
      <c r="Y215" s="1735"/>
      <c r="Z215" s="1735"/>
      <c r="AB215" s="1735"/>
      <c r="AD215" s="1733"/>
      <c r="AH215" s="1735"/>
    </row>
    <row r="216" spans="16:34">
      <c r="P216" s="1735"/>
      <c r="Q216" s="1735"/>
      <c r="R216" s="1735"/>
      <c r="X216" s="1735"/>
      <c r="Y216" s="1735"/>
      <c r="Z216" s="1735"/>
      <c r="AB216" s="1735"/>
      <c r="AD216" s="1733"/>
      <c r="AH216" s="1735"/>
    </row>
    <row r="217" spans="16:34">
      <c r="P217" s="1735"/>
      <c r="Q217" s="1735"/>
      <c r="R217" s="1735"/>
      <c r="X217" s="1735"/>
      <c r="Y217" s="1735"/>
      <c r="Z217" s="1735"/>
      <c r="AB217" s="1735"/>
      <c r="AD217" s="1733"/>
      <c r="AH217" s="1735"/>
    </row>
    <row r="218" spans="16:34">
      <c r="P218" s="1735"/>
      <c r="Q218" s="1735"/>
      <c r="R218" s="1735"/>
      <c r="X218" s="1735"/>
      <c r="Y218" s="1735"/>
      <c r="Z218" s="1735"/>
      <c r="AB218" s="1735"/>
      <c r="AD218" s="1733"/>
      <c r="AH218" s="1735"/>
    </row>
    <row r="219" spans="16:34">
      <c r="P219" s="1735"/>
      <c r="Q219" s="1735"/>
      <c r="R219" s="1735"/>
      <c r="X219" s="1735"/>
      <c r="Y219" s="1735"/>
      <c r="Z219" s="1735"/>
      <c r="AB219" s="1735"/>
      <c r="AD219" s="1733"/>
      <c r="AH219" s="1735"/>
    </row>
    <row r="220" spans="16:34">
      <c r="P220" s="1735"/>
      <c r="Q220" s="1735"/>
      <c r="R220" s="1735"/>
      <c r="X220" s="1735"/>
      <c r="Y220" s="1735"/>
      <c r="Z220" s="1735"/>
      <c r="AB220" s="1735"/>
      <c r="AD220" s="1733"/>
      <c r="AH220" s="1735"/>
    </row>
    <row r="221" spans="16:34">
      <c r="P221" s="1735"/>
      <c r="Q221" s="1735"/>
      <c r="R221" s="1735"/>
      <c r="X221" s="1735"/>
      <c r="Y221" s="1735"/>
      <c r="Z221" s="1735"/>
      <c r="AB221" s="1735"/>
      <c r="AD221" s="1733"/>
      <c r="AH221" s="1735"/>
    </row>
    <row r="222" spans="16:34">
      <c r="P222" s="1735"/>
      <c r="Q222" s="1735"/>
      <c r="R222" s="1735"/>
      <c r="X222" s="1735"/>
      <c r="Y222" s="1735"/>
      <c r="Z222" s="1735"/>
      <c r="AB222" s="1735"/>
      <c r="AD222" s="1733"/>
      <c r="AH222" s="1735"/>
    </row>
    <row r="223" spans="16:34">
      <c r="P223" s="1735"/>
      <c r="Q223" s="1735"/>
      <c r="R223" s="1735"/>
      <c r="X223" s="1735"/>
      <c r="Y223" s="1735"/>
      <c r="Z223" s="1735"/>
      <c r="AB223" s="1735"/>
      <c r="AD223" s="1733"/>
      <c r="AH223" s="1735"/>
    </row>
    <row r="224" spans="16:34">
      <c r="P224" s="1735"/>
      <c r="Q224" s="1735"/>
      <c r="R224" s="1735"/>
      <c r="X224" s="1735"/>
      <c r="Y224" s="1735"/>
      <c r="Z224" s="1735"/>
      <c r="AB224" s="1735"/>
      <c r="AD224" s="1733"/>
      <c r="AH224" s="1735"/>
    </row>
    <row r="225" spans="16:34">
      <c r="P225" s="1735"/>
      <c r="Q225" s="1735"/>
      <c r="R225" s="1735"/>
      <c r="X225" s="1735"/>
      <c r="Y225" s="1735"/>
      <c r="Z225" s="1735"/>
      <c r="AB225" s="1735"/>
      <c r="AD225" s="1733"/>
      <c r="AH225" s="1735"/>
    </row>
    <row r="226" spans="16:34">
      <c r="P226" s="1735"/>
      <c r="Q226" s="1735"/>
      <c r="R226" s="1735"/>
      <c r="X226" s="1735"/>
      <c r="Y226" s="1735"/>
      <c r="Z226" s="1735"/>
      <c r="AB226" s="1735"/>
      <c r="AD226" s="1733"/>
      <c r="AH226" s="1735"/>
    </row>
    <row r="227" spans="16:34">
      <c r="P227" s="1735"/>
      <c r="Q227" s="1735"/>
      <c r="R227" s="1735"/>
      <c r="X227" s="1735"/>
      <c r="Y227" s="1735"/>
      <c r="Z227" s="1735"/>
      <c r="AB227" s="1735"/>
      <c r="AD227" s="1733"/>
      <c r="AH227" s="1735"/>
    </row>
    <row r="228" spans="16:34">
      <c r="P228" s="1735"/>
      <c r="Q228" s="1735"/>
      <c r="R228" s="1735"/>
      <c r="X228" s="1735"/>
      <c r="Y228" s="1735"/>
      <c r="Z228" s="1735"/>
      <c r="AB228" s="1735"/>
      <c r="AD228" s="1733"/>
      <c r="AH228" s="1735"/>
    </row>
    <row r="229" spans="16:34">
      <c r="P229" s="1735"/>
      <c r="Q229" s="1735"/>
      <c r="R229" s="1735"/>
      <c r="X229" s="1735"/>
      <c r="Y229" s="1735"/>
      <c r="Z229" s="1735"/>
      <c r="AB229" s="1735"/>
      <c r="AD229" s="1733"/>
      <c r="AH229" s="1735"/>
    </row>
    <row r="230" spans="16:34">
      <c r="P230" s="1735"/>
      <c r="Q230" s="1735"/>
      <c r="R230" s="1735"/>
      <c r="X230" s="1735"/>
      <c r="Y230" s="1735"/>
      <c r="Z230" s="1735"/>
      <c r="AB230" s="1735"/>
      <c r="AD230" s="1733"/>
      <c r="AH230" s="1735"/>
    </row>
    <row r="231" spans="16:34">
      <c r="P231" s="1735"/>
      <c r="Q231" s="1735"/>
      <c r="R231" s="1735"/>
      <c r="X231" s="1735"/>
      <c r="Y231" s="1735"/>
      <c r="Z231" s="1735"/>
      <c r="AB231" s="1735"/>
      <c r="AD231" s="1733"/>
      <c r="AH231" s="1735"/>
    </row>
    <row r="232" spans="16:34">
      <c r="P232" s="1735"/>
      <c r="Q232" s="1735"/>
      <c r="R232" s="1735"/>
      <c r="X232" s="1735"/>
      <c r="Y232" s="1735"/>
      <c r="Z232" s="1735"/>
      <c r="AB232" s="1735"/>
      <c r="AD232" s="1733"/>
      <c r="AH232" s="1735"/>
    </row>
    <row r="233" spans="16:34">
      <c r="P233" s="1735"/>
      <c r="Q233" s="1735"/>
      <c r="R233" s="1735"/>
      <c r="X233" s="1735"/>
      <c r="Y233" s="1735"/>
      <c r="Z233" s="1735"/>
      <c r="AB233" s="1735"/>
      <c r="AD233" s="1733"/>
      <c r="AH233" s="1735"/>
    </row>
    <row r="234" spans="16:34">
      <c r="P234" s="1735"/>
      <c r="Q234" s="1735"/>
      <c r="R234" s="1735"/>
      <c r="X234" s="1735"/>
      <c r="Y234" s="1735"/>
      <c r="Z234" s="1735"/>
      <c r="AB234" s="1735"/>
      <c r="AD234" s="1733"/>
      <c r="AH234" s="1735"/>
    </row>
    <row r="235" spans="16:34">
      <c r="P235" s="1735"/>
      <c r="Q235" s="1735"/>
      <c r="R235" s="1735"/>
      <c r="X235" s="1735"/>
      <c r="Y235" s="1735"/>
      <c r="Z235" s="1735"/>
      <c r="AB235" s="1735"/>
      <c r="AD235" s="1733"/>
      <c r="AH235" s="1735"/>
    </row>
    <row r="236" spans="16:34">
      <c r="P236" s="1735"/>
      <c r="Q236" s="1735"/>
      <c r="R236" s="1735"/>
      <c r="X236" s="1735"/>
      <c r="Y236" s="1735"/>
      <c r="Z236" s="1735"/>
      <c r="AB236" s="1735"/>
      <c r="AD236" s="1733"/>
      <c r="AH236" s="1735"/>
    </row>
    <row r="237" spans="16:34">
      <c r="P237" s="1735"/>
      <c r="Q237" s="1735"/>
      <c r="R237" s="1735"/>
      <c r="X237" s="1735"/>
      <c r="Y237" s="1735"/>
      <c r="Z237" s="1735"/>
      <c r="AB237" s="1735"/>
      <c r="AD237" s="1733"/>
      <c r="AH237" s="1735"/>
    </row>
    <row r="238" spans="16:34">
      <c r="P238" s="1735"/>
      <c r="Q238" s="1735"/>
      <c r="R238" s="1735"/>
      <c r="X238" s="1735"/>
      <c r="Y238" s="1735"/>
      <c r="Z238" s="1735"/>
      <c r="AB238" s="1735"/>
      <c r="AD238" s="1733"/>
      <c r="AH238" s="1735"/>
    </row>
    <row r="239" spans="16:34">
      <c r="P239" s="1735"/>
      <c r="Q239" s="1735"/>
      <c r="R239" s="1735"/>
      <c r="X239" s="1735"/>
      <c r="Y239" s="1735"/>
      <c r="Z239" s="1735"/>
      <c r="AB239" s="1735"/>
      <c r="AD239" s="1733"/>
      <c r="AH239" s="1735"/>
    </row>
    <row r="240" spans="16:34">
      <c r="P240" s="1735"/>
      <c r="Q240" s="1735"/>
      <c r="R240" s="1735"/>
      <c r="X240" s="1735"/>
      <c r="Y240" s="1735"/>
      <c r="Z240" s="1735"/>
      <c r="AB240" s="1735"/>
      <c r="AD240" s="1733"/>
      <c r="AH240" s="1735"/>
    </row>
    <row r="241" spans="16:34">
      <c r="P241" s="1735"/>
      <c r="Q241" s="1735"/>
      <c r="R241" s="1735"/>
      <c r="X241" s="1735"/>
      <c r="Y241" s="1735"/>
      <c r="Z241" s="1735"/>
      <c r="AB241" s="1735"/>
      <c r="AD241" s="1733"/>
      <c r="AH241" s="1735"/>
    </row>
    <row r="242" spans="16:34">
      <c r="P242" s="1735"/>
      <c r="Q242" s="1735"/>
      <c r="R242" s="1735"/>
      <c r="X242" s="1735"/>
      <c r="Y242" s="1735"/>
      <c r="Z242" s="1735"/>
      <c r="AB242" s="1735"/>
      <c r="AD242" s="1733"/>
      <c r="AH242" s="1735"/>
    </row>
    <row r="243" spans="16:34">
      <c r="P243" s="1735"/>
      <c r="Q243" s="1735"/>
      <c r="R243" s="1735"/>
      <c r="X243" s="1735"/>
      <c r="Y243" s="1735"/>
      <c r="Z243" s="1735"/>
      <c r="AB243" s="1735"/>
      <c r="AD243" s="1733"/>
      <c r="AH243" s="1735"/>
    </row>
    <row r="244" spans="16:34">
      <c r="P244" s="1735"/>
      <c r="Q244" s="1735"/>
      <c r="R244" s="1735"/>
      <c r="X244" s="1735"/>
      <c r="Y244" s="1735"/>
      <c r="Z244" s="1735"/>
      <c r="AB244" s="1735"/>
      <c r="AD244" s="1733"/>
      <c r="AH244" s="1735"/>
    </row>
    <row r="245" spans="16:34">
      <c r="P245" s="1735"/>
      <c r="Q245" s="1735"/>
      <c r="R245" s="1735"/>
      <c r="X245" s="1735"/>
      <c r="Y245" s="1735"/>
      <c r="Z245" s="1735"/>
      <c r="AB245" s="1735"/>
      <c r="AD245" s="1733"/>
      <c r="AH245" s="1735"/>
    </row>
    <row r="246" spans="16:34">
      <c r="P246" s="1735"/>
      <c r="Q246" s="1735"/>
      <c r="R246" s="1735"/>
      <c r="X246" s="1735"/>
      <c r="Y246" s="1735"/>
      <c r="Z246" s="1735"/>
      <c r="AB246" s="1735"/>
      <c r="AD246" s="1733"/>
      <c r="AH246" s="1735"/>
    </row>
    <row r="247" spans="16:34">
      <c r="P247" s="1735"/>
      <c r="Q247" s="1735"/>
      <c r="R247" s="1735"/>
      <c r="X247" s="1735"/>
      <c r="Y247" s="1735"/>
      <c r="Z247" s="1735"/>
      <c r="AB247" s="1735"/>
      <c r="AD247" s="1733"/>
      <c r="AH247" s="1735"/>
    </row>
    <row r="248" spans="16:34">
      <c r="P248" s="1735"/>
      <c r="Q248" s="1735"/>
      <c r="R248" s="1735"/>
      <c r="X248" s="1735"/>
      <c r="Y248" s="1735"/>
      <c r="Z248" s="1735"/>
      <c r="AB248" s="1735"/>
      <c r="AD248" s="1733"/>
      <c r="AH248" s="1735"/>
    </row>
    <row r="249" spans="16:34">
      <c r="P249" s="1735"/>
      <c r="Q249" s="1735"/>
      <c r="R249" s="1735"/>
      <c r="X249" s="1735"/>
      <c r="Y249" s="1735"/>
      <c r="Z249" s="1735"/>
      <c r="AB249" s="1735"/>
      <c r="AD249" s="1733"/>
      <c r="AH249" s="1735"/>
    </row>
    <row r="250" spans="16:34">
      <c r="P250" s="1735"/>
      <c r="Q250" s="1735"/>
      <c r="R250" s="1735"/>
      <c r="X250" s="1735"/>
      <c r="Y250" s="1735"/>
      <c r="Z250" s="1735"/>
      <c r="AB250" s="1735"/>
      <c r="AD250" s="1733"/>
      <c r="AH250" s="1735"/>
    </row>
    <row r="251" spans="16:34">
      <c r="P251" s="1735"/>
      <c r="Q251" s="1735"/>
      <c r="R251" s="1735"/>
      <c r="X251" s="1735"/>
      <c r="Y251" s="1735"/>
      <c r="Z251" s="1735"/>
      <c r="AB251" s="1735"/>
      <c r="AD251" s="1733"/>
      <c r="AH251" s="1735"/>
    </row>
    <row r="252" spans="16:34">
      <c r="P252" s="1735"/>
      <c r="Q252" s="1735"/>
      <c r="R252" s="1735"/>
      <c r="X252" s="1735"/>
      <c r="Y252" s="1735"/>
      <c r="Z252" s="1735"/>
      <c r="AB252" s="1735"/>
      <c r="AD252" s="1733"/>
      <c r="AH252" s="1735"/>
    </row>
    <row r="253" spans="16:34">
      <c r="P253" s="1735"/>
      <c r="Q253" s="1735"/>
      <c r="R253" s="1735"/>
      <c r="X253" s="1735"/>
      <c r="Y253" s="1735"/>
      <c r="Z253" s="1735"/>
      <c r="AB253" s="1735"/>
      <c r="AD253" s="1733"/>
      <c r="AH253" s="1735"/>
    </row>
    <row r="254" spans="16:34">
      <c r="P254" s="1735"/>
      <c r="Q254" s="1735"/>
      <c r="R254" s="1735"/>
      <c r="X254" s="1735"/>
      <c r="Y254" s="1735"/>
      <c r="Z254" s="1735"/>
      <c r="AB254" s="1735"/>
      <c r="AD254" s="1733"/>
      <c r="AH254" s="1735"/>
    </row>
    <row r="255" spans="16:34">
      <c r="P255" s="1735"/>
      <c r="Q255" s="1735"/>
      <c r="R255" s="1735"/>
      <c r="X255" s="1735"/>
      <c r="Y255" s="1735"/>
      <c r="Z255" s="1735"/>
      <c r="AB255" s="1735"/>
      <c r="AD255" s="1733"/>
      <c r="AH255" s="1735"/>
    </row>
    <row r="256" spans="16:34">
      <c r="P256" s="1735"/>
      <c r="Q256" s="1735"/>
      <c r="R256" s="1735"/>
      <c r="X256" s="1735"/>
      <c r="Y256" s="1735"/>
      <c r="Z256" s="1735"/>
      <c r="AB256" s="1735"/>
      <c r="AD256" s="1733"/>
      <c r="AH256" s="1735"/>
    </row>
    <row r="257" spans="16:34">
      <c r="P257" s="1735"/>
      <c r="Q257" s="1735"/>
      <c r="R257" s="1735"/>
      <c r="X257" s="1735"/>
      <c r="Y257" s="1735"/>
      <c r="Z257" s="1735"/>
      <c r="AB257" s="1735"/>
      <c r="AD257" s="1733"/>
      <c r="AH257" s="1735"/>
    </row>
    <row r="258" spans="16:34">
      <c r="P258" s="1735"/>
      <c r="Q258" s="1735"/>
      <c r="R258" s="1735"/>
      <c r="X258" s="1735"/>
      <c r="Y258" s="1735"/>
      <c r="Z258" s="1735"/>
      <c r="AB258" s="1735"/>
      <c r="AD258" s="1733"/>
      <c r="AH258" s="1735"/>
    </row>
    <row r="259" spans="16:34">
      <c r="P259" s="1735"/>
      <c r="Q259" s="1735"/>
      <c r="R259" s="1735"/>
      <c r="X259" s="1735"/>
      <c r="Y259" s="1735"/>
      <c r="Z259" s="1735"/>
      <c r="AB259" s="1735"/>
      <c r="AD259" s="1733"/>
      <c r="AH259" s="1735"/>
    </row>
  </sheetData>
  <sheetProtection sheet="1" objects="1" scenarios="1"/>
  <protectedRanges>
    <protectedRange sqref="E8 J20:N36" name="Område1"/>
  </protectedRanges>
  <mergeCells count="26">
    <mergeCell ref="AA46:AB46"/>
    <mergeCell ref="AA48:AB48"/>
    <mergeCell ref="J34:N34"/>
    <mergeCell ref="AA34:AB34"/>
    <mergeCell ref="J36:N36"/>
    <mergeCell ref="AA36:AB36"/>
    <mergeCell ref="AA38:AB38"/>
    <mergeCell ref="AA40:AB40"/>
    <mergeCell ref="J28:N28"/>
    <mergeCell ref="AA28:AB28"/>
    <mergeCell ref="J30:N30"/>
    <mergeCell ref="AA30:AB30"/>
    <mergeCell ref="J32:N32"/>
    <mergeCell ref="AA32:AB32"/>
    <mergeCell ref="J22:N22"/>
    <mergeCell ref="AA22:AB22"/>
    <mergeCell ref="J24:N24"/>
    <mergeCell ref="AA24:AB24"/>
    <mergeCell ref="J26:N26"/>
    <mergeCell ref="AA26:AB26"/>
    <mergeCell ref="E8:L8"/>
    <mergeCell ref="AA14:AB14"/>
    <mergeCell ref="AA15:AB15"/>
    <mergeCell ref="AA16:AB16"/>
    <mergeCell ref="J20:N20"/>
    <mergeCell ref="AA20:AB20"/>
  </mergeCells>
  <dataValidations count="2">
    <dataValidation type="list" allowBlank="1" showInputMessage="1" showErrorMessage="1" sqref="E8:L8">
      <formula1>Plats</formula1>
    </dataValidation>
    <dataValidation type="list" allowBlank="1" showInputMessage="1" showErrorMessage="1" sqref="AK12 J22:N22 J24:N24 J26:N26 J28:N28 J30:N30 J32:N32 J34:N34 J36:N36 J20:N20 J41:N41 J49:N49">
      <formula1>Förfrukt</formula1>
    </dataValidation>
  </dataValidations>
  <printOptions horizontalCentered="1" verticalCentered="1"/>
  <pageMargins left="0.27559055118110237" right="0.27559055118110237" top="0.23622047244094491" bottom="0.19685039370078741" header="0.11811023622047245" footer="0.15748031496062992"/>
  <pageSetup paperSize="9"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5"/>
  <dimension ref="A1:V79"/>
  <sheetViews>
    <sheetView zoomScale="145" zoomScaleNormal="145" workbookViewId="0">
      <selection activeCell="D21" sqref="D21"/>
    </sheetView>
  </sheetViews>
  <sheetFormatPr defaultRowHeight="12.75"/>
  <cols>
    <col min="1" max="1" width="9.42578125" customWidth="1"/>
    <col min="2" max="2" width="10.140625" customWidth="1"/>
    <col min="5" max="5" width="12" customWidth="1"/>
    <col min="6" max="6" width="9.7109375" customWidth="1"/>
    <col min="11" max="11" width="9.85546875" customWidth="1"/>
    <col min="257" max="257" width="9.42578125" customWidth="1"/>
    <col min="258" max="258" width="10.140625" customWidth="1"/>
    <col min="261" max="261" width="12" customWidth="1"/>
    <col min="262" max="262" width="9.7109375" customWidth="1"/>
    <col min="267" max="267" width="9.85546875" customWidth="1"/>
    <col min="513" max="513" width="9.42578125" customWidth="1"/>
    <col min="514" max="514" width="10.140625" customWidth="1"/>
    <col min="517" max="517" width="12" customWidth="1"/>
    <col min="518" max="518" width="9.7109375" customWidth="1"/>
    <col min="523" max="523" width="9.85546875" customWidth="1"/>
    <col min="769" max="769" width="9.42578125" customWidth="1"/>
    <col min="770" max="770" width="10.140625" customWidth="1"/>
    <col min="773" max="773" width="12" customWidth="1"/>
    <col min="774" max="774" width="9.7109375" customWidth="1"/>
    <col min="779" max="779" width="9.85546875" customWidth="1"/>
    <col min="1025" max="1025" width="9.42578125" customWidth="1"/>
    <col min="1026" max="1026" width="10.140625" customWidth="1"/>
    <col min="1029" max="1029" width="12" customWidth="1"/>
    <col min="1030" max="1030" width="9.7109375" customWidth="1"/>
    <col min="1035" max="1035" width="9.85546875" customWidth="1"/>
    <col min="1281" max="1281" width="9.42578125" customWidth="1"/>
    <col min="1282" max="1282" width="10.140625" customWidth="1"/>
    <col min="1285" max="1285" width="12" customWidth="1"/>
    <col min="1286" max="1286" width="9.7109375" customWidth="1"/>
    <col min="1291" max="1291" width="9.85546875" customWidth="1"/>
    <col min="1537" max="1537" width="9.42578125" customWidth="1"/>
    <col min="1538" max="1538" width="10.140625" customWidth="1"/>
    <col min="1541" max="1541" width="12" customWidth="1"/>
    <col min="1542" max="1542" width="9.7109375" customWidth="1"/>
    <col min="1547" max="1547" width="9.85546875" customWidth="1"/>
    <col min="1793" max="1793" width="9.42578125" customWidth="1"/>
    <col min="1794" max="1794" width="10.140625" customWidth="1"/>
    <col min="1797" max="1797" width="12" customWidth="1"/>
    <col min="1798" max="1798" width="9.7109375" customWidth="1"/>
    <col min="1803" max="1803" width="9.85546875" customWidth="1"/>
    <col min="2049" max="2049" width="9.42578125" customWidth="1"/>
    <col min="2050" max="2050" width="10.140625" customWidth="1"/>
    <col min="2053" max="2053" width="12" customWidth="1"/>
    <col min="2054" max="2054" width="9.7109375" customWidth="1"/>
    <col min="2059" max="2059" width="9.85546875" customWidth="1"/>
    <col min="2305" max="2305" width="9.42578125" customWidth="1"/>
    <col min="2306" max="2306" width="10.140625" customWidth="1"/>
    <col min="2309" max="2309" width="12" customWidth="1"/>
    <col min="2310" max="2310" width="9.7109375" customWidth="1"/>
    <col min="2315" max="2315" width="9.85546875" customWidth="1"/>
    <col min="2561" max="2561" width="9.42578125" customWidth="1"/>
    <col min="2562" max="2562" width="10.140625" customWidth="1"/>
    <col min="2565" max="2565" width="12" customWidth="1"/>
    <col min="2566" max="2566" width="9.7109375" customWidth="1"/>
    <col min="2571" max="2571" width="9.85546875" customWidth="1"/>
    <col min="2817" max="2817" width="9.42578125" customWidth="1"/>
    <col min="2818" max="2818" width="10.140625" customWidth="1"/>
    <col min="2821" max="2821" width="12" customWidth="1"/>
    <col min="2822" max="2822" width="9.7109375" customWidth="1"/>
    <col min="2827" max="2827" width="9.85546875" customWidth="1"/>
    <col min="3073" max="3073" width="9.42578125" customWidth="1"/>
    <col min="3074" max="3074" width="10.140625" customWidth="1"/>
    <col min="3077" max="3077" width="12" customWidth="1"/>
    <col min="3078" max="3078" width="9.7109375" customWidth="1"/>
    <col min="3083" max="3083" width="9.85546875" customWidth="1"/>
    <col min="3329" max="3329" width="9.42578125" customWidth="1"/>
    <col min="3330" max="3330" width="10.140625" customWidth="1"/>
    <col min="3333" max="3333" width="12" customWidth="1"/>
    <col min="3334" max="3334" width="9.7109375" customWidth="1"/>
    <col min="3339" max="3339" width="9.85546875" customWidth="1"/>
    <col min="3585" max="3585" width="9.42578125" customWidth="1"/>
    <col min="3586" max="3586" width="10.140625" customWidth="1"/>
    <col min="3589" max="3589" width="12" customWidth="1"/>
    <col min="3590" max="3590" width="9.7109375" customWidth="1"/>
    <col min="3595" max="3595" width="9.85546875" customWidth="1"/>
    <col min="3841" max="3841" width="9.42578125" customWidth="1"/>
    <col min="3842" max="3842" width="10.140625" customWidth="1"/>
    <col min="3845" max="3845" width="12" customWidth="1"/>
    <col min="3846" max="3846" width="9.7109375" customWidth="1"/>
    <col min="3851" max="3851" width="9.85546875" customWidth="1"/>
    <col min="4097" max="4097" width="9.42578125" customWidth="1"/>
    <col min="4098" max="4098" width="10.140625" customWidth="1"/>
    <col min="4101" max="4101" width="12" customWidth="1"/>
    <col min="4102" max="4102" width="9.7109375" customWidth="1"/>
    <col min="4107" max="4107" width="9.85546875" customWidth="1"/>
    <col min="4353" max="4353" width="9.42578125" customWidth="1"/>
    <col min="4354" max="4354" width="10.140625" customWidth="1"/>
    <col min="4357" max="4357" width="12" customWidth="1"/>
    <col min="4358" max="4358" width="9.7109375" customWidth="1"/>
    <col min="4363" max="4363" width="9.85546875" customWidth="1"/>
    <col min="4609" max="4609" width="9.42578125" customWidth="1"/>
    <col min="4610" max="4610" width="10.140625" customWidth="1"/>
    <col min="4613" max="4613" width="12" customWidth="1"/>
    <col min="4614" max="4614" width="9.7109375" customWidth="1"/>
    <col min="4619" max="4619" width="9.85546875" customWidth="1"/>
    <col min="4865" max="4865" width="9.42578125" customWidth="1"/>
    <col min="4866" max="4866" width="10.140625" customWidth="1"/>
    <col min="4869" max="4869" width="12" customWidth="1"/>
    <col min="4870" max="4870" width="9.7109375" customWidth="1"/>
    <col min="4875" max="4875" width="9.85546875" customWidth="1"/>
    <col min="5121" max="5121" width="9.42578125" customWidth="1"/>
    <col min="5122" max="5122" width="10.140625" customWidth="1"/>
    <col min="5125" max="5125" width="12" customWidth="1"/>
    <col min="5126" max="5126" width="9.7109375" customWidth="1"/>
    <col min="5131" max="5131" width="9.85546875" customWidth="1"/>
    <col min="5377" max="5377" width="9.42578125" customWidth="1"/>
    <col min="5378" max="5378" width="10.140625" customWidth="1"/>
    <col min="5381" max="5381" width="12" customWidth="1"/>
    <col min="5382" max="5382" width="9.7109375" customWidth="1"/>
    <col min="5387" max="5387" width="9.85546875" customWidth="1"/>
    <col min="5633" max="5633" width="9.42578125" customWidth="1"/>
    <col min="5634" max="5634" width="10.140625" customWidth="1"/>
    <col min="5637" max="5637" width="12" customWidth="1"/>
    <col min="5638" max="5638" width="9.7109375" customWidth="1"/>
    <col min="5643" max="5643" width="9.85546875" customWidth="1"/>
    <col min="5889" max="5889" width="9.42578125" customWidth="1"/>
    <col min="5890" max="5890" width="10.140625" customWidth="1"/>
    <col min="5893" max="5893" width="12" customWidth="1"/>
    <col min="5894" max="5894" width="9.7109375" customWidth="1"/>
    <col min="5899" max="5899" width="9.85546875" customWidth="1"/>
    <col min="6145" max="6145" width="9.42578125" customWidth="1"/>
    <col min="6146" max="6146" width="10.140625" customWidth="1"/>
    <col min="6149" max="6149" width="12" customWidth="1"/>
    <col min="6150" max="6150" width="9.7109375" customWidth="1"/>
    <col min="6155" max="6155" width="9.85546875" customWidth="1"/>
    <col min="6401" max="6401" width="9.42578125" customWidth="1"/>
    <col min="6402" max="6402" width="10.140625" customWidth="1"/>
    <col min="6405" max="6405" width="12" customWidth="1"/>
    <col min="6406" max="6406" width="9.7109375" customWidth="1"/>
    <col min="6411" max="6411" width="9.85546875" customWidth="1"/>
    <col min="6657" max="6657" width="9.42578125" customWidth="1"/>
    <col min="6658" max="6658" width="10.140625" customWidth="1"/>
    <col min="6661" max="6661" width="12" customWidth="1"/>
    <col min="6662" max="6662" width="9.7109375" customWidth="1"/>
    <col min="6667" max="6667" width="9.85546875" customWidth="1"/>
    <col min="6913" max="6913" width="9.42578125" customWidth="1"/>
    <col min="6914" max="6914" width="10.140625" customWidth="1"/>
    <col min="6917" max="6917" width="12" customWidth="1"/>
    <col min="6918" max="6918" width="9.7109375" customWidth="1"/>
    <col min="6923" max="6923" width="9.85546875" customWidth="1"/>
    <col min="7169" max="7169" width="9.42578125" customWidth="1"/>
    <col min="7170" max="7170" width="10.140625" customWidth="1"/>
    <col min="7173" max="7173" width="12" customWidth="1"/>
    <col min="7174" max="7174" width="9.7109375" customWidth="1"/>
    <col min="7179" max="7179" width="9.85546875" customWidth="1"/>
    <col min="7425" max="7425" width="9.42578125" customWidth="1"/>
    <col min="7426" max="7426" width="10.140625" customWidth="1"/>
    <col min="7429" max="7429" width="12" customWidth="1"/>
    <col min="7430" max="7430" width="9.7109375" customWidth="1"/>
    <col min="7435" max="7435" width="9.85546875" customWidth="1"/>
    <col min="7681" max="7681" width="9.42578125" customWidth="1"/>
    <col min="7682" max="7682" width="10.140625" customWidth="1"/>
    <col min="7685" max="7685" width="12" customWidth="1"/>
    <col min="7686" max="7686" width="9.7109375" customWidth="1"/>
    <col min="7691" max="7691" width="9.85546875" customWidth="1"/>
    <col min="7937" max="7937" width="9.42578125" customWidth="1"/>
    <col min="7938" max="7938" width="10.140625" customWidth="1"/>
    <col min="7941" max="7941" width="12" customWidth="1"/>
    <col min="7942" max="7942" width="9.7109375" customWidth="1"/>
    <col min="7947" max="7947" width="9.85546875" customWidth="1"/>
    <col min="8193" max="8193" width="9.42578125" customWidth="1"/>
    <col min="8194" max="8194" width="10.140625" customWidth="1"/>
    <col min="8197" max="8197" width="12" customWidth="1"/>
    <col min="8198" max="8198" width="9.7109375" customWidth="1"/>
    <col min="8203" max="8203" width="9.85546875" customWidth="1"/>
    <col min="8449" max="8449" width="9.42578125" customWidth="1"/>
    <col min="8450" max="8450" width="10.140625" customWidth="1"/>
    <col min="8453" max="8453" width="12" customWidth="1"/>
    <col min="8454" max="8454" width="9.7109375" customWidth="1"/>
    <col min="8459" max="8459" width="9.85546875" customWidth="1"/>
    <col min="8705" max="8705" width="9.42578125" customWidth="1"/>
    <col min="8706" max="8706" width="10.140625" customWidth="1"/>
    <col min="8709" max="8709" width="12" customWidth="1"/>
    <col min="8710" max="8710" width="9.7109375" customWidth="1"/>
    <col min="8715" max="8715" width="9.85546875" customWidth="1"/>
    <col min="8961" max="8961" width="9.42578125" customWidth="1"/>
    <col min="8962" max="8962" width="10.140625" customWidth="1"/>
    <col min="8965" max="8965" width="12" customWidth="1"/>
    <col min="8966" max="8966" width="9.7109375" customWidth="1"/>
    <col min="8971" max="8971" width="9.85546875" customWidth="1"/>
    <col min="9217" max="9217" width="9.42578125" customWidth="1"/>
    <col min="9218" max="9218" width="10.140625" customWidth="1"/>
    <col min="9221" max="9221" width="12" customWidth="1"/>
    <col min="9222" max="9222" width="9.7109375" customWidth="1"/>
    <col min="9227" max="9227" width="9.85546875" customWidth="1"/>
    <col min="9473" max="9473" width="9.42578125" customWidth="1"/>
    <col min="9474" max="9474" width="10.140625" customWidth="1"/>
    <col min="9477" max="9477" width="12" customWidth="1"/>
    <col min="9478" max="9478" width="9.7109375" customWidth="1"/>
    <col min="9483" max="9483" width="9.85546875" customWidth="1"/>
    <col min="9729" max="9729" width="9.42578125" customWidth="1"/>
    <col min="9730" max="9730" width="10.140625" customWidth="1"/>
    <col min="9733" max="9733" width="12" customWidth="1"/>
    <col min="9734" max="9734" width="9.7109375" customWidth="1"/>
    <col min="9739" max="9739" width="9.85546875" customWidth="1"/>
    <col min="9985" max="9985" width="9.42578125" customWidth="1"/>
    <col min="9986" max="9986" width="10.140625" customWidth="1"/>
    <col min="9989" max="9989" width="12" customWidth="1"/>
    <col min="9990" max="9990" width="9.7109375" customWidth="1"/>
    <col min="9995" max="9995" width="9.85546875" customWidth="1"/>
    <col min="10241" max="10241" width="9.42578125" customWidth="1"/>
    <col min="10242" max="10242" width="10.140625" customWidth="1"/>
    <col min="10245" max="10245" width="12" customWidth="1"/>
    <col min="10246" max="10246" width="9.7109375" customWidth="1"/>
    <col min="10251" max="10251" width="9.85546875" customWidth="1"/>
    <col min="10497" max="10497" width="9.42578125" customWidth="1"/>
    <col min="10498" max="10498" width="10.140625" customWidth="1"/>
    <col min="10501" max="10501" width="12" customWidth="1"/>
    <col min="10502" max="10502" width="9.7109375" customWidth="1"/>
    <col min="10507" max="10507" width="9.85546875" customWidth="1"/>
    <col min="10753" max="10753" width="9.42578125" customWidth="1"/>
    <col min="10754" max="10754" width="10.140625" customWidth="1"/>
    <col min="10757" max="10757" width="12" customWidth="1"/>
    <col min="10758" max="10758" width="9.7109375" customWidth="1"/>
    <col min="10763" max="10763" width="9.85546875" customWidth="1"/>
    <col min="11009" max="11009" width="9.42578125" customWidth="1"/>
    <col min="11010" max="11010" width="10.140625" customWidth="1"/>
    <col min="11013" max="11013" width="12" customWidth="1"/>
    <col min="11014" max="11014" width="9.7109375" customWidth="1"/>
    <col min="11019" max="11019" width="9.85546875" customWidth="1"/>
    <col min="11265" max="11265" width="9.42578125" customWidth="1"/>
    <col min="11266" max="11266" width="10.140625" customWidth="1"/>
    <col min="11269" max="11269" width="12" customWidth="1"/>
    <col min="11270" max="11270" width="9.7109375" customWidth="1"/>
    <col min="11275" max="11275" width="9.85546875" customWidth="1"/>
    <col min="11521" max="11521" width="9.42578125" customWidth="1"/>
    <col min="11522" max="11522" width="10.140625" customWidth="1"/>
    <col min="11525" max="11525" width="12" customWidth="1"/>
    <col min="11526" max="11526" width="9.7109375" customWidth="1"/>
    <col min="11531" max="11531" width="9.85546875" customWidth="1"/>
    <col min="11777" max="11777" width="9.42578125" customWidth="1"/>
    <col min="11778" max="11778" width="10.140625" customWidth="1"/>
    <col min="11781" max="11781" width="12" customWidth="1"/>
    <col min="11782" max="11782" width="9.7109375" customWidth="1"/>
    <col min="11787" max="11787" width="9.85546875" customWidth="1"/>
    <col min="12033" max="12033" width="9.42578125" customWidth="1"/>
    <col min="12034" max="12034" width="10.140625" customWidth="1"/>
    <col min="12037" max="12037" width="12" customWidth="1"/>
    <col min="12038" max="12038" width="9.7109375" customWidth="1"/>
    <col min="12043" max="12043" width="9.85546875" customWidth="1"/>
    <col min="12289" max="12289" width="9.42578125" customWidth="1"/>
    <col min="12290" max="12290" width="10.140625" customWidth="1"/>
    <col min="12293" max="12293" width="12" customWidth="1"/>
    <col min="12294" max="12294" width="9.7109375" customWidth="1"/>
    <col min="12299" max="12299" width="9.85546875" customWidth="1"/>
    <col min="12545" max="12545" width="9.42578125" customWidth="1"/>
    <col min="12546" max="12546" width="10.140625" customWidth="1"/>
    <col min="12549" max="12549" width="12" customWidth="1"/>
    <col min="12550" max="12550" width="9.7109375" customWidth="1"/>
    <col min="12555" max="12555" width="9.85546875" customWidth="1"/>
    <col min="12801" max="12801" width="9.42578125" customWidth="1"/>
    <col min="12802" max="12802" width="10.140625" customWidth="1"/>
    <col min="12805" max="12805" width="12" customWidth="1"/>
    <col min="12806" max="12806" width="9.7109375" customWidth="1"/>
    <col min="12811" max="12811" width="9.85546875" customWidth="1"/>
    <col min="13057" max="13057" width="9.42578125" customWidth="1"/>
    <col min="13058" max="13058" width="10.140625" customWidth="1"/>
    <col min="13061" max="13061" width="12" customWidth="1"/>
    <col min="13062" max="13062" width="9.7109375" customWidth="1"/>
    <col min="13067" max="13067" width="9.85546875" customWidth="1"/>
    <col min="13313" max="13313" width="9.42578125" customWidth="1"/>
    <col min="13314" max="13314" width="10.140625" customWidth="1"/>
    <col min="13317" max="13317" width="12" customWidth="1"/>
    <col min="13318" max="13318" width="9.7109375" customWidth="1"/>
    <col min="13323" max="13323" width="9.85546875" customWidth="1"/>
    <col min="13569" max="13569" width="9.42578125" customWidth="1"/>
    <col min="13570" max="13570" width="10.140625" customWidth="1"/>
    <col min="13573" max="13573" width="12" customWidth="1"/>
    <col min="13574" max="13574" width="9.7109375" customWidth="1"/>
    <col min="13579" max="13579" width="9.85546875" customWidth="1"/>
    <col min="13825" max="13825" width="9.42578125" customWidth="1"/>
    <col min="13826" max="13826" width="10.140625" customWidth="1"/>
    <col min="13829" max="13829" width="12" customWidth="1"/>
    <col min="13830" max="13830" width="9.7109375" customWidth="1"/>
    <col min="13835" max="13835" width="9.85546875" customWidth="1"/>
    <col min="14081" max="14081" width="9.42578125" customWidth="1"/>
    <col min="14082" max="14082" width="10.140625" customWidth="1"/>
    <col min="14085" max="14085" width="12" customWidth="1"/>
    <col min="14086" max="14086" width="9.7109375" customWidth="1"/>
    <col min="14091" max="14091" width="9.85546875" customWidth="1"/>
    <col min="14337" max="14337" width="9.42578125" customWidth="1"/>
    <col min="14338" max="14338" width="10.140625" customWidth="1"/>
    <col min="14341" max="14341" width="12" customWidth="1"/>
    <col min="14342" max="14342" width="9.7109375" customWidth="1"/>
    <col min="14347" max="14347" width="9.85546875" customWidth="1"/>
    <col min="14593" max="14593" width="9.42578125" customWidth="1"/>
    <col min="14594" max="14594" width="10.140625" customWidth="1"/>
    <col min="14597" max="14597" width="12" customWidth="1"/>
    <col min="14598" max="14598" width="9.7109375" customWidth="1"/>
    <col min="14603" max="14603" width="9.85546875" customWidth="1"/>
    <col min="14849" max="14849" width="9.42578125" customWidth="1"/>
    <col min="14850" max="14850" width="10.140625" customWidth="1"/>
    <col min="14853" max="14853" width="12" customWidth="1"/>
    <col min="14854" max="14854" width="9.7109375" customWidth="1"/>
    <col min="14859" max="14859" width="9.85546875" customWidth="1"/>
    <col min="15105" max="15105" width="9.42578125" customWidth="1"/>
    <col min="15106" max="15106" width="10.140625" customWidth="1"/>
    <col min="15109" max="15109" width="12" customWidth="1"/>
    <col min="15110" max="15110" width="9.7109375" customWidth="1"/>
    <col min="15115" max="15115" width="9.85546875" customWidth="1"/>
    <col min="15361" max="15361" width="9.42578125" customWidth="1"/>
    <col min="15362" max="15362" width="10.140625" customWidth="1"/>
    <col min="15365" max="15365" width="12" customWidth="1"/>
    <col min="15366" max="15366" width="9.7109375" customWidth="1"/>
    <col min="15371" max="15371" width="9.85546875" customWidth="1"/>
    <col min="15617" max="15617" width="9.42578125" customWidth="1"/>
    <col min="15618" max="15618" width="10.140625" customWidth="1"/>
    <col min="15621" max="15621" width="12" customWidth="1"/>
    <col min="15622" max="15622" width="9.7109375" customWidth="1"/>
    <col min="15627" max="15627" width="9.85546875" customWidth="1"/>
    <col min="15873" max="15873" width="9.42578125" customWidth="1"/>
    <col min="15874" max="15874" width="10.140625" customWidth="1"/>
    <col min="15877" max="15877" width="12" customWidth="1"/>
    <col min="15878" max="15878" width="9.7109375" customWidth="1"/>
    <col min="15883" max="15883" width="9.85546875" customWidth="1"/>
    <col min="16129" max="16129" width="9.42578125" customWidth="1"/>
    <col min="16130" max="16130" width="10.140625" customWidth="1"/>
    <col min="16133" max="16133" width="12" customWidth="1"/>
    <col min="16134" max="16134" width="9.7109375" customWidth="1"/>
    <col min="16139" max="16139" width="9.85546875" customWidth="1"/>
  </cols>
  <sheetData>
    <row r="1" spans="1:16" ht="18">
      <c r="A1" s="426" t="s">
        <v>26</v>
      </c>
      <c r="B1" s="2"/>
      <c r="C1" s="2"/>
      <c r="D1" s="2"/>
      <c r="E1" s="2"/>
      <c r="F1" s="2"/>
      <c r="G1" s="2"/>
      <c r="H1" s="76" t="s">
        <v>268</v>
      </c>
      <c r="I1" s="6" t="s">
        <v>116</v>
      </c>
      <c r="J1" s="2"/>
      <c r="K1" s="2"/>
      <c r="L1" s="73"/>
      <c r="M1" s="73"/>
      <c r="N1" s="73"/>
      <c r="O1" s="73"/>
      <c r="P1" s="73"/>
    </row>
    <row r="2" spans="1:16">
      <c r="A2" s="2" t="s">
        <v>27</v>
      </c>
      <c r="B2" s="2"/>
      <c r="C2" s="2"/>
      <c r="D2" s="2"/>
      <c r="E2" s="2"/>
      <c r="F2" s="2"/>
      <c r="G2" s="2"/>
      <c r="H2" s="2"/>
      <c r="I2" s="2"/>
      <c r="J2" s="2"/>
      <c r="K2" s="2"/>
      <c r="L2" s="73"/>
      <c r="M2" s="73"/>
      <c r="N2" s="73"/>
      <c r="O2" s="73"/>
      <c r="P2" s="73"/>
    </row>
    <row r="3" spans="1:16">
      <c r="A3" s="2"/>
      <c r="B3" s="2"/>
      <c r="C3" s="2"/>
      <c r="D3" s="2"/>
      <c r="E3" s="2"/>
      <c r="F3" s="2"/>
      <c r="G3" s="2"/>
      <c r="H3" s="2"/>
      <c r="I3" s="2"/>
      <c r="J3" s="2"/>
      <c r="K3" s="2"/>
      <c r="L3" s="73"/>
      <c r="M3" s="73"/>
      <c r="N3" s="73"/>
      <c r="O3" s="73"/>
      <c r="P3" s="73"/>
    </row>
    <row r="4" spans="1:16">
      <c r="A4" s="2" t="s">
        <v>86</v>
      </c>
      <c r="B4" s="2"/>
      <c r="C4" s="3028">
        <v>0</v>
      </c>
      <c r="D4" s="3028"/>
      <c r="E4" s="2468" t="s">
        <v>112</v>
      </c>
      <c r="F4" s="2469">
        <v>0</v>
      </c>
      <c r="G4" s="2468" t="s">
        <v>28</v>
      </c>
      <c r="H4" s="3029">
        <v>0</v>
      </c>
      <c r="I4" s="3029"/>
      <c r="J4" s="3029"/>
      <c r="L4" s="73"/>
      <c r="M4" s="73"/>
      <c r="N4" s="73"/>
      <c r="O4" s="73"/>
      <c r="P4" s="73"/>
    </row>
    <row r="5" spans="1:16">
      <c r="A5" s="2"/>
      <c r="B5" s="2"/>
      <c r="C5" s="2"/>
      <c r="D5" s="2"/>
      <c r="E5" s="2"/>
      <c r="F5" s="2"/>
      <c r="G5" s="2"/>
      <c r="H5" s="2"/>
      <c r="I5" s="2"/>
      <c r="J5" s="2"/>
      <c r="K5" s="2"/>
      <c r="L5" s="73"/>
      <c r="M5" s="73"/>
      <c r="N5" s="73"/>
      <c r="O5" s="73"/>
      <c r="P5" s="73"/>
    </row>
    <row r="6" spans="1:16">
      <c r="A6" s="6" t="s">
        <v>1495</v>
      </c>
      <c r="B6" s="2"/>
      <c r="C6" s="2"/>
      <c r="D6" s="2"/>
      <c r="E6" s="2"/>
      <c r="F6" s="2"/>
      <c r="G6" s="2"/>
      <c r="H6" s="2"/>
      <c r="I6" s="2"/>
      <c r="J6" s="2"/>
      <c r="K6" s="2"/>
      <c r="L6" s="73"/>
      <c r="M6" s="73"/>
      <c r="N6" s="73"/>
      <c r="O6" s="73"/>
      <c r="P6" s="73"/>
    </row>
    <row r="7" spans="1:16">
      <c r="A7" s="2"/>
      <c r="B7" s="2"/>
      <c r="C7" s="2"/>
      <c r="D7" s="2"/>
      <c r="E7" s="2"/>
      <c r="F7" s="2"/>
      <c r="G7" s="2"/>
      <c r="H7" s="2"/>
      <c r="I7" s="2"/>
      <c r="J7" s="2"/>
      <c r="K7" s="2"/>
      <c r="L7" s="73"/>
      <c r="M7" s="73"/>
      <c r="N7" s="73"/>
      <c r="O7" s="73"/>
      <c r="P7" s="73"/>
    </row>
    <row r="8" spans="1:16">
      <c r="A8" s="2" t="s">
        <v>119</v>
      </c>
      <c r="B8" s="2469" t="s">
        <v>122</v>
      </c>
      <c r="C8" s="2470">
        <v>0</v>
      </c>
      <c r="D8" s="2"/>
      <c r="E8" s="2" t="s">
        <v>29</v>
      </c>
      <c r="F8" s="2471">
        <v>2.5499999999999998</v>
      </c>
      <c r="G8" s="2" t="s">
        <v>120</v>
      </c>
      <c r="H8" s="2"/>
      <c r="I8" s="2"/>
      <c r="J8" s="2"/>
      <c r="K8" s="2"/>
      <c r="L8" s="73"/>
      <c r="M8" s="73"/>
      <c r="N8" s="73"/>
      <c r="O8" s="73"/>
      <c r="P8" s="73"/>
    </row>
    <row r="9" spans="1:16">
      <c r="A9" s="2"/>
      <c r="B9" s="2469" t="s">
        <v>124</v>
      </c>
      <c r="C9" s="2470">
        <v>0</v>
      </c>
      <c r="D9" s="2"/>
      <c r="E9" s="2" t="s">
        <v>30</v>
      </c>
      <c r="F9" s="2471">
        <v>1.6</v>
      </c>
      <c r="G9" s="2" t="s">
        <v>120</v>
      </c>
      <c r="H9" s="2"/>
      <c r="I9" s="2"/>
      <c r="J9" s="2"/>
      <c r="K9" s="2"/>
      <c r="L9" s="73"/>
      <c r="M9" s="73"/>
      <c r="N9" s="73"/>
      <c r="O9" s="73"/>
      <c r="P9" s="73"/>
    </row>
    <row r="10" spans="1:16">
      <c r="A10" s="2"/>
      <c r="B10" s="2469" t="s">
        <v>126</v>
      </c>
      <c r="C10" s="2470">
        <v>0</v>
      </c>
      <c r="D10" s="2"/>
      <c r="E10" s="2"/>
      <c r="F10" s="2"/>
      <c r="G10" s="2"/>
      <c r="H10" s="2"/>
      <c r="I10" s="2"/>
      <c r="J10" s="2"/>
      <c r="K10" s="2"/>
      <c r="L10" s="73"/>
      <c r="M10" s="73"/>
      <c r="N10" s="73"/>
      <c r="O10" s="73"/>
      <c r="P10" s="73"/>
    </row>
    <row r="11" spans="1:16">
      <c r="A11" s="2"/>
      <c r="B11" s="2469" t="s">
        <v>128</v>
      </c>
      <c r="C11" s="2470">
        <v>0</v>
      </c>
      <c r="D11" s="2"/>
      <c r="E11" s="2"/>
      <c r="F11" s="2"/>
      <c r="G11" s="2"/>
      <c r="H11" s="2"/>
      <c r="I11" s="2"/>
      <c r="J11" s="2"/>
      <c r="K11" s="2"/>
    </row>
    <row r="12" spans="1:16" ht="18">
      <c r="A12" s="2"/>
      <c r="B12" s="2469" t="s">
        <v>130</v>
      </c>
      <c r="C12" s="2470">
        <v>1</v>
      </c>
      <c r="D12" s="2"/>
      <c r="E12" s="2"/>
      <c r="F12" s="2"/>
      <c r="G12" s="2"/>
      <c r="H12" s="2"/>
      <c r="I12" s="2"/>
      <c r="J12" s="2"/>
      <c r="K12" s="2"/>
      <c r="M12" s="2472"/>
      <c r="N12" s="2472"/>
      <c r="P12" s="2472"/>
    </row>
    <row r="13" spans="1:16" ht="18">
      <c r="A13" s="2"/>
      <c r="B13" s="2469" t="s">
        <v>132</v>
      </c>
      <c r="C13" s="2470">
        <v>0</v>
      </c>
      <c r="D13" s="2"/>
      <c r="E13" s="2"/>
      <c r="F13" s="2"/>
      <c r="G13" s="2"/>
      <c r="H13" s="2"/>
      <c r="I13" s="2"/>
      <c r="J13" s="2"/>
      <c r="K13" s="2"/>
      <c r="M13" s="2472"/>
      <c r="N13" s="2472"/>
      <c r="O13" s="2472"/>
      <c r="P13" s="2472"/>
    </row>
    <row r="14" spans="1:16" ht="18">
      <c r="A14" s="2"/>
      <c r="B14" s="2"/>
      <c r="C14" s="2"/>
      <c r="D14" s="2"/>
      <c r="E14" s="2"/>
      <c r="F14" s="2"/>
      <c r="G14" s="2"/>
      <c r="H14" s="2"/>
      <c r="I14" s="2"/>
      <c r="J14" s="2"/>
      <c r="K14" s="2"/>
      <c r="M14" s="2472"/>
      <c r="N14" s="2472"/>
      <c r="O14" s="2472"/>
      <c r="P14" s="2473"/>
    </row>
    <row r="15" spans="1:16" ht="18">
      <c r="A15" s="6" t="s">
        <v>31</v>
      </c>
      <c r="B15" s="2"/>
      <c r="C15" s="2"/>
      <c r="D15" s="2"/>
      <c r="E15" s="2"/>
      <c r="F15" s="2"/>
      <c r="G15" s="2"/>
      <c r="H15" s="2"/>
      <c r="I15" s="2"/>
      <c r="J15" s="2"/>
      <c r="K15" s="2"/>
      <c r="M15" s="2472"/>
      <c r="N15" s="2472"/>
      <c r="O15" s="2472"/>
      <c r="P15" s="2472"/>
    </row>
    <row r="16" spans="1:16" ht="18">
      <c r="A16" s="2" t="s">
        <v>1496</v>
      </c>
      <c r="B16" s="2"/>
      <c r="C16" s="2"/>
      <c r="D16" s="2"/>
      <c r="E16" s="2"/>
      <c r="F16" s="2"/>
      <c r="G16" s="2"/>
      <c r="H16" s="2"/>
      <c r="I16" s="2"/>
      <c r="J16" s="2"/>
      <c r="M16" s="2472"/>
      <c r="N16" s="2472"/>
      <c r="O16" s="2472"/>
      <c r="P16" s="2473"/>
    </row>
    <row r="17" spans="1:16" ht="18">
      <c r="A17" s="3030" t="s">
        <v>133</v>
      </c>
      <c r="B17" s="3030"/>
      <c r="C17" s="3030" t="s">
        <v>147</v>
      </c>
      <c r="D17" s="3030"/>
      <c r="E17" s="3030"/>
      <c r="F17" s="2474" t="s">
        <v>1497</v>
      </c>
      <c r="G17" s="2475" t="s">
        <v>1498</v>
      </c>
      <c r="H17" s="2476"/>
      <c r="I17" s="2476"/>
      <c r="J17" s="2476"/>
      <c r="K17" s="2477" t="s">
        <v>180</v>
      </c>
      <c r="M17" s="2472"/>
      <c r="N17" s="2472"/>
      <c r="O17" s="2472"/>
      <c r="P17" s="2472"/>
    </row>
    <row r="18" spans="1:16" ht="18">
      <c r="A18" s="3030"/>
      <c r="B18" s="3030"/>
      <c r="C18" s="3030"/>
      <c r="D18" s="3030"/>
      <c r="E18" s="3030"/>
      <c r="F18" s="2478" t="s">
        <v>1499</v>
      </c>
      <c r="G18" s="2477" t="s">
        <v>32</v>
      </c>
      <c r="H18" s="2476"/>
      <c r="I18" s="2477" t="s">
        <v>33</v>
      </c>
      <c r="J18" s="2" t="s">
        <v>338</v>
      </c>
      <c r="K18" s="2479" t="s">
        <v>34</v>
      </c>
      <c r="M18" s="2480"/>
      <c r="N18" s="2472"/>
      <c r="O18" s="2472"/>
      <c r="P18" s="2472"/>
    </row>
    <row r="19" spans="1:16" ht="18">
      <c r="A19" s="2481" t="s">
        <v>1057</v>
      </c>
      <c r="B19" s="2481" t="s">
        <v>23</v>
      </c>
      <c r="C19" s="2481" t="s">
        <v>1057</v>
      </c>
      <c r="D19" s="2481" t="s">
        <v>23</v>
      </c>
      <c r="E19" s="2482" t="s">
        <v>139</v>
      </c>
      <c r="F19" s="2483" t="s">
        <v>143</v>
      </c>
      <c r="G19" s="2483" t="s">
        <v>319</v>
      </c>
      <c r="H19" s="2" t="s">
        <v>319</v>
      </c>
      <c r="I19" s="2483" t="s">
        <v>314</v>
      </c>
      <c r="J19" s="2" t="s">
        <v>319</v>
      </c>
      <c r="K19" s="2483" t="s">
        <v>318</v>
      </c>
      <c r="M19" s="2480"/>
      <c r="N19" s="2472"/>
      <c r="O19" s="2472"/>
      <c r="P19" s="2473"/>
    </row>
    <row r="20" spans="1:16" ht="18">
      <c r="A20" s="2484" t="s">
        <v>1361</v>
      </c>
      <c r="B20" s="2484" t="s">
        <v>327</v>
      </c>
      <c r="C20" s="2484" t="s">
        <v>1361</v>
      </c>
      <c r="D20" s="2484" t="s">
        <v>327</v>
      </c>
      <c r="E20" s="2485">
        <v>6000</v>
      </c>
      <c r="F20" s="2486">
        <v>227.43980194324467</v>
      </c>
      <c r="G20" s="2486" t="s">
        <v>327</v>
      </c>
      <c r="H20" s="2486" t="s">
        <v>327</v>
      </c>
      <c r="I20" s="2486" t="s">
        <v>327</v>
      </c>
      <c r="J20" s="2486" t="s">
        <v>327</v>
      </c>
      <c r="K20" s="2486" t="s">
        <v>327</v>
      </c>
      <c r="M20" s="2472"/>
      <c r="N20" s="2472"/>
      <c r="O20" s="2472"/>
      <c r="P20" s="2473"/>
    </row>
    <row r="21" spans="1:16" ht="15">
      <c r="A21" s="2484" t="s">
        <v>1779</v>
      </c>
      <c r="B21" s="2484" t="s">
        <v>327</v>
      </c>
      <c r="C21" s="2484" t="s">
        <v>1779</v>
      </c>
      <c r="D21" s="2484" t="s">
        <v>1780</v>
      </c>
      <c r="E21" s="2485">
        <v>8000</v>
      </c>
      <c r="F21" s="2486">
        <v>349.90738760499335</v>
      </c>
      <c r="G21" s="2486">
        <v>4000</v>
      </c>
      <c r="H21" s="2486">
        <v>1000</v>
      </c>
      <c r="I21" s="2486">
        <v>3</v>
      </c>
      <c r="J21" s="2486" t="s">
        <v>327</v>
      </c>
      <c r="K21" s="2486">
        <v>640</v>
      </c>
    </row>
    <row r="22" spans="1:16" ht="15">
      <c r="A22" s="2484" t="s">
        <v>1361</v>
      </c>
      <c r="B22" s="2484" t="s">
        <v>327</v>
      </c>
      <c r="C22" s="2484" t="s">
        <v>1361</v>
      </c>
      <c r="D22" s="2484" t="s">
        <v>1780</v>
      </c>
      <c r="E22" s="2485">
        <v>6200</v>
      </c>
      <c r="F22" s="2486">
        <v>447.43980194324467</v>
      </c>
      <c r="G22" s="2486">
        <v>2000</v>
      </c>
      <c r="H22" s="2486">
        <v>1000</v>
      </c>
      <c r="I22" s="2486">
        <v>3</v>
      </c>
      <c r="J22" s="2486" t="s">
        <v>327</v>
      </c>
      <c r="K22" s="2486">
        <v>480</v>
      </c>
    </row>
    <row r="23" spans="1:16" ht="15">
      <c r="A23" s="2484" t="s">
        <v>327</v>
      </c>
      <c r="B23" s="2484" t="s">
        <v>327</v>
      </c>
      <c r="C23" s="2484" t="s">
        <v>1362</v>
      </c>
      <c r="D23" s="2484" t="s">
        <v>1780</v>
      </c>
      <c r="E23" s="2485">
        <v>6000</v>
      </c>
      <c r="F23" s="2486" t="s">
        <v>327</v>
      </c>
      <c r="G23" s="2486" t="s">
        <v>327</v>
      </c>
      <c r="H23" s="2486">
        <v>1000</v>
      </c>
      <c r="I23" s="2486">
        <v>3</v>
      </c>
      <c r="J23" s="2486" t="s">
        <v>327</v>
      </c>
      <c r="K23" s="2486" t="s">
        <v>327</v>
      </c>
    </row>
    <row r="24" spans="1:16" ht="15">
      <c r="A24" s="2484" t="s">
        <v>327</v>
      </c>
      <c r="B24" s="2484" t="s">
        <v>327</v>
      </c>
      <c r="C24" s="2484" t="s">
        <v>327</v>
      </c>
      <c r="D24" s="2484" t="s">
        <v>327</v>
      </c>
      <c r="E24" s="2485" t="s">
        <v>327</v>
      </c>
      <c r="F24" s="2486" t="s">
        <v>327</v>
      </c>
      <c r="G24" s="2486" t="s">
        <v>327</v>
      </c>
      <c r="H24" s="2486" t="s">
        <v>327</v>
      </c>
      <c r="I24" s="2486" t="s">
        <v>327</v>
      </c>
      <c r="J24" s="2486" t="s">
        <v>327</v>
      </c>
      <c r="K24" s="2486" t="s">
        <v>327</v>
      </c>
    </row>
    <row r="25" spans="1:16" ht="15">
      <c r="A25" s="2484" t="s">
        <v>327</v>
      </c>
      <c r="B25" s="2484" t="s">
        <v>327</v>
      </c>
      <c r="C25" s="2484" t="s">
        <v>327</v>
      </c>
      <c r="D25" s="2484" t="s">
        <v>327</v>
      </c>
      <c r="E25" s="2485" t="s">
        <v>327</v>
      </c>
      <c r="F25" s="2486" t="s">
        <v>327</v>
      </c>
      <c r="G25" s="2486" t="s">
        <v>327</v>
      </c>
      <c r="H25" s="2486" t="s">
        <v>327</v>
      </c>
      <c r="I25" s="2486" t="s">
        <v>327</v>
      </c>
      <c r="J25" s="2486" t="s">
        <v>327</v>
      </c>
      <c r="K25" s="2486" t="s">
        <v>327</v>
      </c>
    </row>
    <row r="26" spans="1:16" ht="15">
      <c r="A26" s="2484" t="s">
        <v>327</v>
      </c>
      <c r="B26" s="2484" t="s">
        <v>327</v>
      </c>
      <c r="C26" s="2484" t="s">
        <v>327</v>
      </c>
      <c r="D26" s="2484" t="s">
        <v>327</v>
      </c>
      <c r="E26" s="2485" t="s">
        <v>327</v>
      </c>
      <c r="F26" s="2486" t="s">
        <v>327</v>
      </c>
      <c r="G26" s="2486" t="s">
        <v>327</v>
      </c>
      <c r="H26" s="2486" t="s">
        <v>327</v>
      </c>
      <c r="I26" s="2486" t="s">
        <v>327</v>
      </c>
      <c r="J26" s="2486" t="s">
        <v>327</v>
      </c>
      <c r="K26" s="2486" t="s">
        <v>327</v>
      </c>
    </row>
    <row r="27" spans="1:16" ht="15">
      <c r="A27" s="2484" t="s">
        <v>327</v>
      </c>
      <c r="B27" s="2484" t="s">
        <v>327</v>
      </c>
      <c r="C27" s="2484" t="s">
        <v>327</v>
      </c>
      <c r="D27" s="2484" t="s">
        <v>327</v>
      </c>
      <c r="E27" s="2485" t="s">
        <v>327</v>
      </c>
      <c r="F27" s="2486" t="s">
        <v>327</v>
      </c>
      <c r="G27" s="2486" t="s">
        <v>327</v>
      </c>
      <c r="H27" s="2486" t="s">
        <v>327</v>
      </c>
      <c r="I27" s="2486" t="s">
        <v>327</v>
      </c>
      <c r="J27" s="2486" t="s">
        <v>327</v>
      </c>
      <c r="K27" s="2486" t="s">
        <v>327</v>
      </c>
    </row>
    <row r="28" spans="1:16" ht="15">
      <c r="A28" s="2484" t="s">
        <v>327</v>
      </c>
      <c r="B28" s="2484" t="s">
        <v>327</v>
      </c>
      <c r="C28" s="2484" t="s">
        <v>327</v>
      </c>
      <c r="D28" s="2484" t="s">
        <v>327</v>
      </c>
      <c r="E28" s="2485" t="s">
        <v>327</v>
      </c>
      <c r="F28" s="2486" t="s">
        <v>327</v>
      </c>
      <c r="G28" s="2486" t="s">
        <v>327</v>
      </c>
      <c r="H28" s="2486" t="s">
        <v>327</v>
      </c>
      <c r="I28" s="2486" t="s">
        <v>327</v>
      </c>
      <c r="J28" s="2486" t="s">
        <v>327</v>
      </c>
      <c r="K28" s="2486" t="s">
        <v>327</v>
      </c>
    </row>
    <row r="29" spans="1:16" ht="15">
      <c r="A29" s="2484" t="s">
        <v>327</v>
      </c>
      <c r="B29" s="2484" t="s">
        <v>327</v>
      </c>
      <c r="C29" s="2484" t="s">
        <v>327</v>
      </c>
      <c r="D29" s="2484" t="s">
        <v>327</v>
      </c>
      <c r="E29" s="2485" t="s">
        <v>327</v>
      </c>
      <c r="F29" s="2486" t="s">
        <v>327</v>
      </c>
      <c r="G29" s="2486" t="s">
        <v>327</v>
      </c>
      <c r="H29" s="2486" t="s">
        <v>327</v>
      </c>
      <c r="I29" s="2486" t="s">
        <v>327</v>
      </c>
      <c r="J29" s="2486" t="s">
        <v>327</v>
      </c>
      <c r="K29" s="2486" t="s">
        <v>327</v>
      </c>
    </row>
    <row r="30" spans="1:16">
      <c r="A30" s="2"/>
      <c r="B30" s="2"/>
      <c r="C30" s="2"/>
      <c r="D30" s="2"/>
      <c r="E30" s="2"/>
      <c r="F30" s="2"/>
      <c r="G30" s="2"/>
      <c r="H30" s="2"/>
      <c r="I30" s="72"/>
      <c r="J30" s="2"/>
      <c r="K30" s="2"/>
    </row>
    <row r="31" spans="1:16">
      <c r="A31" s="2"/>
      <c r="B31" s="2"/>
      <c r="C31" s="2"/>
      <c r="D31" s="2"/>
      <c r="E31" s="2"/>
      <c r="F31" s="2"/>
      <c r="G31" s="2"/>
      <c r="H31" s="2"/>
      <c r="I31" s="2"/>
      <c r="J31" s="2"/>
      <c r="K31" s="2"/>
    </row>
    <row r="32" spans="1:16">
      <c r="A32" s="6" t="s">
        <v>1500</v>
      </c>
      <c r="B32" s="2"/>
      <c r="C32" s="2"/>
      <c r="D32" s="2"/>
      <c r="E32" s="2"/>
      <c r="F32" s="2"/>
      <c r="G32" s="2"/>
      <c r="H32" s="2"/>
      <c r="I32" s="2"/>
      <c r="J32" s="2"/>
      <c r="K32" s="2"/>
      <c r="O32" t="s">
        <v>1428</v>
      </c>
    </row>
    <row r="33" spans="1:22" ht="11.25" customHeight="1">
      <c r="A33" s="2"/>
      <c r="B33" s="2"/>
      <c r="C33" s="2"/>
      <c r="D33" s="2"/>
      <c r="E33" s="2"/>
      <c r="F33" s="2"/>
      <c r="G33" s="2"/>
      <c r="H33" s="2"/>
      <c r="I33" s="2"/>
      <c r="J33" s="2"/>
      <c r="K33" s="2"/>
      <c r="O33" t="s">
        <v>1501</v>
      </c>
    </row>
    <row r="34" spans="1:22">
      <c r="A34" s="2487"/>
      <c r="B34" s="2488" t="s">
        <v>35</v>
      </c>
      <c r="C34" s="2489" t="s">
        <v>15</v>
      </c>
      <c r="D34" s="2489" t="s">
        <v>1502</v>
      </c>
      <c r="E34" s="2489" t="s">
        <v>1503</v>
      </c>
      <c r="F34" s="2482" t="s">
        <v>37</v>
      </c>
      <c r="G34" s="2490"/>
      <c r="H34" s="2489" t="s">
        <v>38</v>
      </c>
      <c r="I34" s="2489" t="s">
        <v>191</v>
      </c>
      <c r="J34" s="2489" t="s">
        <v>1504</v>
      </c>
      <c r="K34" s="2489" t="s">
        <v>1505</v>
      </c>
      <c r="L34" s="2489" t="s">
        <v>1506</v>
      </c>
      <c r="O34" t="s">
        <v>1507</v>
      </c>
      <c r="P34" s="97">
        <v>135</v>
      </c>
    </row>
    <row r="35" spans="1:22">
      <c r="A35" s="2491"/>
      <c r="B35" s="2492" t="s">
        <v>39</v>
      </c>
      <c r="C35" s="658" t="s">
        <v>40</v>
      </c>
      <c r="D35" s="658" t="s">
        <v>41</v>
      </c>
      <c r="E35" s="658" t="s">
        <v>1508</v>
      </c>
      <c r="F35" s="658" t="s">
        <v>4</v>
      </c>
      <c r="G35" s="2493" t="s">
        <v>42</v>
      </c>
      <c r="H35" s="658" t="s">
        <v>43</v>
      </c>
      <c r="I35" s="658" t="s">
        <v>44</v>
      </c>
      <c r="J35" s="658" t="s">
        <v>4</v>
      </c>
      <c r="K35" s="658" t="s">
        <v>1509</v>
      </c>
      <c r="L35" s="658" t="s">
        <v>565</v>
      </c>
      <c r="O35" t="s">
        <v>1510</v>
      </c>
      <c r="P35" s="64">
        <v>0</v>
      </c>
    </row>
    <row r="36" spans="1:22">
      <c r="A36" s="2494"/>
      <c r="B36" s="2495"/>
      <c r="C36" s="2481" t="s">
        <v>120</v>
      </c>
      <c r="D36" s="2496"/>
      <c r="E36" s="2481" t="s">
        <v>120</v>
      </c>
      <c r="F36" s="2481" t="s">
        <v>1511</v>
      </c>
      <c r="G36" s="2496" t="s">
        <v>46</v>
      </c>
      <c r="H36" s="2496"/>
      <c r="I36" s="659"/>
      <c r="J36" s="659" t="s">
        <v>317</v>
      </c>
      <c r="K36" s="659" t="s">
        <v>1512</v>
      </c>
      <c r="L36" s="659" t="s">
        <v>1513</v>
      </c>
      <c r="O36" t="s">
        <v>1514</v>
      </c>
      <c r="P36" s="64">
        <v>0</v>
      </c>
    </row>
    <row r="37" spans="1:22" ht="15">
      <c r="A37" s="2497" t="s">
        <v>133</v>
      </c>
      <c r="B37" s="2498"/>
      <c r="C37" s="2499">
        <v>0</v>
      </c>
      <c r="D37" s="2500">
        <v>1</v>
      </c>
      <c r="E37" s="2499">
        <v>0</v>
      </c>
      <c r="F37" s="2498"/>
      <c r="G37" s="2498"/>
      <c r="H37" s="2486">
        <f>+Mull_ICBM!AM15</f>
        <v>15.889574486279889</v>
      </c>
      <c r="I37" s="2498"/>
      <c r="J37" s="2498"/>
      <c r="K37" s="660">
        <f>+klimat!Q64</f>
        <v>647.05487702675271</v>
      </c>
      <c r="L37" s="660">
        <v>0</v>
      </c>
    </row>
    <row r="38" spans="1:22" ht="15">
      <c r="A38" s="2501" t="s">
        <v>147</v>
      </c>
      <c r="B38" s="2498"/>
      <c r="C38" s="2499">
        <v>0</v>
      </c>
      <c r="D38" s="2500">
        <v>1.75</v>
      </c>
      <c r="E38" s="2499">
        <v>75</v>
      </c>
      <c r="F38" s="2498"/>
      <c r="G38" s="2498"/>
      <c r="H38" s="2486">
        <f>+Mull_ICBM!AM16</f>
        <v>15.889574486279889</v>
      </c>
      <c r="I38" s="2498"/>
      <c r="J38" s="2498"/>
      <c r="K38" s="660">
        <f>+klimat!R64</f>
        <v>590.80487702675271</v>
      </c>
      <c r="L38" s="660">
        <f>+klimat!R76</f>
        <v>0</v>
      </c>
      <c r="O38" t="s">
        <v>1515</v>
      </c>
    </row>
    <row r="39" spans="1:22" ht="15.75">
      <c r="A39" s="2501" t="s">
        <v>10</v>
      </c>
      <c r="B39" s="661">
        <v>625.55669835868139</v>
      </c>
      <c r="C39" s="661">
        <f>C38-C37</f>
        <v>0</v>
      </c>
      <c r="D39" s="2502">
        <f>D38-D37</f>
        <v>0.75</v>
      </c>
      <c r="E39" s="661">
        <f>E38-E37</f>
        <v>75</v>
      </c>
      <c r="F39" s="661">
        <v>0</v>
      </c>
      <c r="G39" s="2502">
        <v>0</v>
      </c>
      <c r="H39" s="661">
        <f>H38-H37</f>
        <v>0</v>
      </c>
      <c r="I39" s="2502">
        <v>-18.75</v>
      </c>
      <c r="J39" s="2502">
        <v>-4.5</v>
      </c>
      <c r="K39" s="661">
        <f>K38-K37</f>
        <v>-56.25</v>
      </c>
      <c r="L39" s="661">
        <f>L38-L37</f>
        <v>0</v>
      </c>
      <c r="O39" t="s">
        <v>1516</v>
      </c>
      <c r="P39" s="97">
        <v>97.567668016564795</v>
      </c>
    </row>
    <row r="40" spans="1:22">
      <c r="A40" s="2"/>
      <c r="B40" s="2"/>
      <c r="C40" s="2"/>
      <c r="D40" s="2"/>
      <c r="E40" s="2"/>
      <c r="F40" s="2"/>
      <c r="G40" s="2" t="s">
        <v>1517</v>
      </c>
      <c r="H40" s="70">
        <v>0</v>
      </c>
      <c r="I40" s="2503" t="s">
        <v>10</v>
      </c>
      <c r="J40" s="2"/>
      <c r="K40" s="2"/>
      <c r="L40" s="2"/>
      <c r="O40" t="s">
        <v>1518</v>
      </c>
      <c r="P40" s="97">
        <v>0</v>
      </c>
    </row>
    <row r="41" spans="1:22">
      <c r="A41" s="6" t="s">
        <v>99</v>
      </c>
      <c r="B41" s="27"/>
      <c r="C41" s="70" t="s">
        <v>120</v>
      </c>
      <c r="D41" s="156"/>
      <c r="E41" s="156"/>
      <c r="F41" s="156"/>
      <c r="G41" s="156"/>
      <c r="H41" s="2504"/>
      <c r="I41" s="2505" t="s">
        <v>1519</v>
      </c>
      <c r="J41" s="608">
        <v>0</v>
      </c>
      <c r="K41" s="156" t="s">
        <v>1485</v>
      </c>
      <c r="L41" s="600">
        <f>+Energi!P46</f>
        <v>2597.2222222222222</v>
      </c>
      <c r="P41" s="97"/>
    </row>
    <row r="42" spans="1:22" ht="15">
      <c r="A42" s="3031" t="s">
        <v>1520</v>
      </c>
      <c r="B42" s="3032"/>
      <c r="C42" s="2506">
        <v>2.915894896708271</v>
      </c>
      <c r="D42" s="156"/>
      <c r="E42" s="156"/>
      <c r="F42" s="156"/>
      <c r="G42" s="156"/>
      <c r="H42" s="2504"/>
      <c r="I42" s="156" t="s">
        <v>1521</v>
      </c>
      <c r="J42" s="608">
        <v>25.932331983435216</v>
      </c>
      <c r="K42" s="156" t="s">
        <v>1522</v>
      </c>
      <c r="L42" s="600">
        <v>0</v>
      </c>
      <c r="P42" s="97"/>
    </row>
    <row r="43" spans="1:22" ht="15">
      <c r="A43" s="3033" t="s">
        <v>1523</v>
      </c>
      <c r="B43" s="3033"/>
      <c r="C43" s="2506">
        <v>14.743978749946862</v>
      </c>
      <c r="D43" s="2"/>
      <c r="E43" s="2"/>
      <c r="F43" s="2"/>
      <c r="G43" s="2"/>
      <c r="H43" s="2"/>
      <c r="I43" s="2"/>
      <c r="J43" s="2"/>
      <c r="K43" s="2"/>
      <c r="O43" t="s">
        <v>1524</v>
      </c>
      <c r="P43" s="97">
        <v>0</v>
      </c>
      <c r="R43" s="105"/>
      <c r="S43" s="3027" t="s">
        <v>1525</v>
      </c>
      <c r="T43" s="3027"/>
      <c r="U43" s="3027"/>
      <c r="V43" s="3027"/>
    </row>
    <row r="44" spans="1:22">
      <c r="A44" s="2"/>
      <c r="B44" s="2"/>
      <c r="C44" s="2"/>
      <c r="D44" s="2"/>
      <c r="E44" s="2"/>
      <c r="F44" s="2"/>
      <c r="G44" s="2"/>
      <c r="H44" s="2"/>
      <c r="I44" s="2"/>
      <c r="J44" s="2"/>
      <c r="K44" s="2"/>
      <c r="P44" s="97"/>
      <c r="R44" s="105"/>
      <c r="S44" s="105" t="s">
        <v>1526</v>
      </c>
      <c r="T44" s="105"/>
      <c r="U44" s="105" t="s">
        <v>1481</v>
      </c>
      <c r="V44" s="105" t="s">
        <v>1527</v>
      </c>
    </row>
    <row r="45" spans="1:22">
      <c r="A45" s="2"/>
      <c r="B45" s="2"/>
      <c r="C45" s="2"/>
      <c r="D45" s="2"/>
      <c r="E45" s="2"/>
      <c r="F45" s="2"/>
      <c r="G45" s="2"/>
      <c r="H45" s="2"/>
      <c r="I45" s="2"/>
      <c r="J45" s="2"/>
      <c r="K45" s="2"/>
      <c r="P45" s="97"/>
      <c r="R45" s="105"/>
      <c r="S45" s="105" t="s">
        <v>744</v>
      </c>
      <c r="T45" s="105" t="s">
        <v>922</v>
      </c>
      <c r="U45" s="105" t="s">
        <v>1528</v>
      </c>
      <c r="V45" s="105" t="s">
        <v>1529</v>
      </c>
    </row>
    <row r="46" spans="1:22">
      <c r="A46" s="2"/>
      <c r="B46" s="2"/>
      <c r="C46" s="2"/>
      <c r="D46" s="2"/>
      <c r="E46" s="2"/>
      <c r="F46" s="2"/>
      <c r="G46" s="2"/>
      <c r="H46" s="2"/>
      <c r="I46" s="2"/>
      <c r="J46" s="2"/>
      <c r="K46" s="2"/>
      <c r="O46" t="s">
        <v>1530</v>
      </c>
      <c r="P46" s="97">
        <f>+P34+P35+P36-P39-P40+P43</f>
        <v>37.432331983435205</v>
      </c>
      <c r="R46" s="105">
        <v>1</v>
      </c>
      <c r="S46" s="105">
        <v>6300</v>
      </c>
      <c r="T46" s="105">
        <v>1700</v>
      </c>
      <c r="U46" s="105">
        <v>2900</v>
      </c>
      <c r="V46" s="105">
        <v>0</v>
      </c>
    </row>
    <row r="47" spans="1:22">
      <c r="A47" s="2"/>
      <c r="B47" s="2"/>
      <c r="C47" s="2"/>
      <c r="D47" s="2"/>
      <c r="E47" s="2"/>
      <c r="F47" s="2"/>
      <c r="G47" s="2"/>
      <c r="H47" s="2"/>
      <c r="I47" s="2"/>
      <c r="J47" s="2"/>
      <c r="K47" s="2"/>
      <c r="O47" t="s">
        <v>1531</v>
      </c>
      <c r="P47" s="97">
        <f>-H38*0.1</f>
        <v>-1.5889574486279889</v>
      </c>
      <c r="R47" s="105">
        <v>2</v>
      </c>
      <c r="S47" s="105">
        <v>6300</v>
      </c>
      <c r="T47" s="105">
        <v>-50</v>
      </c>
      <c r="U47" s="105">
        <v>2700</v>
      </c>
      <c r="V47" s="105">
        <v>0</v>
      </c>
    </row>
    <row r="48" spans="1:22">
      <c r="A48" s="2"/>
      <c r="B48" s="2"/>
      <c r="C48" s="2"/>
      <c r="D48" s="2"/>
      <c r="E48" s="2"/>
      <c r="F48" s="2"/>
      <c r="G48" s="2"/>
      <c r="H48" s="2"/>
      <c r="I48" s="2"/>
      <c r="J48" s="2"/>
      <c r="K48" s="2"/>
      <c r="O48" t="s">
        <v>1532</v>
      </c>
      <c r="P48" s="64">
        <f>-J39</f>
        <v>4.5</v>
      </c>
      <c r="R48" s="105">
        <v>3</v>
      </c>
      <c r="S48" s="105">
        <v>6600</v>
      </c>
      <c r="T48" s="105">
        <v>-65</v>
      </c>
      <c r="U48" s="105">
        <v>2560</v>
      </c>
      <c r="V48" s="105">
        <v>2590</v>
      </c>
    </row>
    <row r="49" spans="1:11">
      <c r="A49" s="2"/>
      <c r="B49" s="2"/>
      <c r="C49" s="2"/>
      <c r="D49" s="2"/>
      <c r="E49" s="2"/>
      <c r="F49" s="2"/>
      <c r="G49" s="2"/>
      <c r="H49" s="2"/>
      <c r="I49" s="2"/>
      <c r="J49" s="2"/>
      <c r="K49" s="2"/>
    </row>
    <row r="50" spans="1:11">
      <c r="A50" s="2"/>
      <c r="B50" s="2"/>
      <c r="C50" s="2"/>
      <c r="D50" s="2"/>
      <c r="E50" s="2"/>
      <c r="F50" s="2"/>
      <c r="G50" s="2"/>
      <c r="H50" s="2"/>
      <c r="I50" s="2"/>
      <c r="J50" s="2"/>
      <c r="K50" s="2"/>
    </row>
    <row r="51" spans="1:11">
      <c r="A51" s="2"/>
      <c r="B51" s="2"/>
      <c r="C51" s="2"/>
      <c r="D51" s="2"/>
      <c r="E51" s="2"/>
      <c r="F51" s="2"/>
      <c r="G51" s="2"/>
      <c r="H51" s="2"/>
      <c r="I51" s="2"/>
      <c r="J51" s="2"/>
      <c r="K51" s="2"/>
    </row>
    <row r="52" spans="1:11">
      <c r="A52" s="2"/>
      <c r="B52" s="2"/>
      <c r="C52" s="2"/>
      <c r="D52" s="2"/>
      <c r="E52" s="2"/>
      <c r="F52" s="2"/>
      <c r="G52" s="2"/>
      <c r="H52" s="2"/>
      <c r="I52" s="2"/>
      <c r="J52" s="2"/>
      <c r="K52" s="2"/>
    </row>
    <row r="53" spans="1:11">
      <c r="A53" s="2"/>
      <c r="B53" s="2"/>
      <c r="C53" s="2"/>
      <c r="D53" s="2"/>
      <c r="E53" s="2"/>
      <c r="F53" s="2"/>
      <c r="G53" s="2"/>
      <c r="H53" s="2"/>
      <c r="I53" s="2"/>
      <c r="J53" s="2"/>
      <c r="K53" s="2"/>
    </row>
    <row r="54" spans="1:11">
      <c r="A54" s="2"/>
      <c r="B54" s="2"/>
      <c r="C54" s="2"/>
      <c r="D54" s="2"/>
      <c r="E54" s="2"/>
      <c r="F54" s="2"/>
      <c r="G54" s="2"/>
      <c r="H54" s="2"/>
      <c r="I54" s="2"/>
      <c r="J54" s="2"/>
      <c r="K54" s="2"/>
    </row>
    <row r="55" spans="1:11">
      <c r="A55" s="2"/>
      <c r="B55" s="2"/>
      <c r="C55" s="2"/>
      <c r="D55" s="2"/>
      <c r="E55" s="2"/>
      <c r="F55" s="2"/>
      <c r="G55" s="2"/>
      <c r="H55" s="2"/>
      <c r="I55" s="2"/>
      <c r="J55" s="2"/>
      <c r="K55" s="2"/>
    </row>
    <row r="56" spans="1:11">
      <c r="A56" s="2"/>
      <c r="B56" s="2"/>
      <c r="C56" s="2"/>
      <c r="D56" s="2"/>
      <c r="E56" s="2"/>
      <c r="F56" s="2"/>
      <c r="G56" s="2"/>
      <c r="H56" s="2"/>
      <c r="I56" s="2"/>
      <c r="J56" s="2"/>
      <c r="K56" s="2"/>
    </row>
    <row r="57" spans="1:11">
      <c r="A57" s="2"/>
      <c r="B57" s="2"/>
      <c r="C57" s="2"/>
      <c r="D57" s="2"/>
      <c r="E57" s="2"/>
      <c r="F57" s="2"/>
      <c r="G57" s="2"/>
      <c r="H57" s="2"/>
      <c r="I57" s="2"/>
      <c r="J57" s="2"/>
      <c r="K57" s="2"/>
    </row>
    <row r="58" spans="1:11">
      <c r="A58" s="2"/>
      <c r="B58" s="2"/>
      <c r="C58" s="2"/>
      <c r="D58" s="2"/>
      <c r="E58" s="2"/>
      <c r="F58" s="2"/>
      <c r="G58" s="2"/>
      <c r="H58" s="2"/>
      <c r="I58" s="2"/>
      <c r="J58" s="2"/>
      <c r="K58" s="2"/>
    </row>
    <row r="59" spans="1:11">
      <c r="A59" s="2"/>
      <c r="B59" s="2"/>
      <c r="C59" s="2"/>
      <c r="D59" s="2"/>
      <c r="E59" s="2"/>
      <c r="F59" s="2"/>
      <c r="G59" s="2"/>
      <c r="H59" s="2"/>
      <c r="I59" s="2"/>
      <c r="J59" s="2"/>
      <c r="K59" s="2"/>
    </row>
    <row r="60" spans="1:11">
      <c r="A60" s="2"/>
      <c r="B60" s="2"/>
      <c r="C60" s="2"/>
      <c r="D60" s="2"/>
      <c r="E60" s="2"/>
      <c r="F60" s="2"/>
      <c r="G60" s="2"/>
      <c r="H60" s="2"/>
      <c r="I60" s="2"/>
      <c r="J60" s="2"/>
      <c r="K60" s="2"/>
    </row>
    <row r="61" spans="1:11">
      <c r="A61" s="2"/>
      <c r="B61" s="2"/>
      <c r="C61" s="2"/>
      <c r="D61" s="2"/>
      <c r="E61" s="2"/>
      <c r="F61" s="2"/>
      <c r="G61" s="2"/>
      <c r="H61" s="2"/>
      <c r="I61" s="2"/>
      <c r="J61" s="2"/>
      <c r="K61" s="2"/>
    </row>
    <row r="62" spans="1:11">
      <c r="A62" s="2"/>
      <c r="B62" s="2"/>
      <c r="C62" s="2"/>
      <c r="D62" s="2"/>
      <c r="E62" s="2"/>
      <c r="F62" s="2"/>
      <c r="G62" s="2"/>
      <c r="H62" s="2"/>
      <c r="I62" s="2"/>
      <c r="J62" s="2"/>
      <c r="K62" s="2"/>
    </row>
    <row r="63" spans="1:11">
      <c r="A63" s="2"/>
      <c r="B63" s="2"/>
      <c r="C63" s="2"/>
      <c r="D63" s="2"/>
      <c r="E63" s="2"/>
      <c r="F63" s="2"/>
      <c r="G63" s="2"/>
      <c r="H63" s="2"/>
      <c r="I63" s="2"/>
      <c r="J63" s="2"/>
      <c r="K63" s="2"/>
    </row>
    <row r="64" spans="1:11">
      <c r="A64" s="2"/>
      <c r="B64" s="2"/>
      <c r="C64" s="2"/>
      <c r="D64" s="2"/>
      <c r="E64" s="2"/>
      <c r="F64" s="2"/>
      <c r="G64" s="2"/>
      <c r="H64" s="2"/>
      <c r="I64" s="2"/>
      <c r="J64" s="2"/>
      <c r="K64" s="2"/>
    </row>
    <row r="65" spans="1:11">
      <c r="A65" s="2"/>
      <c r="B65" s="2"/>
      <c r="C65" s="2"/>
      <c r="D65" s="2"/>
      <c r="E65" s="2"/>
      <c r="F65" s="2"/>
      <c r="G65" s="2"/>
      <c r="H65" s="2"/>
      <c r="I65" s="2"/>
      <c r="J65" s="2"/>
      <c r="K65" s="2"/>
    </row>
    <row r="66" spans="1:11">
      <c r="A66" s="2"/>
      <c r="B66" s="2"/>
      <c r="C66" s="2"/>
      <c r="D66" s="2"/>
      <c r="E66" s="2"/>
      <c r="F66" s="2"/>
      <c r="G66" s="2"/>
      <c r="H66" s="2"/>
      <c r="I66" s="2"/>
      <c r="J66" s="2"/>
      <c r="K66" s="2"/>
    </row>
    <row r="67" spans="1:11">
      <c r="A67" s="2"/>
      <c r="B67" s="2"/>
      <c r="C67" s="2"/>
      <c r="D67" s="2"/>
      <c r="E67" s="2"/>
      <c r="F67" s="2"/>
      <c r="G67" s="2"/>
      <c r="H67" s="2"/>
      <c r="I67" s="2"/>
      <c r="J67" s="2"/>
      <c r="K67" s="2"/>
    </row>
    <row r="68" spans="1:11">
      <c r="A68" s="2"/>
      <c r="B68" s="2"/>
      <c r="C68" s="2"/>
      <c r="D68" s="2"/>
      <c r="E68" s="2"/>
      <c r="F68" s="2"/>
      <c r="G68" s="2"/>
      <c r="H68" s="2"/>
      <c r="I68" s="2"/>
      <c r="J68" s="2"/>
      <c r="K68" s="2"/>
    </row>
    <row r="69" spans="1:11">
      <c r="A69" s="2"/>
      <c r="B69" s="2"/>
      <c r="C69" s="2"/>
      <c r="D69" s="2"/>
      <c r="E69" s="2"/>
      <c r="F69" s="2"/>
      <c r="G69" s="2"/>
      <c r="H69" s="2"/>
      <c r="I69" s="2"/>
      <c r="J69" s="2"/>
      <c r="K69" s="2"/>
    </row>
    <row r="70" spans="1:11">
      <c r="A70" s="2"/>
      <c r="B70" s="2"/>
      <c r="C70" s="2"/>
      <c r="D70" s="2"/>
      <c r="E70" s="2"/>
      <c r="F70" s="2"/>
      <c r="G70" s="2"/>
      <c r="H70" s="2"/>
      <c r="I70" s="2"/>
      <c r="J70" s="2"/>
      <c r="K70" s="2"/>
    </row>
    <row r="71" spans="1:11">
      <c r="A71" s="2"/>
      <c r="B71" s="2"/>
      <c r="C71" s="2"/>
      <c r="D71" s="2"/>
      <c r="E71" s="2"/>
      <c r="F71" s="2"/>
      <c r="G71" s="2"/>
      <c r="H71" s="2"/>
      <c r="I71" s="2"/>
      <c r="J71" s="2"/>
      <c r="K71" s="2"/>
    </row>
    <row r="72" spans="1:11">
      <c r="A72" s="2"/>
      <c r="B72" s="2"/>
      <c r="C72" s="2"/>
      <c r="D72" s="2"/>
      <c r="E72" s="2"/>
      <c r="F72" s="2"/>
      <c r="G72" s="2"/>
      <c r="H72" s="2"/>
      <c r="I72" s="2"/>
      <c r="J72" s="2"/>
      <c r="K72" s="2"/>
    </row>
    <row r="73" spans="1:11">
      <c r="A73" s="2"/>
      <c r="B73" s="2"/>
      <c r="C73" s="2"/>
      <c r="D73" s="2"/>
      <c r="E73" s="2"/>
      <c r="F73" s="2"/>
      <c r="G73" s="2"/>
      <c r="H73" s="2"/>
      <c r="I73" s="2"/>
      <c r="J73" s="2"/>
      <c r="K73" s="2"/>
    </row>
    <row r="74" spans="1:11">
      <c r="A74" s="2"/>
      <c r="B74" s="2"/>
      <c r="C74" s="2"/>
      <c r="D74" s="2"/>
      <c r="E74" s="2"/>
      <c r="F74" s="2"/>
      <c r="G74" s="2"/>
      <c r="H74" s="2"/>
      <c r="I74" s="2"/>
      <c r="J74" s="2"/>
      <c r="K74" s="2"/>
    </row>
    <row r="75" spans="1:11">
      <c r="A75" s="2"/>
      <c r="B75" s="2"/>
      <c r="C75" s="2"/>
      <c r="D75" s="2"/>
      <c r="E75" s="2"/>
      <c r="F75" s="2"/>
      <c r="G75" s="2"/>
      <c r="H75" s="2"/>
      <c r="I75" s="2"/>
      <c r="J75" s="2"/>
      <c r="K75" s="2"/>
    </row>
    <row r="76" spans="1:11">
      <c r="A76" s="2"/>
      <c r="B76" s="2"/>
      <c r="C76" s="2"/>
      <c r="D76" s="2"/>
      <c r="E76" s="2"/>
      <c r="F76" s="2"/>
      <c r="G76" s="2"/>
      <c r="H76" s="2"/>
      <c r="I76" s="2"/>
      <c r="J76" s="2"/>
      <c r="K76" s="2"/>
    </row>
    <row r="77" spans="1:11">
      <c r="A77" s="2"/>
      <c r="B77" s="2"/>
      <c r="C77" s="2"/>
      <c r="D77" s="2"/>
      <c r="E77" s="2"/>
      <c r="F77" s="2"/>
      <c r="G77" s="2"/>
      <c r="H77" s="2"/>
      <c r="I77" s="2"/>
      <c r="J77" s="2"/>
      <c r="K77" s="2"/>
    </row>
    <row r="78" spans="1:11">
      <c r="A78" s="2"/>
      <c r="B78" s="2"/>
      <c r="C78" s="2"/>
      <c r="D78" s="2"/>
      <c r="E78" s="2"/>
      <c r="F78" s="2"/>
      <c r="G78" s="2"/>
      <c r="H78" s="2"/>
      <c r="I78" s="2"/>
      <c r="J78" s="2"/>
      <c r="K78" s="2"/>
    </row>
    <row r="79" spans="1:11">
      <c r="A79" s="2"/>
      <c r="B79" s="2"/>
      <c r="C79" s="2"/>
      <c r="D79" s="2"/>
      <c r="E79" s="2"/>
      <c r="F79" s="2"/>
      <c r="G79" s="2"/>
      <c r="H79" s="2"/>
      <c r="I79" s="2"/>
      <c r="J79" s="2"/>
      <c r="K79" s="2"/>
    </row>
  </sheetData>
  <mergeCells count="7">
    <mergeCell ref="S43:V43"/>
    <mergeCell ref="C4:D4"/>
    <mergeCell ref="H4:J4"/>
    <mergeCell ref="A17:B18"/>
    <mergeCell ref="C17:E18"/>
    <mergeCell ref="A42:B42"/>
    <mergeCell ref="A43:B43"/>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6">
    <tabColor rgb="FF37ED05"/>
  </sheetPr>
  <dimension ref="A1:AI108"/>
  <sheetViews>
    <sheetView zoomScale="70" zoomScaleNormal="70" workbookViewId="0">
      <selection activeCell="D26" sqref="D26"/>
    </sheetView>
  </sheetViews>
  <sheetFormatPr defaultColWidth="11.5703125" defaultRowHeight="12.75"/>
  <cols>
    <col min="2" max="2" width="15.7109375" bestFit="1" customWidth="1"/>
    <col min="9" max="9" width="12.28515625" bestFit="1" customWidth="1"/>
    <col min="22" max="22" width="24.140625" customWidth="1"/>
    <col min="23" max="23" width="16.5703125" customWidth="1"/>
    <col min="278" max="278" width="24.140625" customWidth="1"/>
    <col min="279" max="279" width="16.5703125" customWidth="1"/>
    <col min="534" max="534" width="24.140625" customWidth="1"/>
    <col min="535" max="535" width="16.5703125" customWidth="1"/>
    <col min="790" max="790" width="24.140625" customWidth="1"/>
    <col min="791" max="791" width="16.5703125" customWidth="1"/>
    <col min="1046" max="1046" width="24.140625" customWidth="1"/>
    <col min="1047" max="1047" width="16.5703125" customWidth="1"/>
    <col min="1302" max="1302" width="24.140625" customWidth="1"/>
    <col min="1303" max="1303" width="16.5703125" customWidth="1"/>
    <col min="1558" max="1558" width="24.140625" customWidth="1"/>
    <col min="1559" max="1559" width="16.5703125" customWidth="1"/>
    <col min="1814" max="1814" width="24.140625" customWidth="1"/>
    <col min="1815" max="1815" width="16.5703125" customWidth="1"/>
    <col min="2070" max="2070" width="24.140625" customWidth="1"/>
    <col min="2071" max="2071" width="16.5703125" customWidth="1"/>
    <col min="2326" max="2326" width="24.140625" customWidth="1"/>
    <col min="2327" max="2327" width="16.5703125" customWidth="1"/>
    <col min="2582" max="2582" width="24.140625" customWidth="1"/>
    <col min="2583" max="2583" width="16.5703125" customWidth="1"/>
    <col min="2838" max="2838" width="24.140625" customWidth="1"/>
    <col min="2839" max="2839" width="16.5703125" customWidth="1"/>
    <col min="3094" max="3094" width="24.140625" customWidth="1"/>
    <col min="3095" max="3095" width="16.5703125" customWidth="1"/>
    <col min="3350" max="3350" width="24.140625" customWidth="1"/>
    <col min="3351" max="3351" width="16.5703125" customWidth="1"/>
    <col min="3606" max="3606" width="24.140625" customWidth="1"/>
    <col min="3607" max="3607" width="16.5703125" customWidth="1"/>
    <col min="3862" max="3862" width="24.140625" customWidth="1"/>
    <col min="3863" max="3863" width="16.5703125" customWidth="1"/>
    <col min="4118" max="4118" width="24.140625" customWidth="1"/>
    <col min="4119" max="4119" width="16.5703125" customWidth="1"/>
    <col min="4374" max="4374" width="24.140625" customWidth="1"/>
    <col min="4375" max="4375" width="16.5703125" customWidth="1"/>
    <col min="4630" max="4630" width="24.140625" customWidth="1"/>
    <col min="4631" max="4631" width="16.5703125" customWidth="1"/>
    <col min="4886" max="4886" width="24.140625" customWidth="1"/>
    <col min="4887" max="4887" width="16.5703125" customWidth="1"/>
    <col min="5142" max="5142" width="24.140625" customWidth="1"/>
    <col min="5143" max="5143" width="16.5703125" customWidth="1"/>
    <col min="5398" max="5398" width="24.140625" customWidth="1"/>
    <col min="5399" max="5399" width="16.5703125" customWidth="1"/>
    <col min="5654" max="5654" width="24.140625" customWidth="1"/>
    <col min="5655" max="5655" width="16.5703125" customWidth="1"/>
    <col min="5910" max="5910" width="24.140625" customWidth="1"/>
    <col min="5911" max="5911" width="16.5703125" customWidth="1"/>
    <col min="6166" max="6166" width="24.140625" customWidth="1"/>
    <col min="6167" max="6167" width="16.5703125" customWidth="1"/>
    <col min="6422" max="6422" width="24.140625" customWidth="1"/>
    <col min="6423" max="6423" width="16.5703125" customWidth="1"/>
    <col min="6678" max="6678" width="24.140625" customWidth="1"/>
    <col min="6679" max="6679" width="16.5703125" customWidth="1"/>
    <col min="6934" max="6934" width="24.140625" customWidth="1"/>
    <col min="6935" max="6935" width="16.5703125" customWidth="1"/>
    <col min="7190" max="7190" width="24.140625" customWidth="1"/>
    <col min="7191" max="7191" width="16.5703125" customWidth="1"/>
    <col min="7446" max="7446" width="24.140625" customWidth="1"/>
    <col min="7447" max="7447" width="16.5703125" customWidth="1"/>
    <col min="7702" max="7702" width="24.140625" customWidth="1"/>
    <col min="7703" max="7703" width="16.5703125" customWidth="1"/>
    <col min="7958" max="7958" width="24.140625" customWidth="1"/>
    <col min="7959" max="7959" width="16.5703125" customWidth="1"/>
    <col min="8214" max="8214" width="24.140625" customWidth="1"/>
    <col min="8215" max="8215" width="16.5703125" customWidth="1"/>
    <col min="8470" max="8470" width="24.140625" customWidth="1"/>
    <col min="8471" max="8471" width="16.5703125" customWidth="1"/>
    <col min="8726" max="8726" width="24.140625" customWidth="1"/>
    <col min="8727" max="8727" width="16.5703125" customWidth="1"/>
    <col min="8982" max="8982" width="24.140625" customWidth="1"/>
    <col min="8983" max="8983" width="16.5703125" customWidth="1"/>
    <col min="9238" max="9238" width="24.140625" customWidth="1"/>
    <col min="9239" max="9239" width="16.5703125" customWidth="1"/>
    <col min="9494" max="9494" width="24.140625" customWidth="1"/>
    <col min="9495" max="9495" width="16.5703125" customWidth="1"/>
    <col min="9750" max="9750" width="24.140625" customWidth="1"/>
    <col min="9751" max="9751" width="16.5703125" customWidth="1"/>
    <col min="10006" max="10006" width="24.140625" customWidth="1"/>
    <col min="10007" max="10007" width="16.5703125" customWidth="1"/>
    <col min="10262" max="10262" width="24.140625" customWidth="1"/>
    <col min="10263" max="10263" width="16.5703125" customWidth="1"/>
    <col min="10518" max="10518" width="24.140625" customWidth="1"/>
    <col min="10519" max="10519" width="16.5703125" customWidth="1"/>
    <col min="10774" max="10774" width="24.140625" customWidth="1"/>
    <col min="10775" max="10775" width="16.5703125" customWidth="1"/>
    <col min="11030" max="11030" width="24.140625" customWidth="1"/>
    <col min="11031" max="11031" width="16.5703125" customWidth="1"/>
    <col min="11286" max="11286" width="24.140625" customWidth="1"/>
    <col min="11287" max="11287" width="16.5703125" customWidth="1"/>
    <col min="11542" max="11542" width="24.140625" customWidth="1"/>
    <col min="11543" max="11543" width="16.5703125" customWidth="1"/>
    <col min="11798" max="11798" width="24.140625" customWidth="1"/>
    <col min="11799" max="11799" width="16.5703125" customWidth="1"/>
    <col min="12054" max="12054" width="24.140625" customWidth="1"/>
    <col min="12055" max="12055" width="16.5703125" customWidth="1"/>
    <col min="12310" max="12310" width="24.140625" customWidth="1"/>
    <col min="12311" max="12311" width="16.5703125" customWidth="1"/>
    <col min="12566" max="12566" width="24.140625" customWidth="1"/>
    <col min="12567" max="12567" width="16.5703125" customWidth="1"/>
    <col min="12822" max="12822" width="24.140625" customWidth="1"/>
    <col min="12823" max="12823" width="16.5703125" customWidth="1"/>
    <col min="13078" max="13078" width="24.140625" customWidth="1"/>
    <col min="13079" max="13079" width="16.5703125" customWidth="1"/>
    <col min="13334" max="13334" width="24.140625" customWidth="1"/>
    <col min="13335" max="13335" width="16.5703125" customWidth="1"/>
    <col min="13590" max="13590" width="24.140625" customWidth="1"/>
    <col min="13591" max="13591" width="16.5703125" customWidth="1"/>
    <col min="13846" max="13846" width="24.140625" customWidth="1"/>
    <col min="13847" max="13847" width="16.5703125" customWidth="1"/>
    <col min="14102" max="14102" width="24.140625" customWidth="1"/>
    <col min="14103" max="14103" width="16.5703125" customWidth="1"/>
    <col min="14358" max="14358" width="24.140625" customWidth="1"/>
    <col min="14359" max="14359" width="16.5703125" customWidth="1"/>
    <col min="14614" max="14614" width="24.140625" customWidth="1"/>
    <col min="14615" max="14615" width="16.5703125" customWidth="1"/>
    <col min="14870" max="14870" width="24.140625" customWidth="1"/>
    <col min="14871" max="14871" width="16.5703125" customWidth="1"/>
    <col min="15126" max="15126" width="24.140625" customWidth="1"/>
    <col min="15127" max="15127" width="16.5703125" customWidth="1"/>
    <col min="15382" max="15382" width="24.140625" customWidth="1"/>
    <col min="15383" max="15383" width="16.5703125" customWidth="1"/>
    <col min="15638" max="15638" width="24.140625" customWidth="1"/>
    <col min="15639" max="15639" width="16.5703125" customWidth="1"/>
    <col min="15894" max="15894" width="24.140625" customWidth="1"/>
    <col min="15895" max="15895" width="16.5703125" customWidth="1"/>
    <col min="16150" max="16150" width="24.140625" customWidth="1"/>
    <col min="16151" max="16151" width="16.5703125" customWidth="1"/>
  </cols>
  <sheetData>
    <row r="1" spans="1:31">
      <c r="J1" s="101"/>
    </row>
    <row r="2" spans="1:31">
      <c r="C2" s="164" t="s">
        <v>682</v>
      </c>
      <c r="F2" t="s">
        <v>683</v>
      </c>
      <c r="J2" s="101"/>
      <c r="S2" t="s">
        <v>601</v>
      </c>
      <c r="V2" s="164" t="s">
        <v>1454</v>
      </c>
    </row>
    <row r="3" spans="1:31">
      <c r="J3" s="101"/>
      <c r="M3" t="s">
        <v>327</v>
      </c>
      <c r="V3" t="s">
        <v>616</v>
      </c>
      <c r="AB3" t="s">
        <v>617</v>
      </c>
    </row>
    <row r="4" spans="1:31">
      <c r="C4" t="s">
        <v>684</v>
      </c>
      <c r="J4" s="101"/>
      <c r="V4" t="s">
        <v>618</v>
      </c>
      <c r="AB4" t="s">
        <v>619</v>
      </c>
    </row>
    <row r="5" spans="1:31">
      <c r="C5" t="s">
        <v>685</v>
      </c>
      <c r="J5" s="101"/>
      <c r="V5" t="s">
        <v>620</v>
      </c>
      <c r="AB5" t="s">
        <v>621</v>
      </c>
    </row>
    <row r="6" spans="1:31" ht="15.75">
      <c r="C6" t="s">
        <v>1455</v>
      </c>
      <c r="J6" s="101"/>
      <c r="O6" s="164" t="s">
        <v>602</v>
      </c>
      <c r="V6" s="2426"/>
      <c r="W6" s="2427" t="s">
        <v>622</v>
      </c>
      <c r="X6" s="2427" t="s">
        <v>623</v>
      </c>
      <c r="AC6" t="s">
        <v>624</v>
      </c>
      <c r="AE6" t="s">
        <v>625</v>
      </c>
    </row>
    <row r="7" spans="1:31" ht="15.75">
      <c r="C7" t="s">
        <v>690</v>
      </c>
      <c r="J7" s="101"/>
      <c r="O7" t="s">
        <v>604</v>
      </c>
      <c r="Q7" s="569">
        <v>0.01</v>
      </c>
      <c r="V7" s="2428" t="s">
        <v>336</v>
      </c>
      <c r="W7" s="2429">
        <v>1.2E-2</v>
      </c>
      <c r="X7" s="2429">
        <v>7.0000000000000001E-3</v>
      </c>
      <c r="AA7" t="s">
        <v>1456</v>
      </c>
      <c r="AC7">
        <v>18</v>
      </c>
      <c r="AE7">
        <v>18</v>
      </c>
    </row>
    <row r="8" spans="1:31" ht="15.75">
      <c r="C8" t="s">
        <v>691</v>
      </c>
      <c r="J8" s="101"/>
      <c r="O8" t="s">
        <v>606</v>
      </c>
      <c r="Q8" s="569">
        <v>0.01</v>
      </c>
      <c r="V8" s="2428" t="s">
        <v>627</v>
      </c>
      <c r="W8" s="2429">
        <v>0.02</v>
      </c>
      <c r="X8" s="2429">
        <v>1.2E-2</v>
      </c>
      <c r="AA8" t="s">
        <v>628</v>
      </c>
      <c r="AC8">
        <v>-0.01</v>
      </c>
      <c r="AE8">
        <v>-6.0000000000000001E-3</v>
      </c>
    </row>
    <row r="9" spans="1:31" ht="15.75">
      <c r="C9" t="s">
        <v>692</v>
      </c>
      <c r="J9" s="101"/>
      <c r="O9" t="s">
        <v>608</v>
      </c>
      <c r="Q9" s="569">
        <v>0.01</v>
      </c>
      <c r="V9" s="2428" t="s">
        <v>337</v>
      </c>
      <c r="W9" s="2429">
        <v>0.01</v>
      </c>
      <c r="X9" s="2429"/>
      <c r="AA9" t="s">
        <v>629</v>
      </c>
      <c r="AC9">
        <v>-3.2</v>
      </c>
      <c r="AE9">
        <v>-2.2999999999999998</v>
      </c>
    </row>
    <row r="10" spans="1:31" ht="15.75">
      <c r="C10" t="s">
        <v>693</v>
      </c>
      <c r="I10" t="s">
        <v>694</v>
      </c>
      <c r="J10" s="101"/>
      <c r="O10" t="s">
        <v>610</v>
      </c>
      <c r="Q10" s="569">
        <v>450</v>
      </c>
      <c r="R10" t="s">
        <v>611</v>
      </c>
      <c r="V10" s="2428" t="s">
        <v>630</v>
      </c>
      <c r="W10" s="2429">
        <v>3.5000000000000003E-2</v>
      </c>
      <c r="X10" s="2429"/>
      <c r="AA10" t="s">
        <v>631</v>
      </c>
      <c r="AC10">
        <v>10.6</v>
      </c>
      <c r="AE10">
        <v>7.1</v>
      </c>
    </row>
    <row r="11" spans="1:31" ht="15.75">
      <c r="J11" s="101"/>
      <c r="O11" t="s">
        <v>612</v>
      </c>
      <c r="Q11" s="569">
        <v>210</v>
      </c>
      <c r="V11" s="2428" t="s">
        <v>171</v>
      </c>
      <c r="W11" s="2429">
        <v>1.4999999999999999E-2</v>
      </c>
      <c r="X11" s="2429">
        <v>7.0000000000000001E-3</v>
      </c>
      <c r="AA11" t="s">
        <v>632</v>
      </c>
      <c r="AC11">
        <v>-0.24</v>
      </c>
      <c r="AE11">
        <v>-0.24</v>
      </c>
    </row>
    <row r="12" spans="1:31" ht="15.75">
      <c r="C12" t="s">
        <v>695</v>
      </c>
      <c r="J12" s="101"/>
      <c r="O12" t="s">
        <v>613</v>
      </c>
      <c r="Q12" s="91">
        <v>3</v>
      </c>
      <c r="R12" t="s">
        <v>614</v>
      </c>
      <c r="V12" s="2428" t="s">
        <v>633</v>
      </c>
      <c r="W12" s="2429">
        <v>0.02</v>
      </c>
      <c r="X12" s="2429"/>
      <c r="AA12" t="s">
        <v>307</v>
      </c>
      <c r="AC12" s="572">
        <f>SUM(AC8:AC11)</f>
        <v>7.1499999999999995</v>
      </c>
      <c r="AE12" s="572">
        <f>SUM(AE8:AE11)</f>
        <v>4.5540000000000003</v>
      </c>
    </row>
    <row r="13" spans="1:31" ht="15.75">
      <c r="J13" s="101"/>
      <c r="V13" s="2428" t="s">
        <v>634</v>
      </c>
      <c r="W13" s="2429">
        <v>1.3000000000000001E-2</v>
      </c>
      <c r="X13" s="2429"/>
      <c r="AA13" t="s">
        <v>641</v>
      </c>
      <c r="AC13" s="64">
        <f>+AC12*E48</f>
        <v>0</v>
      </c>
      <c r="AE13" s="64">
        <f>+AC12*E49*0.8</f>
        <v>0</v>
      </c>
    </row>
    <row r="14" spans="1:31" ht="15.75">
      <c r="A14" s="25"/>
      <c r="B14" s="104"/>
      <c r="C14" s="104"/>
      <c r="D14" s="104"/>
      <c r="E14" s="104"/>
      <c r="F14" s="104"/>
      <c r="G14" s="105"/>
      <c r="H14" s="104"/>
      <c r="I14" s="586">
        <f>IF(F4=0,0,I4)+IF(F5=0,0,I5)+IF(F6=0,0,I6)+IF(F7=0,0,I7)+IF(F8=0,0,I8)+IF(F9=0,0,I9)+IF(F10=0,0,I10)+IF(F11=0,0,I11)+IF(F12=0,0,I12)+IF(F13=0,0,I13)</f>
        <v>0</v>
      </c>
      <c r="J14" s="573"/>
      <c r="K14" s="105"/>
      <c r="L14" s="105"/>
      <c r="M14" s="105"/>
      <c r="N14" s="104"/>
      <c r="O14" s="105"/>
      <c r="P14" s="3034"/>
      <c r="Q14" s="3034"/>
      <c r="R14" s="104"/>
      <c r="S14" s="105"/>
      <c r="V14" s="2428" t="s">
        <v>636</v>
      </c>
      <c r="W14" s="2429">
        <v>2.4E-2</v>
      </c>
      <c r="X14" s="2429"/>
      <c r="AA14" t="s">
        <v>643</v>
      </c>
    </row>
    <row r="15" spans="1:31" ht="15.75">
      <c r="A15" s="25"/>
      <c r="B15" s="104"/>
      <c r="C15" s="104"/>
      <c r="D15" s="104"/>
      <c r="E15" s="104" t="s">
        <v>559</v>
      </c>
      <c r="F15" s="104"/>
      <c r="G15" s="104"/>
      <c r="H15" s="104"/>
      <c r="I15" s="105"/>
      <c r="J15" s="574" t="s">
        <v>560</v>
      </c>
      <c r="K15" s="105"/>
      <c r="L15" s="105" t="s">
        <v>561</v>
      </c>
      <c r="M15" s="104" t="s">
        <v>562</v>
      </c>
      <c r="N15" s="106" t="s">
        <v>338</v>
      </c>
      <c r="O15" s="104" t="s">
        <v>563</v>
      </c>
      <c r="P15" s="106"/>
      <c r="Q15" s="106" t="s">
        <v>564</v>
      </c>
      <c r="R15" s="104"/>
      <c r="S15" s="105"/>
      <c r="V15" s="2428" t="s">
        <v>638</v>
      </c>
      <c r="W15" s="2429">
        <v>0.01</v>
      </c>
      <c r="X15" s="2429"/>
      <c r="AC15">
        <v>-1.1000000000000001</v>
      </c>
      <c r="AE15">
        <v>-1.1000000000000001</v>
      </c>
    </row>
    <row r="16" spans="1:31" ht="15.75">
      <c r="A16" s="25"/>
      <c r="B16" s="104"/>
      <c r="C16" s="104"/>
      <c r="D16" s="104"/>
      <c r="E16" s="104" t="s">
        <v>565</v>
      </c>
      <c r="F16" s="104"/>
      <c r="G16" s="104" t="s">
        <v>566</v>
      </c>
      <c r="H16" s="104" t="s">
        <v>567</v>
      </c>
      <c r="I16" s="104" t="s">
        <v>568</v>
      </c>
      <c r="J16" s="576" t="s">
        <v>569</v>
      </c>
      <c r="K16" s="104" t="s">
        <v>570</v>
      </c>
      <c r="L16" s="104" t="s">
        <v>320</v>
      </c>
      <c r="M16" s="104" t="s">
        <v>258</v>
      </c>
      <c r="N16" s="104"/>
      <c r="O16" s="104" t="s">
        <v>571</v>
      </c>
      <c r="P16" s="105"/>
      <c r="Q16" s="104"/>
      <c r="R16" s="104"/>
      <c r="S16" s="104"/>
      <c r="V16" s="2428" t="s">
        <v>640</v>
      </c>
      <c r="W16" s="2429">
        <v>1.7000000000000001E-2</v>
      </c>
      <c r="X16" s="2429"/>
      <c r="AA16" t="s">
        <v>646</v>
      </c>
      <c r="AC16" s="64">
        <f>+AC12+AC15</f>
        <v>6.0499999999999989</v>
      </c>
      <c r="AE16" s="100">
        <f>+AE12+AE15</f>
        <v>3.4540000000000002</v>
      </c>
    </row>
    <row r="17" spans="1:33" ht="15.75">
      <c r="A17" s="25"/>
      <c r="B17" s="2430" t="s">
        <v>138</v>
      </c>
      <c r="C17" s="580">
        <f>+Huvudinmatning!D10</f>
        <v>7</v>
      </c>
      <c r="D17" s="104" t="s">
        <v>870</v>
      </c>
      <c r="E17" s="104"/>
      <c r="F17" s="572"/>
      <c r="G17" s="104"/>
      <c r="H17" s="104"/>
      <c r="I17" s="578"/>
      <c r="J17" s="579"/>
      <c r="K17" s="578" t="s">
        <v>572</v>
      </c>
      <c r="L17" s="578"/>
      <c r="M17" s="104"/>
      <c r="N17" s="104"/>
      <c r="O17" s="104" t="s">
        <v>573</v>
      </c>
      <c r="P17" s="104"/>
      <c r="Q17" s="104"/>
      <c r="R17" s="104"/>
      <c r="S17" s="104" t="s">
        <v>574</v>
      </c>
      <c r="V17" s="2428" t="s">
        <v>642</v>
      </c>
      <c r="W17" s="3035"/>
      <c r="X17" s="3035"/>
      <c r="AA17" t="s">
        <v>647</v>
      </c>
      <c r="AC17" s="64">
        <f>+AC16*E48</f>
        <v>0</v>
      </c>
      <c r="AE17" s="97">
        <f>+AE16*E49*0.8</f>
        <v>0</v>
      </c>
      <c r="AF17" t="s">
        <v>641</v>
      </c>
      <c r="AG17" s="97">
        <f>+AC17+AE17</f>
        <v>0</v>
      </c>
    </row>
    <row r="18" spans="1:33" ht="16.7" customHeight="1">
      <c r="A18" s="25"/>
      <c r="B18" s="580" t="str">
        <f>+Kostnader!B11</f>
        <v xml:space="preserve">Höstraps </v>
      </c>
      <c r="C18" s="580">
        <f>+Kostnader!C11</f>
        <v>3500</v>
      </c>
      <c r="D18" s="580" t="str">
        <f>+Kostnader!G11</f>
        <v xml:space="preserve"> </v>
      </c>
      <c r="E18" s="609"/>
      <c r="F18" s="610">
        <f>+Huvudinmatning!D14</f>
        <v>4.0999999999999996</v>
      </c>
      <c r="G18" s="584"/>
      <c r="H18" s="584"/>
      <c r="I18" s="524">
        <f>IF(Huvudinmatning!D14=" ",0,IF(G18=0,C18,C18*G18))</f>
        <v>3500</v>
      </c>
      <c r="J18" s="585">
        <v>1.2E-2</v>
      </c>
      <c r="K18" s="586">
        <f t="shared" ref="K18:K27" si="0">IF(I18=" "," ",I18*J18)</f>
        <v>42</v>
      </c>
      <c r="L18" s="524">
        <v>0</v>
      </c>
      <c r="M18" s="587"/>
      <c r="N18" s="584">
        <v>0</v>
      </c>
      <c r="O18" s="584"/>
      <c r="P18" s="524"/>
      <c r="Q18" s="588"/>
      <c r="R18" s="104"/>
      <c r="S18" s="107" t="s">
        <v>575</v>
      </c>
      <c r="U18" s="589">
        <v>1</v>
      </c>
      <c r="V18" s="2428" t="s">
        <v>644</v>
      </c>
      <c r="W18" s="3035" t="s">
        <v>645</v>
      </c>
      <c r="X18" s="3035"/>
      <c r="AF18" t="s">
        <v>648</v>
      </c>
      <c r="AG18" s="97">
        <f>+AG17/3.6</f>
        <v>0</v>
      </c>
    </row>
    <row r="19" spans="1:33" ht="15">
      <c r="A19" s="25"/>
      <c r="B19" s="580" t="str">
        <f>+Kostnader!B12</f>
        <v>Höstvete bröd</v>
      </c>
      <c r="C19" s="580">
        <f>+Kostnader!C12</f>
        <v>8000</v>
      </c>
      <c r="D19" s="580" t="str">
        <f>+Kostnader!G12</f>
        <v xml:space="preserve"> </v>
      </c>
      <c r="E19" s="609"/>
      <c r="F19" s="610">
        <f>+Huvudinmatning!D15</f>
        <v>1.47</v>
      </c>
      <c r="G19" s="584"/>
      <c r="H19" s="590"/>
      <c r="I19" s="524">
        <f>IF(Huvudinmatning!D15=" ",0,IF(G19=0,C19,C19*G19))</f>
        <v>8000</v>
      </c>
      <c r="J19" s="585">
        <v>1.2E-2</v>
      </c>
      <c r="K19" s="586">
        <f t="shared" si="0"/>
        <v>96</v>
      </c>
      <c r="L19" s="524">
        <v>0</v>
      </c>
      <c r="M19" s="587"/>
      <c r="N19" s="590"/>
      <c r="O19" s="584"/>
      <c r="P19" s="524">
        <v>1</v>
      </c>
      <c r="Q19" s="588"/>
      <c r="R19" s="104"/>
      <c r="S19" s="591" t="s">
        <v>576</v>
      </c>
      <c r="U19" s="589">
        <v>1</v>
      </c>
      <c r="AA19" t="s">
        <v>649</v>
      </c>
    </row>
    <row r="20" spans="1:33" ht="15">
      <c r="A20" s="592" t="s">
        <v>133</v>
      </c>
      <c r="B20" s="580" t="str">
        <f>+Kostnader!B13</f>
        <v>Höstvete bröd</v>
      </c>
      <c r="C20" s="580">
        <f>+Kostnader!C13</f>
        <v>8000</v>
      </c>
      <c r="D20" s="580" t="str">
        <f>+Kostnader!G13</f>
        <v xml:space="preserve"> </v>
      </c>
      <c r="E20" s="609"/>
      <c r="F20" s="610">
        <f>+Huvudinmatning!D16</f>
        <v>1.47</v>
      </c>
      <c r="G20" s="584"/>
      <c r="H20" s="590"/>
      <c r="I20" s="524">
        <f>IF(Huvudinmatning!D16=" ",0,IF(G20=0,C20,C20*G20))</f>
        <v>8000</v>
      </c>
      <c r="J20" s="585">
        <v>1.2E-2</v>
      </c>
      <c r="K20" s="586">
        <f t="shared" si="0"/>
        <v>96</v>
      </c>
      <c r="L20" s="524">
        <v>0</v>
      </c>
      <c r="M20" s="587"/>
      <c r="N20" s="584"/>
      <c r="O20" s="584"/>
      <c r="P20" s="524"/>
      <c r="Q20" s="588"/>
      <c r="R20" s="104"/>
      <c r="S20" s="104"/>
      <c r="AA20" t="s">
        <v>651</v>
      </c>
      <c r="AC20">
        <v>450</v>
      </c>
      <c r="AE20">
        <v>450</v>
      </c>
    </row>
    <row r="21" spans="1:33" ht="15">
      <c r="A21" s="592"/>
      <c r="B21" s="580" t="str">
        <f>+Kostnader!B14</f>
        <v>Foderärt</v>
      </c>
      <c r="C21" s="580">
        <f>+Kostnader!C14</f>
        <v>4000</v>
      </c>
      <c r="D21" s="580" t="str">
        <f>+Kostnader!G14</f>
        <v xml:space="preserve"> </v>
      </c>
      <c r="E21" s="609"/>
      <c r="F21" s="610">
        <f>+Huvudinmatning!D17</f>
        <v>1.83</v>
      </c>
      <c r="G21" s="584"/>
      <c r="H21" s="590"/>
      <c r="I21" s="524">
        <f>IF(Huvudinmatning!D17=" ",0,IF(G21=0,C21,C21*G21))</f>
        <v>4000</v>
      </c>
      <c r="J21" s="585">
        <v>1.2E-2</v>
      </c>
      <c r="K21" s="586">
        <f t="shared" si="0"/>
        <v>48</v>
      </c>
      <c r="L21" s="524">
        <v>0</v>
      </c>
      <c r="M21" s="587"/>
      <c r="N21" s="584"/>
      <c r="O21" s="584"/>
      <c r="P21" s="524"/>
      <c r="Q21" s="588"/>
      <c r="R21" s="104"/>
      <c r="S21" s="104"/>
      <c r="AA21" t="s">
        <v>653</v>
      </c>
      <c r="AC21">
        <v>150</v>
      </c>
      <c r="AE21">
        <v>100</v>
      </c>
    </row>
    <row r="22" spans="1:33" ht="15">
      <c r="A22" s="592"/>
      <c r="B22" s="580" t="str">
        <f>+Kostnader!B15</f>
        <v>Höstvete bröd</v>
      </c>
      <c r="C22" s="580">
        <f>+Kostnader!C15</f>
        <v>8000</v>
      </c>
      <c r="D22" s="580" t="str">
        <f>+Kostnader!G15</f>
        <v xml:space="preserve"> </v>
      </c>
      <c r="E22" s="609"/>
      <c r="F22" s="610">
        <f>+Huvudinmatning!D18</f>
        <v>1.47</v>
      </c>
      <c r="G22" s="584"/>
      <c r="H22" s="584"/>
      <c r="I22" s="524">
        <f>IF(Huvudinmatning!D18=" ",0,IF(G22=0,C22,C22*G22))</f>
        <v>8000</v>
      </c>
      <c r="J22" s="585">
        <v>1.2E-2</v>
      </c>
      <c r="K22" s="586">
        <f>IF(I22=" "," ",I22*J22)</f>
        <v>96</v>
      </c>
      <c r="L22" s="524">
        <v>0</v>
      </c>
      <c r="M22" s="587"/>
      <c r="N22" s="584"/>
      <c r="O22" s="584"/>
      <c r="P22" s="524"/>
      <c r="Q22" s="588"/>
      <c r="R22" s="104"/>
      <c r="S22" s="104"/>
      <c r="AA22" t="s">
        <v>655</v>
      </c>
      <c r="AC22">
        <v>75</v>
      </c>
      <c r="AE22">
        <v>30</v>
      </c>
    </row>
    <row r="23" spans="1:33" ht="15">
      <c r="A23" s="592"/>
      <c r="B23" s="580" t="str">
        <f>+Kostnader!B16</f>
        <v>Höstvete bröd</v>
      </c>
      <c r="C23" s="580">
        <f>+Kostnader!C16</f>
        <v>8000</v>
      </c>
      <c r="D23" s="580" t="str">
        <f>+Kostnader!G16</f>
        <v xml:space="preserve"> </v>
      </c>
      <c r="E23" s="609"/>
      <c r="F23" s="610">
        <f>+Huvudinmatning!D19</f>
        <v>1.47</v>
      </c>
      <c r="G23" s="584"/>
      <c r="H23" s="584"/>
      <c r="I23" s="524">
        <f>IF(Huvudinmatning!D19=" ",0,IF(G23=0,C23,C23*G23))</f>
        <v>8000</v>
      </c>
      <c r="J23" s="585"/>
      <c r="K23" s="586">
        <f t="shared" si="0"/>
        <v>0</v>
      </c>
      <c r="L23" s="524">
        <v>0</v>
      </c>
      <c r="M23" s="587"/>
      <c r="N23" s="584"/>
      <c r="O23" s="584"/>
      <c r="P23" s="524"/>
      <c r="Q23" s="588"/>
      <c r="R23" s="104"/>
      <c r="S23" s="104"/>
      <c r="AA23" t="s">
        <v>657</v>
      </c>
      <c r="AC23">
        <v>225</v>
      </c>
      <c r="AE23">
        <v>320</v>
      </c>
    </row>
    <row r="24" spans="1:33" ht="15">
      <c r="A24" s="592"/>
      <c r="B24" s="580" t="str">
        <f>+Kostnader!B17</f>
        <v>Maltkorn</v>
      </c>
      <c r="C24" s="580">
        <f>+Kostnader!C17</f>
        <v>5500</v>
      </c>
      <c r="D24" s="580" t="str">
        <f>+Kostnader!G17</f>
        <v xml:space="preserve"> </v>
      </c>
      <c r="E24" s="609"/>
      <c r="F24" s="610">
        <f>+Huvudinmatning!D20</f>
        <v>1.62</v>
      </c>
      <c r="G24" s="584"/>
      <c r="H24" s="584"/>
      <c r="I24" s="524">
        <f>IF(Huvudinmatning!D20=" ",0,IF(G24=0,C24,C24*G24))</f>
        <v>5500</v>
      </c>
      <c r="J24" s="585"/>
      <c r="K24" s="586">
        <f t="shared" si="0"/>
        <v>0</v>
      </c>
      <c r="L24" s="524">
        <v>0</v>
      </c>
      <c r="M24" s="584"/>
      <c r="N24" s="584"/>
      <c r="O24" s="584"/>
      <c r="P24" s="524"/>
      <c r="Q24" s="588"/>
      <c r="R24" s="104"/>
      <c r="S24" s="104"/>
      <c r="X24" t="s">
        <v>1457</v>
      </c>
      <c r="AA24" t="s">
        <v>659</v>
      </c>
      <c r="AC24">
        <v>450</v>
      </c>
      <c r="AE24">
        <v>640</v>
      </c>
    </row>
    <row r="25" spans="1:33" ht="15">
      <c r="A25" s="592"/>
      <c r="B25" s="580" t="str">
        <f>+Kostnader!B18</f>
        <v xml:space="preserve"> </v>
      </c>
      <c r="C25" s="580" t="str">
        <f>+Kostnader!C18</f>
        <v xml:space="preserve"> </v>
      </c>
      <c r="D25" s="580" t="str">
        <f>+Kostnader!G18</f>
        <v xml:space="preserve"> </v>
      </c>
      <c r="E25" s="609"/>
      <c r="F25" s="610" t="str">
        <f>+Huvudinmatning!D21</f>
        <v xml:space="preserve"> </v>
      </c>
      <c r="G25" s="584"/>
      <c r="H25" s="584"/>
      <c r="I25" s="524">
        <f>IF(Huvudinmatning!D21=" ",0,IF(G25=0,C25,C25*G25))</f>
        <v>0</v>
      </c>
      <c r="J25" s="593"/>
      <c r="K25" s="586">
        <f t="shared" si="0"/>
        <v>0</v>
      </c>
      <c r="L25" s="524">
        <v>0</v>
      </c>
      <c r="M25" s="584"/>
      <c r="N25" s="584"/>
      <c r="O25" s="584"/>
      <c r="P25" s="524"/>
      <c r="Q25" s="588"/>
      <c r="R25" s="104"/>
      <c r="S25" s="104"/>
      <c r="V25" t="s">
        <v>654</v>
      </c>
      <c r="W25" s="569">
        <v>4000</v>
      </c>
      <c r="X25" s="91">
        <v>2000</v>
      </c>
      <c r="AA25" t="s">
        <v>661</v>
      </c>
      <c r="AC25" s="64">
        <f>+E48</f>
        <v>0</v>
      </c>
      <c r="AD25" t="s">
        <v>662</v>
      </c>
      <c r="AE25" s="64">
        <f>+E49*0.8</f>
        <v>0</v>
      </c>
    </row>
    <row r="26" spans="1:33" ht="15">
      <c r="A26" s="592"/>
      <c r="B26" s="580" t="str">
        <f>+Kostnader!B19</f>
        <v xml:space="preserve"> </v>
      </c>
      <c r="C26" s="580" t="str">
        <f>+Kostnader!C19</f>
        <v xml:space="preserve"> </v>
      </c>
      <c r="D26" s="580" t="str">
        <f>+Kostnader!G19</f>
        <v xml:space="preserve"> </v>
      </c>
      <c r="E26" s="609"/>
      <c r="F26" s="610" t="str">
        <f>+Huvudinmatning!D22</f>
        <v xml:space="preserve"> </v>
      </c>
      <c r="G26" s="584"/>
      <c r="H26" s="584"/>
      <c r="I26" s="524">
        <f>IF(Huvudinmatning!D22=" ",0,IF(G26=0,C26,C26*G26))</f>
        <v>0</v>
      </c>
      <c r="J26" s="585"/>
      <c r="K26" s="586">
        <f t="shared" si="0"/>
        <v>0</v>
      </c>
      <c r="L26" s="524">
        <v>0</v>
      </c>
      <c r="M26" s="584"/>
      <c r="N26" s="584"/>
      <c r="O26" s="584"/>
      <c r="P26" s="524"/>
      <c r="Q26" s="588" t="s">
        <v>149</v>
      </c>
      <c r="R26" s="104" t="s">
        <v>198</v>
      </c>
      <c r="S26" s="104"/>
      <c r="V26" t="s">
        <v>569</v>
      </c>
      <c r="W26" s="569">
        <v>0.01</v>
      </c>
      <c r="X26" s="91">
        <v>1000</v>
      </c>
      <c r="AA26" s="164" t="s">
        <v>663</v>
      </c>
      <c r="AG26" s="64"/>
    </row>
    <row r="27" spans="1:33" ht="15">
      <c r="A27" s="592"/>
      <c r="B27" s="580" t="str">
        <f>+Kostnader!B20</f>
        <v xml:space="preserve"> </v>
      </c>
      <c r="C27" s="580" t="str">
        <f>+Kostnader!C20</f>
        <v xml:space="preserve"> </v>
      </c>
      <c r="D27" s="580" t="str">
        <f>+Kostnader!G20</f>
        <v xml:space="preserve"> </v>
      </c>
      <c r="E27" s="609"/>
      <c r="F27" s="610" t="str">
        <f>+Huvudinmatning!D23</f>
        <v xml:space="preserve"> </v>
      </c>
      <c r="G27" s="584"/>
      <c r="H27" s="584"/>
      <c r="I27" s="524">
        <f>IF(Huvudinmatning!D23=" ",0,IF(G27=0,C27,C27*G27))</f>
        <v>0</v>
      </c>
      <c r="J27" s="595"/>
      <c r="K27" s="586">
        <f t="shared" si="0"/>
        <v>0</v>
      </c>
      <c r="L27" s="524">
        <v>0</v>
      </c>
      <c r="M27" s="584"/>
      <c r="N27" s="584"/>
      <c r="O27" s="584"/>
      <c r="P27" s="64" t="s">
        <v>577</v>
      </c>
      <c r="Q27" s="588" t="s">
        <v>463</v>
      </c>
      <c r="R27" s="104" t="s">
        <v>251</v>
      </c>
      <c r="S27" s="104"/>
      <c r="V27" t="s">
        <v>658</v>
      </c>
      <c r="W27" s="64">
        <f>+W25*W26</f>
        <v>40</v>
      </c>
      <c r="X27" s="91">
        <v>0.01</v>
      </c>
      <c r="AA27" t="s">
        <v>664</v>
      </c>
    </row>
    <row r="28" spans="1:33" ht="15">
      <c r="A28" s="592"/>
      <c r="B28" s="580"/>
      <c r="C28" s="596" t="s">
        <v>578</v>
      </c>
      <c r="D28" s="104"/>
      <c r="E28" s="586">
        <f>SUM(E18:E27)</f>
        <v>0</v>
      </c>
      <c r="F28" s="104"/>
      <c r="G28" s="104"/>
      <c r="H28" s="524" t="s">
        <v>579</v>
      </c>
      <c r="I28" s="586">
        <f>IF(F18=0,0,I18)+IF(F19=0,0,I19)+IF(F20=0,0,I20)+IF(F21=0,0,I21)+IF(F22=0,0,I22)+IF(F23=0,0,I23)+IF(F24=0,0,I24)+IF(F25=0,0,I25)+IF(F26=0,0,I26)+IF(F27=0,0,I27)</f>
        <v>45000</v>
      </c>
      <c r="J28" s="597" t="s">
        <v>580</v>
      </c>
      <c r="K28" s="586">
        <f>SUM(K18:K27)</f>
        <v>378</v>
      </c>
      <c r="L28" s="572"/>
      <c r="M28" s="572">
        <f>SUM(M18:M27)</f>
        <v>0</v>
      </c>
      <c r="N28" s="572">
        <f>SUM(N18:N27)</f>
        <v>0</v>
      </c>
      <c r="O28" s="572">
        <f>SUM(O18:O27)</f>
        <v>0</v>
      </c>
      <c r="P28" s="524" t="s">
        <v>581</v>
      </c>
      <c r="Q28" s="572"/>
      <c r="R28" s="598"/>
      <c r="S28" s="104"/>
      <c r="V28" t="s">
        <v>656</v>
      </c>
      <c r="W28" s="64">
        <f>+W25*0.02</f>
        <v>80</v>
      </c>
      <c r="X28" s="64">
        <f>+X25*X27</f>
        <v>20</v>
      </c>
      <c r="AA28" t="s">
        <v>665</v>
      </c>
      <c r="AC28" s="26">
        <f>+E48*AC24*0.001/0.05*0.001</f>
        <v>0</v>
      </c>
      <c r="AE28" s="602">
        <f>+E49*0.8*AE24*0.001/0.05*0.001</f>
        <v>0</v>
      </c>
      <c r="AF28" t="s">
        <v>153</v>
      </c>
      <c r="AG28" s="99">
        <f>+AC28+AE28</f>
        <v>0</v>
      </c>
    </row>
    <row r="29" spans="1:33" ht="15">
      <c r="A29" s="592"/>
      <c r="B29" s="580"/>
      <c r="C29" s="25" t="s">
        <v>582</v>
      </c>
      <c r="D29" s="104"/>
      <c r="E29" s="524"/>
      <c r="F29" s="104"/>
      <c r="G29" s="104"/>
      <c r="H29" s="524" t="s">
        <v>319</v>
      </c>
      <c r="I29" s="586">
        <f>I28/C17</f>
        <v>6428.5714285714284</v>
      </c>
      <c r="J29" s="597" t="s">
        <v>583</v>
      </c>
      <c r="K29" s="586">
        <f>+K28/C17</f>
        <v>54</v>
      </c>
      <c r="L29" s="524"/>
      <c r="M29" s="586">
        <f>+M28/C17</f>
        <v>0</v>
      </c>
      <c r="N29" s="524">
        <f>+N28/C17</f>
        <v>0</v>
      </c>
      <c r="O29" s="524">
        <f>+O28/C17</f>
        <v>0</v>
      </c>
      <c r="P29" s="586">
        <f>+Mull_ICBM!AM15</f>
        <v>15.889574486279889</v>
      </c>
      <c r="Q29" s="586"/>
      <c r="R29" s="104"/>
      <c r="S29" s="104"/>
      <c r="V29" t="s">
        <v>660</v>
      </c>
      <c r="W29" s="164">
        <f>+W27+W28</f>
        <v>120</v>
      </c>
      <c r="X29" s="64">
        <f>+X26*0.02</f>
        <v>20</v>
      </c>
      <c r="AA29" t="s">
        <v>667</v>
      </c>
    </row>
    <row r="30" spans="1:33" ht="15">
      <c r="A30" s="592"/>
      <c r="B30" s="580"/>
      <c r="F30" s="25" t="s">
        <v>584</v>
      </c>
      <c r="G30" s="104"/>
      <c r="H30" s="524"/>
      <c r="I30" s="586"/>
      <c r="J30" s="597"/>
      <c r="K30" s="586">
        <f>+K29*Q7*44/28*310</f>
        <v>263.05714285714288</v>
      </c>
      <c r="L30" s="524"/>
      <c r="M30" s="586">
        <f>+M29*($Q$12+Q8*44/28*310)</f>
        <v>0</v>
      </c>
      <c r="N30" s="586">
        <f>+N29*($Q$9*44/28*310)</f>
        <v>0</v>
      </c>
      <c r="O30" s="600">
        <f>+O29</f>
        <v>0</v>
      </c>
      <c r="P30" s="601">
        <f>-(P29*44/12+P29*0.1*0.01*44/28*310)</f>
        <v>-66.002265830390229</v>
      </c>
      <c r="Q30" s="586">
        <f>-(1-U18)*M30</f>
        <v>0</v>
      </c>
      <c r="R30" s="104">
        <f>-(1-U19)*210</f>
        <v>0</v>
      </c>
      <c r="S30" s="104"/>
      <c r="W30" s="164"/>
      <c r="X30" s="26">
        <f>+X28+X29</f>
        <v>40</v>
      </c>
    </row>
    <row r="31" spans="1:33" ht="15">
      <c r="A31" s="592"/>
      <c r="B31" s="580"/>
      <c r="C31" s="25"/>
      <c r="D31" s="104"/>
      <c r="E31" s="524"/>
      <c r="F31" s="104"/>
      <c r="G31" s="104"/>
      <c r="H31" s="524"/>
      <c r="I31" s="586"/>
      <c r="J31" s="597"/>
      <c r="K31" s="586"/>
      <c r="L31" s="524"/>
      <c r="M31" s="586"/>
      <c r="N31" s="524"/>
      <c r="O31" s="156"/>
      <c r="P31" s="524"/>
      <c r="Q31" s="586"/>
      <c r="R31" s="104"/>
      <c r="S31" s="104"/>
      <c r="W31" s="164"/>
      <c r="X31" s="99">
        <f>+X30*Q9*44/28*320</f>
        <v>201.14285714285717</v>
      </c>
    </row>
    <row r="32" spans="1:33">
      <c r="A32" s="469"/>
      <c r="B32" s="104"/>
      <c r="D32" s="104"/>
      <c r="E32" s="104"/>
      <c r="F32" s="25"/>
      <c r="G32" s="104"/>
      <c r="H32" s="524"/>
      <c r="I32" s="524"/>
      <c r="J32" s="597"/>
      <c r="K32" s="524" t="e">
        <v>#NAME?</v>
      </c>
      <c r="L32" s="524"/>
      <c r="M32" s="524"/>
      <c r="N32" s="156"/>
      <c r="O32" s="104"/>
      <c r="P32" s="104"/>
      <c r="Q32" s="524"/>
      <c r="R32" s="104"/>
      <c r="V32" t="s">
        <v>666</v>
      </c>
      <c r="AA32" t="s">
        <v>668</v>
      </c>
      <c r="AC32" s="164">
        <f>+E48*20*0.001+E49*0.8*5*0.001</f>
        <v>0</v>
      </c>
    </row>
    <row r="33" spans="1:35">
      <c r="A33" s="25"/>
      <c r="B33" s="104"/>
      <c r="C33" t="s">
        <v>585</v>
      </c>
      <c r="D33" s="104"/>
      <c r="E33" s="104"/>
      <c r="I33" s="603"/>
      <c r="J33" s="597"/>
      <c r="K33" s="524"/>
      <c r="L33" s="524"/>
      <c r="M33" s="524"/>
      <c r="N33" s="524"/>
      <c r="O33" s="586"/>
      <c r="P33" s="586"/>
      <c r="Q33" s="604"/>
      <c r="R33" s="104"/>
      <c r="S33" s="104"/>
      <c r="AA33" t="s">
        <v>669</v>
      </c>
    </row>
    <row r="34" spans="1:35">
      <c r="A34" s="25"/>
      <c r="B34" s="104"/>
      <c r="D34" s="104"/>
      <c r="E34" s="104"/>
      <c r="I34" s="603"/>
      <c r="J34" s="597"/>
      <c r="K34" s="524"/>
      <c r="L34" s="524"/>
      <c r="M34" s="524"/>
      <c r="N34" s="524">
        <f>200000*40/2500000</f>
        <v>3.2</v>
      </c>
      <c r="O34" s="586"/>
      <c r="P34" s="586"/>
      <c r="Q34" s="604"/>
      <c r="R34" s="104"/>
      <c r="S34" s="104"/>
      <c r="AA34" t="s">
        <v>670</v>
      </c>
      <c r="AE34" t="s">
        <v>671</v>
      </c>
    </row>
    <row r="35" spans="1:35" ht="15">
      <c r="B35" s="605"/>
      <c r="C35" s="605"/>
      <c r="D35" s="104"/>
      <c r="E35" s="104"/>
      <c r="F35" s="104"/>
      <c r="G35" s="104"/>
      <c r="H35" s="524"/>
      <c r="I35" s="524"/>
      <c r="J35" s="597"/>
      <c r="K35" s="524"/>
      <c r="L35" s="524"/>
      <c r="M35" s="524"/>
      <c r="N35" s="524"/>
      <c r="O35" s="524"/>
      <c r="P35" s="606"/>
      <c r="Q35" s="606"/>
      <c r="R35" s="105"/>
      <c r="S35" s="607"/>
      <c r="AA35" t="s">
        <v>673</v>
      </c>
      <c r="AE35" s="96">
        <f>+AC32*0.9</f>
        <v>0</v>
      </c>
    </row>
    <row r="36" spans="1:35" ht="15">
      <c r="A36" s="592" t="s">
        <v>147</v>
      </c>
      <c r="B36" s="580"/>
      <c r="C36" s="580">
        <f>+Huvudinmatning!D28</f>
        <v>7</v>
      </c>
      <c r="D36" s="608" t="s">
        <v>870</v>
      </c>
      <c r="G36" s="104"/>
      <c r="H36" s="598"/>
      <c r="I36" s="524"/>
      <c r="J36" s="597"/>
      <c r="K36" s="524"/>
      <c r="L36" s="524"/>
      <c r="M36" s="524"/>
      <c r="N36" s="598"/>
      <c r="O36" s="524"/>
      <c r="P36" s="524"/>
      <c r="Q36" s="588"/>
      <c r="R36" s="104"/>
      <c r="S36" s="104"/>
      <c r="AA36" s="2431" t="s">
        <v>674</v>
      </c>
      <c r="AE36" s="96">
        <f>+AC32*0.7</f>
        <v>0</v>
      </c>
    </row>
    <row r="37" spans="1:35" ht="15">
      <c r="A37" s="592"/>
      <c r="B37" s="580" t="str">
        <f>+Kostnader!B31</f>
        <v xml:space="preserve">Höstraps </v>
      </c>
      <c r="C37" s="580">
        <f>+Kostnader!C31</f>
        <v>3500</v>
      </c>
      <c r="D37" s="580" t="str">
        <f>+Kostnader!G31</f>
        <v xml:space="preserve"> </v>
      </c>
      <c r="E37" s="609"/>
      <c r="F37" s="610">
        <f>+Huvudinmatning!I33</f>
        <v>4.0999999999999996</v>
      </c>
      <c r="G37" s="584"/>
      <c r="H37" s="584"/>
      <c r="I37" s="524">
        <f>IF(Huvudinmatning!I33=" ",0,IF(G37=0,C37,C37*G37))</f>
        <v>3500</v>
      </c>
      <c r="J37" s="585">
        <v>1.2E-2</v>
      </c>
      <c r="K37" s="586">
        <f t="shared" ref="K37:K46" si="1">IF(I37=" "," ",I37*J37)</f>
        <v>42</v>
      </c>
      <c r="L37" s="524">
        <v>0</v>
      </c>
      <c r="M37" s="587"/>
      <c r="N37" s="584">
        <v>0</v>
      </c>
      <c r="O37" s="584"/>
      <c r="P37" s="524"/>
      <c r="Q37" s="588">
        <f t="shared" ref="Q37:Q44" si="2">(IF(I37=" ",0,$Q$7*K37))</f>
        <v>0.42</v>
      </c>
      <c r="R37" s="104"/>
      <c r="S37" s="104" t="s">
        <v>574</v>
      </c>
      <c r="AA37" t="s">
        <v>675</v>
      </c>
      <c r="AI37" t="s">
        <v>672</v>
      </c>
    </row>
    <row r="38" spans="1:35" ht="15">
      <c r="A38" s="592"/>
      <c r="B38" s="580" t="str">
        <f>+Kostnader!B32</f>
        <v>Höstvete bröd</v>
      </c>
      <c r="C38" s="580">
        <f>+Kostnader!C32</f>
        <v>8000</v>
      </c>
      <c r="D38" s="580" t="str">
        <f>+Kostnader!G32</f>
        <v xml:space="preserve"> </v>
      </c>
      <c r="E38" s="609"/>
      <c r="F38" s="610">
        <f>+Huvudinmatning!I34</f>
        <v>1.47</v>
      </c>
      <c r="G38" s="584"/>
      <c r="H38" s="590"/>
      <c r="I38" s="524">
        <f>IF(Huvudinmatning!I34=" ",0,IF(G38=0,C38,C38*G38))</f>
        <v>8000</v>
      </c>
      <c r="J38" s="585">
        <v>1.2E-2</v>
      </c>
      <c r="K38" s="586">
        <f t="shared" si="1"/>
        <v>96</v>
      </c>
      <c r="L38" s="524">
        <v>0</v>
      </c>
      <c r="M38" s="587"/>
      <c r="N38" s="590"/>
      <c r="O38" s="584"/>
      <c r="P38" s="524"/>
      <c r="Q38" s="588">
        <f t="shared" si="2"/>
        <v>0.96</v>
      </c>
      <c r="R38" s="104"/>
      <c r="S38" s="107" t="s">
        <v>575</v>
      </c>
      <c r="U38" s="589">
        <v>1</v>
      </c>
      <c r="AA38" t="s">
        <v>676</v>
      </c>
    </row>
    <row r="39" spans="1:35" ht="15">
      <c r="A39" s="592"/>
      <c r="B39" s="580" t="str">
        <f>+Kostnader!B33</f>
        <v>Höstvete bröd</v>
      </c>
      <c r="C39" s="580">
        <f>+Kostnader!C33</f>
        <v>8000</v>
      </c>
      <c r="D39" s="580" t="str">
        <f>+Kostnader!G33</f>
        <v xml:space="preserve"> </v>
      </c>
      <c r="E39" s="609"/>
      <c r="F39" s="610">
        <f>+Huvudinmatning!I35</f>
        <v>1.47</v>
      </c>
      <c r="G39" s="584"/>
      <c r="H39" s="590"/>
      <c r="I39" s="524">
        <f>IF(Huvudinmatning!I35=" ",0,IF(G39=0,C39,C39*G39))</f>
        <v>8000</v>
      </c>
      <c r="J39" s="585">
        <v>1.2E-2</v>
      </c>
      <c r="K39" s="586">
        <f t="shared" si="1"/>
        <v>96</v>
      </c>
      <c r="L39" s="524">
        <v>0</v>
      </c>
      <c r="M39" s="587"/>
      <c r="N39" s="584"/>
      <c r="O39" s="584"/>
      <c r="P39" s="598"/>
      <c r="Q39" s="588">
        <f t="shared" si="2"/>
        <v>0.96</v>
      </c>
      <c r="R39" s="104"/>
      <c r="S39" s="591" t="s">
        <v>576</v>
      </c>
      <c r="U39" s="589">
        <v>1</v>
      </c>
    </row>
    <row r="40" spans="1:35" ht="15">
      <c r="A40" s="592"/>
      <c r="B40" s="580" t="str">
        <f>+Kostnader!B34</f>
        <v>Foderärt</v>
      </c>
      <c r="C40" s="580">
        <f>+Kostnader!C34</f>
        <v>4000</v>
      </c>
      <c r="D40" s="580" t="str">
        <f>+Kostnader!G34</f>
        <v xml:space="preserve"> </v>
      </c>
      <c r="E40" s="609"/>
      <c r="F40" s="610">
        <f>+Huvudinmatning!I36</f>
        <v>1.83</v>
      </c>
      <c r="G40" s="584"/>
      <c r="H40" s="590"/>
      <c r="I40" s="524">
        <f>IF(Huvudinmatning!I36=" ",0,IF(G40=0,C40,C40*G40))</f>
        <v>4000</v>
      </c>
      <c r="J40" s="585">
        <v>1.2E-2</v>
      </c>
      <c r="K40" s="586">
        <f t="shared" si="1"/>
        <v>48</v>
      </c>
      <c r="L40" s="524">
        <v>0</v>
      </c>
      <c r="M40" s="587"/>
      <c r="N40" s="584"/>
      <c r="O40" s="584"/>
      <c r="P40" s="524"/>
      <c r="Q40" s="588">
        <f t="shared" si="2"/>
        <v>0.48</v>
      </c>
      <c r="R40" s="25" t="s">
        <v>586</v>
      </c>
      <c r="S40" s="104"/>
      <c r="T40" s="164"/>
      <c r="AA40" t="s">
        <v>677</v>
      </c>
      <c r="AB40" t="s">
        <v>678</v>
      </c>
      <c r="AC40" t="s">
        <v>679</v>
      </c>
    </row>
    <row r="41" spans="1:35" ht="15">
      <c r="A41" s="25"/>
      <c r="B41" s="580" t="str">
        <f>+Kostnader!B35</f>
        <v>Höstvete bröd</v>
      </c>
      <c r="C41" s="580">
        <f>+Kostnader!C35</f>
        <v>8000</v>
      </c>
      <c r="D41" s="580" t="str">
        <f>+Kostnader!G35</f>
        <v xml:space="preserve"> </v>
      </c>
      <c r="E41" s="609"/>
      <c r="F41" s="610">
        <f>+Huvudinmatning!I37</f>
        <v>1.47</v>
      </c>
      <c r="G41" s="584"/>
      <c r="H41" s="584"/>
      <c r="I41" s="524">
        <f>IF(Huvudinmatning!I37=" ",0,IF(G41=0,C41,C41*G41))</f>
        <v>8000</v>
      </c>
      <c r="J41" s="585">
        <v>1.2E-2</v>
      </c>
      <c r="K41" s="586">
        <f t="shared" si="1"/>
        <v>96</v>
      </c>
      <c r="L41" s="524">
        <v>0</v>
      </c>
      <c r="M41" s="587"/>
      <c r="N41" s="584"/>
      <c r="O41" s="584"/>
      <c r="P41" s="524"/>
      <c r="Q41" s="588">
        <f t="shared" si="2"/>
        <v>0.96</v>
      </c>
      <c r="R41" s="104">
        <v>10</v>
      </c>
      <c r="S41" s="612" t="s">
        <v>587</v>
      </c>
      <c r="U41" s="64">
        <f>+(1-U38)*M48*R41</f>
        <v>0</v>
      </c>
      <c r="AA41" t="s">
        <v>680</v>
      </c>
      <c r="AB41" s="64">
        <f>+(AC32-AE35)/C36</f>
        <v>0</v>
      </c>
      <c r="AC41" s="97">
        <f>+AB41*0.01*44/28*300</f>
        <v>0</v>
      </c>
    </row>
    <row r="42" spans="1:35" ht="15">
      <c r="A42" s="25"/>
      <c r="B42" s="580" t="str">
        <f>+Kostnader!B36</f>
        <v>Höstvete bröd</v>
      </c>
      <c r="C42" s="580">
        <f>+Kostnader!C36</f>
        <v>8000</v>
      </c>
      <c r="D42" s="580" t="str">
        <f>+Kostnader!G36</f>
        <v xml:space="preserve"> </v>
      </c>
      <c r="E42" s="609"/>
      <c r="F42" s="610">
        <f>+Huvudinmatning!I38</f>
        <v>1.47</v>
      </c>
      <c r="G42" s="584"/>
      <c r="H42" s="584"/>
      <c r="I42" s="524">
        <f>IF(Huvudinmatning!I38=" ",0,IF(G42=0,C42,C42*G42))</f>
        <v>8000</v>
      </c>
      <c r="J42" s="585"/>
      <c r="K42" s="586">
        <f t="shared" si="1"/>
        <v>0</v>
      </c>
      <c r="L42" s="524">
        <v>0</v>
      </c>
      <c r="M42" s="587"/>
      <c r="N42" s="584"/>
      <c r="O42" s="584"/>
      <c r="P42" s="524"/>
      <c r="Q42" s="588">
        <f t="shared" si="2"/>
        <v>0</v>
      </c>
      <c r="R42" s="104">
        <v>7</v>
      </c>
      <c r="S42" s="613" t="s">
        <v>588</v>
      </c>
      <c r="T42" s="598"/>
      <c r="U42" s="64">
        <f>+(1-U39)*70*R42</f>
        <v>0</v>
      </c>
      <c r="V42" s="598"/>
      <c r="W42" s="598"/>
      <c r="X42" s="598"/>
      <c r="Y42" s="598"/>
      <c r="Z42" s="108"/>
      <c r="AA42" t="s">
        <v>681</v>
      </c>
      <c r="AB42" s="64">
        <f>+(AC32-AE36)/C36</f>
        <v>0</v>
      </c>
      <c r="AC42" s="97">
        <f>+AB42*0.01*44/28*300</f>
        <v>0</v>
      </c>
    </row>
    <row r="43" spans="1:35" ht="15">
      <c r="A43" s="25"/>
      <c r="B43" s="580" t="str">
        <f>+Kostnader!B37</f>
        <v>Maltkorn</v>
      </c>
      <c r="C43" s="580">
        <f>+Kostnader!C37</f>
        <v>5500</v>
      </c>
      <c r="D43" s="580" t="str">
        <f>+Kostnader!G37</f>
        <v xml:space="preserve"> </v>
      </c>
      <c r="E43" s="609"/>
      <c r="F43" s="610">
        <f>+Huvudinmatning!I39</f>
        <v>1.62</v>
      </c>
      <c r="G43" s="584"/>
      <c r="H43" s="584"/>
      <c r="I43" s="524">
        <f>IF(Huvudinmatning!I39=" ",0,IF(G43=0,C43,C43*G43))</f>
        <v>5500</v>
      </c>
      <c r="J43" s="585"/>
      <c r="K43" s="586">
        <f t="shared" si="1"/>
        <v>0</v>
      </c>
      <c r="L43" s="524">
        <v>0</v>
      </c>
      <c r="M43" s="584"/>
      <c r="N43" s="584"/>
      <c r="O43" s="584"/>
      <c r="P43" s="524"/>
      <c r="Q43" s="588">
        <f t="shared" si="2"/>
        <v>0</v>
      </c>
      <c r="R43" s="104" t="s">
        <v>327</v>
      </c>
      <c r="S43" s="598"/>
      <c r="T43" s="598"/>
      <c r="U43" s="614">
        <f>-SUM(U41:U42)-(M29-M51)*R41</f>
        <v>0</v>
      </c>
      <c r="V43" s="598"/>
      <c r="W43" s="598"/>
      <c r="X43" s="598"/>
      <c r="Y43" s="598"/>
      <c r="Z43" s="108"/>
    </row>
    <row r="44" spans="1:35" ht="15">
      <c r="A44" s="25"/>
      <c r="B44" s="580" t="str">
        <f>+Kostnader!B38</f>
        <v xml:space="preserve"> </v>
      </c>
      <c r="C44" s="580" t="str">
        <f>+Kostnader!C38</f>
        <v xml:space="preserve"> </v>
      </c>
      <c r="D44" s="580" t="str">
        <f>+Kostnader!G38</f>
        <v xml:space="preserve"> </v>
      </c>
      <c r="E44" s="609"/>
      <c r="F44" s="610" t="str">
        <f>+Huvudinmatning!I40</f>
        <v xml:space="preserve"> </v>
      </c>
      <c r="G44" s="584"/>
      <c r="H44" s="584"/>
      <c r="I44" s="524">
        <f>IF(Huvudinmatning!I40=" ",0,IF(G44=0,C44,C44*G44))</f>
        <v>0</v>
      </c>
      <c r="J44" s="593"/>
      <c r="K44" s="586">
        <f t="shared" si="1"/>
        <v>0</v>
      </c>
      <c r="L44" s="524">
        <v>0</v>
      </c>
      <c r="M44" s="584"/>
      <c r="N44" s="584"/>
      <c r="O44" s="584"/>
      <c r="P44" s="524"/>
      <c r="Q44" s="588">
        <f t="shared" si="2"/>
        <v>0</v>
      </c>
      <c r="R44" s="104"/>
      <c r="S44" s="598"/>
      <c r="T44" s="598"/>
      <c r="U44" s="598"/>
      <c r="V44" s="598"/>
      <c r="W44" s="104"/>
      <c r="X44" s="614"/>
      <c r="Y44" s="598"/>
      <c r="Z44" s="2432"/>
    </row>
    <row r="45" spans="1:35" ht="15">
      <c r="A45" s="25"/>
      <c r="B45" s="580" t="str">
        <f>+Kostnader!B39</f>
        <v xml:space="preserve"> </v>
      </c>
      <c r="C45" s="580" t="str">
        <f>+Kostnader!C39</f>
        <v xml:space="preserve"> </v>
      </c>
      <c r="D45" s="580" t="str">
        <f>+Kostnader!G39</f>
        <v xml:space="preserve"> </v>
      </c>
      <c r="E45" s="609"/>
      <c r="F45" s="610" t="str">
        <f>+Huvudinmatning!I41</f>
        <v xml:space="preserve"> </v>
      </c>
      <c r="G45" s="584"/>
      <c r="H45" s="584"/>
      <c r="I45" s="524">
        <f>IF(Huvudinmatning!I41=" ",0,IF(G45=0,C45,C45*G45))</f>
        <v>0</v>
      </c>
      <c r="J45" s="585"/>
      <c r="K45" s="586">
        <f t="shared" si="1"/>
        <v>0</v>
      </c>
      <c r="L45" s="524">
        <v>0</v>
      </c>
      <c r="M45" s="584"/>
      <c r="N45" s="584"/>
      <c r="O45" s="584"/>
      <c r="P45" s="524"/>
      <c r="Q45" s="588" t="s">
        <v>149</v>
      </c>
      <c r="R45" s="104" t="s">
        <v>198</v>
      </c>
      <c r="S45" s="598"/>
      <c r="T45" s="598"/>
      <c r="U45" s="598"/>
      <c r="V45" s="598"/>
      <c r="W45" s="598"/>
      <c r="X45" s="614"/>
      <c r="Y45" s="598"/>
      <c r="Z45" s="108"/>
    </row>
    <row r="46" spans="1:35" ht="15">
      <c r="A46" s="25"/>
      <c r="B46" s="580" t="str">
        <f>+Kostnader!B40</f>
        <v xml:space="preserve"> </v>
      </c>
      <c r="C46" s="580" t="str">
        <f>+Kostnader!C40</f>
        <v xml:space="preserve"> </v>
      </c>
      <c r="D46" s="580" t="str">
        <f>+Kostnader!G40</f>
        <v xml:space="preserve"> </v>
      </c>
      <c r="E46" s="609"/>
      <c r="F46" s="610" t="str">
        <f>+Huvudinmatning!I42</f>
        <v xml:space="preserve"> </v>
      </c>
      <c r="G46" s="584"/>
      <c r="H46" s="584"/>
      <c r="I46" s="524">
        <f>IF(Huvudinmatning!I42=" ",0,IF(G46=0,C46,C46*G46))</f>
        <v>0</v>
      </c>
      <c r="J46" s="595"/>
      <c r="K46" s="586">
        <f t="shared" si="1"/>
        <v>0</v>
      </c>
      <c r="L46" s="524">
        <v>0</v>
      </c>
      <c r="M46" s="584"/>
      <c r="N46" s="584"/>
      <c r="O46" s="584"/>
      <c r="P46" s="64" t="s">
        <v>577</v>
      </c>
      <c r="Q46" s="588" t="s">
        <v>463</v>
      </c>
      <c r="R46" s="104" t="s">
        <v>251</v>
      </c>
      <c r="S46" s="598"/>
      <c r="T46" s="598"/>
      <c r="U46" s="598"/>
      <c r="V46" s="598"/>
      <c r="W46" s="598"/>
      <c r="X46" s="614"/>
      <c r="Y46" s="598"/>
      <c r="Z46" s="108"/>
    </row>
    <row r="47" spans="1:35" ht="15">
      <c r="A47" s="592"/>
      <c r="B47" s="580"/>
      <c r="C47" s="596" t="s">
        <v>578</v>
      </c>
      <c r="D47" s="104"/>
      <c r="E47" s="586">
        <f>SUM(E37:E46)</f>
        <v>0</v>
      </c>
      <c r="F47" s="104"/>
      <c r="G47" s="104"/>
      <c r="H47" s="524" t="s">
        <v>579</v>
      </c>
      <c r="I47" s="586">
        <f>IF(F37=0,0,I37)+IF(F38=0,0,I38)+IF(F39=0,0,I39)+IF(F40=0,0,I40)+IF(F41=0,0,I41)+IF(F42=0,0,I42)+IF(F43=0,0,I43)+IF(F44=0,0,I44)+IF(F45=0,0,I45)+IF(F46=0,0,I46)</f>
        <v>45000</v>
      </c>
      <c r="J47" s="597" t="s">
        <v>580</v>
      </c>
      <c r="K47" s="586">
        <f>SUM(K37:K46)</f>
        <v>378</v>
      </c>
      <c r="L47" s="572"/>
      <c r="M47" s="572">
        <f>SUM(M37:M46)</f>
        <v>0</v>
      </c>
      <c r="N47" s="572">
        <f>SUM(N37:N46)</f>
        <v>0</v>
      </c>
      <c r="O47" s="572">
        <f>SUM(O37:O46)</f>
        <v>0</v>
      </c>
      <c r="P47" s="524" t="s">
        <v>581</v>
      </c>
      <c r="Q47" s="572"/>
      <c r="R47" s="598"/>
      <c r="S47" s="104"/>
    </row>
    <row r="48" spans="1:35" ht="15">
      <c r="A48" s="592"/>
      <c r="B48" s="580"/>
      <c r="C48" s="25" t="s">
        <v>590</v>
      </c>
      <c r="D48" s="104"/>
      <c r="E48" s="609"/>
      <c r="F48" s="104"/>
      <c r="G48" s="104"/>
      <c r="H48" s="524" t="s">
        <v>319</v>
      </c>
      <c r="I48" s="586">
        <f>I47/C36</f>
        <v>6428.5714285714284</v>
      </c>
      <c r="J48" s="597" t="s">
        <v>583</v>
      </c>
      <c r="K48" s="586">
        <f>+K47/C36</f>
        <v>54</v>
      </c>
      <c r="L48" s="524"/>
      <c r="M48" s="586">
        <f>+M47/C36</f>
        <v>0</v>
      </c>
      <c r="N48" s="524">
        <f>+N47/C36</f>
        <v>0</v>
      </c>
      <c r="O48" s="524">
        <f>+O47/C36</f>
        <v>0</v>
      </c>
      <c r="P48" s="586">
        <f>+Mull_ICBM!AM16</f>
        <v>15.889574486279889</v>
      </c>
      <c r="Q48" s="586"/>
      <c r="R48" s="104"/>
      <c r="S48" s="608"/>
      <c r="V48" s="100"/>
      <c r="W48" s="100"/>
    </row>
    <row r="49" spans="1:24" ht="15">
      <c r="A49" s="592"/>
      <c r="B49" s="580"/>
      <c r="C49" t="s">
        <v>591</v>
      </c>
      <c r="E49" s="609"/>
      <c r="F49" s="25" t="s">
        <v>584</v>
      </c>
      <c r="G49" s="104"/>
      <c r="H49" s="524"/>
      <c r="I49" s="586"/>
      <c r="J49" s="597"/>
      <c r="K49" s="586">
        <f>+K48*Q7*44/28*310</f>
        <v>263.05714285714288</v>
      </c>
      <c r="L49" s="524"/>
      <c r="M49" s="586">
        <f>+M48*($Q$12+Q8*44/28*310)</f>
        <v>0</v>
      </c>
      <c r="N49" s="586">
        <f>+N48*($Q$9*44/28*310)</f>
        <v>0</v>
      </c>
      <c r="O49" s="600">
        <f>+O48</f>
        <v>0</v>
      </c>
      <c r="P49" s="601">
        <f>-(P48*44/12+P48*0.1*0.01*44/28*310)</f>
        <v>-66.002265830390229</v>
      </c>
      <c r="Q49" s="586">
        <f>-(1-U38)*M49</f>
        <v>0</v>
      </c>
      <c r="R49" s="104">
        <v>-56.25</v>
      </c>
      <c r="S49" s="608"/>
    </row>
    <row r="50" spans="1:24" ht="15.75">
      <c r="A50" s="25"/>
      <c r="B50" s="104"/>
      <c r="C50" t="s">
        <v>585</v>
      </c>
      <c r="D50" s="104"/>
      <c r="E50" t="s">
        <v>585</v>
      </c>
      <c r="F50" s="615" t="s">
        <v>592</v>
      </c>
      <c r="G50" s="616"/>
      <c r="H50" s="616"/>
      <c r="I50" s="617" t="s">
        <v>593</v>
      </c>
      <c r="J50" s="617"/>
      <c r="K50" s="584">
        <v>10</v>
      </c>
      <c r="L50" s="618"/>
      <c r="M50" s="619">
        <f>-AC32*(1-0.01*K50)*(Q12+Q8*44/28*310)/C36</f>
        <v>0</v>
      </c>
      <c r="N50" s="619">
        <f>+AC32*Q9*44/28*310/C36</f>
        <v>0</v>
      </c>
      <c r="O50" s="619"/>
      <c r="P50" s="619"/>
      <c r="Q50" s="604"/>
      <c r="R50" s="104"/>
      <c r="S50" s="104"/>
      <c r="T50" s="2433" t="s">
        <v>705</v>
      </c>
    </row>
    <row r="51" spans="1:24">
      <c r="A51" s="25"/>
      <c r="B51" s="104"/>
      <c r="D51" s="104"/>
      <c r="F51" s="616"/>
      <c r="G51" s="616"/>
      <c r="H51" s="616"/>
      <c r="I51" s="617"/>
      <c r="J51" s="617"/>
      <c r="K51" s="618"/>
      <c r="L51" s="618" t="s">
        <v>595</v>
      </c>
      <c r="M51" s="620">
        <f>+M48-AC32*(1-0.01*K50)/C36</f>
        <v>0</v>
      </c>
      <c r="N51" s="618"/>
      <c r="O51" s="619"/>
      <c r="P51" s="621"/>
      <c r="Q51" s="604"/>
      <c r="R51" s="104"/>
      <c r="S51" s="104"/>
      <c r="T51" s="3036" t="s">
        <v>1458</v>
      </c>
      <c r="U51" s="3036"/>
      <c r="V51" s="3036" t="s">
        <v>1459</v>
      </c>
      <c r="W51" s="3036"/>
      <c r="X51" s="2434"/>
    </row>
    <row r="52" spans="1:24">
      <c r="A52" s="25"/>
      <c r="B52" s="104"/>
      <c r="D52" s="104"/>
      <c r="J52" s="101"/>
      <c r="K52" s="524"/>
      <c r="L52" s="524"/>
      <c r="M52" s="598"/>
      <c r="N52" t="s">
        <v>1460</v>
      </c>
      <c r="Q52" s="97">
        <v>0</v>
      </c>
      <c r="R52" s="104"/>
      <c r="S52" s="104"/>
      <c r="T52" s="2435" t="s">
        <v>133</v>
      </c>
      <c r="U52" s="2435" t="s">
        <v>147</v>
      </c>
      <c r="V52" s="2435" t="s">
        <v>133</v>
      </c>
      <c r="W52" s="2435" t="s">
        <v>1461</v>
      </c>
      <c r="X52" s="2434"/>
    </row>
    <row r="53" spans="1:24">
      <c r="A53" s="109"/>
      <c r="B53" s="108"/>
      <c r="D53" s="108"/>
      <c r="J53" s="101"/>
      <c r="K53" s="524"/>
      <c r="L53" s="524"/>
      <c r="M53" s="598"/>
      <c r="N53" s="524"/>
      <c r="O53" s="107"/>
      <c r="P53" s="606"/>
      <c r="Q53" s="606"/>
      <c r="R53" s="105"/>
      <c r="S53" s="607"/>
      <c r="T53" s="25"/>
      <c r="U53" s="25"/>
    </row>
    <row r="54" spans="1:24">
      <c r="A54" s="109"/>
      <c r="B54" s="164"/>
      <c r="D54" s="108"/>
      <c r="J54" s="101"/>
      <c r="K54" s="598"/>
      <c r="L54" s="598"/>
      <c r="M54" s="627"/>
      <c r="N54" s="627"/>
      <c r="O54" s="627"/>
      <c r="P54" s="627"/>
      <c r="Q54" s="626"/>
      <c r="R54" s="108"/>
      <c r="S54" s="108"/>
      <c r="T54" s="2436" t="s">
        <v>709</v>
      </c>
      <c r="U54" s="2436"/>
      <c r="V54" s="2434"/>
    </row>
    <row r="55" spans="1:24">
      <c r="A55" s="109"/>
      <c r="B55" s="109"/>
      <c r="C55" s="108"/>
      <c r="D55" s="108"/>
      <c r="E55" s="108"/>
      <c r="F55" s="108"/>
      <c r="J55" s="101"/>
      <c r="K55" s="598"/>
      <c r="L55" s="598"/>
      <c r="M55" s="104"/>
      <c r="N55" s="627"/>
      <c r="O55" s="524"/>
      <c r="P55" s="606"/>
      <c r="Q55" s="586"/>
      <c r="R55" s="104"/>
      <c r="S55" s="1581"/>
      <c r="T55" s="2437">
        <f>+Q64-Q62</f>
        <v>713.05714285714294</v>
      </c>
      <c r="U55" s="2437">
        <f>+R64-R62</f>
        <v>656.80714285714294</v>
      </c>
      <c r="V55" s="2438">
        <f>+T55/I29</f>
        <v>0.11092000000000002</v>
      </c>
      <c r="W55" s="2438">
        <f>+U55/I48</f>
        <v>0.10217000000000001</v>
      </c>
    </row>
    <row r="56" spans="1:24">
      <c r="A56" s="109"/>
      <c r="B56" s="109"/>
      <c r="C56" s="108"/>
      <c r="D56" s="2439" t="s">
        <v>504</v>
      </c>
      <c r="E56" s="108"/>
      <c r="F56" s="108"/>
      <c r="J56" s="101"/>
      <c r="K56" s="598"/>
      <c r="L56" s="598"/>
      <c r="M56" s="164" t="s">
        <v>696</v>
      </c>
      <c r="N56" s="524"/>
      <c r="O56" s="598"/>
      <c r="P56" s="614"/>
      <c r="Q56" s="614" t="s">
        <v>697</v>
      </c>
      <c r="R56" s="108" t="s">
        <v>698</v>
      </c>
      <c r="S56" s="2432"/>
      <c r="T56" s="2436"/>
      <c r="U56" s="2436"/>
      <c r="V56" s="2440"/>
      <c r="W56" s="2440"/>
    </row>
    <row r="57" spans="1:24">
      <c r="J57" s="101"/>
      <c r="N57" s="25" t="s">
        <v>699</v>
      </c>
      <c r="Q57" s="602">
        <f>+K30</f>
        <v>263.05714285714288</v>
      </c>
      <c r="R57" s="97">
        <f>+K49</f>
        <v>263.05714285714288</v>
      </c>
      <c r="T57" s="2436" t="s">
        <v>711</v>
      </c>
      <c r="U57" s="2436"/>
      <c r="V57" s="2440"/>
      <c r="W57" s="2440"/>
    </row>
    <row r="58" spans="1:24">
      <c r="D58" t="s">
        <v>505</v>
      </c>
      <c r="J58" s="101"/>
      <c r="N58" s="25" t="s">
        <v>700</v>
      </c>
      <c r="Q58" s="97">
        <f>+M30+Q30</f>
        <v>0</v>
      </c>
      <c r="R58" s="97">
        <f>+M49+Q49+M50</f>
        <v>0</v>
      </c>
      <c r="T58" s="2437">
        <f>Q64</f>
        <v>647.05487702675271</v>
      </c>
      <c r="U58" s="2437">
        <f>R64</f>
        <v>590.80487702675271</v>
      </c>
      <c r="V58" s="2438">
        <f>+T58/I29</f>
        <v>0.1006529808708282</v>
      </c>
      <c r="W58" s="2438">
        <f>+U58/I48</f>
        <v>9.1902980870828196E-2</v>
      </c>
    </row>
    <row r="59" spans="1:24">
      <c r="J59" s="101"/>
      <c r="N59" s="25" t="s">
        <v>608</v>
      </c>
      <c r="O59" s="20"/>
      <c r="Q59" s="2441">
        <f>+N30</f>
        <v>0</v>
      </c>
      <c r="R59" s="97">
        <f>+N49+N50</f>
        <v>0</v>
      </c>
      <c r="T59" s="2436"/>
      <c r="U59" s="2436"/>
      <c r="V59" s="2438"/>
      <c r="W59" s="2438"/>
    </row>
    <row r="60" spans="1:24">
      <c r="D60" t="s">
        <v>506</v>
      </c>
      <c r="J60" s="101"/>
      <c r="N60" s="25" t="s">
        <v>263</v>
      </c>
      <c r="Q60" s="64">
        <f>+Q11+R30</f>
        <v>210</v>
      </c>
      <c r="R60" s="97">
        <f>+Q11+R49</f>
        <v>153.75</v>
      </c>
      <c r="T60" s="2436" t="s">
        <v>713</v>
      </c>
      <c r="U60" s="2436"/>
      <c r="V60" s="2438"/>
      <c r="W60" s="2438"/>
    </row>
    <row r="61" spans="1:24">
      <c r="J61" s="101"/>
      <c r="N61" s="25" t="s">
        <v>701</v>
      </c>
      <c r="Q61" s="97">
        <f>+Q10-210</f>
        <v>240</v>
      </c>
      <c r="R61" s="97">
        <f>+Q10-210</f>
        <v>240</v>
      </c>
      <c r="T61" s="2437">
        <f>+Q73</f>
        <v>647.05487702675271</v>
      </c>
      <c r="U61" s="2437">
        <f>+R73</f>
        <v>590.80487702675271</v>
      </c>
      <c r="V61" s="2438">
        <f>+T61/I29</f>
        <v>0.1006529808708282</v>
      </c>
      <c r="W61" s="2438">
        <f>+U61/I48</f>
        <v>9.1902980870828196E-2</v>
      </c>
    </row>
    <row r="62" spans="1:24">
      <c r="D62" t="s">
        <v>507</v>
      </c>
      <c r="J62" s="101"/>
      <c r="N62" s="25" t="s">
        <v>702</v>
      </c>
      <c r="Q62" s="97">
        <f>+P30</f>
        <v>-66.002265830390229</v>
      </c>
      <c r="R62" s="97">
        <f>+P49</f>
        <v>-66.002265830390229</v>
      </c>
      <c r="T62" s="2436"/>
      <c r="U62" s="2436"/>
      <c r="V62" s="2438"/>
      <c r="W62" s="2438"/>
    </row>
    <row r="63" spans="1:24">
      <c r="D63" t="s">
        <v>508</v>
      </c>
      <c r="J63" s="101"/>
      <c r="N63" s="25" t="s">
        <v>703</v>
      </c>
      <c r="Q63" s="97">
        <f>+O30</f>
        <v>0</v>
      </c>
      <c r="R63" s="97">
        <f>+O49</f>
        <v>0</v>
      </c>
      <c r="T63" s="2436" t="s">
        <v>715</v>
      </c>
      <c r="U63" s="2436"/>
      <c r="V63" s="2438"/>
      <c r="W63" s="2438"/>
    </row>
    <row r="64" spans="1:24">
      <c r="J64" s="101"/>
      <c r="Q64" s="99">
        <f>SUM(Q57:Q63)</f>
        <v>647.05487702675271</v>
      </c>
      <c r="R64" s="99">
        <f>SUM(R57:R63)</f>
        <v>590.80487702675271</v>
      </c>
      <c r="T64" s="2437">
        <f>+T58</f>
        <v>647.05487702675271</v>
      </c>
      <c r="U64" s="2437">
        <f>R64+L78</f>
        <v>590.80487702675271</v>
      </c>
      <c r="V64" s="2438">
        <f>+T64/I29</f>
        <v>0.1006529808708282</v>
      </c>
      <c r="W64" s="2438">
        <f>+U64/I48</f>
        <v>9.1902980870828196E-2</v>
      </c>
    </row>
    <row r="65" spans="4:21">
      <c r="D65" t="s">
        <v>509</v>
      </c>
      <c r="J65" s="101"/>
      <c r="R65" s="97">
        <v>-190.87449071117669</v>
      </c>
    </row>
    <row r="66" spans="4:21">
      <c r="D66" t="s">
        <v>510</v>
      </c>
      <c r="J66" s="101"/>
    </row>
    <row r="67" spans="4:21">
      <c r="D67" t="s">
        <v>511</v>
      </c>
      <c r="J67" s="101"/>
      <c r="T67" s="97"/>
    </row>
    <row r="68" spans="4:21">
      <c r="D68" t="s">
        <v>512</v>
      </c>
      <c r="J68" s="101"/>
      <c r="M68" s="164"/>
      <c r="U68" s="97"/>
    </row>
    <row r="69" spans="4:21">
      <c r="J69" s="101"/>
      <c r="N69" s="164" t="s">
        <v>513</v>
      </c>
      <c r="Q69" s="97"/>
      <c r="R69" s="97"/>
    </row>
    <row r="70" spans="4:21">
      <c r="J70" s="101"/>
      <c r="N70" t="s">
        <v>514</v>
      </c>
      <c r="Q70" s="97">
        <v>0</v>
      </c>
      <c r="R70" s="97">
        <v>0</v>
      </c>
    </row>
    <row r="71" spans="4:21">
      <c r="D71" s="164" t="s">
        <v>515</v>
      </c>
      <c r="E71" s="164"/>
      <c r="J71" s="101"/>
      <c r="N71" t="s">
        <v>516</v>
      </c>
      <c r="Q71" s="603"/>
      <c r="R71" s="2442">
        <f>+AG17/C36</f>
        <v>0</v>
      </c>
    </row>
    <row r="72" spans="4:21">
      <c r="D72" t="s">
        <v>517</v>
      </c>
      <c r="J72" s="101"/>
      <c r="N72" t="s">
        <v>518</v>
      </c>
      <c r="Q72" s="97">
        <f>+(Q71+Q70)*0.07</f>
        <v>0</v>
      </c>
      <c r="R72" s="97">
        <f>+(R71+R70)*0.07</f>
        <v>0</v>
      </c>
    </row>
    <row r="73" spans="4:21">
      <c r="D73" t="s">
        <v>519</v>
      </c>
      <c r="J73" s="101"/>
      <c r="N73" t="s">
        <v>520</v>
      </c>
      <c r="Q73" s="99">
        <f>+Q64-Q72</f>
        <v>647.05487702675271</v>
      </c>
      <c r="R73" s="99">
        <f>+R64-R72</f>
        <v>590.80487702675271</v>
      </c>
    </row>
    <row r="74" spans="4:21">
      <c r="D74" s="164" t="s">
        <v>521</v>
      </c>
      <c r="E74" s="164"/>
      <c r="J74" s="101"/>
    </row>
    <row r="75" spans="4:21">
      <c r="D75" t="s">
        <v>522</v>
      </c>
      <c r="J75" s="101"/>
      <c r="L75" s="569">
        <v>2000</v>
      </c>
      <c r="P75" t="s">
        <v>523</v>
      </c>
      <c r="Q75" s="97">
        <f>+Q70+Q71</f>
        <v>0</v>
      </c>
      <c r="R75" s="97">
        <f>+R70+R71</f>
        <v>0</v>
      </c>
    </row>
    <row r="76" spans="4:21">
      <c r="D76" t="s">
        <v>524</v>
      </c>
      <c r="J76" s="101"/>
      <c r="K76" t="s">
        <v>525</v>
      </c>
      <c r="L76" s="91">
        <v>5000</v>
      </c>
      <c r="N76" s="594"/>
      <c r="P76" t="s">
        <v>526</v>
      </c>
      <c r="Q76" s="97">
        <f>+Q75/3.6</f>
        <v>0</v>
      </c>
      <c r="R76" s="97">
        <f>+R75/3.6</f>
        <v>0</v>
      </c>
    </row>
    <row r="77" spans="4:21">
      <c r="I77" t="s">
        <v>527</v>
      </c>
      <c r="O77" t="s">
        <v>528</v>
      </c>
    </row>
    <row r="78" spans="4:21">
      <c r="I78" t="s">
        <v>529</v>
      </c>
      <c r="J78" s="101"/>
      <c r="L78" s="97">
        <f>+(I29-I48)/L76*L75*44/12</f>
        <v>0</v>
      </c>
      <c r="O78" t="s">
        <v>530</v>
      </c>
      <c r="P78" s="91">
        <v>0.30000000000000004</v>
      </c>
      <c r="Q78" s="64">
        <f>+Q76*P78</f>
        <v>0</v>
      </c>
      <c r="R78" s="97">
        <f>+R76*P78</f>
        <v>0</v>
      </c>
      <c r="T78" s="97"/>
    </row>
    <row r="79" spans="4:21" ht="15.75">
      <c r="D79" s="1955" t="s">
        <v>531</v>
      </c>
      <c r="E79" s="1955"/>
      <c r="F79" t="s">
        <v>532</v>
      </c>
      <c r="J79" s="101"/>
      <c r="R79" s="99"/>
      <c r="U79" s="64"/>
    </row>
    <row r="80" spans="4:21">
      <c r="D80" t="s">
        <v>533</v>
      </c>
      <c r="J80" s="101"/>
      <c r="R80" s="97"/>
    </row>
    <row r="81" spans="6:17">
      <c r="J81" s="101"/>
    </row>
    <row r="82" spans="6:17">
      <c r="J82" s="101"/>
      <c r="K82" t="s">
        <v>534</v>
      </c>
      <c r="O82" t="s">
        <v>535</v>
      </c>
    </row>
    <row r="83" spans="6:17">
      <c r="J83" s="101"/>
      <c r="K83" t="s">
        <v>536</v>
      </c>
      <c r="L83" t="s">
        <v>537</v>
      </c>
      <c r="M83" t="s">
        <v>538</v>
      </c>
      <c r="O83" t="s">
        <v>536</v>
      </c>
      <c r="P83" t="s">
        <v>537</v>
      </c>
      <c r="Q83" t="s">
        <v>538</v>
      </c>
    </row>
    <row r="84" spans="6:17">
      <c r="F84" t="s">
        <v>539</v>
      </c>
      <c r="G84" t="s">
        <v>540</v>
      </c>
      <c r="J84" s="101"/>
      <c r="K84">
        <v>18</v>
      </c>
      <c r="L84">
        <v>450</v>
      </c>
      <c r="M84">
        <v>20</v>
      </c>
      <c r="O84">
        <v>17</v>
      </c>
      <c r="P84">
        <v>450</v>
      </c>
      <c r="Q84">
        <v>5</v>
      </c>
    </row>
    <row r="85" spans="6:17">
      <c r="F85" t="s">
        <v>541</v>
      </c>
      <c r="J85" s="101"/>
      <c r="K85">
        <v>1.5</v>
      </c>
      <c r="L85" t="s">
        <v>542</v>
      </c>
      <c r="O85">
        <v>0.30000000000000004</v>
      </c>
    </row>
    <row r="86" spans="6:17">
      <c r="F86" t="s">
        <v>543</v>
      </c>
      <c r="J86" s="101"/>
      <c r="K86">
        <v>7.0000000000000007E-2</v>
      </c>
      <c r="O86" s="99">
        <v>0.05</v>
      </c>
    </row>
    <row r="87" spans="6:17">
      <c r="F87" t="s">
        <v>544</v>
      </c>
      <c r="J87" s="101"/>
      <c r="K87">
        <v>3.2</v>
      </c>
      <c r="O87">
        <v>2.2999999999999998</v>
      </c>
    </row>
    <row r="88" spans="6:17">
      <c r="F88" t="s">
        <v>545</v>
      </c>
      <c r="J88" s="101"/>
      <c r="K88">
        <v>10.6</v>
      </c>
      <c r="L88">
        <v>200</v>
      </c>
      <c r="O88">
        <v>7.1</v>
      </c>
      <c r="P88">
        <v>130</v>
      </c>
    </row>
    <row r="89" spans="6:17">
      <c r="F89" t="s">
        <v>546</v>
      </c>
      <c r="J89" s="101"/>
      <c r="L89">
        <v>250</v>
      </c>
      <c r="M89">
        <v>20</v>
      </c>
      <c r="P89">
        <v>320</v>
      </c>
      <c r="Q89">
        <v>5</v>
      </c>
    </row>
    <row r="90" spans="6:17">
      <c r="F90" t="s">
        <v>547</v>
      </c>
      <c r="J90" s="101"/>
      <c r="K90">
        <v>0.2</v>
      </c>
      <c r="O90" s="98">
        <v>0.2</v>
      </c>
    </row>
    <row r="91" spans="6:17">
      <c r="J91" s="101"/>
      <c r="P91" s="100"/>
    </row>
    <row r="92" spans="6:17">
      <c r="F92" t="s">
        <v>548</v>
      </c>
      <c r="J92" s="101"/>
      <c r="K92" s="64">
        <f>+K88-K86-K87-K90</f>
        <v>7.129999999999999</v>
      </c>
      <c r="O92" s="64">
        <f>+O88-O86-O87-O90</f>
        <v>4.55</v>
      </c>
    </row>
    <row r="93" spans="6:17">
      <c r="F93" t="s">
        <v>549</v>
      </c>
      <c r="J93" s="101"/>
      <c r="L93" t="s">
        <v>550</v>
      </c>
      <c r="M93" s="2443">
        <v>1</v>
      </c>
      <c r="P93" s="2443">
        <v>0.7</v>
      </c>
    </row>
    <row r="94" spans="6:17">
      <c r="F94" t="s">
        <v>551</v>
      </c>
      <c r="J94" s="101"/>
      <c r="M94" t="s">
        <v>552</v>
      </c>
    </row>
    <row r="95" spans="6:17">
      <c r="J95" s="101"/>
      <c r="O95" s="99"/>
    </row>
    <row r="96" spans="6:17">
      <c r="F96" t="s">
        <v>553</v>
      </c>
      <c r="J96" s="101"/>
    </row>
    <row r="97" spans="2:28">
      <c r="F97" t="s">
        <v>554</v>
      </c>
      <c r="J97" s="101"/>
    </row>
    <row r="98" spans="2:28">
      <c r="F98" t="s">
        <v>555</v>
      </c>
      <c r="I98" t="s">
        <v>556</v>
      </c>
      <c r="J98" s="101"/>
    </row>
    <row r="99" spans="2:28">
      <c r="F99" t="s">
        <v>557</v>
      </c>
      <c r="J99" s="101"/>
      <c r="O99" s="97"/>
    </row>
    <row r="100" spans="2:28">
      <c r="F100" t="s">
        <v>558</v>
      </c>
      <c r="J100" s="101"/>
    </row>
    <row r="101" spans="2:28">
      <c r="J101" s="101"/>
      <c r="O101" s="99"/>
    </row>
    <row r="102" spans="2:28">
      <c r="B102" s="164"/>
      <c r="J102" s="101"/>
      <c r="AA102" t="s">
        <v>327</v>
      </c>
    </row>
    <row r="103" spans="2:28">
      <c r="F103" s="104"/>
      <c r="J103" s="101"/>
    </row>
    <row r="104" spans="2:28">
      <c r="F104" s="104"/>
      <c r="J104" s="101"/>
    </row>
    <row r="105" spans="2:28">
      <c r="F105" s="104"/>
      <c r="J105" s="101"/>
    </row>
    <row r="106" spans="2:28">
      <c r="F106" s="104"/>
      <c r="G106" s="26"/>
      <c r="J106" s="101"/>
      <c r="O106" s="99"/>
      <c r="Q106" s="98"/>
    </row>
    <row r="107" spans="2:28">
      <c r="F107" s="104"/>
      <c r="J107" s="101"/>
    </row>
    <row r="108" spans="2:28">
      <c r="F108" s="104"/>
      <c r="G108" t="s">
        <v>1462</v>
      </c>
      <c r="J108" s="101"/>
      <c r="O108" s="97"/>
      <c r="AB108" s="97"/>
    </row>
  </sheetData>
  <mergeCells count="5">
    <mergeCell ref="P14:Q14"/>
    <mergeCell ref="W17:X17"/>
    <mergeCell ref="W18:X18"/>
    <mergeCell ref="T51:U51"/>
    <mergeCell ref="V51:W51"/>
  </mergeCells>
  <pageMargins left="0.7" right="0.7" top="0.75" bottom="0.75" header="0.3" footer="0.3"/>
  <drawing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7">
    <tabColor rgb="FFFF0000"/>
  </sheetPr>
  <dimension ref="A2:T20"/>
  <sheetViews>
    <sheetView workbookViewId="0">
      <selection activeCell="E36" sqref="E36"/>
    </sheetView>
  </sheetViews>
  <sheetFormatPr defaultRowHeight="12.75"/>
  <sheetData>
    <row r="2" spans="1:20">
      <c r="A2">
        <v>180218</v>
      </c>
      <c r="N2" s="164" t="s">
        <v>1609</v>
      </c>
      <c r="T2" s="164" t="s">
        <v>1607</v>
      </c>
    </row>
    <row r="3" spans="1:20">
      <c r="B3" t="s">
        <v>1552</v>
      </c>
      <c r="N3" t="s">
        <v>1618</v>
      </c>
      <c r="T3" t="s">
        <v>1608</v>
      </c>
    </row>
    <row r="4" spans="1:20">
      <c r="B4" t="s">
        <v>1553</v>
      </c>
      <c r="T4" t="s">
        <v>1605</v>
      </c>
    </row>
    <row r="5" spans="1:20">
      <c r="B5" t="s">
        <v>1554</v>
      </c>
      <c r="H5" t="s">
        <v>1557</v>
      </c>
      <c r="T5" t="s">
        <v>1606</v>
      </c>
    </row>
    <row r="6" spans="1:20">
      <c r="B6" t="s">
        <v>1555</v>
      </c>
      <c r="H6" t="s">
        <v>1556</v>
      </c>
      <c r="T6" t="s">
        <v>1586</v>
      </c>
    </row>
    <row r="7" spans="1:20">
      <c r="B7" t="s">
        <v>1558</v>
      </c>
      <c r="T7" t="s">
        <v>1611</v>
      </c>
    </row>
    <row r="8" spans="1:20">
      <c r="C8" t="s">
        <v>1028</v>
      </c>
      <c r="E8" t="s">
        <v>1560</v>
      </c>
    </row>
    <row r="9" spans="1:20">
      <c r="C9" t="s">
        <v>1559</v>
      </c>
      <c r="E9" t="s">
        <v>1561</v>
      </c>
    </row>
    <row r="10" spans="1:20">
      <c r="C10" t="s">
        <v>166</v>
      </c>
      <c r="E10" t="s">
        <v>1562</v>
      </c>
    </row>
    <row r="11" spans="1:20">
      <c r="C11" t="s">
        <v>1278</v>
      </c>
      <c r="E11" t="s">
        <v>1562</v>
      </c>
      <c r="G11" t="s">
        <v>1563</v>
      </c>
    </row>
    <row r="12" spans="1:20">
      <c r="C12" t="s">
        <v>1277</v>
      </c>
      <c r="E12" t="s">
        <v>1564</v>
      </c>
    </row>
    <row r="13" spans="1:20">
      <c r="C13" t="s">
        <v>1029</v>
      </c>
      <c r="E13" t="s">
        <v>1571</v>
      </c>
      <c r="F13" t="s">
        <v>1572</v>
      </c>
      <c r="G13" t="s">
        <v>1573</v>
      </c>
      <c r="H13" t="s">
        <v>1574</v>
      </c>
      <c r="J13" t="s">
        <v>1565</v>
      </c>
    </row>
    <row r="14" spans="1:20">
      <c r="C14" t="s">
        <v>1585</v>
      </c>
      <c r="E14" t="s">
        <v>1575</v>
      </c>
      <c r="F14" t="s">
        <v>1576</v>
      </c>
      <c r="G14" t="s">
        <v>1577</v>
      </c>
      <c r="H14" t="s">
        <v>1578</v>
      </c>
    </row>
    <row r="15" spans="1:20">
      <c r="C15" t="s">
        <v>1567</v>
      </c>
      <c r="E15" t="s">
        <v>1581</v>
      </c>
      <c r="F15" t="s">
        <v>1582</v>
      </c>
      <c r="G15" t="s">
        <v>1583</v>
      </c>
      <c r="H15" t="s">
        <v>1584</v>
      </c>
      <c r="J15" t="s">
        <v>1566</v>
      </c>
    </row>
    <row r="16" spans="1:20">
      <c r="C16" t="s">
        <v>1568</v>
      </c>
      <c r="E16" t="s">
        <v>1569</v>
      </c>
      <c r="F16" t="s">
        <v>1570</v>
      </c>
      <c r="G16" t="s">
        <v>1579</v>
      </c>
      <c r="H16" t="s">
        <v>1580</v>
      </c>
    </row>
    <row r="20" spans="1:2">
      <c r="A20">
        <v>35</v>
      </c>
      <c r="B20" t="s">
        <v>1694</v>
      </c>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8"/>
  <dimension ref="A4:W55"/>
  <sheetViews>
    <sheetView topLeftCell="E29" workbookViewId="0">
      <selection activeCell="M65" sqref="M65"/>
    </sheetView>
  </sheetViews>
  <sheetFormatPr defaultColWidth="11.5703125" defaultRowHeight="12.75"/>
  <sheetData>
    <row r="4" spans="1:22" ht="19.5">
      <c r="C4" s="2445" t="s">
        <v>1465</v>
      </c>
      <c r="H4" s="1955" t="s">
        <v>1466</v>
      </c>
      <c r="J4" t="s">
        <v>1456</v>
      </c>
      <c r="K4" t="s">
        <v>1467</v>
      </c>
    </row>
    <row r="5" spans="1:22">
      <c r="H5" t="s">
        <v>1468</v>
      </c>
      <c r="I5" t="s">
        <v>1469</v>
      </c>
      <c r="J5" s="569">
        <v>12</v>
      </c>
      <c r="N5" t="s">
        <v>120</v>
      </c>
    </row>
    <row r="6" spans="1:22">
      <c r="H6" t="s">
        <v>1470</v>
      </c>
      <c r="K6" s="569">
        <v>2800</v>
      </c>
      <c r="N6" s="100">
        <f>+K6/L$10</f>
        <v>0.52830188679245282</v>
      </c>
    </row>
    <row r="7" spans="1:22">
      <c r="H7" t="s">
        <v>1471</v>
      </c>
      <c r="K7" s="569">
        <v>1000</v>
      </c>
      <c r="N7" s="100">
        <f>+K7/L$10</f>
        <v>0.18867924528301888</v>
      </c>
    </row>
    <row r="8" spans="1:22">
      <c r="H8" t="s">
        <v>1472</v>
      </c>
      <c r="K8" s="569">
        <v>500</v>
      </c>
      <c r="N8" s="100">
        <f>+K8/L$10</f>
        <v>9.4339622641509441E-2</v>
      </c>
    </row>
    <row r="9" spans="1:22">
      <c r="H9" t="s">
        <v>1473</v>
      </c>
      <c r="K9" s="569">
        <v>1000</v>
      </c>
      <c r="N9" s="100">
        <f>+K9/L$10</f>
        <v>0.18867924528301888</v>
      </c>
    </row>
    <row r="10" spans="1:22">
      <c r="H10" t="s">
        <v>1474</v>
      </c>
      <c r="K10" s="569">
        <v>600</v>
      </c>
      <c r="L10" s="64">
        <f>+K6+K7+K8+K9</f>
        <v>5300</v>
      </c>
      <c r="M10" s="64">
        <f>+L10/3.6</f>
        <v>1472.2222222222222</v>
      </c>
      <c r="N10" s="100">
        <f>+K10/L$10</f>
        <v>0.11320754716981132</v>
      </c>
    </row>
    <row r="11" spans="1:22">
      <c r="H11" t="s">
        <v>102</v>
      </c>
      <c r="J11" s="569">
        <v>35</v>
      </c>
    </row>
    <row r="14" spans="1:22" ht="15.75">
      <c r="A14" s="25"/>
      <c r="B14" s="104"/>
      <c r="C14" s="104"/>
      <c r="D14" s="104"/>
      <c r="E14" s="104"/>
      <c r="F14" s="105"/>
      <c r="G14" s="104"/>
      <c r="H14" s="105"/>
      <c r="I14" s="105"/>
      <c r="J14" s="105"/>
      <c r="K14" s="105"/>
      <c r="L14" s="105"/>
      <c r="M14" s="104"/>
      <c r="N14" s="105"/>
      <c r="O14" s="3034"/>
      <c r="P14" s="3034"/>
      <c r="Q14" s="104"/>
      <c r="R14" s="105"/>
      <c r="U14" s="2428"/>
      <c r="V14" s="2446"/>
    </row>
    <row r="15" spans="1:22" ht="15.75">
      <c r="A15" s="25"/>
      <c r="B15" s="104"/>
      <c r="C15" s="104"/>
      <c r="D15" s="104"/>
      <c r="E15" s="104"/>
      <c r="F15" s="104"/>
      <c r="G15" s="104"/>
      <c r="H15" s="105"/>
      <c r="I15" s="104" t="s">
        <v>562</v>
      </c>
      <c r="J15" s="105"/>
      <c r="K15" s="105" t="s">
        <v>1475</v>
      </c>
      <c r="M15" s="106"/>
      <c r="N15" s="104"/>
      <c r="O15" s="106"/>
      <c r="P15" s="106"/>
      <c r="Q15" s="104"/>
      <c r="R15" s="105" t="s">
        <v>1476</v>
      </c>
      <c r="U15" s="2428"/>
      <c r="V15" s="2446"/>
    </row>
    <row r="16" spans="1:22" ht="15.75">
      <c r="A16" s="25"/>
      <c r="B16" s="104"/>
      <c r="C16" s="104"/>
      <c r="D16" s="104"/>
      <c r="E16" s="104"/>
      <c r="F16" s="104" t="s">
        <v>566</v>
      </c>
      <c r="G16" s="104" t="s">
        <v>567</v>
      </c>
      <c r="H16" s="104" t="s">
        <v>568</v>
      </c>
      <c r="I16" s="104"/>
      <c r="J16" s="104" t="s">
        <v>251</v>
      </c>
      <c r="K16" s="104" t="s">
        <v>1477</v>
      </c>
      <c r="L16" t="s">
        <v>1478</v>
      </c>
      <c r="M16" s="104" t="s">
        <v>1479</v>
      </c>
      <c r="N16" s="104" t="s">
        <v>1480</v>
      </c>
      <c r="O16" s="105" t="s">
        <v>1481</v>
      </c>
      <c r="P16" s="104"/>
      <c r="Q16" s="104"/>
      <c r="R16" s="104" t="s">
        <v>1482</v>
      </c>
      <c r="U16" s="2428"/>
      <c r="V16" s="2446"/>
    </row>
    <row r="17" spans="1:23" ht="15.75">
      <c r="A17" s="25"/>
      <c r="B17" s="2430" t="s">
        <v>138</v>
      </c>
      <c r="C17" s="580">
        <f>+Kostnader!E6</f>
        <v>7</v>
      </c>
      <c r="D17" s="104"/>
      <c r="E17" s="572"/>
      <c r="F17" s="104"/>
      <c r="G17" s="104"/>
      <c r="H17" s="578"/>
      <c r="I17" s="104"/>
      <c r="J17" s="578"/>
      <c r="K17" s="578"/>
      <c r="N17" s="104"/>
      <c r="O17" s="104"/>
      <c r="P17" s="104"/>
      <c r="Q17" s="104"/>
      <c r="R17" s="104" t="s">
        <v>574</v>
      </c>
      <c r="T17" t="s">
        <v>1483</v>
      </c>
      <c r="U17" s="2428" t="s">
        <v>1484</v>
      </c>
      <c r="V17" s="3035"/>
      <c r="W17" s="3035"/>
    </row>
    <row r="18" spans="1:23" ht="15.75">
      <c r="A18" s="25"/>
      <c r="B18" s="580" t="str">
        <f>+Kostnader!B11</f>
        <v xml:space="preserve">Höstraps </v>
      </c>
      <c r="C18" s="580">
        <f>+Kostnader!C11</f>
        <v>3500</v>
      </c>
      <c r="D18" s="580" t="str">
        <f>Kostnader!G11</f>
        <v xml:space="preserve"> </v>
      </c>
      <c r="E18" s="580">
        <v>1.3</v>
      </c>
      <c r="F18" s="2447">
        <v>0</v>
      </c>
      <c r="G18" s="2447">
        <v>0</v>
      </c>
      <c r="H18" s="524">
        <f>+klimat!I18</f>
        <v>3500</v>
      </c>
      <c r="I18" s="2447">
        <f>+klimat!M18</f>
        <v>0</v>
      </c>
      <c r="J18" s="584"/>
      <c r="K18" s="584"/>
      <c r="L18" s="584"/>
      <c r="M18" s="584"/>
      <c r="N18" s="2447">
        <f>IF(H18=0,0,H18*$J$5-(I18*$J$11+$L$10+J18+K18+L18+M18))</f>
        <v>36700</v>
      </c>
      <c r="O18" s="2447">
        <f>IF(H18=0,0,(I18*$J$11+K18+L18+M18+J18+L$10))</f>
        <v>5300</v>
      </c>
      <c r="P18" s="588"/>
      <c r="Q18" s="104"/>
      <c r="R18" s="107" t="s">
        <v>575</v>
      </c>
      <c r="T18" s="2448">
        <v>1</v>
      </c>
      <c r="U18" s="2449">
        <v>1</v>
      </c>
      <c r="V18" s="3035"/>
      <c r="W18" s="3035"/>
    </row>
    <row r="19" spans="1:23" ht="15">
      <c r="A19" s="25"/>
      <c r="B19" s="580" t="str">
        <f>+Kostnader!B12</f>
        <v>Höstvete bröd</v>
      </c>
      <c r="C19" s="580">
        <f>+Kostnader!C12</f>
        <v>8000</v>
      </c>
      <c r="D19" s="580" t="str">
        <f>Kostnader!G12</f>
        <v xml:space="preserve"> </v>
      </c>
      <c r="E19" s="580">
        <v>1.5</v>
      </c>
      <c r="F19" s="2447">
        <v>0</v>
      </c>
      <c r="G19" s="2447">
        <v>0</v>
      </c>
      <c r="H19" s="524">
        <f>+klimat!I19</f>
        <v>8000</v>
      </c>
      <c r="I19" s="2447">
        <f>+klimat!M19</f>
        <v>0</v>
      </c>
      <c r="J19" s="590"/>
      <c r="K19" s="584"/>
      <c r="L19" s="590"/>
      <c r="M19" s="590"/>
      <c r="N19" s="2447">
        <f t="shared" ref="N19:N27" si="0">IF(H19=0,0,H19*$J$5-(I19*$J$11+$L$10+J19+K19+L19+M19))</f>
        <v>90700</v>
      </c>
      <c r="O19" s="2447">
        <f t="shared" ref="O19:O27" si="1">IF(H19=0,0,(I19*$J$11+K19+L19+M19+J19+L$10))</f>
        <v>5300</v>
      </c>
      <c r="P19" s="588"/>
      <c r="Q19" s="104"/>
      <c r="R19" s="591" t="s">
        <v>576</v>
      </c>
      <c r="T19" s="2448">
        <v>1</v>
      </c>
      <c r="U19" s="2450">
        <v>1</v>
      </c>
    </row>
    <row r="20" spans="1:23" ht="15">
      <c r="A20" s="592" t="s">
        <v>697</v>
      </c>
      <c r="B20" s="580" t="str">
        <f>+Kostnader!B13</f>
        <v>Höstvete bröd</v>
      </c>
      <c r="C20" s="580">
        <f>+Kostnader!C13</f>
        <v>8000</v>
      </c>
      <c r="D20" s="580" t="str">
        <f>Kostnader!G13</f>
        <v xml:space="preserve"> </v>
      </c>
      <c r="E20" s="580">
        <v>1.3</v>
      </c>
      <c r="F20" s="2447">
        <v>0</v>
      </c>
      <c r="G20" s="2447">
        <v>0</v>
      </c>
      <c r="H20" s="524">
        <f>+klimat!I20</f>
        <v>8000</v>
      </c>
      <c r="I20" s="2447">
        <f>+klimat!M20</f>
        <v>0</v>
      </c>
      <c r="J20" s="584"/>
      <c r="K20" s="584"/>
      <c r="L20" s="584"/>
      <c r="M20" s="584"/>
      <c r="N20" s="2447">
        <f t="shared" si="0"/>
        <v>90700</v>
      </c>
      <c r="O20" s="2447">
        <f t="shared" si="1"/>
        <v>5300</v>
      </c>
      <c r="P20" s="588"/>
      <c r="Q20" s="104"/>
      <c r="R20" s="104"/>
    </row>
    <row r="21" spans="1:23" ht="15">
      <c r="A21" s="592"/>
      <c r="B21" s="580" t="str">
        <f>+Kostnader!B14</f>
        <v>Foderärt</v>
      </c>
      <c r="C21" s="580">
        <f>+Kostnader!C14</f>
        <v>4000</v>
      </c>
      <c r="D21" s="580" t="str">
        <f>Kostnader!G14</f>
        <v xml:space="preserve"> </v>
      </c>
      <c r="E21" s="580">
        <v>1.3</v>
      </c>
      <c r="F21" s="2447">
        <v>0</v>
      </c>
      <c r="G21" s="2447">
        <v>0</v>
      </c>
      <c r="H21" s="524">
        <f>+klimat!I21</f>
        <v>4000</v>
      </c>
      <c r="I21" s="2447">
        <f>+klimat!M21</f>
        <v>0</v>
      </c>
      <c r="J21" s="584"/>
      <c r="K21" s="584"/>
      <c r="L21" s="584"/>
      <c r="M21" s="584"/>
      <c r="N21" s="2447">
        <f t="shared" si="0"/>
        <v>42700</v>
      </c>
      <c r="O21" s="2447">
        <f t="shared" si="1"/>
        <v>5300</v>
      </c>
      <c r="P21" s="588"/>
      <c r="Q21" s="104"/>
      <c r="R21" s="104"/>
      <c r="S21" s="524"/>
    </row>
    <row r="22" spans="1:23" ht="15">
      <c r="A22" s="592"/>
      <c r="B22" s="580" t="s">
        <v>327</v>
      </c>
      <c r="C22" s="580" t="s">
        <v>327</v>
      </c>
      <c r="D22" s="580" t="str">
        <f>Kostnader!G15</f>
        <v xml:space="preserve"> </v>
      </c>
      <c r="E22" s="580">
        <v>0</v>
      </c>
      <c r="F22" s="2447">
        <v>0</v>
      </c>
      <c r="G22" s="2447">
        <v>0</v>
      </c>
      <c r="H22" s="524">
        <f>+klimat!I22</f>
        <v>8000</v>
      </c>
      <c r="I22" s="2447">
        <f>+klimat!M22</f>
        <v>0</v>
      </c>
      <c r="J22" s="584"/>
      <c r="K22" s="584"/>
      <c r="L22" s="584"/>
      <c r="M22" s="584"/>
      <c r="N22" s="2447">
        <f t="shared" si="0"/>
        <v>90700</v>
      </c>
      <c r="O22" s="2447">
        <f t="shared" si="1"/>
        <v>5300</v>
      </c>
      <c r="P22" s="588"/>
      <c r="Q22" s="104"/>
      <c r="R22" s="104"/>
      <c r="V22" s="20"/>
    </row>
    <row r="23" spans="1:23" ht="15">
      <c r="A23" s="592"/>
      <c r="B23" s="580" t="s">
        <v>327</v>
      </c>
      <c r="C23" s="580" t="s">
        <v>327</v>
      </c>
      <c r="D23" s="580" t="str">
        <f>Kostnader!G16</f>
        <v xml:space="preserve"> </v>
      </c>
      <c r="E23" s="580">
        <v>0</v>
      </c>
      <c r="F23" s="2447">
        <v>0</v>
      </c>
      <c r="G23" s="2447">
        <v>0</v>
      </c>
      <c r="H23" s="524">
        <f>+klimat!I23</f>
        <v>8000</v>
      </c>
      <c r="I23" s="2447">
        <f>+klimat!M23</f>
        <v>0</v>
      </c>
      <c r="J23" s="584"/>
      <c r="K23" s="584"/>
      <c r="L23" s="584"/>
      <c r="M23" s="584"/>
      <c r="N23" s="2447">
        <f t="shared" si="0"/>
        <v>90700</v>
      </c>
      <c r="O23" s="2447">
        <f t="shared" si="1"/>
        <v>5300</v>
      </c>
      <c r="P23" s="588"/>
      <c r="Q23" s="104"/>
      <c r="R23" s="104"/>
      <c r="V23" s="20"/>
    </row>
    <row r="24" spans="1:23" ht="15">
      <c r="A24" s="592"/>
      <c r="B24" s="580" t="s">
        <v>327</v>
      </c>
      <c r="C24" s="580" t="s">
        <v>327</v>
      </c>
      <c r="D24" s="580" t="str">
        <f>Kostnader!G17</f>
        <v xml:space="preserve"> </v>
      </c>
      <c r="E24" s="580">
        <v>0</v>
      </c>
      <c r="F24" s="2447">
        <v>0</v>
      </c>
      <c r="G24" s="2447">
        <v>0</v>
      </c>
      <c r="H24" s="524">
        <f>+klimat!I24</f>
        <v>5500</v>
      </c>
      <c r="I24" s="2447">
        <f>+klimat!M24</f>
        <v>0</v>
      </c>
      <c r="J24" s="584"/>
      <c r="K24" s="584"/>
      <c r="L24" s="584"/>
      <c r="M24" s="584"/>
      <c r="N24" s="2447">
        <f t="shared" si="0"/>
        <v>60700</v>
      </c>
      <c r="O24" s="2447">
        <f t="shared" si="1"/>
        <v>5300</v>
      </c>
      <c r="P24" s="588"/>
      <c r="Q24" s="104"/>
      <c r="R24" s="104"/>
      <c r="V24" s="20"/>
    </row>
    <row r="25" spans="1:23" ht="15">
      <c r="A25" s="592"/>
      <c r="B25" s="580" t="s">
        <v>327</v>
      </c>
      <c r="C25" s="580" t="s">
        <v>327</v>
      </c>
      <c r="D25" s="580" t="str">
        <f>Kostnader!G18</f>
        <v xml:space="preserve"> </v>
      </c>
      <c r="E25" s="580">
        <v>0</v>
      </c>
      <c r="F25" s="2447">
        <v>0</v>
      </c>
      <c r="G25" s="2447">
        <v>0</v>
      </c>
      <c r="H25" s="524">
        <f>+klimat!I25</f>
        <v>0</v>
      </c>
      <c r="I25" s="2447">
        <f>+klimat!M25</f>
        <v>0</v>
      </c>
      <c r="J25" s="584"/>
      <c r="K25" s="584"/>
      <c r="L25" s="584"/>
      <c r="M25" s="584"/>
      <c r="N25" s="2447">
        <f t="shared" si="0"/>
        <v>0</v>
      </c>
      <c r="O25" s="2447">
        <f t="shared" si="1"/>
        <v>0</v>
      </c>
      <c r="P25" s="588"/>
      <c r="Q25" s="104"/>
      <c r="R25" s="104"/>
      <c r="V25" s="20"/>
    </row>
    <row r="26" spans="1:23" ht="15">
      <c r="A26" s="592"/>
      <c r="B26" s="580" t="s">
        <v>327</v>
      </c>
      <c r="C26" s="580" t="s">
        <v>327</v>
      </c>
      <c r="D26" s="580" t="str">
        <f>Kostnader!G19</f>
        <v xml:space="preserve"> </v>
      </c>
      <c r="E26" s="580">
        <v>0</v>
      </c>
      <c r="F26" s="2447">
        <v>0</v>
      </c>
      <c r="G26" s="2447">
        <v>0</v>
      </c>
      <c r="H26" s="524">
        <f>+klimat!I26</f>
        <v>0</v>
      </c>
      <c r="I26" s="2447">
        <f>+klimat!M26</f>
        <v>0</v>
      </c>
      <c r="J26" s="584"/>
      <c r="K26" s="584"/>
      <c r="L26" s="584"/>
      <c r="M26" s="584"/>
      <c r="N26" s="2447">
        <f t="shared" si="0"/>
        <v>0</v>
      </c>
      <c r="O26" s="2447">
        <f t="shared" si="1"/>
        <v>0</v>
      </c>
      <c r="P26" s="588"/>
      <c r="Q26" s="104"/>
      <c r="R26" s="104"/>
      <c r="V26" s="20"/>
    </row>
    <row r="27" spans="1:23" ht="15">
      <c r="A27" s="592"/>
      <c r="B27" s="580" t="s">
        <v>327</v>
      </c>
      <c r="C27" s="580" t="s">
        <v>327</v>
      </c>
      <c r="D27" s="580" t="str">
        <f>Kostnader!G20</f>
        <v xml:space="preserve"> </v>
      </c>
      <c r="E27" s="580">
        <v>0</v>
      </c>
      <c r="F27" s="2447">
        <v>0</v>
      </c>
      <c r="G27" s="2447">
        <v>0</v>
      </c>
      <c r="H27" s="524">
        <f>+klimat!I27</f>
        <v>0</v>
      </c>
      <c r="I27" s="2447">
        <f>+klimat!M27</f>
        <v>0</v>
      </c>
      <c r="J27" s="584"/>
      <c r="K27" s="584"/>
      <c r="L27" s="584"/>
      <c r="M27" s="584"/>
      <c r="N27" s="2447">
        <f t="shared" si="0"/>
        <v>0</v>
      </c>
      <c r="O27" s="2447">
        <f t="shared" si="1"/>
        <v>0</v>
      </c>
      <c r="P27" s="588"/>
      <c r="Q27" s="104"/>
      <c r="R27" s="104"/>
      <c r="V27" s="20"/>
    </row>
    <row r="28" spans="1:23" ht="15">
      <c r="A28" s="592"/>
      <c r="B28" s="580"/>
      <c r="C28" s="580"/>
      <c r="D28" s="104"/>
      <c r="E28" s="104"/>
      <c r="F28" s="104"/>
      <c r="G28" s="524" t="s">
        <v>579</v>
      </c>
      <c r="H28" s="586">
        <f>IF(E18=0,0,H18)+IF(E19=0,0,H19)+IF(E20=0,0,H20)+IF(E21=0,0,H21)+IF(E22=0,0,H22)+IF(E23=0,0,H23)+IF(E24=0,0,H24)+IF(E25=0,0,H25)+IF(E26=0,0,H26)+IF(E27=0,0,H27)</f>
        <v>23500</v>
      </c>
      <c r="I28" s="572">
        <f>SUM(I18:I27)</f>
        <v>0</v>
      </c>
      <c r="J28" s="586"/>
      <c r="K28" s="572"/>
      <c r="M28" s="572" t="s">
        <v>153</v>
      </c>
      <c r="N28" s="586">
        <f>SUM(N18:N27)</f>
        <v>502900</v>
      </c>
      <c r="O28" s="586">
        <f>SUM(O18:O27)</f>
        <v>37100</v>
      </c>
      <c r="P28" s="572" t="s">
        <v>1485</v>
      </c>
      <c r="Q28" s="524"/>
      <c r="R28" s="104"/>
    </row>
    <row r="29" spans="1:23" ht="15">
      <c r="A29" s="592"/>
      <c r="B29" s="580"/>
      <c r="C29" s="580"/>
      <c r="D29" s="104"/>
      <c r="E29" s="104"/>
      <c r="F29" s="104"/>
      <c r="G29" s="524" t="s">
        <v>319</v>
      </c>
      <c r="H29" s="586">
        <f>H28/C17</f>
        <v>3357.1428571428573</v>
      </c>
      <c r="I29" s="524">
        <f>+I28/C17</f>
        <v>0</v>
      </c>
      <c r="J29" s="586"/>
      <c r="K29" s="524"/>
      <c r="M29" s="2451" t="s">
        <v>1480</v>
      </c>
      <c r="N29" s="2452">
        <f>+N28/C17-(1-U18)*I29*J11-(1-U19)*70*40</f>
        <v>71842.857142857145</v>
      </c>
      <c r="O29" s="2452">
        <f>+O28/C17-(1-U18)*I29*J11-(1-U19)*70*40</f>
        <v>5300</v>
      </c>
      <c r="P29" s="586">
        <f>+O29/3.6</f>
        <v>1472.2222222222222</v>
      </c>
      <c r="Q29" s="2453"/>
      <c r="R29" s="104"/>
      <c r="V29" s="164"/>
    </row>
    <row r="30" spans="1:23" ht="15">
      <c r="A30" s="592"/>
      <c r="B30" s="2454"/>
      <c r="C30" s="2455"/>
      <c r="D30" s="104"/>
      <c r="E30" s="104"/>
      <c r="F30" s="104"/>
      <c r="H30" s="586">
        <f>IF(E20=0,0,H20)+IF(E21=0,0,H21)+IF(E22=0,0,H22)+IF(E23=0,0,H23)+IF(E24=0,0,H24)+IF(E25=0,0,H25)+IF(E26=0,0,H26)+IF(E27=0,0,H27)+IF(E28=0,0,H28)+IF(E29=0,0,H29)</f>
        <v>12000</v>
      </c>
      <c r="I30" s="524">
        <v>3</v>
      </c>
      <c r="J30" s="524"/>
      <c r="K30" s="524"/>
      <c r="M30" s="2456" t="s">
        <v>1486</v>
      </c>
      <c r="N30" s="2440"/>
      <c r="O30" s="2438">
        <f>O29/H29</f>
        <v>1.5787234042553191</v>
      </c>
      <c r="P30" s="524"/>
      <c r="Q30" s="104"/>
    </row>
    <row r="31" spans="1:23" ht="15">
      <c r="A31" s="592"/>
      <c r="B31" s="2457"/>
      <c r="C31" s="2457"/>
      <c r="D31" s="104"/>
      <c r="E31" s="104"/>
      <c r="F31" s="104"/>
      <c r="H31" s="524"/>
      <c r="I31" s="524"/>
      <c r="J31" s="524"/>
      <c r="K31" s="524"/>
      <c r="M31" s="2451" t="s">
        <v>1487</v>
      </c>
      <c r="N31" s="2458">
        <f>+(N29+O29)/O29</f>
        <v>14.555256064690028</v>
      </c>
      <c r="O31" s="2459"/>
      <c r="P31" s="604"/>
      <c r="Q31" s="104"/>
      <c r="R31" s="104"/>
    </row>
    <row r="32" spans="1:23" ht="15">
      <c r="A32" s="592"/>
      <c r="B32" s="2457"/>
      <c r="C32" s="2457"/>
      <c r="D32" s="104"/>
      <c r="E32" s="104"/>
      <c r="F32" s="104"/>
      <c r="G32" s="524"/>
      <c r="H32" s="524"/>
      <c r="I32" s="524">
        <v>0</v>
      </c>
      <c r="J32" s="524"/>
      <c r="K32" s="524"/>
      <c r="M32" s="107"/>
      <c r="N32" s="606"/>
      <c r="O32" s="606"/>
      <c r="P32" s="604"/>
      <c r="Q32" s="104"/>
      <c r="R32" s="104"/>
    </row>
    <row r="33" spans="1:22" ht="15">
      <c r="A33" s="592" t="s">
        <v>698</v>
      </c>
      <c r="B33" s="605"/>
      <c r="C33" s="605"/>
      <c r="D33" s="104"/>
      <c r="E33" s="104"/>
      <c r="F33" s="104"/>
      <c r="G33" s="524"/>
      <c r="H33" s="524"/>
      <c r="I33" s="524"/>
      <c r="J33" s="524"/>
      <c r="K33" s="524"/>
      <c r="M33" s="524"/>
      <c r="N33" s="524"/>
      <c r="O33" s="606"/>
      <c r="P33" s="606"/>
      <c r="Q33" s="105"/>
      <c r="R33" s="607"/>
    </row>
    <row r="34" spans="1:22" ht="15">
      <c r="A34" s="592"/>
      <c r="B34" s="580"/>
      <c r="C34" s="580">
        <f>+Kostnader!E25</f>
        <v>7</v>
      </c>
      <c r="D34" s="608"/>
      <c r="E34" s="608"/>
      <c r="F34" s="104"/>
      <c r="G34" s="598"/>
      <c r="I34" s="524" t="s">
        <v>562</v>
      </c>
      <c r="J34" s="524"/>
      <c r="K34" s="524"/>
      <c r="N34" s="524"/>
      <c r="O34" s="524" t="s">
        <v>1481</v>
      </c>
      <c r="P34" s="588"/>
      <c r="Q34" s="104"/>
      <c r="R34" s="105" t="s">
        <v>1476</v>
      </c>
    </row>
    <row r="35" spans="1:22" ht="15">
      <c r="A35" s="592"/>
      <c r="B35" s="580" t="str">
        <f>+Kostnader!B31</f>
        <v xml:space="preserve">Höstraps </v>
      </c>
      <c r="C35" s="580">
        <f>+Kostnader!C31</f>
        <v>3500</v>
      </c>
      <c r="D35" s="580" t="str">
        <f>+Kostnader!G31</f>
        <v xml:space="preserve"> </v>
      </c>
      <c r="E35" s="580">
        <v>1.3</v>
      </c>
      <c r="F35" s="2447">
        <v>0</v>
      </c>
      <c r="G35" s="2447">
        <v>0</v>
      </c>
      <c r="H35" s="524">
        <f>+klimat!I37</f>
        <v>3500</v>
      </c>
      <c r="I35" s="2447">
        <f>+klimat!M37</f>
        <v>0</v>
      </c>
      <c r="J35" s="584"/>
      <c r="K35" s="584"/>
      <c r="L35" s="584"/>
      <c r="M35" s="584"/>
      <c r="N35" s="2447">
        <f>IF(H35=0,0,H35*$J$5-(I35*$J$11+$L$10+J35+K35+L35+M35))</f>
        <v>36700</v>
      </c>
      <c r="O35" s="2447">
        <f>IF(H35=0,0,(I35*$J$11+K35+L35+M35+J35+L$10))</f>
        <v>5300</v>
      </c>
      <c r="P35" s="588"/>
      <c r="Q35" s="104"/>
      <c r="R35" s="104" t="s">
        <v>1482</v>
      </c>
    </row>
    <row r="36" spans="1:22" ht="15">
      <c r="A36" s="592"/>
      <c r="B36" s="580" t="str">
        <f>+Kostnader!B32</f>
        <v>Höstvete bröd</v>
      </c>
      <c r="C36" s="580">
        <f>+Kostnader!C32</f>
        <v>8000</v>
      </c>
      <c r="D36" s="580" t="str">
        <f>+Kostnader!G32</f>
        <v xml:space="preserve"> </v>
      </c>
      <c r="E36" s="580">
        <v>1.5</v>
      </c>
      <c r="F36" s="2447">
        <v>0</v>
      </c>
      <c r="G36" s="2447">
        <v>0</v>
      </c>
      <c r="H36" s="524">
        <f>+klimat!I38</f>
        <v>8000</v>
      </c>
      <c r="I36" s="2447">
        <f>+klimat!M38</f>
        <v>0</v>
      </c>
      <c r="J36" s="590"/>
      <c r="K36" s="584"/>
      <c r="L36" s="590"/>
      <c r="M36" s="590"/>
      <c r="N36" s="2447">
        <f t="shared" ref="N36:N44" si="2">IF(H36=0,0,H36*$J$5-(I36*$J$11+$L$10+J36+K36+L36+M36))</f>
        <v>90700</v>
      </c>
      <c r="O36" s="2447">
        <f t="shared" ref="O36:O44" si="3">IF(H36=0,0,(I36*$J$11+K36+L36+M36+J36+L$10))</f>
        <v>5300</v>
      </c>
      <c r="P36" s="588"/>
      <c r="Q36" s="104"/>
      <c r="R36" s="104" t="s">
        <v>574</v>
      </c>
      <c r="T36" t="s">
        <v>1483</v>
      </c>
      <c r="U36" t="s">
        <v>1488</v>
      </c>
    </row>
    <row r="37" spans="1:22" ht="15">
      <c r="A37" s="592"/>
      <c r="B37" s="580" t="str">
        <f>+Kostnader!B33</f>
        <v>Höstvete bröd</v>
      </c>
      <c r="C37" s="580">
        <f>+Kostnader!C33</f>
        <v>8000</v>
      </c>
      <c r="D37" s="580" t="str">
        <f>+Kostnader!G33</f>
        <v xml:space="preserve"> </v>
      </c>
      <c r="E37" s="580">
        <v>1.3</v>
      </c>
      <c r="F37" s="2447">
        <v>0</v>
      </c>
      <c r="G37" s="2447">
        <v>0</v>
      </c>
      <c r="H37" s="524">
        <f>+klimat!I39</f>
        <v>8000</v>
      </c>
      <c r="I37" s="2447">
        <f>+klimat!M39</f>
        <v>0</v>
      </c>
      <c r="J37" s="584"/>
      <c r="K37" s="584"/>
      <c r="L37" s="584"/>
      <c r="M37" s="584"/>
      <c r="N37" s="2447">
        <f t="shared" si="2"/>
        <v>90700</v>
      </c>
      <c r="O37" s="2447">
        <f t="shared" si="3"/>
        <v>5300</v>
      </c>
      <c r="P37" s="588"/>
      <c r="Q37" s="104"/>
      <c r="R37" s="107" t="s">
        <v>575</v>
      </c>
      <c r="T37" s="2448">
        <v>1</v>
      </c>
      <c r="U37" s="2460">
        <v>1</v>
      </c>
    </row>
    <row r="38" spans="1:22" ht="15">
      <c r="A38" s="592"/>
      <c r="B38" s="580" t="str">
        <f>+Kostnader!B34</f>
        <v>Foderärt</v>
      </c>
      <c r="C38" s="580">
        <f>+Kostnader!C34</f>
        <v>4000</v>
      </c>
      <c r="D38" s="580" t="str">
        <f>+Kostnader!G34</f>
        <v xml:space="preserve"> </v>
      </c>
      <c r="E38" s="580">
        <v>1.3</v>
      </c>
      <c r="F38" s="2447">
        <v>0</v>
      </c>
      <c r="G38" s="2447">
        <v>0</v>
      </c>
      <c r="H38" s="524">
        <f>+klimat!I40</f>
        <v>4000</v>
      </c>
      <c r="I38" s="2447">
        <f>+klimat!M40</f>
        <v>0</v>
      </c>
      <c r="J38" s="584"/>
      <c r="K38" s="584"/>
      <c r="L38" s="584"/>
      <c r="M38" s="584"/>
      <c r="N38" s="2447">
        <f t="shared" si="2"/>
        <v>42700</v>
      </c>
      <c r="O38" s="2447">
        <f t="shared" si="3"/>
        <v>5300</v>
      </c>
      <c r="P38" s="588"/>
      <c r="Q38" s="104"/>
      <c r="R38" s="591" t="s">
        <v>576</v>
      </c>
      <c r="T38" s="2448">
        <v>1</v>
      </c>
      <c r="U38" s="2460">
        <v>1</v>
      </c>
    </row>
    <row r="39" spans="1:22" ht="15">
      <c r="A39" s="25"/>
      <c r="B39" s="580" t="s">
        <v>327</v>
      </c>
      <c r="C39" s="580" t="s">
        <v>327</v>
      </c>
      <c r="D39" s="580" t="str">
        <f>+Kostnader!G35</f>
        <v xml:space="preserve"> </v>
      </c>
      <c r="E39" s="580">
        <v>0</v>
      </c>
      <c r="F39" s="2447">
        <v>0</v>
      </c>
      <c r="G39" s="2447">
        <v>0</v>
      </c>
      <c r="H39" s="524">
        <f>+klimat!I41</f>
        <v>8000</v>
      </c>
      <c r="I39" s="2447">
        <f>+klimat!M41</f>
        <v>0</v>
      </c>
      <c r="J39" s="584"/>
      <c r="K39" s="584"/>
      <c r="L39" s="584"/>
      <c r="M39" s="584"/>
      <c r="N39" s="2447">
        <f t="shared" si="2"/>
        <v>90700</v>
      </c>
      <c r="O39" s="2447">
        <f t="shared" si="3"/>
        <v>5300</v>
      </c>
      <c r="P39" s="588"/>
      <c r="Q39" s="104"/>
      <c r="R39" s="612"/>
    </row>
    <row r="40" spans="1:22" ht="15">
      <c r="A40" s="25"/>
      <c r="B40" s="580" t="s">
        <v>327</v>
      </c>
      <c r="C40" s="580" t="s">
        <v>327</v>
      </c>
      <c r="D40" s="580" t="str">
        <f>+Kostnader!G36</f>
        <v xml:space="preserve"> </v>
      </c>
      <c r="E40" s="580">
        <v>0</v>
      </c>
      <c r="F40" s="2447">
        <v>0</v>
      </c>
      <c r="G40" s="2447">
        <v>0</v>
      </c>
      <c r="H40" s="524">
        <f>+klimat!I42</f>
        <v>8000</v>
      </c>
      <c r="I40" s="2447">
        <f>+klimat!M42</f>
        <v>0</v>
      </c>
      <c r="J40" s="584"/>
      <c r="K40" s="584"/>
      <c r="L40" s="584"/>
      <c r="M40" s="584"/>
      <c r="N40" s="2447">
        <f t="shared" si="2"/>
        <v>90700</v>
      </c>
      <c r="O40" s="2447">
        <f t="shared" si="3"/>
        <v>5300</v>
      </c>
      <c r="P40" s="588">
        <f>SUM(O35:O44)</f>
        <v>37100</v>
      </c>
      <c r="Q40" s="104"/>
      <c r="R40" s="613"/>
      <c r="S40" s="598"/>
      <c r="U40" s="598"/>
      <c r="V40" s="598"/>
    </row>
    <row r="41" spans="1:22" ht="15">
      <c r="A41" s="25"/>
      <c r="B41" s="580" t="s">
        <v>327</v>
      </c>
      <c r="C41" s="580" t="s">
        <v>327</v>
      </c>
      <c r="D41" s="580" t="str">
        <f>+Kostnader!G37</f>
        <v xml:space="preserve"> </v>
      </c>
      <c r="E41" s="580">
        <v>0</v>
      </c>
      <c r="F41" s="2447">
        <v>0</v>
      </c>
      <c r="G41" s="2447">
        <v>0</v>
      </c>
      <c r="H41" s="524">
        <f>+klimat!I43</f>
        <v>5500</v>
      </c>
      <c r="I41" s="2447">
        <f>+klimat!M43</f>
        <v>0</v>
      </c>
      <c r="J41" s="584"/>
      <c r="K41" s="584"/>
      <c r="L41" s="584"/>
      <c r="M41" s="584"/>
      <c r="N41" s="2447">
        <f t="shared" si="2"/>
        <v>60700</v>
      </c>
      <c r="O41" s="2447">
        <f t="shared" si="3"/>
        <v>5300</v>
      </c>
      <c r="P41" s="588"/>
      <c r="Q41" s="104"/>
      <c r="R41" s="598"/>
      <c r="S41" s="598"/>
      <c r="T41" s="598"/>
      <c r="U41" s="598"/>
      <c r="V41" s="598"/>
    </row>
    <row r="42" spans="1:22" ht="15">
      <c r="A42" s="25"/>
      <c r="B42" s="580" t="s">
        <v>327</v>
      </c>
      <c r="C42" s="580" t="s">
        <v>327</v>
      </c>
      <c r="D42" s="580" t="str">
        <f>+Kostnader!G38</f>
        <v xml:space="preserve"> </v>
      </c>
      <c r="E42" s="580">
        <v>0</v>
      </c>
      <c r="F42" s="2447">
        <v>0</v>
      </c>
      <c r="G42" s="2447">
        <v>0</v>
      </c>
      <c r="H42" s="524">
        <f>+klimat!I44</f>
        <v>0</v>
      </c>
      <c r="I42" s="2447">
        <f>+klimat!M44</f>
        <v>0</v>
      </c>
      <c r="J42" s="584"/>
      <c r="K42" s="584"/>
      <c r="L42" s="584"/>
      <c r="M42" s="584"/>
      <c r="N42" s="2447">
        <f t="shared" si="2"/>
        <v>0</v>
      </c>
      <c r="O42" s="2447">
        <f t="shared" si="3"/>
        <v>0</v>
      </c>
      <c r="P42" s="588"/>
      <c r="Q42" s="104"/>
      <c r="R42" s="598"/>
      <c r="S42" s="598"/>
      <c r="T42" s="598"/>
      <c r="U42" s="598"/>
      <c r="V42" s="104"/>
    </row>
    <row r="43" spans="1:22" ht="15">
      <c r="A43" s="25"/>
      <c r="B43" s="580" t="s">
        <v>327</v>
      </c>
      <c r="C43" s="580" t="s">
        <v>327</v>
      </c>
      <c r="D43" s="580" t="str">
        <f>+Kostnader!G39</f>
        <v xml:space="preserve"> </v>
      </c>
      <c r="E43" s="580">
        <v>0</v>
      </c>
      <c r="F43" s="2447">
        <v>0</v>
      </c>
      <c r="G43" s="2447">
        <v>0</v>
      </c>
      <c r="H43" s="524">
        <f>+klimat!I45</f>
        <v>0</v>
      </c>
      <c r="I43" s="2447">
        <f>+klimat!M45</f>
        <v>0</v>
      </c>
      <c r="J43" s="584"/>
      <c r="K43" s="584"/>
      <c r="L43" s="584"/>
      <c r="M43" s="584"/>
      <c r="N43" s="2447">
        <f t="shared" si="2"/>
        <v>0</v>
      </c>
      <c r="O43" s="2447">
        <f t="shared" si="3"/>
        <v>0</v>
      </c>
      <c r="P43" s="588"/>
      <c r="Q43" s="104"/>
      <c r="R43" s="598"/>
      <c r="S43" s="598"/>
      <c r="T43" s="598"/>
      <c r="U43" s="598"/>
      <c r="V43" s="598"/>
    </row>
    <row r="44" spans="1:22" ht="15">
      <c r="A44" s="25"/>
      <c r="B44" s="580" t="s">
        <v>327</v>
      </c>
      <c r="C44" s="580" t="s">
        <v>327</v>
      </c>
      <c r="D44" s="580" t="str">
        <f>+Kostnader!G40</f>
        <v xml:space="preserve"> </v>
      </c>
      <c r="E44" s="580">
        <v>0</v>
      </c>
      <c r="F44" s="2447">
        <v>0</v>
      </c>
      <c r="G44" s="2447">
        <v>0</v>
      </c>
      <c r="H44" s="524">
        <f>+klimat!I46</f>
        <v>0</v>
      </c>
      <c r="I44" s="2447">
        <f>+klimat!M46</f>
        <v>0</v>
      </c>
      <c r="J44" s="584"/>
      <c r="K44" s="584"/>
      <c r="L44" s="584"/>
      <c r="M44" s="584"/>
      <c r="N44" s="2447">
        <f t="shared" si="2"/>
        <v>0</v>
      </c>
      <c r="O44" s="2447">
        <f t="shared" si="3"/>
        <v>0</v>
      </c>
      <c r="P44" s="588"/>
      <c r="Q44" s="104"/>
      <c r="R44" s="598"/>
      <c r="S44" s="598"/>
      <c r="T44" s="598"/>
      <c r="U44" s="598"/>
      <c r="V44" s="598"/>
    </row>
    <row r="45" spans="1:22" ht="15">
      <c r="A45" s="25"/>
      <c r="B45" s="580"/>
      <c r="C45" s="580"/>
      <c r="D45" s="580"/>
      <c r="E45" s="580"/>
      <c r="F45" s="104"/>
      <c r="G45" s="524" t="s">
        <v>579</v>
      </c>
      <c r="H45" s="586">
        <f>IF(E35=0,0,H35)+IF(E36=0,0,H36)+IF(E37=0,0,H37)+IF(E38=0,0,H38)+IF(E39=0,0,H39)+IF(E40=0,0,H40)+IF(E41=0,0,H41)+IF(E42=0,0,H42)+IF(E43=0,0,H43)+IF(E44=0,0,H44)</f>
        <v>23500</v>
      </c>
      <c r="I45" s="586">
        <f>SUM(I35:I43)</f>
        <v>0</v>
      </c>
      <c r="J45" s="586"/>
      <c r="K45" s="524"/>
      <c r="L45" s="586"/>
      <c r="M45" s="572" t="s">
        <v>153</v>
      </c>
      <c r="N45" s="586">
        <f>SUM(N35:N44)</f>
        <v>502900</v>
      </c>
      <c r="O45" s="586">
        <f>SUM(O35:O44)-(I45-I28)*$J$11</f>
        <v>37100</v>
      </c>
      <c r="P45" s="572" t="s">
        <v>1485</v>
      </c>
      <c r="Q45" s="524"/>
      <c r="R45" s="104"/>
    </row>
    <row r="46" spans="1:22">
      <c r="A46" s="25"/>
      <c r="B46" s="104"/>
      <c r="C46" s="104"/>
      <c r="D46" s="104"/>
      <c r="E46" s="104"/>
      <c r="F46" s="104"/>
      <c r="G46" s="524" t="s">
        <v>319</v>
      </c>
      <c r="H46" s="586">
        <f>H45/C34</f>
        <v>3357.1428571428573</v>
      </c>
      <c r="I46" s="586">
        <v>135</v>
      </c>
      <c r="J46" s="586">
        <f>+J45/C34</f>
        <v>0</v>
      </c>
      <c r="K46" s="2451"/>
      <c r="L46" s="2461"/>
      <c r="M46" s="2451" t="s">
        <v>1480</v>
      </c>
      <c r="N46" s="2452">
        <f>+N45/C34-(1-U37)*I46*J11-(1-U38)*70*40</f>
        <v>71842.857142857145</v>
      </c>
      <c r="O46" s="2452">
        <f>+O45/C34-(1-U37)*I46*J11-(1-U38)*70*40-(I29-I46)*J$11</f>
        <v>10025</v>
      </c>
      <c r="P46" s="586">
        <v>2597.2222222222222</v>
      </c>
      <c r="Q46" s="104"/>
      <c r="R46" s="608"/>
      <c r="U46" s="100"/>
      <c r="V46" s="100"/>
    </row>
    <row r="47" spans="1:22">
      <c r="A47" s="25"/>
      <c r="B47" s="104"/>
      <c r="C47" s="104"/>
      <c r="D47" s="104"/>
      <c r="E47" s="104"/>
      <c r="F47" s="104"/>
      <c r="G47" s="524"/>
      <c r="H47" s="524"/>
      <c r="I47" s="524"/>
      <c r="J47" s="524"/>
      <c r="K47" s="2451"/>
      <c r="L47" s="2451"/>
      <c r="M47" s="2456" t="s">
        <v>1486</v>
      </c>
      <c r="N47" s="2440"/>
      <c r="O47" s="2438">
        <f>O46/H46</f>
        <v>2.9861702127659573</v>
      </c>
      <c r="P47" s="524"/>
      <c r="Q47" s="104"/>
      <c r="R47" s="608"/>
    </row>
    <row r="48" spans="1:22">
      <c r="A48" s="1051"/>
      <c r="B48" s="104"/>
      <c r="C48" s="104"/>
      <c r="D48" s="104"/>
      <c r="E48" s="104"/>
      <c r="I48" s="20"/>
      <c r="J48" s="524"/>
      <c r="K48" s="2451"/>
      <c r="L48" s="2451"/>
      <c r="M48" s="2451" t="s">
        <v>1487</v>
      </c>
      <c r="N48" s="2458">
        <f>+(N46+O46)/O46</f>
        <v>8.1663697898111867</v>
      </c>
      <c r="O48" s="2459"/>
      <c r="P48" s="604"/>
      <c r="Q48" s="104"/>
      <c r="R48" s="104"/>
    </row>
    <row r="49" spans="1:22">
      <c r="A49" s="1051"/>
      <c r="B49" s="104"/>
      <c r="C49" s="104"/>
      <c r="D49" s="104"/>
      <c r="E49" s="104"/>
      <c r="J49" s="524"/>
      <c r="K49" s="2451"/>
      <c r="L49" s="2451"/>
      <c r="M49" s="2451"/>
      <c r="N49" s="2459"/>
      <c r="O49" s="2459"/>
      <c r="P49" s="604"/>
      <c r="Q49" s="104"/>
      <c r="R49" s="104"/>
    </row>
    <row r="50" spans="1:22">
      <c r="A50" s="1051"/>
      <c r="B50" s="104"/>
      <c r="C50" s="104"/>
      <c r="D50" s="104"/>
      <c r="E50" s="104"/>
      <c r="H50" s="164" t="s">
        <v>1489</v>
      </c>
      <c r="I50" s="164"/>
      <c r="J50" s="107"/>
      <c r="K50" s="2451"/>
      <c r="L50" s="2451"/>
      <c r="M50" s="2462" t="s">
        <v>133</v>
      </c>
      <c r="N50" s="2462" t="s">
        <v>147</v>
      </c>
      <c r="O50" s="2462"/>
      <c r="P50" s="97"/>
      <c r="Q50" s="104"/>
      <c r="R50" s="104"/>
      <c r="S50" s="104"/>
      <c r="T50" s="104"/>
      <c r="U50" s="104"/>
      <c r="V50" s="104"/>
    </row>
    <row r="51" spans="1:22" ht="15.75">
      <c r="A51" s="109"/>
      <c r="B51" s="108"/>
      <c r="C51" s="108"/>
      <c r="D51" s="108"/>
      <c r="E51" s="108"/>
      <c r="J51" s="524"/>
      <c r="K51" s="2451" t="s">
        <v>1490</v>
      </c>
      <c r="L51" s="2463"/>
      <c r="M51" s="2459">
        <f>+klimat!Q75</f>
        <v>0</v>
      </c>
      <c r="N51" s="2459">
        <f>+klimat!R75</f>
        <v>0</v>
      </c>
      <c r="O51" s="2459" t="s">
        <v>1491</v>
      </c>
      <c r="P51" s="606">
        <f>+klimat!AG17/C34</f>
        <v>0</v>
      </c>
      <c r="Q51" s="2464">
        <f>+P51/3.6</f>
        <v>0</v>
      </c>
      <c r="R51" s="2465"/>
      <c r="S51" s="2433"/>
    </row>
    <row r="52" spans="1:22">
      <c r="A52" s="109"/>
      <c r="B52" s="164"/>
      <c r="C52" s="108"/>
      <c r="D52" s="108"/>
      <c r="E52" s="108"/>
      <c r="J52" s="598"/>
      <c r="K52" s="2463" t="s">
        <v>1492</v>
      </c>
      <c r="L52" s="2463"/>
      <c r="M52" s="2466">
        <f>+N29+M51</f>
        <v>71842.857142857145</v>
      </c>
      <c r="N52" s="2466">
        <f>+N46+N51</f>
        <v>71842.857142857145</v>
      </c>
      <c r="O52" s="2463"/>
      <c r="P52" s="626"/>
      <c r="Q52" s="2432"/>
      <c r="R52" s="108"/>
      <c r="S52" s="2462"/>
      <c r="T52" s="2462"/>
      <c r="U52" s="2434"/>
    </row>
    <row r="53" spans="1:22">
      <c r="A53" s="109"/>
      <c r="B53" s="109"/>
      <c r="C53" s="108"/>
      <c r="D53" s="108"/>
      <c r="E53" s="108"/>
      <c r="J53" s="598"/>
      <c r="K53" s="2463" t="s">
        <v>1487</v>
      </c>
      <c r="L53" s="2440"/>
      <c r="M53" s="2458">
        <f>+(M52+O29)/O29</f>
        <v>14.555256064690028</v>
      </c>
      <c r="N53" s="2458">
        <f>+(N52+O46)/O46</f>
        <v>8.1663697898111867</v>
      </c>
      <c r="O53" s="2459"/>
      <c r="P53" s="586"/>
      <c r="Q53" s="104"/>
      <c r="R53" s="1581"/>
      <c r="S53" s="2467"/>
      <c r="T53" s="2467"/>
      <c r="U53" s="2438"/>
      <c r="V53" s="2438"/>
    </row>
    <row r="54" spans="1:22">
      <c r="A54" s="109"/>
      <c r="B54" s="109"/>
      <c r="C54" s="108"/>
      <c r="D54" s="2439"/>
      <c r="E54" s="108"/>
      <c r="J54" s="598"/>
      <c r="K54" s="598"/>
      <c r="L54" s="164"/>
      <c r="M54" s="524"/>
      <c r="N54" s="598"/>
      <c r="O54" s="614"/>
      <c r="P54" s="614"/>
      <c r="Q54" s="108"/>
      <c r="R54" s="2432"/>
      <c r="S54" s="2462"/>
      <c r="T54" s="2462"/>
      <c r="U54" s="2440"/>
      <c r="V54" s="2440"/>
    </row>
    <row r="55" spans="1:22">
      <c r="H55" t="s">
        <v>1493</v>
      </c>
      <c r="J55" s="91">
        <v>0.30000000000000004</v>
      </c>
      <c r="K55" t="s">
        <v>1494</v>
      </c>
      <c r="M55" s="104">
        <f>+M51/3.6*J55</f>
        <v>0</v>
      </c>
      <c r="N55" s="2464">
        <f>+N51/3.6*J55</f>
        <v>0</v>
      </c>
      <c r="P55" s="97"/>
      <c r="Q55" s="97"/>
      <c r="S55" s="2462"/>
      <c r="T55" s="2462"/>
      <c r="U55" s="2440"/>
      <c r="V55" s="2440"/>
    </row>
  </sheetData>
  <mergeCells count="3">
    <mergeCell ref="O14:P14"/>
    <mergeCell ref="V17:W17"/>
    <mergeCell ref="V18:W18"/>
  </mergeCells>
  <pageMargins left="0.7" right="0.7" top="0.75" bottom="0.75" header="0.3" footer="0.3"/>
  <legacy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7">
    <tabColor rgb="FFFFC000"/>
  </sheetPr>
  <dimension ref="A1:AO204"/>
  <sheetViews>
    <sheetView showZeros="0" topLeftCell="A4" zoomScale="90" zoomScaleNormal="90" workbookViewId="0">
      <selection activeCell="J14" sqref="J14"/>
    </sheetView>
  </sheetViews>
  <sheetFormatPr defaultRowHeight="12.75"/>
  <cols>
    <col min="1" max="1" width="6.42578125" customWidth="1"/>
    <col min="2" max="2" width="14.5703125" customWidth="1"/>
    <col min="3" max="3" width="15" bestFit="1" customWidth="1"/>
    <col min="4" max="4" width="1.42578125" customWidth="1"/>
    <col min="5" max="5" width="3.85546875" customWidth="1"/>
    <col min="6" max="6" width="5.85546875" customWidth="1"/>
    <col min="7" max="7" width="10.28515625" customWidth="1"/>
    <col min="8" max="8" width="11.5703125" customWidth="1"/>
    <col min="9" max="9" width="11" customWidth="1"/>
    <col min="10" max="10" width="10.42578125" customWidth="1"/>
    <col min="11" max="11" width="1" customWidth="1"/>
    <col min="12" max="12" width="10.5703125" customWidth="1"/>
    <col min="13" max="13" width="10.140625" customWidth="1"/>
    <col min="14" max="14" width="10" customWidth="1"/>
    <col min="15" max="15" width="1" customWidth="1"/>
    <col min="17" max="17" width="11.42578125" customWidth="1"/>
    <col min="18" max="18" width="1.28515625" customWidth="1"/>
    <col min="19" max="19" width="9.28515625" customWidth="1"/>
    <col min="20" max="20" width="10.140625" customWidth="1"/>
    <col min="22" max="22" width="10.42578125" customWidth="1"/>
    <col min="23" max="23" width="1.7109375" customWidth="1"/>
    <col min="24" max="24" width="14.140625" customWidth="1"/>
    <col min="26" max="26" width="9.85546875" customWidth="1"/>
    <col min="29" max="29" width="12.85546875" customWidth="1"/>
    <col min="30" max="30" width="14.28515625" customWidth="1"/>
    <col min="31" max="32" width="10.7109375" customWidth="1"/>
    <col min="33" max="33" width="11.5703125" customWidth="1"/>
    <col min="34" max="34" width="14.140625" customWidth="1"/>
    <col min="35" max="35" width="13.140625" customWidth="1"/>
  </cols>
  <sheetData>
    <row r="1" spans="1:41" ht="33.75" customHeight="1">
      <c r="A1" s="75" t="s">
        <v>267</v>
      </c>
      <c r="B1" s="75"/>
      <c r="C1" s="75"/>
      <c r="D1" s="75"/>
      <c r="E1" s="75"/>
      <c r="F1" s="75"/>
      <c r="G1" s="2"/>
      <c r="H1" s="486"/>
      <c r="I1" s="2"/>
      <c r="J1" s="2"/>
      <c r="K1" s="2"/>
      <c r="L1" s="2"/>
      <c r="M1" s="76" t="s">
        <v>268</v>
      </c>
      <c r="N1" s="6" t="s">
        <v>116</v>
      </c>
      <c r="O1" s="6"/>
      <c r="P1" s="2"/>
      <c r="Q1" s="2"/>
      <c r="R1" s="2"/>
      <c r="S1" s="2"/>
      <c r="T1" s="2"/>
      <c r="U1" s="2"/>
      <c r="V1" s="2"/>
      <c r="W1" s="2"/>
      <c r="X1" s="2"/>
      <c r="Y1" s="2"/>
      <c r="Z1" s="2"/>
      <c r="AA1" s="2"/>
      <c r="AB1" s="1180"/>
      <c r="AC1" s="1196" t="s">
        <v>108</v>
      </c>
      <c r="AD1" s="1175"/>
      <c r="AE1" s="1175"/>
      <c r="AF1" s="1175"/>
      <c r="AG1" s="1175"/>
      <c r="AH1" s="1175"/>
      <c r="AI1" s="1175"/>
      <c r="AJ1" s="1175"/>
      <c r="AK1" s="1181"/>
      <c r="AL1" s="1181"/>
      <c r="AM1" s="1182"/>
      <c r="AN1" s="2"/>
      <c r="AO1" s="2"/>
    </row>
    <row r="2" spans="1:41" ht="27.75" customHeight="1">
      <c r="A2" s="710"/>
      <c r="B2" s="1419"/>
      <c r="C2" s="1415"/>
      <c r="D2" s="1415"/>
      <c r="E2" s="1415"/>
      <c r="F2" s="1415"/>
      <c r="G2" s="710"/>
      <c r="H2" s="486"/>
      <c r="I2" s="518"/>
      <c r="J2" s="518"/>
      <c r="K2" s="518"/>
      <c r="L2" s="518"/>
      <c r="M2" s="1416"/>
      <c r="N2" s="519"/>
      <c r="O2" s="519"/>
      <c r="P2" s="518"/>
      <c r="Q2" s="518"/>
      <c r="R2" s="518"/>
      <c r="S2" s="518"/>
      <c r="T2" s="518"/>
      <c r="U2" s="518"/>
      <c r="V2" s="518"/>
      <c r="W2" s="518"/>
      <c r="X2" s="518"/>
      <c r="Y2" s="518"/>
      <c r="Z2" s="518"/>
      <c r="AA2" s="415"/>
      <c r="AB2" s="1183"/>
      <c r="AC2" s="1126"/>
      <c r="AD2" s="1126"/>
      <c r="AE2" s="1126"/>
      <c r="AF2" s="1126"/>
      <c r="AG2" s="1126"/>
      <c r="AH2" s="1126"/>
      <c r="AI2" s="1126"/>
      <c r="AJ2" s="1126"/>
      <c r="AK2" s="1175"/>
      <c r="AL2" s="1175"/>
      <c r="AM2" s="1184"/>
      <c r="AN2" s="2"/>
      <c r="AO2" s="2"/>
    </row>
    <row r="3" spans="1:41" ht="18" customHeight="1" thickBot="1">
      <c r="A3" s="75"/>
      <c r="B3" s="75"/>
      <c r="C3" s="75"/>
      <c r="D3" s="75"/>
      <c r="E3" s="75"/>
      <c r="F3" s="75"/>
      <c r="G3" s="2"/>
      <c r="H3" s="486"/>
      <c r="I3" s="2"/>
      <c r="J3" s="2"/>
      <c r="K3" s="2"/>
      <c r="L3" s="2"/>
      <c r="M3" s="76"/>
      <c r="N3" s="6"/>
      <c r="O3" s="6"/>
      <c r="P3" s="2"/>
      <c r="Q3" s="2"/>
      <c r="R3" s="2"/>
      <c r="S3" s="2"/>
      <c r="T3" s="2"/>
      <c r="U3" s="486"/>
      <c r="V3" s="486"/>
      <c r="W3" s="2"/>
      <c r="X3" s="2"/>
      <c r="Y3" s="2"/>
      <c r="Z3" s="2"/>
      <c r="AA3" s="2"/>
      <c r="AB3" s="1125"/>
      <c r="AC3" s="1176" t="s">
        <v>270</v>
      </c>
      <c r="AD3" s="1177"/>
      <c r="AE3" s="1114"/>
      <c r="AF3" s="1178"/>
      <c r="AG3" s="1114"/>
      <c r="AH3" s="1126"/>
      <c r="AI3" s="1185" t="s">
        <v>111</v>
      </c>
      <c r="AJ3" s="1126"/>
      <c r="AK3" s="1126"/>
      <c r="AL3" s="1126"/>
      <c r="AM3" s="1184"/>
      <c r="AN3" s="2"/>
      <c r="AO3" s="2"/>
    </row>
    <row r="4" spans="1:41" ht="20.25" customHeight="1">
      <c r="A4" s="71" t="s">
        <v>114</v>
      </c>
      <c r="B4" s="75"/>
      <c r="C4" s="75"/>
      <c r="D4" s="75"/>
      <c r="E4" s="75"/>
      <c r="F4" s="75"/>
      <c r="G4" s="263"/>
      <c r="H4" s="486"/>
      <c r="I4" s="263"/>
      <c r="J4" s="2"/>
      <c r="K4" s="2"/>
      <c r="L4" s="2"/>
      <c r="M4" s="263"/>
      <c r="N4" s="6"/>
      <c r="O4" s="6"/>
      <c r="P4" s="2"/>
      <c r="Q4" s="2"/>
      <c r="R4" s="2"/>
      <c r="S4" s="2"/>
      <c r="T4" s="2"/>
      <c r="W4" s="2"/>
      <c r="X4" s="263"/>
      <c r="Y4" s="1103" t="s">
        <v>36</v>
      </c>
      <c r="Z4" s="696" t="s">
        <v>314</v>
      </c>
      <c r="AB4" s="1122"/>
      <c r="AC4" s="1119"/>
      <c r="AD4" s="1120"/>
      <c r="AE4" s="1155" t="s">
        <v>109</v>
      </c>
      <c r="AF4" s="1156"/>
      <c r="AG4" s="1157" t="s">
        <v>271</v>
      </c>
      <c r="AH4" s="1126"/>
      <c r="AI4" s="1158"/>
      <c r="AJ4" s="1240" t="s">
        <v>110</v>
      </c>
      <c r="AK4" s="1126"/>
      <c r="AL4" s="1126"/>
      <c r="AM4" s="1184"/>
      <c r="AN4" s="2"/>
      <c r="AO4" s="2"/>
    </row>
    <row r="5" spans="1:41" ht="18" customHeight="1">
      <c r="A5" s="392" t="s">
        <v>279</v>
      </c>
      <c r="B5" s="393"/>
      <c r="C5" s="427" t="s">
        <v>98</v>
      </c>
      <c r="D5" s="371" t="s">
        <v>30</v>
      </c>
      <c r="E5" s="371"/>
      <c r="F5" s="371"/>
      <c r="G5" s="182"/>
      <c r="H5" s="486"/>
      <c r="I5" s="263"/>
      <c r="J5" s="263"/>
      <c r="K5" s="263"/>
      <c r="L5" s="263"/>
      <c r="M5" s="263"/>
      <c r="N5" s="263"/>
      <c r="O5" s="6"/>
      <c r="P5" s="2"/>
      <c r="Q5" s="2"/>
      <c r="R5" s="2"/>
      <c r="S5" s="2"/>
      <c r="T5" s="2"/>
      <c r="W5" s="2"/>
      <c r="X5" s="263"/>
      <c r="Y5" s="694" t="s">
        <v>786</v>
      </c>
      <c r="Z5" s="484">
        <v>0</v>
      </c>
      <c r="AA5" s="263"/>
      <c r="AB5" s="1122"/>
      <c r="AC5" s="1179"/>
      <c r="AD5" s="1113"/>
      <c r="AE5" s="1159" t="s">
        <v>276</v>
      </c>
      <c r="AF5" s="1159" t="s">
        <v>277</v>
      </c>
      <c r="AG5" s="1160" t="s">
        <v>278</v>
      </c>
      <c r="AH5" s="1126"/>
      <c r="AI5" s="1161" t="s">
        <v>77</v>
      </c>
      <c r="AJ5" s="1162">
        <f>IF(C19=0," ",+AD107*10*Huvudinmatning!S$8)</f>
        <v>0</v>
      </c>
      <c r="AK5" s="1126"/>
      <c r="AL5" s="1126"/>
      <c r="AM5" s="1184"/>
      <c r="AN5" s="2"/>
      <c r="AO5" s="2"/>
    </row>
    <row r="6" spans="1:41" ht="14.25" customHeight="1">
      <c r="A6" s="394" t="s">
        <v>284</v>
      </c>
      <c r="B6" s="395"/>
      <c r="C6" s="406" t="s">
        <v>285</v>
      </c>
      <c r="D6" s="407"/>
      <c r="E6" s="719"/>
      <c r="F6" s="719"/>
      <c r="G6" s="408" t="s">
        <v>286</v>
      </c>
      <c r="H6" s="486"/>
      <c r="I6" s="263"/>
      <c r="J6" s="263"/>
      <c r="K6" s="263"/>
      <c r="L6" s="263"/>
      <c r="M6" s="263"/>
      <c r="N6" s="263"/>
      <c r="O6" s="6"/>
      <c r="P6" s="2"/>
      <c r="Q6" s="2"/>
      <c r="R6" s="2"/>
      <c r="S6" s="2"/>
      <c r="T6" s="2"/>
      <c r="W6" s="2"/>
      <c r="X6" s="263"/>
      <c r="Y6" s="694" t="s">
        <v>787</v>
      </c>
      <c r="Z6" s="484">
        <v>2</v>
      </c>
      <c r="AA6" s="263"/>
      <c r="AB6" s="1122"/>
      <c r="AC6" s="1163" t="s">
        <v>133</v>
      </c>
      <c r="AD6" s="1164"/>
      <c r="AE6" s="1165">
        <f>SUM(X25:X34)</f>
        <v>244.95348837209337</v>
      </c>
      <c r="AF6" s="1165">
        <f>IF(C19=0," ",AE6/C19)</f>
        <v>34.993355481727626</v>
      </c>
      <c r="AG6" s="1166">
        <f>IF(C19=0," ",C7-AE6/Q35*C$7)</f>
        <v>1.7638095238095237</v>
      </c>
      <c r="AH6" s="1126"/>
      <c r="AI6" s="1161" t="s">
        <v>323</v>
      </c>
      <c r="AJ6" s="1162">
        <f>IF(C19=0," ",+AD112*10*Huvudinmatning!S$8)</f>
        <v>0</v>
      </c>
      <c r="AK6" s="1126"/>
      <c r="AL6" s="1126"/>
      <c r="AM6" s="1184"/>
      <c r="AN6" s="2"/>
      <c r="AO6" s="2"/>
    </row>
    <row r="7" spans="1:41" ht="15.75" thickBot="1">
      <c r="A7" s="396">
        <v>3000</v>
      </c>
      <c r="B7" s="397"/>
      <c r="C7" s="2042">
        <f>Grunddata!C36/Mullberäkning!C10</f>
        <v>1.6860465116279069</v>
      </c>
      <c r="D7" s="1021"/>
      <c r="E7" s="1020"/>
      <c r="F7" s="1020"/>
      <c r="G7" s="1142">
        <v>1.5</v>
      </c>
      <c r="H7" s="486"/>
      <c r="I7" s="263"/>
      <c r="J7" s="263"/>
      <c r="K7" s="263"/>
      <c r="L7" s="263"/>
      <c r="M7" s="263"/>
      <c r="N7" s="263"/>
      <c r="O7" s="263"/>
      <c r="P7" s="263"/>
      <c r="Q7" s="263"/>
      <c r="R7" s="263"/>
      <c r="S7" s="263"/>
      <c r="T7" s="263"/>
      <c r="W7" s="2"/>
      <c r="X7" s="263"/>
      <c r="Y7" s="694" t="s">
        <v>825</v>
      </c>
      <c r="Z7" s="484">
        <v>5</v>
      </c>
      <c r="AA7" s="263"/>
      <c r="AB7" s="1122"/>
      <c r="AC7" s="1167" t="s">
        <v>147</v>
      </c>
      <c r="AD7" s="1168"/>
      <c r="AE7" s="1169">
        <f>SUM(X48:X57)</f>
        <v>244.95348837209337</v>
      </c>
      <c r="AF7" s="1169">
        <f>IF(C42=0," ",AE7/C42)</f>
        <v>34.993355481727626</v>
      </c>
      <c r="AG7" s="1170">
        <f>IF(C42=0," ",C7-AE7/Q58*C$7)</f>
        <v>1.7638095238095237</v>
      </c>
      <c r="AH7" s="1126"/>
      <c r="AI7" s="1161" t="s">
        <v>78</v>
      </c>
      <c r="AJ7" s="1162">
        <f>IF(C19=0," ",+AD132*10*Huvudinmatning!S$8)</f>
        <v>0</v>
      </c>
      <c r="AK7" s="1126"/>
      <c r="AL7" s="1126"/>
      <c r="AM7" s="1184"/>
      <c r="AN7" s="2"/>
      <c r="AO7" s="2"/>
    </row>
    <row r="8" spans="1:41" ht="15.75" thickBot="1">
      <c r="A8" s="1568" t="str">
        <f>IF(C7&gt;0.2," ","Skriv ej in %-tecknet. Backa med Ångra inmatning")</f>
        <v xml:space="preserve"> </v>
      </c>
      <c r="B8" s="1568" t="str">
        <f>IF(G7&gt;0.2," ","Skriv ej in %-tecknet. Backa med Ångra inmatning")</f>
        <v xml:space="preserve"> </v>
      </c>
      <c r="C8" s="263"/>
      <c r="D8" s="263"/>
      <c r="E8" s="263"/>
      <c r="F8" s="263"/>
      <c r="G8" s="263"/>
      <c r="H8" s="486"/>
      <c r="I8" s="263"/>
      <c r="J8" s="263"/>
      <c r="K8" s="263"/>
      <c r="L8" s="263"/>
      <c r="M8" s="263"/>
      <c r="N8" s="263"/>
      <c r="O8" s="263"/>
      <c r="P8" s="263"/>
      <c r="Q8" s="263"/>
      <c r="R8" s="263"/>
      <c r="S8" s="263"/>
      <c r="T8" s="263"/>
      <c r="W8" s="2"/>
      <c r="X8" s="263"/>
      <c r="Y8" s="694" t="s">
        <v>826</v>
      </c>
      <c r="Z8" s="484">
        <v>7</v>
      </c>
      <c r="AA8" s="263"/>
      <c r="AB8" s="1122"/>
      <c r="AC8" s="1126"/>
      <c r="AD8" s="1126"/>
      <c r="AE8" s="1126"/>
      <c r="AF8" s="1126"/>
      <c r="AG8" s="1126"/>
      <c r="AH8" s="1126"/>
      <c r="AI8" s="1171" t="s">
        <v>324</v>
      </c>
      <c r="AJ8" s="1172">
        <f>IF(C19=0," ",+AD152*10*Huvudinmatning!S$8)</f>
        <v>0</v>
      </c>
      <c r="AK8" s="1126"/>
      <c r="AL8" s="1126"/>
      <c r="AM8" s="1184"/>
      <c r="AN8" s="2"/>
      <c r="AO8" s="2"/>
    </row>
    <row r="9" spans="1:41">
      <c r="A9" s="1568" t="str">
        <f>IF(C7&gt;0.2," ","längs upp i vänstra hörnet")</f>
        <v xml:space="preserve"> </v>
      </c>
      <c r="B9" s="1568" t="str">
        <f>IF(G7&gt;0.2," ","längs upp i vänstra hörnet")</f>
        <v xml:space="preserve"> </v>
      </c>
      <c r="C9" s="370"/>
      <c r="D9" s="263"/>
      <c r="E9" s="263"/>
      <c r="F9" s="263"/>
      <c r="G9" s="370"/>
      <c r="H9" s="486"/>
      <c r="I9" s="370"/>
      <c r="J9" s="263"/>
      <c r="K9" s="263"/>
      <c r="L9" s="263"/>
      <c r="M9" s="263"/>
      <c r="N9" s="263"/>
      <c r="O9" s="263"/>
      <c r="P9" s="263"/>
      <c r="Q9" s="263"/>
      <c r="R9" s="263"/>
      <c r="S9" s="263"/>
      <c r="T9" s="263"/>
      <c r="U9" s="263"/>
      <c r="V9" s="2"/>
      <c r="W9" s="2"/>
      <c r="X9" s="263"/>
      <c r="Y9" s="263"/>
      <c r="Z9" s="9"/>
      <c r="AA9" s="9"/>
      <c r="AB9" s="1122"/>
      <c r="AC9" s="1417"/>
      <c r="AD9" s="1417"/>
      <c r="AE9" s="1417"/>
      <c r="AF9" s="1417"/>
      <c r="AG9" s="1417"/>
      <c r="AH9" s="1417"/>
      <c r="AI9" s="1417"/>
      <c r="AJ9" s="1417"/>
      <c r="AK9" s="1126"/>
      <c r="AL9" s="1126"/>
      <c r="AM9" s="1184"/>
      <c r="AN9" s="2"/>
      <c r="AO9" s="2"/>
    </row>
    <row r="10" spans="1:41" ht="15.75">
      <c r="A10" s="263"/>
      <c r="B10" s="1553" t="s">
        <v>994</v>
      </c>
      <c r="C10" s="1683">
        <v>1.72</v>
      </c>
      <c r="D10" s="77"/>
      <c r="E10" s="77"/>
      <c r="F10" s="77"/>
      <c r="G10" s="5"/>
      <c r="H10" s="486"/>
      <c r="I10" s="263"/>
      <c r="J10" s="373" t="s">
        <v>395</v>
      </c>
      <c r="K10" s="374"/>
      <c r="L10" s="374"/>
      <c r="M10" s="374"/>
      <c r="N10" s="375"/>
      <c r="O10" s="375"/>
      <c r="P10" s="375"/>
      <c r="Q10" s="375"/>
      <c r="R10" s="375"/>
      <c r="S10" s="375"/>
      <c r="T10" s="376"/>
      <c r="U10" s="409" t="s">
        <v>269</v>
      </c>
      <c r="V10" s="410"/>
      <c r="W10" s="410"/>
      <c r="X10" s="411"/>
      <c r="Y10" s="411"/>
      <c r="Z10" s="390"/>
      <c r="AA10" s="267"/>
      <c r="AB10" s="1122"/>
      <c r="AC10" s="1185" t="s">
        <v>106</v>
      </c>
      <c r="AD10" s="1126"/>
      <c r="AE10" s="1114"/>
      <c r="AF10" s="1126"/>
      <c r="AG10" s="1126"/>
      <c r="AH10" s="1114"/>
      <c r="AI10" s="1114"/>
      <c r="AJ10" s="1126"/>
      <c r="AK10" s="1126"/>
      <c r="AL10" s="1126"/>
      <c r="AM10" s="1184"/>
      <c r="AN10" s="2"/>
      <c r="AO10" s="2"/>
    </row>
    <row r="11" spans="1:41">
      <c r="A11" s="388"/>
      <c r="B11" s="389"/>
      <c r="C11" s="402" t="s">
        <v>272</v>
      </c>
      <c r="D11" s="404"/>
      <c r="E11" s="374"/>
      <c r="F11" s="374"/>
      <c r="G11" s="405" t="s">
        <v>273</v>
      </c>
      <c r="H11" s="486"/>
      <c r="I11" s="263"/>
      <c r="J11" s="377" t="s">
        <v>393</v>
      </c>
      <c r="K11" s="378"/>
      <c r="L11" s="378"/>
      <c r="M11" s="378"/>
      <c r="N11" s="379"/>
      <c r="O11" s="379"/>
      <c r="P11" s="379"/>
      <c r="Q11" s="379"/>
      <c r="R11" s="379"/>
      <c r="S11" s="379"/>
      <c r="T11" s="380"/>
      <c r="U11" s="412" t="s">
        <v>274</v>
      </c>
      <c r="V11" s="414" t="s">
        <v>275</v>
      </c>
      <c r="W11" s="410"/>
      <c r="X11" s="411"/>
      <c r="Y11" s="411"/>
      <c r="Z11" s="390"/>
      <c r="AA11" s="267"/>
      <c r="AB11" s="1122"/>
      <c r="AC11" s="1417"/>
      <c r="AD11" s="1114"/>
      <c r="AE11" s="1114"/>
      <c r="AF11" s="1114"/>
      <c r="AG11" s="1114"/>
      <c r="AH11" s="1126"/>
      <c r="AI11" s="1126"/>
      <c r="AJ11" s="1126"/>
      <c r="AK11" s="1126"/>
      <c r="AL11" s="1126"/>
      <c r="AM11" s="1184"/>
      <c r="AN11" s="2"/>
      <c r="AO11" s="2"/>
    </row>
    <row r="12" spans="1:41" ht="15.75">
      <c r="A12" s="391" t="s">
        <v>280</v>
      </c>
      <c r="B12" s="389"/>
      <c r="C12" s="1688" t="s">
        <v>281</v>
      </c>
      <c r="D12" s="404"/>
      <c r="E12" s="374"/>
      <c r="F12" s="374" t="s">
        <v>995</v>
      </c>
      <c r="G12" s="1685">
        <f>2/C10</f>
        <v>1.1627906976744187</v>
      </c>
      <c r="H12" s="486"/>
      <c r="I12" s="263"/>
      <c r="J12" s="377" t="s">
        <v>394</v>
      </c>
      <c r="K12" s="378"/>
      <c r="L12" s="378"/>
      <c r="M12" s="378"/>
      <c r="N12" s="379"/>
      <c r="O12" s="379"/>
      <c r="P12" s="379"/>
      <c r="Q12" s="379"/>
      <c r="R12" s="379"/>
      <c r="S12" s="379"/>
      <c r="T12" s="380"/>
      <c r="U12" s="413" t="s">
        <v>282</v>
      </c>
      <c r="V12" s="414" t="s">
        <v>283</v>
      </c>
      <c r="W12" s="410"/>
      <c r="X12" s="411"/>
      <c r="Y12" s="411"/>
      <c r="Z12" s="390"/>
      <c r="AA12" s="267"/>
      <c r="AB12" s="1122"/>
      <c r="AC12" s="1114"/>
      <c r="AD12" s="1114"/>
      <c r="AE12" s="1114"/>
      <c r="AF12" s="1114"/>
      <c r="AG12" s="1114"/>
      <c r="AH12" s="1126"/>
      <c r="AI12" s="1126"/>
      <c r="AJ12" s="1126"/>
      <c r="AK12" s="1126"/>
      <c r="AL12" s="1126"/>
      <c r="AM12" s="1184"/>
      <c r="AN12" s="2"/>
      <c r="AO12" s="2"/>
    </row>
    <row r="13" spans="1:41" ht="15.75">
      <c r="A13" s="391" t="s">
        <v>287</v>
      </c>
      <c r="B13" s="389"/>
      <c r="C13" s="1689" t="s">
        <v>288</v>
      </c>
      <c r="D13" s="404"/>
      <c r="E13" s="374"/>
      <c r="F13" s="1684">
        <f>2/C10</f>
        <v>1.1627906976744187</v>
      </c>
      <c r="G13" s="1685">
        <f>3/C10</f>
        <v>1.7441860465116279</v>
      </c>
      <c r="H13" s="486"/>
      <c r="I13" s="263"/>
      <c r="J13" s="377" t="s">
        <v>79</v>
      </c>
      <c r="K13" s="378"/>
      <c r="L13" s="378"/>
      <c r="M13" s="378"/>
      <c r="N13" s="379"/>
      <c r="O13" s="379"/>
      <c r="P13" s="379"/>
      <c r="Q13" s="379"/>
      <c r="R13" s="379"/>
      <c r="S13" s="379"/>
      <c r="T13" s="380"/>
      <c r="U13" s="413" t="s">
        <v>289</v>
      </c>
      <c r="V13" s="414" t="s">
        <v>290</v>
      </c>
      <c r="W13" s="410"/>
      <c r="X13" s="411"/>
      <c r="Y13" s="411"/>
      <c r="Z13" s="390"/>
      <c r="AA13" s="267"/>
      <c r="AB13" s="1122"/>
      <c r="AC13" s="1114"/>
      <c r="AD13" s="1114"/>
      <c r="AE13" s="1114"/>
      <c r="AF13" s="1114"/>
      <c r="AG13" s="1114"/>
      <c r="AH13" s="1126"/>
      <c r="AI13" s="1126"/>
      <c r="AJ13" s="1126"/>
      <c r="AK13" s="1126"/>
      <c r="AL13" s="1126"/>
      <c r="AM13" s="1184"/>
      <c r="AN13" s="2"/>
      <c r="AO13" s="2"/>
    </row>
    <row r="14" spans="1:41" ht="15.75">
      <c r="A14" s="391" t="s">
        <v>291</v>
      </c>
      <c r="B14" s="389"/>
      <c r="C14" s="1688" t="s">
        <v>292</v>
      </c>
      <c r="D14" s="404"/>
      <c r="E14" s="374"/>
      <c r="F14" s="1684">
        <f>3/C10</f>
        <v>1.7441860465116279</v>
      </c>
      <c r="G14" s="1685">
        <f>6/C10</f>
        <v>3.4883720930232558</v>
      </c>
      <c r="H14" s="486"/>
      <c r="I14" s="263"/>
      <c r="J14" s="377" t="s">
        <v>104</v>
      </c>
      <c r="K14" s="372"/>
      <c r="L14" s="381"/>
      <c r="M14" s="378"/>
      <c r="N14" s="379"/>
      <c r="O14" s="379"/>
      <c r="P14" s="379"/>
      <c r="Q14" s="379"/>
      <c r="R14" s="379"/>
      <c r="S14" s="379"/>
      <c r="T14" s="380"/>
      <c r="U14" s="413" t="s">
        <v>293</v>
      </c>
      <c r="V14" s="414" t="s">
        <v>294</v>
      </c>
      <c r="W14" s="410"/>
      <c r="X14" s="411"/>
      <c r="Y14" s="411"/>
      <c r="Z14" s="390"/>
      <c r="AA14" s="267"/>
      <c r="AB14" s="1122"/>
      <c r="AC14" s="1114"/>
      <c r="AD14" s="1114"/>
      <c r="AE14" s="1114"/>
      <c r="AF14" s="1114"/>
      <c r="AG14" s="1114"/>
      <c r="AH14" s="1126"/>
      <c r="AI14" s="1126"/>
      <c r="AJ14" s="1126"/>
      <c r="AK14" s="1126"/>
      <c r="AL14" s="1126"/>
      <c r="AM14" s="1184"/>
      <c r="AN14" s="2"/>
      <c r="AO14" s="2"/>
    </row>
    <row r="15" spans="1:41" ht="15.75">
      <c r="A15" s="391" t="s">
        <v>295</v>
      </c>
      <c r="B15" s="389"/>
      <c r="C15" s="1688" t="s">
        <v>296</v>
      </c>
      <c r="D15" s="403"/>
      <c r="E15" s="411"/>
      <c r="F15" s="1686">
        <f>6/C10</f>
        <v>3.4883720930232558</v>
      </c>
      <c r="G15" s="1687">
        <f>12/C10</f>
        <v>6.9767441860465116</v>
      </c>
      <c r="H15" s="486"/>
      <c r="I15" s="263"/>
      <c r="J15" s="382" t="s">
        <v>105</v>
      </c>
      <c r="K15" s="383"/>
      <c r="L15" s="384"/>
      <c r="M15" s="385"/>
      <c r="N15" s="386"/>
      <c r="O15" s="386"/>
      <c r="P15" s="386"/>
      <c r="Q15" s="386"/>
      <c r="R15" s="386"/>
      <c r="S15" s="386"/>
      <c r="T15" s="387"/>
      <c r="U15" s="413" t="s">
        <v>297</v>
      </c>
      <c r="V15" s="414" t="s">
        <v>107</v>
      </c>
      <c r="W15" s="410"/>
      <c r="X15" s="411"/>
      <c r="Y15" s="411"/>
      <c r="Z15" s="390"/>
      <c r="AA15" s="369"/>
      <c r="AB15" s="1186"/>
      <c r="AC15" s="1114"/>
      <c r="AD15" s="1114"/>
      <c r="AE15" s="1114"/>
      <c r="AF15" s="1114"/>
      <c r="AG15" s="1114"/>
      <c r="AH15" s="1126"/>
      <c r="AI15" s="1126"/>
      <c r="AJ15" s="1126"/>
      <c r="AK15" s="1126"/>
      <c r="AL15" s="1126"/>
      <c r="AM15" s="1184"/>
      <c r="AN15" s="2"/>
      <c r="AO15" s="2"/>
    </row>
    <row r="16" spans="1:41" ht="13.5" thickBot="1">
      <c r="A16" s="2"/>
      <c r="B16" s="2"/>
      <c r="C16" s="2"/>
      <c r="D16" s="2"/>
      <c r="E16" s="2"/>
      <c r="F16" s="2"/>
      <c r="G16" s="263"/>
      <c r="H16" s="486"/>
      <c r="I16" s="314"/>
      <c r="J16" s="2"/>
      <c r="K16" s="2"/>
      <c r="L16" s="2"/>
      <c r="M16" s="2"/>
      <c r="N16" s="263"/>
      <c r="O16" s="2"/>
      <c r="P16" s="2"/>
      <c r="Q16" s="2"/>
      <c r="R16" s="2"/>
      <c r="S16" s="2"/>
      <c r="T16" s="2"/>
      <c r="U16" s="2"/>
      <c r="V16" s="2"/>
      <c r="W16" s="2"/>
      <c r="X16" s="2"/>
      <c r="Y16" s="2"/>
      <c r="Z16" s="9"/>
      <c r="AA16" s="9"/>
      <c r="AB16" s="1125"/>
      <c r="AC16" s="1114"/>
      <c r="AD16" s="1126"/>
      <c r="AE16" s="1126"/>
      <c r="AF16" s="1126"/>
      <c r="AG16" s="1126"/>
      <c r="AH16" s="1126"/>
      <c r="AI16" s="1126"/>
      <c r="AJ16" s="1126"/>
      <c r="AK16" s="1126"/>
      <c r="AL16" s="1126"/>
      <c r="AM16" s="1184"/>
      <c r="AN16" s="2"/>
      <c r="AO16" s="2"/>
    </row>
    <row r="17" spans="1:41">
      <c r="A17" s="733"/>
      <c r="B17" s="734"/>
      <c r="C17" s="734"/>
      <c r="D17" s="1143"/>
      <c r="E17" s="1143"/>
      <c r="F17" s="1143"/>
      <c r="G17" s="734"/>
      <c r="H17" s="529"/>
      <c r="I17" s="734"/>
      <c r="J17" s="734"/>
      <c r="K17" s="1143"/>
      <c r="L17" s="734"/>
      <c r="M17" s="734"/>
      <c r="N17" s="734"/>
      <c r="O17" s="1143"/>
      <c r="P17" s="1540" t="s">
        <v>298</v>
      </c>
      <c r="Q17" s="1492"/>
      <c r="R17" s="1493"/>
      <c r="S17" s="1493"/>
      <c r="T17" s="1541"/>
      <c r="U17" s="734"/>
      <c r="V17" s="529"/>
      <c r="W17" s="529"/>
      <c r="X17" s="529"/>
      <c r="Y17" s="529"/>
      <c r="Z17" s="529"/>
      <c r="AA17" s="530"/>
      <c r="AB17" s="1122"/>
      <c r="AC17" s="1126"/>
      <c r="AD17" s="1126"/>
      <c r="AE17" s="1126"/>
      <c r="AF17" s="1126"/>
      <c r="AG17" s="1126"/>
      <c r="AH17" s="1126"/>
      <c r="AI17" s="1126"/>
      <c r="AJ17" s="1126"/>
      <c r="AK17" s="1187"/>
      <c r="AL17" s="1187"/>
      <c r="AM17" s="1184"/>
      <c r="AN17" s="2"/>
      <c r="AO17" s="2"/>
    </row>
    <row r="18" spans="1:41" ht="15.75">
      <c r="A18" s="735" t="s">
        <v>133</v>
      </c>
      <c r="B18" s="8"/>
      <c r="C18" s="8"/>
      <c r="D18" s="416"/>
      <c r="E18" s="416"/>
      <c r="F18" s="416"/>
      <c r="G18" s="8"/>
      <c r="H18" s="526"/>
      <c r="I18" s="8"/>
      <c r="J18" s="8"/>
      <c r="K18" s="416"/>
      <c r="L18" s="8"/>
      <c r="M18" s="8"/>
      <c r="N18" s="8"/>
      <c r="O18" s="416"/>
      <c r="P18" s="1507" t="s">
        <v>299</v>
      </c>
      <c r="Q18" s="1508"/>
      <c r="R18" s="1508"/>
      <c r="S18" s="1509">
        <f>C7*G7*A7*10*0.01</f>
        <v>758.72093023255809</v>
      </c>
      <c r="T18" s="1510" t="s">
        <v>300</v>
      </c>
      <c r="U18" s="8"/>
      <c r="V18" s="526"/>
      <c r="W18" s="526"/>
      <c r="X18" s="526"/>
      <c r="Y18" s="526"/>
      <c r="Z18" s="526"/>
      <c r="AA18" s="527"/>
      <c r="AB18" s="1122"/>
      <c r="AC18" s="1126"/>
      <c r="AD18" s="1126"/>
      <c r="AE18" s="1126"/>
      <c r="AF18" s="1126"/>
      <c r="AG18" s="1126"/>
      <c r="AH18" s="1126"/>
      <c r="AI18" s="1126"/>
      <c r="AJ18" s="1126"/>
      <c r="AK18" s="1126"/>
      <c r="AL18" s="1126"/>
      <c r="AM18" s="1184"/>
      <c r="AN18" s="2"/>
      <c r="AO18" s="2"/>
    </row>
    <row r="19" spans="1:41">
      <c r="A19" s="525"/>
      <c r="B19" s="1413" t="s">
        <v>301</v>
      </c>
      <c r="C19" s="443">
        <f>+Huvudinmatning!D10</f>
        <v>7</v>
      </c>
      <c r="D19" s="416"/>
      <c r="E19" s="416"/>
      <c r="F19" s="416"/>
      <c r="G19" s="8"/>
      <c r="H19" s="526"/>
      <c r="I19" s="8"/>
      <c r="J19" s="8"/>
      <c r="K19" s="416"/>
      <c r="L19" s="8"/>
      <c r="M19" s="8"/>
      <c r="N19" s="8"/>
      <c r="O19" s="416"/>
      <c r="P19" s="1597" t="s">
        <v>906</v>
      </c>
      <c r="Q19" s="1598"/>
      <c r="R19" s="1511"/>
      <c r="S19" s="1512">
        <f>A7*10*C7</f>
        <v>50581.395348837206</v>
      </c>
      <c r="T19" s="1513" t="s">
        <v>317</v>
      </c>
      <c r="U19" s="716"/>
      <c r="V19" s="526"/>
      <c r="W19" s="526"/>
      <c r="X19" s="526"/>
      <c r="Y19" s="526"/>
      <c r="Z19" s="526"/>
      <c r="AA19" s="527"/>
      <c r="AB19" s="1122"/>
      <c r="AC19" s="1126"/>
      <c r="AD19" s="1126"/>
      <c r="AE19" s="1126"/>
      <c r="AF19" s="1126"/>
      <c r="AG19" s="1126"/>
      <c r="AH19" s="1126"/>
      <c r="AI19" s="1126"/>
      <c r="AJ19" s="1126"/>
      <c r="AK19" s="1126"/>
      <c r="AL19" s="1126"/>
      <c r="AM19" s="1184"/>
      <c r="AN19" s="2"/>
      <c r="AO19" s="2"/>
    </row>
    <row r="20" spans="1:41">
      <c r="A20" s="737"/>
      <c r="B20" s="8"/>
      <c r="C20" s="8"/>
      <c r="D20" s="78"/>
      <c r="E20" s="1656" t="s">
        <v>771</v>
      </c>
      <c r="F20" s="701"/>
      <c r="G20" s="701"/>
      <c r="H20" s="701"/>
      <c r="I20" s="760"/>
      <c r="J20" s="761"/>
      <c r="K20" s="78"/>
      <c r="L20" s="1504" t="s">
        <v>302</v>
      </c>
      <c r="M20" s="52"/>
      <c r="N20" s="49"/>
      <c r="O20" s="1144"/>
      <c r="P20" s="1600" t="s">
        <v>905</v>
      </c>
      <c r="Q20" s="1601"/>
      <c r="R20" s="78"/>
      <c r="S20" s="1494" t="s">
        <v>303</v>
      </c>
      <c r="T20" s="766"/>
      <c r="U20" s="717"/>
      <c r="V20" s="718"/>
      <c r="W20" s="78"/>
      <c r="X20" s="302"/>
      <c r="Y20" s="1606" t="s">
        <v>304</v>
      </c>
      <c r="Z20" s="1229"/>
      <c r="AA20" s="527"/>
      <c r="AB20" s="1122"/>
      <c r="AC20" s="1126"/>
      <c r="AD20" s="1126"/>
      <c r="AE20" s="1126"/>
      <c r="AF20" s="1126"/>
      <c r="AG20" s="1126"/>
      <c r="AH20" s="1126"/>
      <c r="AI20" s="1126"/>
      <c r="AJ20" s="1126"/>
      <c r="AK20" s="1126"/>
      <c r="AL20" s="1126"/>
      <c r="AM20" s="1184"/>
      <c r="AN20" s="2"/>
      <c r="AO20" s="2"/>
    </row>
    <row r="21" spans="1:41">
      <c r="A21" s="737"/>
      <c r="B21" s="8"/>
      <c r="C21" s="8"/>
      <c r="D21" s="78"/>
      <c r="E21" s="1616">
        <v>20</v>
      </c>
      <c r="F21" s="701" t="s">
        <v>939</v>
      </c>
      <c r="G21" s="701"/>
      <c r="H21" s="701"/>
      <c r="I21" s="760"/>
      <c r="J21" s="761"/>
      <c r="K21" s="78"/>
      <c r="L21" s="1617">
        <v>20</v>
      </c>
      <c r="M21" s="724" t="s">
        <v>938</v>
      </c>
      <c r="N21" s="892"/>
      <c r="O21" s="1144"/>
      <c r="P21" s="1602"/>
      <c r="Q21" s="1603"/>
      <c r="R21" s="78"/>
      <c r="S21" s="1617">
        <v>30</v>
      </c>
      <c r="T21" s="701" t="s">
        <v>938</v>
      </c>
      <c r="U21" s="717"/>
      <c r="V21" s="718"/>
      <c r="W21" s="78"/>
      <c r="X21" s="303"/>
      <c r="Y21" s="1607"/>
      <c r="Z21" s="1608"/>
      <c r="AA21" s="527"/>
      <c r="AB21" s="1122"/>
      <c r="AC21" s="1126"/>
      <c r="AD21" s="1126"/>
      <c r="AE21" s="1126"/>
      <c r="AF21" s="1126"/>
      <c r="AG21" s="1126"/>
      <c r="AH21" s="1126"/>
      <c r="AI21" s="1126"/>
      <c r="AJ21" s="1126"/>
      <c r="AK21" s="1126"/>
      <c r="AL21" s="1126"/>
      <c r="AM21" s="1184"/>
      <c r="AN21" s="2"/>
      <c r="AO21" s="2"/>
    </row>
    <row r="22" spans="1:41" s="51" customFormat="1" ht="15">
      <c r="A22" s="1145" t="s">
        <v>137</v>
      </c>
      <c r="B22" s="18" t="s">
        <v>138</v>
      </c>
      <c r="C22" s="18" t="s">
        <v>139</v>
      </c>
      <c r="D22" s="80"/>
      <c r="E22" s="757"/>
      <c r="F22" s="1596"/>
      <c r="G22" s="16" t="s">
        <v>305</v>
      </c>
      <c r="H22" s="1654" t="s">
        <v>957</v>
      </c>
      <c r="I22" s="54" t="s">
        <v>306</v>
      </c>
      <c r="J22" s="81" t="s">
        <v>307</v>
      </c>
      <c r="K22" s="80"/>
      <c r="L22" s="81" t="s">
        <v>5</v>
      </c>
      <c r="M22" s="81" t="s">
        <v>308</v>
      </c>
      <c r="N22" s="81" t="s">
        <v>307</v>
      </c>
      <c r="O22" s="80"/>
      <c r="P22" s="1599" t="s">
        <v>82</v>
      </c>
      <c r="Q22" s="54" t="s">
        <v>310</v>
      </c>
      <c r="R22" s="80"/>
      <c r="S22" s="757" t="s">
        <v>309</v>
      </c>
      <c r="T22" s="57" t="s">
        <v>311</v>
      </c>
      <c r="U22" s="53" t="s">
        <v>312</v>
      </c>
      <c r="V22" s="81" t="s">
        <v>197</v>
      </c>
      <c r="W22" s="80"/>
      <c r="X22" s="81" t="s">
        <v>153</v>
      </c>
      <c r="Y22" s="1604" t="s">
        <v>313</v>
      </c>
      <c r="Z22" s="1605"/>
      <c r="AA22" s="1146"/>
      <c r="AB22" s="1188"/>
      <c r="AC22" s="1126"/>
      <c r="AD22" s="1126"/>
      <c r="AE22" s="1126"/>
      <c r="AF22" s="1126"/>
      <c r="AG22" s="1126"/>
      <c r="AH22" s="1126"/>
      <c r="AI22" s="1126"/>
      <c r="AJ22" s="1126"/>
      <c r="AK22" s="1126"/>
      <c r="AL22" s="1126"/>
      <c r="AM22" s="1184"/>
      <c r="AN22" s="4"/>
      <c r="AO22" s="4"/>
    </row>
    <row r="23" spans="1:41" s="51" customFormat="1" ht="15">
      <c r="A23" s="1147"/>
      <c r="B23" s="81"/>
      <c r="C23" s="83" t="s">
        <v>133</v>
      </c>
      <c r="D23" s="80"/>
      <c r="E23" s="757"/>
      <c r="F23" s="791"/>
      <c r="G23" s="16" t="s">
        <v>901</v>
      </c>
      <c r="H23" s="1654" t="s">
        <v>958</v>
      </c>
      <c r="I23" s="54"/>
      <c r="J23" s="81"/>
      <c r="K23" s="80"/>
      <c r="L23" s="81" t="s">
        <v>309</v>
      </c>
      <c r="M23" s="19" t="s">
        <v>319</v>
      </c>
      <c r="N23" s="81"/>
      <c r="O23" s="80"/>
      <c r="P23" s="1505" t="s">
        <v>83</v>
      </c>
      <c r="Q23" s="54"/>
      <c r="R23" s="80"/>
      <c r="S23" s="757"/>
      <c r="T23" s="54" t="s">
        <v>320</v>
      </c>
      <c r="U23" s="53" t="s">
        <v>315</v>
      </c>
      <c r="V23" s="81"/>
      <c r="W23" s="80"/>
      <c r="X23" s="81"/>
      <c r="Y23" s="863" t="s">
        <v>316</v>
      </c>
      <c r="Z23" s="864" t="s">
        <v>120</v>
      </c>
      <c r="AA23" s="1146"/>
      <c r="AB23" s="1188"/>
      <c r="AC23" s="1126"/>
      <c r="AD23" s="1126"/>
      <c r="AE23" s="1126"/>
      <c r="AF23" s="1126"/>
      <c r="AG23" s="1126"/>
      <c r="AH23" s="1126"/>
      <c r="AI23" s="1126"/>
      <c r="AJ23" s="1126"/>
      <c r="AK23" s="1126"/>
      <c r="AL23" s="1126"/>
      <c r="AM23" s="1184"/>
      <c r="AN23" s="4"/>
      <c r="AO23" s="4"/>
    </row>
    <row r="24" spans="1:41" s="51" customFormat="1" ht="15.75">
      <c r="A24" s="1148"/>
      <c r="B24" s="19"/>
      <c r="C24" s="19" t="s">
        <v>317</v>
      </c>
      <c r="D24" s="80"/>
      <c r="E24" s="2285" t="s">
        <v>309</v>
      </c>
      <c r="F24" s="792" t="s">
        <v>772</v>
      </c>
      <c r="G24" s="16" t="s">
        <v>989</v>
      </c>
      <c r="H24" s="1655" t="s">
        <v>319</v>
      </c>
      <c r="I24" s="84" t="s">
        <v>318</v>
      </c>
      <c r="J24" s="19" t="s">
        <v>318</v>
      </c>
      <c r="K24" s="80"/>
      <c r="L24" s="19"/>
      <c r="M24" s="368" t="s">
        <v>80</v>
      </c>
      <c r="N24" s="19" t="s">
        <v>318</v>
      </c>
      <c r="O24" s="80"/>
      <c r="P24" s="1506" t="s">
        <v>314</v>
      </c>
      <c r="Q24" s="84" t="s">
        <v>318</v>
      </c>
      <c r="R24" s="80"/>
      <c r="S24" s="758"/>
      <c r="T24" s="756" t="s">
        <v>81</v>
      </c>
      <c r="U24" s="23" t="s">
        <v>321</v>
      </c>
      <c r="V24" s="19" t="s">
        <v>318</v>
      </c>
      <c r="W24" s="80"/>
      <c r="X24" s="19" t="s">
        <v>318</v>
      </c>
      <c r="Y24" s="830"/>
      <c r="Z24" s="788"/>
      <c r="AA24" s="1146"/>
      <c r="AB24" s="1188"/>
      <c r="AC24" s="1126"/>
      <c r="AD24" s="1126"/>
      <c r="AE24" s="1126"/>
      <c r="AF24" s="1126"/>
      <c r="AG24" s="1126"/>
      <c r="AH24" s="1126"/>
      <c r="AI24" s="1126"/>
      <c r="AJ24" s="1126"/>
      <c r="AK24" s="1126"/>
      <c r="AL24" s="1126"/>
      <c r="AM24" s="1184"/>
      <c r="AN24" s="4"/>
      <c r="AO24" s="4"/>
    </row>
    <row r="25" spans="1:41">
      <c r="A25" s="1149">
        <v>1</v>
      </c>
      <c r="B25" s="86" t="str">
        <f>IF(Huvudinmatning!B14&gt;0,Huvudinmatning!B14," ")</f>
        <v xml:space="preserve">Höstraps </v>
      </c>
      <c r="C25" s="86">
        <f>IF(Huvudinmatning!C14&gt;0,Huvudinmatning!C14," ")</f>
        <v>3500</v>
      </c>
      <c r="D25" s="87"/>
      <c r="E25" s="2284">
        <f>IF(B25=" "," ",(INDEX(Gröddata!$A$10:$N$44,MATCH(B25,Gröddata!A$10:A$44,0),14)))</f>
        <v>1</v>
      </c>
      <c r="F25" s="790" t="str">
        <f>IF(B25=" "," ",IF(Huvudinmatning!H14=TRUE,"nej","ja"))</f>
        <v>ja</v>
      </c>
      <c r="G25" s="694">
        <f t="shared" ref="G25:G34" si="0">IF(B25=" "," ",IF(E25=1,H110,I110))</f>
        <v>10500</v>
      </c>
      <c r="H25" s="694">
        <f>Huvudinmatning!E14</f>
        <v>0</v>
      </c>
      <c r="I25" s="1653">
        <f>IF(B25=" "," ",(G25+H25)*0.4)</f>
        <v>4200</v>
      </c>
      <c r="J25" s="38">
        <f t="shared" ref="J25:J34" si="1">IF(B25=" "," ",I25*E$21/100)</f>
        <v>840</v>
      </c>
      <c r="K25" s="88"/>
      <c r="L25" s="785" t="b">
        <f>IF(Huvudinmatning!K14&gt;0,Huvudinmatning!K14," ")</f>
        <v>0</v>
      </c>
      <c r="M25" s="785">
        <f>Huvudinmatning!L14</f>
        <v>0</v>
      </c>
      <c r="N25" s="38">
        <f t="shared" ref="N25:N34" si="2">IF(B25=0,0,M25*0.4*L$21/100)</f>
        <v>0</v>
      </c>
      <c r="O25" s="87"/>
      <c r="P25" s="907">
        <f>IF(Huvudinmatning!J14=0,0,(INDEX(Mullberäkning!$Y$5:$Z$8,MATCH(Huvudinmatning!J14,Mullberäkning!$Y$5:$Y$8,0),2)))</f>
        <v>0</v>
      </c>
      <c r="Q25" s="1611">
        <f t="shared" ref="Q25:Q34" si="3">IF(B25=" "," ",IF(C25&gt;0,-(9-P25)*$S$18/9,0))</f>
        <v>-758.72093023255809</v>
      </c>
      <c r="R25" s="88"/>
      <c r="S25" s="786">
        <f>IF(Huvudinmatning!M14&gt;0,Huvudinmatning!M14,0)</f>
        <v>0</v>
      </c>
      <c r="T25" s="787">
        <f>IF(Huvudinmatning!N14&gt;0,Huvudinmatning!N14,0)</f>
        <v>0</v>
      </c>
      <c r="U25" s="755">
        <f>IF(S25=0,0,(INDEX(Stallgödseldata!B$16:D$27,MATCH(S25,Stallgödseldata!B$16:B$27,0),3)))</f>
        <v>0</v>
      </c>
      <c r="V25" s="1611">
        <f t="shared" ref="V25:V34" si="4">IF(S25=0,0,T25*1000*U25/100*0.4*S$21/100)</f>
        <v>0</v>
      </c>
      <c r="W25" s="88"/>
      <c r="X25" s="2061">
        <f t="shared" ref="X25:X34" si="5">IF(B25=" "," ",J25+N25+Q25+V25)</f>
        <v>81.279069767441911</v>
      </c>
      <c r="Y25" s="716"/>
      <c r="Z25" s="865" t="s">
        <v>76</v>
      </c>
      <c r="AA25" s="1612" t="s">
        <v>29</v>
      </c>
      <c r="AB25" s="1122"/>
      <c r="AC25" s="1126"/>
      <c r="AD25" s="1126"/>
      <c r="AE25" s="1126"/>
      <c r="AF25" s="1126"/>
      <c r="AG25" s="1126"/>
      <c r="AH25" s="1126"/>
      <c r="AI25" s="1126"/>
      <c r="AJ25" s="1126"/>
      <c r="AK25" s="1126"/>
      <c r="AL25" s="1126"/>
      <c r="AM25" s="1184"/>
      <c r="AN25" s="2"/>
      <c r="AO25" s="2"/>
    </row>
    <row r="26" spans="1:41">
      <c r="A26" s="1080">
        <v>2</v>
      </c>
      <c r="B26" s="86" t="str">
        <f>IF(Huvudinmatning!B15&gt;0,Huvudinmatning!B15," ")</f>
        <v>Höstvete bröd</v>
      </c>
      <c r="C26" s="86">
        <f>IF(Huvudinmatning!C15&gt;0,Huvudinmatning!C15," ")</f>
        <v>8000</v>
      </c>
      <c r="D26" s="87"/>
      <c r="E26" s="2284">
        <f>IF(B26=" "," ",(INDEX(Gröddata!$A$10:$N$44,MATCH(B26,Gröddata!A$10:A$44,0),14)))</f>
        <v>1</v>
      </c>
      <c r="F26" s="790" t="str">
        <f>IF(B26=" "," ",IF(Huvudinmatning!H15=TRUE,"nej","ja"))</f>
        <v>ja</v>
      </c>
      <c r="G26" s="694">
        <f t="shared" si="0"/>
        <v>12000</v>
      </c>
      <c r="H26" s="694">
        <f>Huvudinmatning!E15</f>
        <v>0</v>
      </c>
      <c r="I26" s="1653">
        <f t="shared" ref="I26:I34" si="6">IF(B26=" "," ",(G26+H26)*0.4)</f>
        <v>4800</v>
      </c>
      <c r="J26" s="38">
        <f t="shared" si="1"/>
        <v>960</v>
      </c>
      <c r="K26" s="88"/>
      <c r="L26" s="785" t="b">
        <f>IF(Huvudinmatning!K15&gt;0,Huvudinmatning!K15," ")</f>
        <v>0</v>
      </c>
      <c r="M26" s="785">
        <f>Huvudinmatning!L15</f>
        <v>0</v>
      </c>
      <c r="N26" s="38">
        <f t="shared" si="2"/>
        <v>0</v>
      </c>
      <c r="O26" s="87"/>
      <c r="P26" s="907">
        <f>IF(Huvudinmatning!J15=0,0,(INDEX(Mullberäkning!$Y$5:$Z$8,MATCH(Huvudinmatning!J15,Mullberäkning!$Y$5:$Y$8,0),2)))</f>
        <v>0</v>
      </c>
      <c r="Q26" s="1611">
        <f t="shared" si="3"/>
        <v>-758.72093023255809</v>
      </c>
      <c r="R26" s="88"/>
      <c r="S26" s="786">
        <f>IF(Huvudinmatning!M15&gt;0,Huvudinmatning!M15,0)</f>
        <v>0</v>
      </c>
      <c r="T26" s="787">
        <f>IF(Huvudinmatning!N15&gt;0,Huvudinmatning!N15,0)</f>
        <v>0</v>
      </c>
      <c r="U26" s="755">
        <f>IF(S26=0,0,(INDEX(Stallgödseldata!B$16:D$27,MATCH(S26,Stallgödseldata!B$16:B$27,0),3)))</f>
        <v>0</v>
      </c>
      <c r="V26" s="1611">
        <f t="shared" si="4"/>
        <v>0</v>
      </c>
      <c r="W26" s="88"/>
      <c r="X26" s="2061">
        <f t="shared" si="5"/>
        <v>201.27906976744191</v>
      </c>
      <c r="Y26" s="868" t="s">
        <v>322</v>
      </c>
      <c r="Z26" s="865">
        <f>AG6</f>
        <v>1.7638095238095237</v>
      </c>
      <c r="AA26" s="1613">
        <f>Z26*C$10</f>
        <v>3.0337523809523805</v>
      </c>
      <c r="AB26" s="1122"/>
      <c r="AC26" s="1126"/>
      <c r="AD26" s="1126"/>
      <c r="AE26" s="1126"/>
      <c r="AF26" s="1126"/>
      <c r="AG26" s="1126"/>
      <c r="AH26" s="1126"/>
      <c r="AI26" s="1126"/>
      <c r="AJ26" s="1126"/>
      <c r="AK26" s="1126"/>
      <c r="AL26" s="1126"/>
      <c r="AM26" s="1184"/>
      <c r="AN26" s="2"/>
      <c r="AO26" s="2"/>
    </row>
    <row r="27" spans="1:41">
      <c r="A27" s="1080">
        <v>3</v>
      </c>
      <c r="B27" s="86" t="str">
        <f>IF(Huvudinmatning!B16&gt;0,Huvudinmatning!B16," ")</f>
        <v>Höstvete bröd</v>
      </c>
      <c r="C27" s="86">
        <f>IF(Huvudinmatning!C16&gt;0,Huvudinmatning!C16," ")</f>
        <v>8000</v>
      </c>
      <c r="D27" s="87"/>
      <c r="E27" s="2284">
        <f>IF(B27=" "," ",(INDEX(Gröddata!$A$10:$N$44,MATCH(B27,Gröddata!A$10:A$44,0),14)))</f>
        <v>1</v>
      </c>
      <c r="F27" s="790" t="str">
        <f>IF(B27=" "," ",IF(Huvudinmatning!H16=TRUE,"nej","ja"))</f>
        <v>ja</v>
      </c>
      <c r="G27" s="694">
        <f t="shared" si="0"/>
        <v>12000</v>
      </c>
      <c r="H27" s="694">
        <f>Huvudinmatning!E16</f>
        <v>0</v>
      </c>
      <c r="I27" s="1653">
        <f t="shared" si="6"/>
        <v>4800</v>
      </c>
      <c r="J27" s="38">
        <f t="shared" si="1"/>
        <v>960</v>
      </c>
      <c r="K27" s="88"/>
      <c r="L27" s="785" t="b">
        <f>IF(Huvudinmatning!K16&gt;0,Huvudinmatning!K16," ")</f>
        <v>0</v>
      </c>
      <c r="M27" s="785">
        <f>Huvudinmatning!L16</f>
        <v>0</v>
      </c>
      <c r="N27" s="38">
        <f t="shared" si="2"/>
        <v>0</v>
      </c>
      <c r="O27" s="87"/>
      <c r="P27" s="907">
        <f>IF(Huvudinmatning!J16=0,0,(INDEX(Mullberäkning!$Y$5:$Z$8,MATCH(Huvudinmatning!J16,Mullberäkning!$Y$5:$Y$8,0),2)))</f>
        <v>0</v>
      </c>
      <c r="Q27" s="1611">
        <f t="shared" si="3"/>
        <v>-758.72093023255809</v>
      </c>
      <c r="R27" s="88"/>
      <c r="S27" s="786">
        <f>IF(Huvudinmatning!M16&gt;0,Huvudinmatning!M16,0)</f>
        <v>0</v>
      </c>
      <c r="T27" s="787">
        <f>IF(Huvudinmatning!N16&gt;0,Huvudinmatning!N16,0)</f>
        <v>0</v>
      </c>
      <c r="U27" s="755">
        <f>IF(S27=0,0,(INDEX(Stallgödseldata!B$16:D$27,MATCH(S27,Stallgödseldata!B$16:B$27,0),3)))</f>
        <v>0</v>
      </c>
      <c r="V27" s="1611">
        <f t="shared" si="4"/>
        <v>0</v>
      </c>
      <c r="W27" s="88"/>
      <c r="X27" s="2061">
        <f t="shared" si="5"/>
        <v>201.27906976744191</v>
      </c>
      <c r="Y27" s="716" t="s">
        <v>77</v>
      </c>
      <c r="Z27" s="866">
        <f>AA107</f>
        <v>1.6917063756410691</v>
      </c>
      <c r="AA27" s="1613">
        <f t="shared" ref="AA27:AA30" si="7">Z27*C$10</f>
        <v>2.9097349661026386</v>
      </c>
      <c r="AB27" s="1122"/>
      <c r="AC27" s="1126"/>
      <c r="AD27" s="1126"/>
      <c r="AE27" s="1126"/>
      <c r="AF27" s="1126"/>
      <c r="AG27" s="1126"/>
      <c r="AH27" s="1126"/>
      <c r="AI27" s="1126"/>
      <c r="AJ27" s="1126"/>
      <c r="AK27" s="1126"/>
      <c r="AL27" s="1126"/>
      <c r="AM27" s="1184"/>
      <c r="AN27" s="2"/>
      <c r="AO27" s="2"/>
    </row>
    <row r="28" spans="1:41">
      <c r="A28" s="1080">
        <v>4</v>
      </c>
      <c r="B28" s="86" t="str">
        <f>IF(Huvudinmatning!B17&gt;0,Huvudinmatning!B17," ")</f>
        <v>Foderärt</v>
      </c>
      <c r="C28" s="86">
        <f>IF(Huvudinmatning!C17&gt;0,Huvudinmatning!C17," ")</f>
        <v>4000</v>
      </c>
      <c r="D28" s="87"/>
      <c r="E28" s="2284">
        <f>IF(B28=" "," ",(INDEX(Gröddata!$A$10:$N$44,MATCH(B28,Gröddata!A$10:A$44,0),14)))</f>
        <v>1</v>
      </c>
      <c r="F28" s="790" t="str">
        <f>IF(B28=" "," ",IF(Huvudinmatning!H17=TRUE,"nej","ja"))</f>
        <v>ja</v>
      </c>
      <c r="G28" s="694">
        <f t="shared" si="0"/>
        <v>6000</v>
      </c>
      <c r="H28" s="694">
        <f>Huvudinmatning!E17</f>
        <v>0</v>
      </c>
      <c r="I28" s="1653">
        <f t="shared" si="6"/>
        <v>2400</v>
      </c>
      <c r="J28" s="38">
        <f t="shared" si="1"/>
        <v>480</v>
      </c>
      <c r="K28" s="88"/>
      <c r="L28" s="785" t="b">
        <f>IF(Huvudinmatning!K17&gt;0,Huvudinmatning!K17," ")</f>
        <v>0</v>
      </c>
      <c r="M28" s="785">
        <f>Huvudinmatning!L17</f>
        <v>0</v>
      </c>
      <c r="N28" s="38">
        <f t="shared" si="2"/>
        <v>0</v>
      </c>
      <c r="O28" s="87"/>
      <c r="P28" s="907">
        <f>IF(Huvudinmatning!J17=0,0,(INDEX(Mullberäkning!$Y$5:$Z$8,MATCH(Huvudinmatning!J17,Mullberäkning!$Y$5:$Y$8,0),2)))</f>
        <v>0</v>
      </c>
      <c r="Q28" s="1611">
        <f t="shared" si="3"/>
        <v>-758.72093023255809</v>
      </c>
      <c r="R28" s="88"/>
      <c r="S28" s="786">
        <f>IF(Huvudinmatning!M17&gt;0,Huvudinmatning!M17,0)</f>
        <v>0</v>
      </c>
      <c r="T28" s="787">
        <f>IF(Huvudinmatning!N17&gt;0,Huvudinmatning!N17,0)</f>
        <v>0</v>
      </c>
      <c r="U28" s="755">
        <f>IF(S28=0,0,(INDEX(Stallgödseldata!B$16:D$27,MATCH(S28,Stallgödseldata!B$16:B$27,0),3)))</f>
        <v>0</v>
      </c>
      <c r="V28" s="1611">
        <f t="shared" si="4"/>
        <v>0</v>
      </c>
      <c r="W28" s="88"/>
      <c r="X28" s="2061">
        <f t="shared" si="5"/>
        <v>-278.72093023255809</v>
      </c>
      <c r="Y28" s="716" t="s">
        <v>323</v>
      </c>
      <c r="Z28" s="866">
        <f>AA112</f>
        <v>1.6969542949552188</v>
      </c>
      <c r="AA28" s="1613">
        <f t="shared" si="7"/>
        <v>2.9187613873229763</v>
      </c>
      <c r="AB28" s="1122"/>
      <c r="AC28" s="1126"/>
      <c r="AD28" s="1126"/>
      <c r="AE28" s="1126"/>
      <c r="AF28" s="1126"/>
      <c r="AG28" s="1126"/>
      <c r="AH28" s="1126"/>
      <c r="AI28" s="1126"/>
      <c r="AJ28" s="1126"/>
      <c r="AK28" s="1126"/>
      <c r="AL28" s="1126"/>
      <c r="AM28" s="1184"/>
      <c r="AN28" s="2"/>
      <c r="AO28" s="2"/>
    </row>
    <row r="29" spans="1:41">
      <c r="A29" s="1080">
        <v>5</v>
      </c>
      <c r="B29" s="86" t="str">
        <f>IF(Huvudinmatning!B18&gt;0,Huvudinmatning!B18," ")</f>
        <v>Höstvete bröd</v>
      </c>
      <c r="C29" s="86">
        <f>IF(Huvudinmatning!C18&gt;0,Huvudinmatning!C18," ")</f>
        <v>8000</v>
      </c>
      <c r="D29" s="87"/>
      <c r="E29" s="2284">
        <f>IF(B29=" "," ",(INDEX(Gröddata!$A$10:$N$44,MATCH(B29,Gröddata!A$10:A$44,0),14)))</f>
        <v>1</v>
      </c>
      <c r="F29" s="790" t="str">
        <f>IF(B29=" "," ",IF(Huvudinmatning!H18=TRUE,"nej","ja"))</f>
        <v>ja</v>
      </c>
      <c r="G29" s="694">
        <f t="shared" si="0"/>
        <v>12000</v>
      </c>
      <c r="H29" s="694">
        <f>Huvudinmatning!E18</f>
        <v>0</v>
      </c>
      <c r="I29" s="1653">
        <f t="shared" si="6"/>
        <v>4800</v>
      </c>
      <c r="J29" s="38">
        <f t="shared" si="1"/>
        <v>960</v>
      </c>
      <c r="K29" s="88"/>
      <c r="L29" s="785" t="b">
        <f>IF(Huvudinmatning!K18&gt;0,Huvudinmatning!K18," ")</f>
        <v>0</v>
      </c>
      <c r="M29" s="785">
        <f>Huvudinmatning!L18</f>
        <v>0</v>
      </c>
      <c r="N29" s="38">
        <f t="shared" si="2"/>
        <v>0</v>
      </c>
      <c r="O29" s="87"/>
      <c r="P29" s="907">
        <f>IF(Huvudinmatning!J18=0,0,(INDEX(Mullberäkning!$Y$5:$Z$8,MATCH(Huvudinmatning!J18,Mullberäkning!$Y$5:$Y$8,0),2)))</f>
        <v>0</v>
      </c>
      <c r="Q29" s="1611">
        <f t="shared" si="3"/>
        <v>-758.72093023255809</v>
      </c>
      <c r="R29" s="88"/>
      <c r="S29" s="786">
        <f>IF(Huvudinmatning!M18&gt;0,Huvudinmatning!M18,0)</f>
        <v>0</v>
      </c>
      <c r="T29" s="787">
        <f>IF(Huvudinmatning!N18&gt;0,Huvudinmatning!N18,0)</f>
        <v>0</v>
      </c>
      <c r="U29" s="755">
        <f>IF(S29=0,0,(INDEX(Stallgödseldata!B$16:D$27,MATCH(S29,Stallgödseldata!B$16:B$27,0),3)))</f>
        <v>0</v>
      </c>
      <c r="V29" s="1611">
        <f t="shared" si="4"/>
        <v>0</v>
      </c>
      <c r="W29" s="88"/>
      <c r="X29" s="2061">
        <f t="shared" si="5"/>
        <v>201.27906976744191</v>
      </c>
      <c r="Y29" s="716" t="s">
        <v>78</v>
      </c>
      <c r="Z29" s="866">
        <f>AA132</f>
        <v>1.7143943884035469</v>
      </c>
      <c r="AA29" s="1613">
        <f t="shared" si="7"/>
        <v>2.9487583480541004</v>
      </c>
      <c r="AB29" s="1122"/>
      <c r="AC29" s="1126"/>
      <c r="AD29" s="1126"/>
      <c r="AE29" s="1126"/>
      <c r="AF29" s="1126"/>
      <c r="AG29" s="1126"/>
      <c r="AH29" s="1126"/>
      <c r="AI29" s="1126"/>
      <c r="AJ29" s="1126"/>
      <c r="AK29" s="1126"/>
      <c r="AL29" s="1126"/>
      <c r="AM29" s="1184"/>
      <c r="AN29" s="2"/>
      <c r="AO29" s="2"/>
    </row>
    <row r="30" spans="1:41">
      <c r="A30" s="1080">
        <v>6</v>
      </c>
      <c r="B30" s="86" t="str">
        <f>IF(Huvudinmatning!B19&gt;0,Huvudinmatning!B19," ")</f>
        <v>Höstvete bröd</v>
      </c>
      <c r="C30" s="86">
        <f>IF(Huvudinmatning!C19&gt;0,Huvudinmatning!C19," ")</f>
        <v>8000</v>
      </c>
      <c r="D30" s="87"/>
      <c r="E30" s="2284">
        <f>IF(B30=" "," ",(INDEX(Gröddata!$A$10:$N$44,MATCH(B30,Gröddata!A$10:A$44,0),14)))</f>
        <v>1</v>
      </c>
      <c r="F30" s="790" t="str">
        <f>IF(B30=" "," ",IF(Huvudinmatning!H19=TRUE,"nej","ja"))</f>
        <v>ja</v>
      </c>
      <c r="G30" s="694">
        <f t="shared" si="0"/>
        <v>12000</v>
      </c>
      <c r="H30" s="694">
        <f>Huvudinmatning!E19</f>
        <v>0</v>
      </c>
      <c r="I30" s="1653">
        <f t="shared" si="6"/>
        <v>4800</v>
      </c>
      <c r="J30" s="38">
        <f t="shared" si="1"/>
        <v>960</v>
      </c>
      <c r="K30" s="88"/>
      <c r="L30" s="785" t="b">
        <f>IF(Huvudinmatning!K19&gt;0,Huvudinmatning!K19," ")</f>
        <v>0</v>
      </c>
      <c r="M30" s="785">
        <f>Huvudinmatning!L19</f>
        <v>0</v>
      </c>
      <c r="N30" s="38">
        <f t="shared" si="2"/>
        <v>0</v>
      </c>
      <c r="O30" s="87"/>
      <c r="P30" s="907">
        <f>IF(Huvudinmatning!J19=0,0,(INDEX(Mullberäkning!$Y$5:$Z$8,MATCH(Huvudinmatning!J19,Mullberäkning!$Y$5:$Y$8,0),2)))</f>
        <v>0</v>
      </c>
      <c r="Q30" s="1611">
        <f t="shared" si="3"/>
        <v>-758.72093023255809</v>
      </c>
      <c r="R30" s="88"/>
      <c r="S30" s="786">
        <f>IF(Huvudinmatning!M19&gt;0,Huvudinmatning!M19,0)</f>
        <v>0</v>
      </c>
      <c r="T30" s="787">
        <f>IF(Huvudinmatning!N19&gt;0,Huvudinmatning!N19,0)</f>
        <v>0</v>
      </c>
      <c r="U30" s="755">
        <f>IF(S30=0,0,(INDEX(Stallgödseldata!B$16:D$27,MATCH(S30,Stallgödseldata!B$16:B$27,0),3)))</f>
        <v>0</v>
      </c>
      <c r="V30" s="1611">
        <f t="shared" si="4"/>
        <v>0</v>
      </c>
      <c r="W30" s="88"/>
      <c r="X30" s="2061">
        <f t="shared" si="5"/>
        <v>201.27906976744191</v>
      </c>
      <c r="Y30" s="716" t="s">
        <v>324</v>
      </c>
      <c r="Z30" s="866">
        <f>AA152</f>
        <v>1.7272849968721844</v>
      </c>
      <c r="AA30" s="1613">
        <f t="shared" si="7"/>
        <v>2.9709301946201569</v>
      </c>
      <c r="AB30" s="1122"/>
      <c r="AC30" s="1126"/>
      <c r="AD30" s="1126"/>
      <c r="AE30" s="1126"/>
      <c r="AF30" s="1126"/>
      <c r="AG30" s="1126"/>
      <c r="AH30" s="1126"/>
      <c r="AI30" s="1126"/>
      <c r="AJ30" s="1126"/>
      <c r="AK30" s="1126"/>
      <c r="AL30" s="1126"/>
      <c r="AM30" s="1184"/>
      <c r="AN30" s="2"/>
      <c r="AO30" s="2"/>
    </row>
    <row r="31" spans="1:41" s="20" customFormat="1">
      <c r="A31" s="1080">
        <v>7</v>
      </c>
      <c r="B31" s="86" t="str">
        <f>IF(Huvudinmatning!B20&gt;0,Huvudinmatning!B20," ")</f>
        <v>Maltkorn</v>
      </c>
      <c r="C31" s="86">
        <f>IF(Huvudinmatning!C20&gt;0,Huvudinmatning!C20," ")</f>
        <v>5500</v>
      </c>
      <c r="D31" s="87"/>
      <c r="E31" s="2284">
        <f>IF(B31=" "," ",(INDEX(Gröddata!$A$10:$N$44,MATCH(B31,Gröddata!A$10:A$44,0),14)))</f>
        <v>1</v>
      </c>
      <c r="F31" s="790" t="str">
        <f>IF(B31=" "," ",IF(Huvudinmatning!H20=TRUE,"nej","ja"))</f>
        <v>ja</v>
      </c>
      <c r="G31" s="694">
        <f t="shared" si="0"/>
        <v>4950</v>
      </c>
      <c r="H31" s="694">
        <f>Huvudinmatning!E20</f>
        <v>0</v>
      </c>
      <c r="I31" s="1653">
        <f t="shared" si="6"/>
        <v>1980</v>
      </c>
      <c r="J31" s="38">
        <f t="shared" si="1"/>
        <v>396</v>
      </c>
      <c r="K31" s="88"/>
      <c r="L31" s="785" t="b">
        <f>IF(Huvudinmatning!K20&gt;0,Huvudinmatning!K20," ")</f>
        <v>0</v>
      </c>
      <c r="M31" s="785">
        <f>Huvudinmatning!L20</f>
        <v>0</v>
      </c>
      <c r="N31" s="38">
        <f t="shared" si="2"/>
        <v>0</v>
      </c>
      <c r="O31" s="87"/>
      <c r="P31" s="907">
        <f>IF(Huvudinmatning!J20=0,0,(INDEX(Mullberäkning!$Y$5:$Z$8,MATCH(Huvudinmatning!J20,Mullberäkning!$Y$5:$Y$8,0),2)))</f>
        <v>0</v>
      </c>
      <c r="Q31" s="1611">
        <f t="shared" si="3"/>
        <v>-758.72093023255809</v>
      </c>
      <c r="R31" s="88"/>
      <c r="S31" s="786">
        <f>IF(Huvudinmatning!M20&gt;0,Huvudinmatning!M20,0)</f>
        <v>0</v>
      </c>
      <c r="T31" s="787">
        <f>IF(Huvudinmatning!N20&gt;0,Huvudinmatning!N20,0)</f>
        <v>0</v>
      </c>
      <c r="U31" s="755">
        <f>IF(S31=0,0,(INDEX(Stallgödseldata!B$16:D$27,MATCH(S31,Stallgödseldata!B$16:B$27,0),3)))</f>
        <v>0</v>
      </c>
      <c r="V31" s="1611">
        <f t="shared" si="4"/>
        <v>0</v>
      </c>
      <c r="W31" s="88"/>
      <c r="X31" s="2061">
        <f t="shared" si="5"/>
        <v>-362.72093023255809</v>
      </c>
      <c r="Y31" s="526"/>
      <c r="Z31" s="526"/>
      <c r="AA31" s="483"/>
      <c r="AB31" s="1122"/>
      <c r="AC31" s="1126"/>
      <c r="AD31" s="1126"/>
      <c r="AE31" s="1126"/>
      <c r="AF31" s="1126"/>
      <c r="AG31" s="1126"/>
      <c r="AH31" s="1126"/>
      <c r="AI31" s="1126"/>
      <c r="AJ31" s="1126"/>
      <c r="AK31" s="1126"/>
      <c r="AL31" s="1126"/>
      <c r="AM31" s="1184"/>
      <c r="AN31" s="2"/>
      <c r="AO31" s="2"/>
    </row>
    <row r="32" spans="1:41">
      <c r="A32" s="1080">
        <v>8</v>
      </c>
      <c r="B32" s="86" t="str">
        <f>IF(Huvudinmatning!B21&gt;0,Huvudinmatning!B21," ")</f>
        <v xml:space="preserve"> </v>
      </c>
      <c r="C32" s="86" t="str">
        <f>IF(Huvudinmatning!C21&gt;0,Huvudinmatning!C21," ")</f>
        <v xml:space="preserve"> </v>
      </c>
      <c r="D32" s="87"/>
      <c r="E32" s="2284" t="str">
        <f>IF(B32=" "," ",(INDEX(Gröddata!$A$10:$N$44,MATCH(B32,Gröddata!A$10:A$44,0),14)))</f>
        <v xml:space="preserve"> </v>
      </c>
      <c r="F32" s="790" t="str">
        <f>IF(B32=" "," ",IF(Huvudinmatning!H21=TRUE,"nej","ja"))</f>
        <v xml:space="preserve"> </v>
      </c>
      <c r="G32" s="694" t="str">
        <f t="shared" si="0"/>
        <v xml:space="preserve"> </v>
      </c>
      <c r="H32" s="694">
        <f>Huvudinmatning!E21</f>
        <v>0</v>
      </c>
      <c r="I32" s="1653" t="str">
        <f t="shared" si="6"/>
        <v xml:space="preserve"> </v>
      </c>
      <c r="J32" s="38" t="str">
        <f t="shared" si="1"/>
        <v xml:space="preserve"> </v>
      </c>
      <c r="K32" s="88"/>
      <c r="L32" s="785" t="b">
        <f>IF(Huvudinmatning!K21&gt;0,Huvudinmatning!K21," ")</f>
        <v>0</v>
      </c>
      <c r="M32" s="785">
        <f>Huvudinmatning!L21</f>
        <v>0</v>
      </c>
      <c r="N32" s="38">
        <f t="shared" si="2"/>
        <v>0</v>
      </c>
      <c r="O32" s="87"/>
      <c r="P32" s="907">
        <f>IF(Huvudinmatning!J21=0,0,(INDEX(Mullberäkning!$Y$5:$Z$8,MATCH(Huvudinmatning!J21,Mullberäkning!$Y$5:$Y$8,0),2)))</f>
        <v>0</v>
      </c>
      <c r="Q32" s="1611" t="str">
        <f t="shared" si="3"/>
        <v xml:space="preserve"> </v>
      </c>
      <c r="R32" s="88"/>
      <c r="S32" s="786">
        <f>IF(Huvudinmatning!M21&gt;0,Huvudinmatning!M21,0)</f>
        <v>0</v>
      </c>
      <c r="T32" s="787">
        <f>IF(Huvudinmatning!N21&gt;0,Huvudinmatning!N21,0)</f>
        <v>0</v>
      </c>
      <c r="U32" s="755">
        <f>IF(S32=0,0,(INDEX(Stallgödseldata!B$16:D$27,MATCH(S32,Stallgödseldata!B$16:B$27,0),3)))</f>
        <v>0</v>
      </c>
      <c r="V32" s="1611">
        <f t="shared" si="4"/>
        <v>0</v>
      </c>
      <c r="W32" s="88"/>
      <c r="X32" s="2061" t="str">
        <f t="shared" si="5"/>
        <v xml:space="preserve"> </v>
      </c>
      <c r="Y32" s="716"/>
      <c r="Z32" s="716"/>
      <c r="AA32" s="483"/>
      <c r="AB32" s="1122"/>
      <c r="AC32" s="1126"/>
      <c r="AD32" s="1126"/>
      <c r="AE32" s="1126"/>
      <c r="AF32" s="1126"/>
      <c r="AG32" s="1126"/>
      <c r="AH32" s="1126"/>
      <c r="AI32" s="1126"/>
      <c r="AJ32" s="1126"/>
      <c r="AK32" s="1126"/>
      <c r="AL32" s="1126"/>
      <c r="AM32" s="1184"/>
      <c r="AN32" s="2"/>
      <c r="AO32" s="2"/>
    </row>
    <row r="33" spans="1:41">
      <c r="A33" s="1080">
        <v>9</v>
      </c>
      <c r="B33" s="86" t="str">
        <f>IF(Huvudinmatning!B22&gt;0,Huvudinmatning!B22," ")</f>
        <v xml:space="preserve"> </v>
      </c>
      <c r="C33" s="86" t="str">
        <f>IF(Huvudinmatning!C22&gt;0,Huvudinmatning!C22," ")</f>
        <v xml:space="preserve"> </v>
      </c>
      <c r="D33" s="87"/>
      <c r="E33" s="2284" t="str">
        <f>IF(B33=" "," ",(INDEX(Gröddata!$A$10:$N$44,MATCH(B33,Gröddata!A$10:A$44,0),14)))</f>
        <v xml:space="preserve"> </v>
      </c>
      <c r="F33" s="790" t="str">
        <f>IF(B33=" "," ",IF(Huvudinmatning!H22=TRUE,"nej","ja"))</f>
        <v xml:space="preserve"> </v>
      </c>
      <c r="G33" s="694" t="str">
        <f t="shared" si="0"/>
        <v xml:space="preserve"> </v>
      </c>
      <c r="H33" s="694">
        <f>Huvudinmatning!E22</f>
        <v>0</v>
      </c>
      <c r="I33" s="1653" t="str">
        <f t="shared" si="6"/>
        <v xml:space="preserve"> </v>
      </c>
      <c r="J33" s="38" t="str">
        <f t="shared" si="1"/>
        <v xml:space="preserve"> </v>
      </c>
      <c r="K33" s="88"/>
      <c r="L33" s="785" t="b">
        <f>IF(Huvudinmatning!K22&gt;0,Huvudinmatning!K22," ")</f>
        <v>0</v>
      </c>
      <c r="M33" s="785">
        <f>Huvudinmatning!L22</f>
        <v>0</v>
      </c>
      <c r="N33" s="38">
        <f t="shared" si="2"/>
        <v>0</v>
      </c>
      <c r="O33" s="87"/>
      <c r="P33" s="907">
        <f>IF(Huvudinmatning!J22=0,0,(INDEX(Mullberäkning!$Y$5:$Z$8,MATCH(Huvudinmatning!J22,Mullberäkning!$Y$5:$Y$8,0),2)))</f>
        <v>0</v>
      </c>
      <c r="Q33" s="1611" t="str">
        <f t="shared" si="3"/>
        <v xml:space="preserve"> </v>
      </c>
      <c r="R33" s="88"/>
      <c r="S33" s="786">
        <f>IF(Huvudinmatning!M22&gt;0,Huvudinmatning!M22,0)</f>
        <v>0</v>
      </c>
      <c r="T33" s="787">
        <f>IF(Huvudinmatning!N22&gt;0,Huvudinmatning!N22,0)</f>
        <v>0</v>
      </c>
      <c r="U33" s="755">
        <f>IF(S33=0,0,(INDEX(Stallgödseldata!B$16:D$27,MATCH(S33,Stallgödseldata!B$16:B$27,0),3)))</f>
        <v>0</v>
      </c>
      <c r="V33" s="1611">
        <f t="shared" si="4"/>
        <v>0</v>
      </c>
      <c r="W33" s="88"/>
      <c r="X33" s="2061" t="str">
        <f t="shared" si="5"/>
        <v xml:space="preserve"> </v>
      </c>
      <c r="Y33" s="716"/>
      <c r="Z33" s="716"/>
      <c r="AA33" s="483"/>
      <c r="AB33" s="1122"/>
      <c r="AC33" s="1126"/>
      <c r="AD33" s="1126"/>
      <c r="AE33" s="1126"/>
      <c r="AF33" s="1126"/>
      <c r="AG33" s="1126"/>
      <c r="AH33" s="1126"/>
      <c r="AI33" s="1126"/>
      <c r="AJ33" s="1126"/>
      <c r="AK33" s="1126"/>
      <c r="AL33" s="1126"/>
      <c r="AM33" s="1184"/>
      <c r="AN33" s="2"/>
      <c r="AO33" s="2"/>
    </row>
    <row r="34" spans="1:41">
      <c r="A34" s="1080">
        <v>10</v>
      </c>
      <c r="B34" s="86" t="str">
        <f>IF(Huvudinmatning!B23&gt;0,Huvudinmatning!B23," ")</f>
        <v xml:space="preserve"> </v>
      </c>
      <c r="C34" s="86" t="str">
        <f>IF(Huvudinmatning!C23&gt;0,Huvudinmatning!C23," ")</f>
        <v xml:space="preserve"> </v>
      </c>
      <c r="D34" s="87"/>
      <c r="E34" s="2284" t="str">
        <f>IF(B34=" "," ",(INDEX(Gröddata!$A$10:$N$44,MATCH(B34,Gröddata!A$10:A$44,0),14)))</f>
        <v xml:space="preserve"> </v>
      </c>
      <c r="F34" s="790" t="str">
        <f>IF(B34=" "," ",IF(Huvudinmatning!H23=TRUE,"nej","ja"))</f>
        <v xml:space="preserve"> </v>
      </c>
      <c r="G34" s="694" t="str">
        <f t="shared" si="0"/>
        <v xml:space="preserve"> </v>
      </c>
      <c r="H34" s="694">
        <f>Huvudinmatning!E23</f>
        <v>0</v>
      </c>
      <c r="I34" s="1653" t="str">
        <f t="shared" si="6"/>
        <v xml:space="preserve"> </v>
      </c>
      <c r="J34" s="38" t="str">
        <f t="shared" si="1"/>
        <v xml:space="preserve"> </v>
      </c>
      <c r="K34" s="88"/>
      <c r="L34" s="785" t="b">
        <f>IF(Huvudinmatning!K23&gt;0,Huvudinmatning!K23," ")</f>
        <v>0</v>
      </c>
      <c r="M34" s="785">
        <f>Huvudinmatning!L23</f>
        <v>0</v>
      </c>
      <c r="N34" s="38">
        <f t="shared" si="2"/>
        <v>0</v>
      </c>
      <c r="O34" s="87"/>
      <c r="P34" s="907">
        <f>IF(Huvudinmatning!J23=0,0,(INDEX(Mullberäkning!$Y$5:$Z$8,MATCH(Huvudinmatning!J23,Mullberäkning!$Y$5:$Y$8,0),2)))</f>
        <v>0</v>
      </c>
      <c r="Q34" s="2062" t="str">
        <f t="shared" si="3"/>
        <v xml:space="preserve"> </v>
      </c>
      <c r="R34" s="88"/>
      <c r="S34" s="786">
        <f>IF(Huvudinmatning!M23&gt;0,Huvudinmatning!M23,0)</f>
        <v>0</v>
      </c>
      <c r="T34" s="787">
        <f>IF(Huvudinmatning!N23&gt;0,Huvudinmatning!N23,0)</f>
        <v>0</v>
      </c>
      <c r="U34" s="755">
        <f>IF(S34=0,0,(INDEX(Stallgödseldata!B$16:D$27,MATCH(S34,Stallgödseldata!B$16:B$27,0),3)))</f>
        <v>0</v>
      </c>
      <c r="V34" s="1611">
        <f t="shared" si="4"/>
        <v>0</v>
      </c>
      <c r="W34" s="88"/>
      <c r="X34" s="2061" t="str">
        <f t="shared" si="5"/>
        <v xml:space="preserve"> </v>
      </c>
      <c r="Y34" s="716"/>
      <c r="Z34" s="716"/>
      <c r="AA34" s="483"/>
      <c r="AB34" s="1122"/>
      <c r="AC34" s="1126"/>
      <c r="AD34" s="1126"/>
      <c r="AE34" s="1126"/>
      <c r="AF34" s="1126"/>
      <c r="AG34" s="1126"/>
      <c r="AH34" s="1126"/>
      <c r="AI34" s="1126"/>
      <c r="AJ34" s="1126"/>
      <c r="AK34" s="1126"/>
      <c r="AL34" s="1126"/>
      <c r="AM34" s="1184"/>
      <c r="AN34" s="2"/>
      <c r="AO34" s="2"/>
    </row>
    <row r="35" spans="1:41">
      <c r="A35" s="737"/>
      <c r="B35" s="8"/>
      <c r="C35" s="8"/>
      <c r="D35" s="89"/>
      <c r="E35" s="89"/>
      <c r="F35" s="89"/>
      <c r="G35" s="89"/>
      <c r="H35" s="526"/>
      <c r="I35" s="8"/>
      <c r="J35" s="10">
        <f>SUM(J25:J34)</f>
        <v>5556</v>
      </c>
      <c r="K35" s="8"/>
      <c r="L35" s="89"/>
      <c r="M35" s="89"/>
      <c r="N35" s="312">
        <f>SUM(N25:N34)</f>
        <v>0</v>
      </c>
      <c r="O35" s="1150"/>
      <c r="P35" s="8"/>
      <c r="Q35" s="1498">
        <f>SUM(Q25:Q34)</f>
        <v>-5311.0465116279065</v>
      </c>
      <c r="R35" s="1150"/>
      <c r="S35" s="1150"/>
      <c r="T35" s="89"/>
      <c r="U35" s="89"/>
      <c r="V35" s="92">
        <f>SUM(V25:V34)</f>
        <v>0</v>
      </c>
      <c r="W35" s="1150"/>
      <c r="X35" s="8"/>
      <c r="Y35" s="716"/>
      <c r="Z35" s="716"/>
      <c r="AA35" s="483"/>
      <c r="AB35" s="1122"/>
      <c r="AC35" s="1126"/>
      <c r="AD35" s="1126"/>
      <c r="AE35" s="1126"/>
      <c r="AF35" s="1126"/>
      <c r="AG35" s="1126"/>
      <c r="AH35" s="1126"/>
      <c r="AI35" s="1126"/>
      <c r="AJ35" s="1126"/>
      <c r="AK35" s="1126"/>
      <c r="AL35" s="1126"/>
      <c r="AM35" s="1184"/>
      <c r="AN35" s="2"/>
      <c r="AO35" s="2"/>
    </row>
    <row r="36" spans="1:41">
      <c r="A36" s="737"/>
      <c r="B36" s="8"/>
      <c r="C36" s="8"/>
      <c r="D36" s="89"/>
      <c r="E36" s="89"/>
      <c r="F36" s="89"/>
      <c r="G36" s="89"/>
      <c r="H36" s="526"/>
      <c r="I36" s="8"/>
      <c r="J36" s="8"/>
      <c r="K36" s="8"/>
      <c r="L36" s="89"/>
      <c r="M36" s="89"/>
      <c r="N36" s="8"/>
      <c r="O36" s="1150"/>
      <c r="P36" s="8"/>
      <c r="Q36" s="8"/>
      <c r="R36" s="1150"/>
      <c r="S36" s="1150"/>
      <c r="T36" s="89" t="s">
        <v>327</v>
      </c>
      <c r="U36" s="89"/>
      <c r="V36" s="8"/>
      <c r="W36" s="1150"/>
      <c r="X36" s="8"/>
      <c r="Y36" s="716"/>
      <c r="Z36" s="716"/>
      <c r="AA36" s="483"/>
      <c r="AB36" s="1122"/>
      <c r="AC36" s="1126"/>
      <c r="AD36" s="1126"/>
      <c r="AE36" s="1126"/>
      <c r="AF36" s="1126"/>
      <c r="AG36" s="1126"/>
      <c r="AH36" s="1126"/>
      <c r="AI36" s="1126"/>
      <c r="AJ36" s="1126"/>
      <c r="AK36" s="1126"/>
      <c r="AL36" s="1126"/>
      <c r="AM36" s="1184"/>
      <c r="AN36" s="2"/>
      <c r="AO36" s="2"/>
    </row>
    <row r="37" spans="1:41" ht="15.75" customHeight="1">
      <c r="A37" s="737"/>
      <c r="B37" s="8"/>
      <c r="C37" s="8"/>
      <c r="D37" s="89"/>
      <c r="E37" s="89"/>
      <c r="F37" s="89"/>
      <c r="G37" s="89"/>
      <c r="H37" s="526"/>
      <c r="I37" s="8"/>
      <c r="J37" s="8"/>
      <c r="K37" s="8"/>
      <c r="L37" s="89"/>
      <c r="M37" s="89"/>
      <c r="N37" s="1496" t="s">
        <v>325</v>
      </c>
      <c r="O37" s="1497"/>
      <c r="P37" s="1499">
        <f>SUM(P25:P34)</f>
        <v>0</v>
      </c>
      <c r="Q37" s="1500" t="s">
        <v>314</v>
      </c>
      <c r="R37" s="1150"/>
      <c r="S37" s="1150" t="s">
        <v>327</v>
      </c>
      <c r="T37" s="89"/>
      <c r="U37" s="89"/>
      <c r="V37" s="8"/>
      <c r="W37" s="1150"/>
      <c r="X37" s="8"/>
      <c r="Y37" s="716"/>
      <c r="Z37" s="716"/>
      <c r="AA37" s="483"/>
      <c r="AB37" s="1122"/>
      <c r="AC37" s="1126"/>
      <c r="AD37" s="1126"/>
      <c r="AE37" s="1126"/>
      <c r="AF37" s="1126"/>
      <c r="AG37" s="1126"/>
      <c r="AH37" s="1126"/>
      <c r="AI37" s="1126"/>
      <c r="AJ37" s="1126"/>
      <c r="AK37" s="1126"/>
      <c r="AL37" s="1126"/>
      <c r="AM37" s="1184"/>
      <c r="AN37" s="2"/>
      <c r="AO37" s="2"/>
    </row>
    <row r="38" spans="1:41" ht="12" customHeight="1">
      <c r="A38" s="737"/>
      <c r="B38" s="8"/>
      <c r="C38" s="8"/>
      <c r="D38" s="89"/>
      <c r="E38" s="89"/>
      <c r="F38" s="89"/>
      <c r="G38" s="89"/>
      <c r="H38" s="526"/>
      <c r="I38" s="8"/>
      <c r="J38" s="8"/>
      <c r="K38" s="8"/>
      <c r="L38" s="89"/>
      <c r="M38" s="89"/>
      <c r="N38" s="1496" t="s">
        <v>326</v>
      </c>
      <c r="O38" s="1497"/>
      <c r="P38" s="1503">
        <f>+P37/C19</f>
        <v>0</v>
      </c>
      <c r="Q38" s="1502" t="s">
        <v>314</v>
      </c>
      <c r="R38" s="1150"/>
      <c r="S38" s="1150"/>
      <c r="T38" s="8" t="s">
        <v>327</v>
      </c>
      <c r="U38" s="8"/>
      <c r="V38" s="8"/>
      <c r="W38" s="309"/>
      <c r="X38" s="309"/>
      <c r="Y38" s="526"/>
      <c r="Z38" s="526"/>
      <c r="AA38" s="483"/>
      <c r="AB38" s="1122"/>
      <c r="AC38" s="1126"/>
      <c r="AD38" s="1126"/>
      <c r="AE38" s="1126"/>
      <c r="AF38" s="1126"/>
      <c r="AG38" s="1126"/>
      <c r="AH38" s="1126"/>
      <c r="AI38" s="1126"/>
      <c r="AJ38" s="1126"/>
      <c r="AK38" s="1126"/>
      <c r="AL38" s="1126"/>
      <c r="AM38" s="1184"/>
      <c r="AN38" s="2"/>
      <c r="AO38" s="2"/>
    </row>
    <row r="39" spans="1:41" ht="13.5" thickBot="1">
      <c r="A39" s="738"/>
      <c r="B39" s="739"/>
      <c r="C39" s="739"/>
      <c r="D39" s="1151"/>
      <c r="E39" s="1151"/>
      <c r="F39" s="1151"/>
      <c r="G39" s="739"/>
      <c r="H39" s="562"/>
      <c r="I39" s="739"/>
      <c r="J39" s="739"/>
      <c r="K39" s="1151"/>
      <c r="L39" s="739"/>
      <c r="M39" s="739"/>
      <c r="N39" s="739"/>
      <c r="O39" s="1151"/>
      <c r="P39" s="739"/>
      <c r="Q39" s="739"/>
      <c r="R39" s="1151"/>
      <c r="S39" s="1151"/>
      <c r="T39" s="739"/>
      <c r="U39" s="739"/>
      <c r="V39" s="739"/>
      <c r="W39" s="1151"/>
      <c r="X39" s="739"/>
      <c r="Y39" s="1152"/>
      <c r="Z39" s="1152"/>
      <c r="AA39" s="1037"/>
      <c r="AB39" s="1122"/>
      <c r="AC39" s="1126"/>
      <c r="AD39" s="1126"/>
      <c r="AE39" s="1126"/>
      <c r="AF39" s="1126"/>
      <c r="AG39" s="1126"/>
      <c r="AH39" s="1126"/>
      <c r="AI39" s="1126"/>
      <c r="AJ39" s="1126"/>
      <c r="AK39" s="1126"/>
      <c r="AL39" s="1126"/>
      <c r="AM39" s="1184"/>
      <c r="AN39" s="2"/>
      <c r="AO39" s="2"/>
    </row>
    <row r="40" spans="1:41" ht="16.5" thickBot="1">
      <c r="A40" s="486"/>
      <c r="B40" s="486"/>
      <c r="C40" s="486"/>
      <c r="D40" s="486"/>
      <c r="E40" s="486"/>
      <c r="F40" s="486"/>
      <c r="G40" s="486"/>
      <c r="I40" s="486"/>
      <c r="J40" s="486"/>
      <c r="K40" s="486"/>
      <c r="L40" s="486"/>
      <c r="M40" s="486"/>
      <c r="N40" s="486"/>
      <c r="O40" s="486"/>
      <c r="P40" s="486"/>
      <c r="Q40" s="486"/>
      <c r="R40" s="486"/>
      <c r="S40" s="486"/>
      <c r="T40" s="486"/>
      <c r="U40" s="486"/>
      <c r="V40" s="486"/>
      <c r="W40" s="486"/>
      <c r="X40" s="486"/>
      <c r="Y40" s="486"/>
      <c r="Z40" s="486"/>
      <c r="AA40" s="1354"/>
      <c r="AB40" s="1122"/>
      <c r="AC40" s="1185" t="s">
        <v>808</v>
      </c>
      <c r="AD40" s="1126"/>
      <c r="AE40" s="1126"/>
      <c r="AF40" s="1126"/>
      <c r="AG40" s="1126"/>
      <c r="AH40" s="1126"/>
      <c r="AI40" s="1126"/>
      <c r="AJ40" s="1126"/>
      <c r="AK40" s="1126"/>
      <c r="AL40" s="1126"/>
      <c r="AM40" s="1184"/>
      <c r="AN40" s="2"/>
      <c r="AO40" s="2"/>
    </row>
    <row r="41" spans="1:41" s="51" customFormat="1" ht="15.75">
      <c r="A41" s="1153" t="s">
        <v>147</v>
      </c>
      <c r="B41" s="734"/>
      <c r="C41" s="734"/>
      <c r="D41" s="1143"/>
      <c r="E41" s="1143"/>
      <c r="F41" s="1143"/>
      <c r="G41" s="734"/>
      <c r="H41" s="529"/>
      <c r="I41" s="734"/>
      <c r="J41" s="734"/>
      <c r="K41" s="1143"/>
      <c r="L41" s="734"/>
      <c r="M41" s="734"/>
      <c r="N41" s="734"/>
      <c r="O41" s="1143"/>
      <c r="P41" s="1154"/>
      <c r="Q41" s="734"/>
      <c r="R41" s="1143"/>
      <c r="S41" s="1143"/>
      <c r="T41" s="734"/>
      <c r="U41" s="734"/>
      <c r="V41" s="734"/>
      <c r="W41" s="1143"/>
      <c r="X41" s="734"/>
      <c r="Y41" s="715"/>
      <c r="Z41" s="715"/>
      <c r="AA41" s="482"/>
      <c r="AB41" s="1188"/>
      <c r="AC41" s="1418"/>
      <c r="AD41" s="1189"/>
      <c r="AE41" s="1189"/>
      <c r="AF41" s="1189"/>
      <c r="AG41" s="1189"/>
      <c r="AH41" s="1189"/>
      <c r="AI41" s="1189"/>
      <c r="AJ41" s="1189"/>
      <c r="AK41" s="1189"/>
      <c r="AL41" s="1189"/>
      <c r="AM41" s="1190"/>
      <c r="AN41" s="4"/>
      <c r="AO41" s="4"/>
    </row>
    <row r="42" spans="1:41" s="51" customFormat="1" ht="15">
      <c r="A42" s="1414"/>
      <c r="B42" s="1413" t="s">
        <v>301</v>
      </c>
      <c r="C42" s="443">
        <f>+Huvudinmatning!D28</f>
        <v>7</v>
      </c>
      <c r="D42" s="416"/>
      <c r="E42" s="416"/>
      <c r="F42" s="416"/>
      <c r="G42" s="8" t="s">
        <v>327</v>
      </c>
      <c r="H42" s="526"/>
      <c r="I42" s="8"/>
      <c r="J42" s="8"/>
      <c r="K42" s="416"/>
      <c r="L42" s="8"/>
      <c r="M42" s="8"/>
      <c r="N42" s="8"/>
      <c r="O42" s="416"/>
      <c r="P42" s="8"/>
      <c r="Q42" s="8"/>
      <c r="R42" s="416"/>
      <c r="S42" s="416"/>
      <c r="T42" s="8"/>
      <c r="U42" s="8"/>
      <c r="V42" s="8"/>
      <c r="W42" s="416"/>
      <c r="X42" s="8"/>
      <c r="Y42" s="716"/>
      <c r="Z42" s="716"/>
      <c r="AA42" s="1614"/>
      <c r="AB42" s="1188"/>
      <c r="AC42" s="1189"/>
      <c r="AD42" s="1189"/>
      <c r="AE42" s="1189"/>
      <c r="AF42" s="1189"/>
      <c r="AG42" s="1189"/>
      <c r="AH42" s="1189"/>
      <c r="AI42" s="1189"/>
      <c r="AJ42" s="1189"/>
      <c r="AK42" s="1189"/>
      <c r="AL42" s="1189"/>
      <c r="AM42" s="1190"/>
      <c r="AN42" s="4"/>
      <c r="AO42" s="4"/>
    </row>
    <row r="43" spans="1:41" s="51" customFormat="1" ht="15.75">
      <c r="A43" s="737"/>
      <c r="B43" s="8"/>
      <c r="C43" s="8"/>
      <c r="D43" s="78"/>
      <c r="E43" s="1656" t="s">
        <v>771</v>
      </c>
      <c r="F43" s="701"/>
      <c r="G43" s="2286"/>
      <c r="H43" s="701"/>
      <c r="I43" s="760"/>
      <c r="J43" s="761"/>
      <c r="K43" s="78"/>
      <c r="L43" s="48" t="s">
        <v>302</v>
      </c>
      <c r="M43" s="60"/>
      <c r="N43" s="35"/>
      <c r="O43" s="1144"/>
      <c r="P43" s="1600" t="s">
        <v>905</v>
      </c>
      <c r="Q43" s="1601"/>
      <c r="R43" s="78"/>
      <c r="S43" s="759" t="s">
        <v>303</v>
      </c>
      <c r="T43" s="701"/>
      <c r="U43" s="717"/>
      <c r="V43" s="718"/>
      <c r="W43" s="78"/>
      <c r="X43" s="302"/>
      <c r="Y43" s="1606" t="s">
        <v>304</v>
      </c>
      <c r="Z43" s="1229"/>
      <c r="AA43" s="1614"/>
      <c r="AB43" s="1188"/>
      <c r="AC43" s="1189"/>
      <c r="AD43" s="1189"/>
      <c r="AE43" s="1189"/>
      <c r="AF43" s="1185"/>
      <c r="AG43" s="1189"/>
      <c r="AH43" s="1189"/>
      <c r="AI43" s="1189"/>
      <c r="AJ43" s="1189"/>
      <c r="AK43" s="1189"/>
      <c r="AL43" s="1189"/>
      <c r="AM43" s="1190"/>
      <c r="AN43" s="4"/>
      <c r="AO43" s="4"/>
    </row>
    <row r="44" spans="1:41" s="51" customFormat="1" ht="15.75">
      <c r="A44" s="737"/>
      <c r="B44" s="8"/>
      <c r="C44" s="8"/>
      <c r="D44" s="78"/>
      <c r="E44" s="1616">
        <v>20</v>
      </c>
      <c r="F44" s="701" t="s">
        <v>939</v>
      </c>
      <c r="G44" s="2286"/>
      <c r="H44" s="701"/>
      <c r="I44" s="760"/>
      <c r="J44" s="761"/>
      <c r="K44" s="78"/>
      <c r="L44" s="1617">
        <v>20</v>
      </c>
      <c r="M44" s="724" t="s">
        <v>938</v>
      </c>
      <c r="N44" s="892"/>
      <c r="O44" s="1144"/>
      <c r="P44" s="1602"/>
      <c r="Q44" s="1603"/>
      <c r="R44" s="78"/>
      <c r="S44" s="1617">
        <v>30</v>
      </c>
      <c r="T44" s="701" t="s">
        <v>938</v>
      </c>
      <c r="U44" s="717"/>
      <c r="V44" s="718"/>
      <c r="W44" s="78"/>
      <c r="X44" s="303"/>
      <c r="Y44" s="1607"/>
      <c r="Z44" s="1608"/>
      <c r="AA44" s="1614"/>
      <c r="AB44" s="1188"/>
      <c r="AC44" s="1189"/>
      <c r="AD44" s="1189"/>
      <c r="AE44" s="1189"/>
      <c r="AF44" s="1185"/>
      <c r="AG44" s="1189"/>
      <c r="AH44" s="1189"/>
      <c r="AI44" s="1189"/>
      <c r="AJ44" s="1189"/>
      <c r="AK44" s="1189"/>
      <c r="AL44" s="1189"/>
      <c r="AM44" s="1190"/>
      <c r="AN44" s="4"/>
      <c r="AO44" s="4"/>
    </row>
    <row r="45" spans="1:41" ht="15">
      <c r="A45" s="1145" t="s">
        <v>137</v>
      </c>
      <c r="B45" s="18" t="s">
        <v>138</v>
      </c>
      <c r="C45" s="18" t="s">
        <v>139</v>
      </c>
      <c r="D45" s="80"/>
      <c r="E45" s="757"/>
      <c r="F45" s="1596"/>
      <c r="G45" s="16" t="s">
        <v>305</v>
      </c>
      <c r="H45" s="1654" t="s">
        <v>957</v>
      </c>
      <c r="I45" s="81" t="s">
        <v>306</v>
      </c>
      <c r="J45" s="81" t="s">
        <v>307</v>
      </c>
      <c r="K45" s="80"/>
      <c r="L45" s="81" t="s">
        <v>5</v>
      </c>
      <c r="M45" s="17" t="s">
        <v>308</v>
      </c>
      <c r="N45" s="17" t="s">
        <v>307</v>
      </c>
      <c r="O45" s="80"/>
      <c r="P45" s="1599" t="s">
        <v>82</v>
      </c>
      <c r="Q45" s="54" t="s">
        <v>310</v>
      </c>
      <c r="R45" s="80"/>
      <c r="S45" s="757" t="s">
        <v>309</v>
      </c>
      <c r="T45" s="82" t="s">
        <v>311</v>
      </c>
      <c r="U45" s="59" t="s">
        <v>312</v>
      </c>
      <c r="V45" s="17" t="s">
        <v>197</v>
      </c>
      <c r="W45" s="80"/>
      <c r="X45" s="81" t="s">
        <v>153</v>
      </c>
      <c r="Y45" s="1604" t="s">
        <v>313</v>
      </c>
      <c r="Z45" s="1605"/>
      <c r="AA45" s="1614"/>
      <c r="AB45" s="1122"/>
      <c r="AC45" s="1126"/>
      <c r="AD45" s="1126"/>
      <c r="AE45" s="1126"/>
      <c r="AF45" s="1126"/>
      <c r="AG45" s="1126"/>
      <c r="AH45" s="1126"/>
      <c r="AI45" s="1126"/>
      <c r="AJ45" s="1126"/>
      <c r="AK45" s="1126"/>
      <c r="AL45" s="1126"/>
      <c r="AM45" s="1184"/>
      <c r="AN45" s="2"/>
      <c r="AO45" s="2"/>
    </row>
    <row r="46" spans="1:41" ht="15">
      <c r="A46" s="1147"/>
      <c r="B46" s="81"/>
      <c r="C46" s="83" t="s">
        <v>133</v>
      </c>
      <c r="D46" s="80"/>
      <c r="E46" s="757"/>
      <c r="F46" s="791"/>
      <c r="G46" s="16" t="s">
        <v>901</v>
      </c>
      <c r="H46" s="1654" t="s">
        <v>958</v>
      </c>
      <c r="I46" s="81"/>
      <c r="J46" s="81"/>
      <c r="K46" s="80"/>
      <c r="L46" s="81" t="s">
        <v>309</v>
      </c>
      <c r="M46" s="81"/>
      <c r="N46" s="81"/>
      <c r="O46" s="80"/>
      <c r="P46" s="1505" t="s">
        <v>83</v>
      </c>
      <c r="Q46" s="54"/>
      <c r="R46" s="80"/>
      <c r="S46" s="757"/>
      <c r="T46" s="81"/>
      <c r="U46" s="53" t="s">
        <v>315</v>
      </c>
      <c r="V46" s="81"/>
      <c r="W46" s="80"/>
      <c r="X46" s="81"/>
      <c r="Y46" s="863" t="s">
        <v>316</v>
      </c>
      <c r="Z46" s="864" t="s">
        <v>120</v>
      </c>
      <c r="AA46" s="483"/>
      <c r="AB46" s="1122"/>
      <c r="AC46" s="1126"/>
      <c r="AD46" s="1126"/>
      <c r="AE46" s="1126"/>
      <c r="AF46" s="1126"/>
      <c r="AG46" s="1126"/>
      <c r="AH46" s="1126"/>
      <c r="AI46" s="1126"/>
      <c r="AJ46" s="1126"/>
      <c r="AK46" s="1126"/>
      <c r="AL46" s="1126"/>
      <c r="AM46" s="1184"/>
      <c r="AN46" s="2"/>
      <c r="AO46" s="2"/>
    </row>
    <row r="47" spans="1:41" ht="15.75">
      <c r="A47" s="1148"/>
      <c r="B47" s="19"/>
      <c r="C47" s="19" t="s">
        <v>317</v>
      </c>
      <c r="D47" s="80"/>
      <c r="E47" s="2288" t="s">
        <v>309</v>
      </c>
      <c r="F47" s="792" t="s">
        <v>772</v>
      </c>
      <c r="G47" s="1652" t="s">
        <v>989</v>
      </c>
      <c r="H47" s="1655" t="s">
        <v>319</v>
      </c>
      <c r="I47" s="81" t="s">
        <v>318</v>
      </c>
      <c r="J47" s="81" t="s">
        <v>318</v>
      </c>
      <c r="K47" s="80"/>
      <c r="L47" s="19"/>
      <c r="M47" s="81" t="s">
        <v>319</v>
      </c>
      <c r="N47" s="81" t="s">
        <v>318</v>
      </c>
      <c r="O47" s="80"/>
      <c r="P47" s="1506" t="s">
        <v>314</v>
      </c>
      <c r="Q47" s="54" t="s">
        <v>318</v>
      </c>
      <c r="R47" s="80"/>
      <c r="S47" s="758"/>
      <c r="T47" s="81" t="s">
        <v>320</v>
      </c>
      <c r="U47" s="90" t="s">
        <v>321</v>
      </c>
      <c r="V47" s="81" t="s">
        <v>318</v>
      </c>
      <c r="W47" s="80"/>
      <c r="X47" s="81" t="s">
        <v>318</v>
      </c>
      <c r="Y47" s="830"/>
      <c r="Z47" s="788"/>
      <c r="AA47" s="483"/>
      <c r="AB47" s="1122"/>
      <c r="AC47" s="1126"/>
      <c r="AD47" s="1126"/>
      <c r="AE47" s="1126"/>
      <c r="AF47" s="1126"/>
      <c r="AG47" s="1126"/>
      <c r="AH47" s="1126"/>
      <c r="AI47" s="1126"/>
      <c r="AJ47" s="1126"/>
      <c r="AK47" s="1126"/>
      <c r="AL47" s="1126"/>
      <c r="AM47" s="1184"/>
      <c r="AN47" s="2"/>
      <c r="AO47" s="2"/>
    </row>
    <row r="48" spans="1:41" ht="14.25">
      <c r="A48" s="1149">
        <v>1</v>
      </c>
      <c r="B48" s="86" t="str">
        <f>IF(Huvudinmatning!B33&gt;0,IF(Huvudinmatning!D33&gt;0,Huvudinmatning!D33,Huvudinmatning!B33)," ")</f>
        <v xml:space="preserve">Höstraps </v>
      </c>
      <c r="C48" s="2014">
        <f>IF(Huvudinmatning!H33&gt;0,Huvudinmatning!H33," ")</f>
        <v>3500</v>
      </c>
      <c r="D48" s="87"/>
      <c r="E48" s="2284">
        <f>IF(B48=" "," ",(INDEX(Gröddata!$A$10:$N$44,MATCH(B48,Gröddata!A$10:A$44,0),14)))</f>
        <v>1</v>
      </c>
      <c r="F48" s="790" t="str">
        <f>IF(B48=" "," ",IF(Huvudinmatning!M33=TRUE,"nej","ja"))</f>
        <v>ja</v>
      </c>
      <c r="G48" s="694">
        <f>IF(B48=" "," ",IF(E48=1,H122,I122))</f>
        <v>10500</v>
      </c>
      <c r="H48" s="694">
        <f>Huvudinmatning!J33</f>
        <v>0</v>
      </c>
      <c r="I48" s="1653">
        <f t="shared" ref="I48:I57" si="8">IF(B48=" "," ",(G48+H48)*0.4)</f>
        <v>4200</v>
      </c>
      <c r="J48" s="38">
        <f t="shared" ref="J48:J57" si="9">IF(B48=" "," ",I48*0.2)</f>
        <v>840</v>
      </c>
      <c r="K48" s="88"/>
      <c r="L48" s="785" t="b">
        <f>IF(Huvudinmatning!P33&gt;0,Huvudinmatning!P33," ")</f>
        <v>0</v>
      </c>
      <c r="M48" s="785">
        <f>Huvudinmatning!Q33</f>
        <v>0</v>
      </c>
      <c r="N48" s="38">
        <f t="shared" ref="N48:N57" si="10">IF(B48=" "," ",M48*0.4*0.2)</f>
        <v>0</v>
      </c>
      <c r="O48" s="87"/>
      <c r="P48" s="907">
        <f>IF(Huvudinmatning!O33=0,0,(INDEX(Mullberäkning!$Y$5:$Z$8,MATCH(Huvudinmatning!O33,Mullberäkning!$Y$5:$Y$8,0),2)))</f>
        <v>0</v>
      </c>
      <c r="Q48" s="1611">
        <f t="shared" ref="Q48:Q57" si="11">IF(B48=" "," ",IF(C48&gt;0,-(9-P48)*$S$18/9,0))</f>
        <v>-758.72093023255809</v>
      </c>
      <c r="R48" s="88"/>
      <c r="S48" s="786">
        <f>IF(Huvudinmatning!R33&gt;0,Huvudinmatning!R33,0)</f>
        <v>0</v>
      </c>
      <c r="T48" s="787">
        <f>IF(Huvudinmatning!S33&gt;0,Huvudinmatning!S33,0)</f>
        <v>0</v>
      </c>
      <c r="U48" s="755">
        <f>IF(S48=0,0,(INDEX(Stallgödseldata!B$16:D$27,MATCH(S48,Stallgödseldata!B$16:B$27,0),3)))</f>
        <v>0</v>
      </c>
      <c r="V48" s="1611">
        <f t="shared" ref="V48:V57" si="12">IF(S48=0,0,T48*1000*U48/100*0.4*S$44/100)</f>
        <v>0</v>
      </c>
      <c r="W48" s="88"/>
      <c r="X48" s="2061">
        <f t="shared" ref="X48:X57" si="13">IF(B48=" "," ",J48+N48+Q48+V48)</f>
        <v>81.279069767441911</v>
      </c>
      <c r="Y48" s="716"/>
      <c r="Z48" s="716"/>
      <c r="AA48" s="483"/>
      <c r="AB48" s="1122"/>
      <c r="AC48" s="1126"/>
      <c r="AD48" s="1126"/>
      <c r="AE48" s="1126"/>
      <c r="AF48" s="1126"/>
      <c r="AG48" s="1126"/>
      <c r="AH48" s="1126"/>
      <c r="AI48" s="1126"/>
      <c r="AJ48" s="1126"/>
      <c r="AK48" s="1126"/>
      <c r="AL48" s="1126"/>
      <c r="AM48" s="1184"/>
      <c r="AN48" s="2"/>
      <c r="AO48" s="2"/>
    </row>
    <row r="49" spans="1:41" ht="14.25">
      <c r="A49" s="1080">
        <v>2</v>
      </c>
      <c r="B49" s="86" t="str">
        <f>IF(Huvudinmatning!B34&gt;0,IF(Huvudinmatning!D34&gt;0,Huvudinmatning!D34,Huvudinmatning!B34)," ")</f>
        <v>Höstvete bröd</v>
      </c>
      <c r="C49" s="2014">
        <f>IF(Huvudinmatning!H34&gt;0,Huvudinmatning!H34," ")</f>
        <v>8000</v>
      </c>
      <c r="D49" s="87"/>
      <c r="E49" s="2284">
        <f>IF(B49=" "," ",(INDEX(Gröddata!$A$10:$N$44,MATCH(B49,Gröddata!A$10:A$44,0),14)))</f>
        <v>1</v>
      </c>
      <c r="F49" s="790" t="str">
        <f>IF(B49=" "," ",IF(Huvudinmatning!M34=TRUE,"nej","ja"))</f>
        <v>ja</v>
      </c>
      <c r="G49" s="694">
        <f t="shared" ref="G49:G57" si="14">IF(B49=" "," ",IF(E49=1,H123,I123))</f>
        <v>12000</v>
      </c>
      <c r="H49" s="694">
        <f>Huvudinmatning!J34</f>
        <v>0</v>
      </c>
      <c r="I49" s="1653">
        <f t="shared" si="8"/>
        <v>4800</v>
      </c>
      <c r="J49" s="38">
        <f t="shared" si="9"/>
        <v>960</v>
      </c>
      <c r="K49" s="88"/>
      <c r="L49" s="785" t="b">
        <f>IF(Huvudinmatning!P34&gt;0,Huvudinmatning!P34," ")</f>
        <v>0</v>
      </c>
      <c r="M49" s="785">
        <f>Huvudinmatning!Q34</f>
        <v>0</v>
      </c>
      <c r="N49" s="38">
        <f t="shared" si="10"/>
        <v>0</v>
      </c>
      <c r="O49" s="87"/>
      <c r="P49" s="907">
        <f>IF(Huvudinmatning!O34=0,0,(INDEX(Mullberäkning!$Y$5:$Z$8,MATCH(Huvudinmatning!O34,Mullberäkning!$Y$5:$Y$8,0),2)))</f>
        <v>0</v>
      </c>
      <c r="Q49" s="1611">
        <f t="shared" si="11"/>
        <v>-758.72093023255809</v>
      </c>
      <c r="R49" s="88"/>
      <c r="S49" s="786">
        <f>IF(Huvudinmatning!R34&gt;0,Huvudinmatning!R34,0)</f>
        <v>0</v>
      </c>
      <c r="T49" s="787">
        <f>IF(Huvudinmatning!S34&gt;0,Huvudinmatning!S34,0)</f>
        <v>0</v>
      </c>
      <c r="U49" s="755">
        <f>IF(S49=0,0,(INDEX(Stallgödseldata!B$16:D$27,MATCH(S49,Stallgödseldata!B$16:B$27,0),3)))</f>
        <v>0</v>
      </c>
      <c r="V49" s="1611">
        <f t="shared" si="12"/>
        <v>0</v>
      </c>
      <c r="W49" s="88"/>
      <c r="X49" s="2061">
        <f t="shared" si="13"/>
        <v>201.27906976744191</v>
      </c>
      <c r="Y49" s="716"/>
      <c r="Z49" s="867" t="s">
        <v>76</v>
      </c>
      <c r="AA49" s="1612" t="s">
        <v>29</v>
      </c>
      <c r="AB49" s="1122"/>
      <c r="AC49" s="1126"/>
      <c r="AD49" s="1126"/>
      <c r="AE49" s="1126"/>
      <c r="AF49" s="1126"/>
      <c r="AG49" s="1126"/>
      <c r="AH49" s="1126"/>
      <c r="AI49" s="1126"/>
      <c r="AJ49" s="1126"/>
      <c r="AK49" s="1126"/>
      <c r="AL49" s="1126"/>
      <c r="AM49" s="1184"/>
      <c r="AN49" s="2"/>
      <c r="AO49" s="2"/>
    </row>
    <row r="50" spans="1:41" ht="14.25">
      <c r="A50" s="1080">
        <v>3</v>
      </c>
      <c r="B50" s="86" t="str">
        <f>IF(Huvudinmatning!B35&gt;0,IF(Huvudinmatning!D35&gt;0,Huvudinmatning!D35,Huvudinmatning!B35)," ")</f>
        <v>Höstvete bröd</v>
      </c>
      <c r="C50" s="2014">
        <f>IF(Huvudinmatning!H35&gt;0,Huvudinmatning!H35," ")</f>
        <v>8000</v>
      </c>
      <c r="D50" s="87"/>
      <c r="E50" s="2284">
        <f>IF(B50=" "," ",(INDEX(Gröddata!$A$10:$N$44,MATCH(B50,Gröddata!A$10:A$44,0),14)))</f>
        <v>1</v>
      </c>
      <c r="F50" s="790" t="str">
        <f>IF(B50=" "," ",IF(Huvudinmatning!M35=TRUE,"nej","ja"))</f>
        <v>ja</v>
      </c>
      <c r="G50" s="694">
        <f t="shared" si="14"/>
        <v>12000</v>
      </c>
      <c r="H50" s="694">
        <f>Huvudinmatning!J35</f>
        <v>0</v>
      </c>
      <c r="I50" s="1653">
        <f t="shared" si="8"/>
        <v>4800</v>
      </c>
      <c r="J50" s="38">
        <f t="shared" si="9"/>
        <v>960</v>
      </c>
      <c r="K50" s="88"/>
      <c r="L50" s="785" t="b">
        <f>IF(Huvudinmatning!P35&gt;0,Huvudinmatning!P35," ")</f>
        <v>0</v>
      </c>
      <c r="M50" s="785">
        <f>Huvudinmatning!Q35</f>
        <v>0</v>
      </c>
      <c r="N50" s="38">
        <f t="shared" si="10"/>
        <v>0</v>
      </c>
      <c r="O50" s="87"/>
      <c r="P50" s="907">
        <f>IF(Huvudinmatning!O35=0,0,(INDEX(Mullberäkning!$Y$5:$Z$8,MATCH(Huvudinmatning!O35,Mullberäkning!$Y$5:$Y$8,0),2)))</f>
        <v>0</v>
      </c>
      <c r="Q50" s="1611">
        <f t="shared" si="11"/>
        <v>-758.72093023255809</v>
      </c>
      <c r="R50" s="88"/>
      <c r="S50" s="786">
        <f>IF(Huvudinmatning!R35&gt;0,Huvudinmatning!R35,0)</f>
        <v>0</v>
      </c>
      <c r="T50" s="787">
        <f>IF(Huvudinmatning!S35&gt;0,Huvudinmatning!S35,0)</f>
        <v>0</v>
      </c>
      <c r="U50" s="755">
        <f>IF(S50=0,0,(INDEX(Stallgödseldata!B$16:D$27,MATCH(S50,Stallgödseldata!B$16:B$27,0),3)))</f>
        <v>0</v>
      </c>
      <c r="V50" s="1611">
        <f t="shared" si="12"/>
        <v>0</v>
      </c>
      <c r="W50" s="88"/>
      <c r="X50" s="2061">
        <f t="shared" si="13"/>
        <v>201.27906976744191</v>
      </c>
      <c r="Y50" s="868" t="s">
        <v>322</v>
      </c>
      <c r="Z50" s="867">
        <f>+AG7</f>
        <v>1.7638095238095237</v>
      </c>
      <c r="AA50" s="1613">
        <f>Z50*C$10</f>
        <v>3.0337523809523805</v>
      </c>
      <c r="AB50" s="1122"/>
      <c r="AC50" s="1126"/>
      <c r="AD50" s="1126"/>
      <c r="AE50" s="1126"/>
      <c r="AF50" s="1126"/>
      <c r="AG50" s="1126"/>
      <c r="AH50" s="1126"/>
      <c r="AI50" s="1126"/>
      <c r="AJ50" s="1126"/>
      <c r="AK50" s="1126"/>
      <c r="AL50" s="1126"/>
      <c r="AM50" s="1184"/>
      <c r="AN50" s="2"/>
      <c r="AO50" s="2"/>
    </row>
    <row r="51" spans="1:41" ht="14.25">
      <c r="A51" s="1080">
        <v>4</v>
      </c>
      <c r="B51" s="86" t="str">
        <f>IF(Huvudinmatning!B36&gt;0,IF(Huvudinmatning!D36&gt;0,Huvudinmatning!D36,Huvudinmatning!B36)," ")</f>
        <v>Foderärt</v>
      </c>
      <c r="C51" s="2014">
        <f>IF(Huvudinmatning!H36&gt;0,Huvudinmatning!H36," ")</f>
        <v>4000</v>
      </c>
      <c r="D51" s="87"/>
      <c r="E51" s="2284">
        <f>IF(B51=" "," ",(INDEX(Gröddata!$A$10:$N$44,MATCH(B51,Gröddata!A$10:A$44,0),14)))</f>
        <v>1</v>
      </c>
      <c r="F51" s="790" t="str">
        <f>IF(B51=" "," ",IF(Huvudinmatning!M36=TRUE,"nej","ja"))</f>
        <v>ja</v>
      </c>
      <c r="G51" s="694">
        <f t="shared" si="14"/>
        <v>6000</v>
      </c>
      <c r="H51" s="694">
        <f>Huvudinmatning!J36</f>
        <v>0</v>
      </c>
      <c r="I51" s="1653">
        <f t="shared" si="8"/>
        <v>2400</v>
      </c>
      <c r="J51" s="38">
        <f t="shared" si="9"/>
        <v>480</v>
      </c>
      <c r="K51" s="88"/>
      <c r="L51" s="785" t="b">
        <f>IF(Huvudinmatning!P36&gt;0,Huvudinmatning!P36," ")</f>
        <v>0</v>
      </c>
      <c r="M51" s="785">
        <f>Huvudinmatning!Q36</f>
        <v>0</v>
      </c>
      <c r="N51" s="38">
        <f t="shared" si="10"/>
        <v>0</v>
      </c>
      <c r="O51" s="87"/>
      <c r="P51" s="907">
        <f>IF(Huvudinmatning!O36=0,0,(INDEX(Mullberäkning!$Y$5:$Z$8,MATCH(Huvudinmatning!O36,Mullberäkning!$Y$5:$Y$8,0),2)))</f>
        <v>0</v>
      </c>
      <c r="Q51" s="1611">
        <f>IF(B51=" "," ",IF(C48&gt;0,-(9-P51)*$S$18/9,0))</f>
        <v>-758.72093023255809</v>
      </c>
      <c r="R51" s="88"/>
      <c r="S51" s="786">
        <f>IF(Huvudinmatning!R36&gt;0,Huvudinmatning!R36,0)</f>
        <v>0</v>
      </c>
      <c r="T51" s="787">
        <f>IF(Huvudinmatning!S36&gt;0,Huvudinmatning!S36,0)</f>
        <v>0</v>
      </c>
      <c r="U51" s="755">
        <f>IF(S51=0,0,(INDEX(Stallgödseldata!B$16:D$27,MATCH(S51,Stallgödseldata!B$16:B$27,0),3)))</f>
        <v>0</v>
      </c>
      <c r="V51" s="1611">
        <f t="shared" si="12"/>
        <v>0</v>
      </c>
      <c r="W51" s="88"/>
      <c r="X51" s="2061">
        <f t="shared" si="13"/>
        <v>-278.72093023255809</v>
      </c>
      <c r="Y51" s="716" t="s">
        <v>77</v>
      </c>
      <c r="Z51" s="869">
        <f>Z107</f>
        <v>1.6917063756410691</v>
      </c>
      <c r="AA51" s="1613">
        <f t="shared" ref="AA51:AA54" si="15">Z51*C$10</f>
        <v>2.9097349661026386</v>
      </c>
      <c r="AB51" s="1122"/>
      <c r="AC51" s="1126"/>
      <c r="AD51" s="1126"/>
      <c r="AE51" s="1126"/>
      <c r="AF51" s="1126"/>
      <c r="AG51" s="1126"/>
      <c r="AH51" s="1126"/>
      <c r="AI51" s="1126"/>
      <c r="AJ51" s="1126"/>
      <c r="AK51" s="1126"/>
      <c r="AL51" s="1126"/>
      <c r="AM51" s="1184"/>
      <c r="AN51" s="2"/>
      <c r="AO51" s="2"/>
    </row>
    <row r="52" spans="1:41" ht="14.25">
      <c r="A52" s="1080">
        <v>5</v>
      </c>
      <c r="B52" s="86" t="str">
        <f>IF(Huvudinmatning!B37&gt;0,IF(Huvudinmatning!D37&gt;0,Huvudinmatning!D37,Huvudinmatning!B37)," ")</f>
        <v>Höstvete bröd</v>
      </c>
      <c r="C52" s="2014">
        <f>IF(Huvudinmatning!H37&gt;0,Huvudinmatning!H37," ")</f>
        <v>8000</v>
      </c>
      <c r="D52" s="87"/>
      <c r="E52" s="2284">
        <f>IF(B52=" "," ",(INDEX(Gröddata!$A$10:$N$44,MATCH(B52,Gröddata!A$10:A$44,0),14)))</f>
        <v>1</v>
      </c>
      <c r="F52" s="790" t="str">
        <f>IF(B52=" "," ",IF(Huvudinmatning!M37=TRUE,"nej","ja"))</f>
        <v>ja</v>
      </c>
      <c r="G52" s="694">
        <f t="shared" si="14"/>
        <v>12000</v>
      </c>
      <c r="H52" s="694">
        <f>Huvudinmatning!J37</f>
        <v>0</v>
      </c>
      <c r="I52" s="1653">
        <f t="shared" si="8"/>
        <v>4800</v>
      </c>
      <c r="J52" s="38">
        <f t="shared" si="9"/>
        <v>960</v>
      </c>
      <c r="K52" s="88"/>
      <c r="L52" s="785" t="b">
        <f>IF(Huvudinmatning!P37&gt;0,Huvudinmatning!P37," ")</f>
        <v>0</v>
      </c>
      <c r="M52" s="785">
        <f>Huvudinmatning!Q37</f>
        <v>0</v>
      </c>
      <c r="N52" s="38">
        <f t="shared" si="10"/>
        <v>0</v>
      </c>
      <c r="O52" s="87"/>
      <c r="P52" s="907">
        <f>IF(Huvudinmatning!O37=0,0,(INDEX(Mullberäkning!$Y$5:$Z$8,MATCH(Huvudinmatning!O37,Mullberäkning!$Y$5:$Y$8,0),2)))</f>
        <v>0</v>
      </c>
      <c r="Q52" s="1611">
        <f t="shared" si="11"/>
        <v>-758.72093023255809</v>
      </c>
      <c r="R52" s="88"/>
      <c r="S52" s="786">
        <f>IF(Huvudinmatning!R37&gt;0,Huvudinmatning!R37,0)</f>
        <v>0</v>
      </c>
      <c r="T52" s="787">
        <f>IF(Huvudinmatning!S37&gt;0,Huvudinmatning!S37,0)</f>
        <v>0</v>
      </c>
      <c r="U52" s="755">
        <f>IF(S52=0,0,(INDEX(Stallgödseldata!B$16:D$27,MATCH(S52,Stallgödseldata!B$16:B$27,0),3)))</f>
        <v>0</v>
      </c>
      <c r="V52" s="1611">
        <f t="shared" si="12"/>
        <v>0</v>
      </c>
      <c r="W52" s="88"/>
      <c r="X52" s="2061">
        <f t="shared" si="13"/>
        <v>201.27906976744191</v>
      </c>
      <c r="Y52" s="716" t="s">
        <v>323</v>
      </c>
      <c r="Z52" s="869">
        <f>Z112</f>
        <v>1.6969542949552188</v>
      </c>
      <c r="AA52" s="1613">
        <f t="shared" si="15"/>
        <v>2.9187613873229763</v>
      </c>
      <c r="AB52" s="1122"/>
      <c r="AC52" s="1126"/>
      <c r="AD52" s="1126"/>
      <c r="AE52" s="1126"/>
      <c r="AF52" s="1126"/>
      <c r="AG52" s="1126"/>
      <c r="AH52" s="1126"/>
      <c r="AI52" s="1126"/>
      <c r="AJ52" s="1126"/>
      <c r="AK52" s="1126"/>
      <c r="AL52" s="1126"/>
      <c r="AM52" s="1184"/>
      <c r="AN52" s="2"/>
      <c r="AO52" s="2"/>
    </row>
    <row r="53" spans="1:41" ht="14.25">
      <c r="A53" s="1080">
        <v>6</v>
      </c>
      <c r="B53" s="86" t="str">
        <f>IF(Huvudinmatning!B38&gt;0,IF(Huvudinmatning!D38&gt;0,Huvudinmatning!D38,Huvudinmatning!B38)," ")</f>
        <v>Höstvete bröd</v>
      </c>
      <c r="C53" s="2014">
        <f>IF(Huvudinmatning!H38&gt;0,Huvudinmatning!H38," ")</f>
        <v>8000</v>
      </c>
      <c r="D53" s="87"/>
      <c r="E53" s="2284">
        <f>IF(B53=" "," ",(INDEX(Gröddata!$A$10:$N$44,MATCH(B53,Gröddata!A$10:A$44,0),14)))</f>
        <v>1</v>
      </c>
      <c r="F53" s="790" t="str">
        <f>IF(B53=" "," ",IF(Huvudinmatning!M38=TRUE,"nej","ja"))</f>
        <v>ja</v>
      </c>
      <c r="G53" s="694">
        <f t="shared" si="14"/>
        <v>12000</v>
      </c>
      <c r="H53" s="694">
        <f>Huvudinmatning!J38</f>
        <v>0</v>
      </c>
      <c r="I53" s="1653">
        <f t="shared" si="8"/>
        <v>4800</v>
      </c>
      <c r="J53" s="38">
        <f t="shared" si="9"/>
        <v>960</v>
      </c>
      <c r="K53" s="88"/>
      <c r="L53" s="785" t="b">
        <f>IF(Huvudinmatning!P38&gt;0,Huvudinmatning!P38," ")</f>
        <v>0</v>
      </c>
      <c r="M53" s="785">
        <f>Huvudinmatning!Q38</f>
        <v>0</v>
      </c>
      <c r="N53" s="38">
        <f t="shared" si="10"/>
        <v>0</v>
      </c>
      <c r="O53" s="87"/>
      <c r="P53" s="907">
        <f>IF(Huvudinmatning!O38=0,0,(INDEX(Mullberäkning!$Y$5:$Z$8,MATCH(Huvudinmatning!O38,Mullberäkning!$Y$5:$Y$8,0),2)))</f>
        <v>0</v>
      </c>
      <c r="Q53" s="1611">
        <f t="shared" si="11"/>
        <v>-758.72093023255809</v>
      </c>
      <c r="R53" s="88"/>
      <c r="S53" s="786">
        <f>IF(Huvudinmatning!R38&gt;0,Huvudinmatning!R38,0)</f>
        <v>0</v>
      </c>
      <c r="T53" s="787">
        <f>IF(Huvudinmatning!S38&gt;0,Huvudinmatning!S38,0)</f>
        <v>0</v>
      </c>
      <c r="U53" s="755">
        <f>IF(S53=0,0,(INDEX(Stallgödseldata!B$16:D$27,MATCH(S53,Stallgödseldata!B$16:B$27,0),3)))</f>
        <v>0</v>
      </c>
      <c r="V53" s="1611">
        <f t="shared" si="12"/>
        <v>0</v>
      </c>
      <c r="W53" s="88"/>
      <c r="X53" s="2061">
        <f t="shared" si="13"/>
        <v>201.27906976744191</v>
      </c>
      <c r="Y53" s="716" t="s">
        <v>78</v>
      </c>
      <c r="Z53" s="869">
        <f>Z132</f>
        <v>1.7143943884035469</v>
      </c>
      <c r="AA53" s="1613">
        <f t="shared" si="15"/>
        <v>2.9487583480541004</v>
      </c>
      <c r="AB53" s="1122"/>
      <c r="AC53" s="1126"/>
      <c r="AD53" s="1126"/>
      <c r="AE53" s="1126"/>
      <c r="AF53" s="1126"/>
      <c r="AG53" s="1126"/>
      <c r="AH53" s="1126"/>
      <c r="AI53" s="1126"/>
      <c r="AJ53" s="1126"/>
      <c r="AK53" s="1126"/>
      <c r="AL53" s="1126"/>
      <c r="AM53" s="1184"/>
      <c r="AN53" s="2"/>
      <c r="AO53" s="2"/>
    </row>
    <row r="54" spans="1:41" ht="14.25">
      <c r="A54" s="1080">
        <v>7</v>
      </c>
      <c r="B54" s="86" t="str">
        <f>IF(Huvudinmatning!B39&gt;0,IF(Huvudinmatning!D39&gt;0,Huvudinmatning!D39,Huvudinmatning!B39)," ")</f>
        <v>Maltkorn</v>
      </c>
      <c r="C54" s="2014">
        <f>IF(Huvudinmatning!H39&gt;0,Huvudinmatning!H39," ")</f>
        <v>5500</v>
      </c>
      <c r="D54" s="87"/>
      <c r="E54" s="2284">
        <f>IF(B54=" "," ",(INDEX(Gröddata!$A$10:$N$44,MATCH(B54,Gröddata!A$10:A$44,0),14)))</f>
        <v>1</v>
      </c>
      <c r="F54" s="790" t="str">
        <f>IF(B54=" "," ",IF(Huvudinmatning!M39=TRUE,"nej","ja"))</f>
        <v>ja</v>
      </c>
      <c r="G54" s="694">
        <f t="shared" si="14"/>
        <v>4950</v>
      </c>
      <c r="H54" s="694">
        <f>Huvudinmatning!J39</f>
        <v>0</v>
      </c>
      <c r="I54" s="1653">
        <f t="shared" si="8"/>
        <v>1980</v>
      </c>
      <c r="J54" s="38">
        <f t="shared" si="9"/>
        <v>396</v>
      </c>
      <c r="K54" s="88"/>
      <c r="L54" s="785" t="b">
        <f>IF(Huvudinmatning!P39&gt;0,Huvudinmatning!P39," ")</f>
        <v>0</v>
      </c>
      <c r="M54" s="785">
        <f>Huvudinmatning!Q39</f>
        <v>0</v>
      </c>
      <c r="N54" s="38">
        <f t="shared" si="10"/>
        <v>0</v>
      </c>
      <c r="O54" s="87"/>
      <c r="P54" s="907">
        <f>IF(Huvudinmatning!O39=0,0,(INDEX(Mullberäkning!$Y$5:$Z$8,MATCH(Huvudinmatning!O39,Mullberäkning!$Y$5:$Y$8,0),2)))</f>
        <v>0</v>
      </c>
      <c r="Q54" s="1611">
        <f t="shared" si="11"/>
        <v>-758.72093023255809</v>
      </c>
      <c r="R54" s="88"/>
      <c r="S54" s="786">
        <f>IF(Huvudinmatning!R39&gt;0,Huvudinmatning!R39,0)</f>
        <v>0</v>
      </c>
      <c r="T54" s="787">
        <f>IF(Huvudinmatning!S39&gt;0,Huvudinmatning!S39,0)</f>
        <v>0</v>
      </c>
      <c r="U54" s="755">
        <f>IF(S54=0,0,(INDEX(Stallgödseldata!B$16:D$27,MATCH(S54,Stallgödseldata!B$16:B$27,0),3)))</f>
        <v>0</v>
      </c>
      <c r="V54" s="1611">
        <f t="shared" si="12"/>
        <v>0</v>
      </c>
      <c r="W54" s="88"/>
      <c r="X54" s="2061">
        <f t="shared" si="13"/>
        <v>-362.72093023255809</v>
      </c>
      <c r="Y54" s="716" t="s">
        <v>324</v>
      </c>
      <c r="Z54" s="869">
        <f>Z152</f>
        <v>1.7272849968721844</v>
      </c>
      <c r="AA54" s="1613">
        <f t="shared" si="15"/>
        <v>2.9709301946201569</v>
      </c>
      <c r="AB54" s="1122"/>
      <c r="AC54" s="1126"/>
      <c r="AD54" s="1126"/>
      <c r="AE54" s="1126"/>
      <c r="AF54" s="1126"/>
      <c r="AG54" s="1126"/>
      <c r="AH54" s="1126"/>
      <c r="AI54" s="1126"/>
      <c r="AJ54" s="1126"/>
      <c r="AK54" s="1126"/>
      <c r="AL54" s="1126"/>
      <c r="AM54" s="1184"/>
      <c r="AN54" s="2"/>
      <c r="AO54" s="2"/>
    </row>
    <row r="55" spans="1:41" ht="14.25">
      <c r="A55" s="1080">
        <v>8</v>
      </c>
      <c r="B55" s="86" t="str">
        <f>IF(Huvudinmatning!B40&gt;0,IF(Huvudinmatning!D40&gt;0,Huvudinmatning!D40,Huvudinmatning!B40)," ")</f>
        <v xml:space="preserve"> </v>
      </c>
      <c r="C55" s="2014" t="str">
        <f>IF(Huvudinmatning!H40&gt;0,Huvudinmatning!H40," ")</f>
        <v xml:space="preserve"> </v>
      </c>
      <c r="D55" s="87"/>
      <c r="E55" s="2284" t="str">
        <f>IF(B55=" "," ",(INDEX(Gröddata!$A$10:$N$44,MATCH(B55,Gröddata!A$10:A$44,0),14)))</f>
        <v xml:space="preserve"> </v>
      </c>
      <c r="F55" s="790" t="str">
        <f>IF(B55=" "," ",IF(Huvudinmatning!M40=TRUE,"nej","ja"))</f>
        <v xml:space="preserve"> </v>
      </c>
      <c r="G55" s="694" t="str">
        <f t="shared" si="14"/>
        <v xml:space="preserve"> </v>
      </c>
      <c r="H55" s="694">
        <f>Huvudinmatning!J40</f>
        <v>0</v>
      </c>
      <c r="I55" s="1653" t="str">
        <f t="shared" si="8"/>
        <v xml:space="preserve"> </v>
      </c>
      <c r="J55" s="38" t="str">
        <f t="shared" si="9"/>
        <v xml:space="preserve"> </v>
      </c>
      <c r="K55" s="88"/>
      <c r="L55" s="785" t="b">
        <f>IF(Huvudinmatning!P40&gt;0,Huvudinmatning!P40," ")</f>
        <v>0</v>
      </c>
      <c r="M55" s="785">
        <f>Huvudinmatning!Q40</f>
        <v>0</v>
      </c>
      <c r="N55" s="38" t="str">
        <f t="shared" si="10"/>
        <v xml:space="preserve"> </v>
      </c>
      <c r="O55" s="87"/>
      <c r="P55" s="907">
        <f>IF(Huvudinmatning!O40=0,0,(INDEX(Mullberäkning!$Y$5:$Z$8,MATCH(Huvudinmatning!O40,Mullberäkning!$Y$5:$Y$8,0),2)))</f>
        <v>0</v>
      </c>
      <c r="Q55" s="1611" t="str">
        <f t="shared" si="11"/>
        <v xml:space="preserve"> </v>
      </c>
      <c r="R55" s="88"/>
      <c r="S55" s="786">
        <f>IF(Huvudinmatning!R40&gt;0,Huvudinmatning!R40,0)</f>
        <v>0</v>
      </c>
      <c r="T55" s="787">
        <f>IF(Huvudinmatning!S40&gt;0,Huvudinmatning!S40,0)</f>
        <v>0</v>
      </c>
      <c r="U55" s="755">
        <f>IF(S55=0,0,(INDEX(Stallgödseldata!B$16:D$27,MATCH(S55,Stallgödseldata!B$16:B$27,0),3)))</f>
        <v>0</v>
      </c>
      <c r="V55" s="1611">
        <f t="shared" si="12"/>
        <v>0</v>
      </c>
      <c r="W55" s="88"/>
      <c r="X55" s="2061" t="str">
        <f t="shared" si="13"/>
        <v xml:space="preserve"> </v>
      </c>
      <c r="Y55" s="716"/>
      <c r="Z55" s="716"/>
      <c r="AA55" s="527"/>
      <c r="AB55" s="1122"/>
      <c r="AC55" s="1126"/>
      <c r="AD55" s="1126"/>
      <c r="AE55" s="1126"/>
      <c r="AF55" s="1126"/>
      <c r="AG55" s="1126"/>
      <c r="AH55" s="1126"/>
      <c r="AI55" s="1126"/>
      <c r="AJ55" s="1126"/>
      <c r="AK55" s="1126"/>
      <c r="AL55" s="1126"/>
      <c r="AM55" s="1184"/>
      <c r="AN55" s="2"/>
      <c r="AO55" s="2"/>
    </row>
    <row r="56" spans="1:41" ht="14.25">
      <c r="A56" s="1080">
        <v>9</v>
      </c>
      <c r="B56" s="86" t="str">
        <f>IF(Huvudinmatning!B41&gt;0,IF(Huvudinmatning!D41&gt;0,Huvudinmatning!D41,Huvudinmatning!B41)," ")</f>
        <v xml:space="preserve"> </v>
      </c>
      <c r="C56" s="2014" t="str">
        <f>IF(Huvudinmatning!H41&gt;0,Huvudinmatning!H41," ")</f>
        <v xml:space="preserve"> </v>
      </c>
      <c r="D56" s="87"/>
      <c r="E56" s="2284" t="str">
        <f>IF(B56=" "," ",(INDEX(Gröddata!$A$10:$N$44,MATCH(B56,Gröddata!A$10:A$44,0),14)))</f>
        <v xml:space="preserve"> </v>
      </c>
      <c r="F56" s="790" t="str">
        <f>IF(B56=" "," ",IF(Huvudinmatning!M41=TRUE,"nej","ja"))</f>
        <v xml:space="preserve"> </v>
      </c>
      <c r="G56" s="694" t="str">
        <f t="shared" si="14"/>
        <v xml:space="preserve"> </v>
      </c>
      <c r="H56" s="694">
        <f>Huvudinmatning!J41</f>
        <v>0</v>
      </c>
      <c r="I56" s="1653" t="str">
        <f t="shared" si="8"/>
        <v xml:space="preserve"> </v>
      </c>
      <c r="J56" s="38" t="str">
        <f t="shared" si="9"/>
        <v xml:space="preserve"> </v>
      </c>
      <c r="K56" s="88"/>
      <c r="L56" s="785" t="b">
        <f>IF(Huvudinmatning!P41&gt;0,Huvudinmatning!P41," ")</f>
        <v>0</v>
      </c>
      <c r="M56" s="785">
        <f>Huvudinmatning!Q41</f>
        <v>0</v>
      </c>
      <c r="N56" s="38" t="str">
        <f t="shared" si="10"/>
        <v xml:space="preserve"> </v>
      </c>
      <c r="O56" s="87"/>
      <c r="P56" s="907">
        <f>IF(Huvudinmatning!O41=0,0,(INDEX(Mullberäkning!$Y$5:$Z$8,MATCH(Huvudinmatning!O41,Mullberäkning!$Y$5:$Y$8,0),2)))</f>
        <v>0</v>
      </c>
      <c r="Q56" s="1611" t="str">
        <f t="shared" si="11"/>
        <v xml:space="preserve"> </v>
      </c>
      <c r="R56" s="88"/>
      <c r="S56" s="786">
        <f>IF(Huvudinmatning!R41&gt;0,Huvudinmatning!R41,0)</f>
        <v>0</v>
      </c>
      <c r="T56" s="787">
        <f>IF(Huvudinmatning!S41&gt;0,Huvudinmatning!S41,0)</f>
        <v>0</v>
      </c>
      <c r="U56" s="755">
        <f>IF(S56=0,0,(INDEX(Stallgödseldata!B$16:D$27,MATCH(S56,Stallgödseldata!B$16:B$27,0),3)))</f>
        <v>0</v>
      </c>
      <c r="V56" s="1611">
        <f t="shared" si="12"/>
        <v>0</v>
      </c>
      <c r="W56" s="88"/>
      <c r="X56" s="2061" t="str">
        <f t="shared" si="13"/>
        <v xml:space="preserve"> </v>
      </c>
      <c r="Y56" s="716"/>
      <c r="Z56" s="716"/>
      <c r="AA56" s="527"/>
      <c r="AB56" s="1122"/>
      <c r="AC56" s="1126"/>
      <c r="AD56" s="1126"/>
      <c r="AE56" s="1126"/>
      <c r="AF56" s="1126"/>
      <c r="AG56" s="1126"/>
      <c r="AH56" s="1126"/>
      <c r="AI56" s="1126"/>
      <c r="AJ56" s="1126"/>
      <c r="AK56" s="1126"/>
      <c r="AL56" s="1126"/>
      <c r="AM56" s="1184"/>
      <c r="AN56" s="2"/>
      <c r="AO56" s="2"/>
    </row>
    <row r="57" spans="1:41" ht="14.25">
      <c r="A57" s="1080">
        <v>10</v>
      </c>
      <c r="B57" s="86" t="str">
        <f>IF(Huvudinmatning!B42&gt;0,IF(Huvudinmatning!D42&gt;0,Huvudinmatning!D42,Huvudinmatning!B42)," ")</f>
        <v xml:space="preserve"> </v>
      </c>
      <c r="C57" s="2014" t="str">
        <f>IF(Huvudinmatning!H42&gt;0,Huvudinmatning!H42," ")</f>
        <v xml:space="preserve"> </v>
      </c>
      <c r="D57" s="87"/>
      <c r="E57" s="2284" t="str">
        <f>IF(B57=" "," ",(INDEX(Gröddata!$A$10:$N$44,MATCH(B57,Gröddata!A$10:A$44,0),14)))</f>
        <v xml:space="preserve"> </v>
      </c>
      <c r="F57" s="790" t="str">
        <f>IF(B57=" "," ",IF(Huvudinmatning!M42=TRUE,"nej","ja"))</f>
        <v xml:space="preserve"> </v>
      </c>
      <c r="G57" s="694" t="str">
        <f t="shared" si="14"/>
        <v xml:space="preserve"> </v>
      </c>
      <c r="H57" s="694">
        <f>Huvudinmatning!J42</f>
        <v>0</v>
      </c>
      <c r="I57" s="1653" t="str">
        <f t="shared" si="8"/>
        <v xml:space="preserve"> </v>
      </c>
      <c r="J57" s="38" t="str">
        <f t="shared" si="9"/>
        <v xml:space="preserve"> </v>
      </c>
      <c r="K57" s="88"/>
      <c r="L57" s="785" t="b">
        <f>IF(Huvudinmatning!P42&gt;0,Huvudinmatning!P42," ")</f>
        <v>0</v>
      </c>
      <c r="M57" s="785">
        <f>Huvudinmatning!Q42</f>
        <v>0</v>
      </c>
      <c r="N57" s="66" t="str">
        <f t="shared" si="10"/>
        <v xml:space="preserve"> </v>
      </c>
      <c r="O57" s="87"/>
      <c r="P57" s="907">
        <f>IF(Huvudinmatning!O42=0,0,(INDEX(Mullberäkning!$Y$5:$Z$8,MATCH(Huvudinmatning!O42,Mullberäkning!$Y$5:$Y$8,0),2)))</f>
        <v>0</v>
      </c>
      <c r="Q57" s="2062" t="str">
        <f t="shared" si="11"/>
        <v xml:space="preserve"> </v>
      </c>
      <c r="R57" s="88"/>
      <c r="S57" s="786">
        <f>IF(Huvudinmatning!R42&gt;0,Huvudinmatning!R42,0)</f>
        <v>0</v>
      </c>
      <c r="T57" s="787">
        <f>IF(Huvudinmatning!S42&gt;0,Huvudinmatning!S42,0)</f>
        <v>0</v>
      </c>
      <c r="U57" s="755">
        <f>IF(S57=0,0,(INDEX(Stallgödseldata!B$16:D$27,MATCH(S57,Stallgödseldata!B$16:B$27,0),3)))</f>
        <v>0</v>
      </c>
      <c r="V57" s="1611">
        <f t="shared" si="12"/>
        <v>0</v>
      </c>
      <c r="W57" s="88"/>
      <c r="X57" s="2061" t="str">
        <f t="shared" si="13"/>
        <v xml:space="preserve"> </v>
      </c>
      <c r="Y57" s="716"/>
      <c r="Z57" s="716"/>
      <c r="AA57" s="527"/>
      <c r="AB57" s="1122"/>
      <c r="AC57" s="1126"/>
      <c r="AD57" s="1126"/>
      <c r="AE57" s="1126"/>
      <c r="AF57" s="1126"/>
      <c r="AG57" s="1126"/>
      <c r="AH57" s="1126"/>
      <c r="AI57" s="1126"/>
      <c r="AJ57" s="1126"/>
      <c r="AK57" s="1126"/>
      <c r="AL57" s="1126"/>
      <c r="AM57" s="1184"/>
      <c r="AN57" s="2"/>
      <c r="AO57" s="2"/>
    </row>
    <row r="58" spans="1:41">
      <c r="A58" s="737"/>
      <c r="B58" s="8"/>
      <c r="C58" s="8"/>
      <c r="D58" s="8"/>
      <c r="E58" s="8"/>
      <c r="F58" s="8"/>
      <c r="G58" s="8"/>
      <c r="H58" s="665"/>
      <c r="I58" s="8"/>
      <c r="J58" s="92">
        <f>SUM(J48:J57)</f>
        <v>5556</v>
      </c>
      <c r="K58" s="8"/>
      <c r="L58" s="8"/>
      <c r="M58" s="8"/>
      <c r="N58" s="1498">
        <f>SUM(N48:N57)</f>
        <v>0</v>
      </c>
      <c r="O58" s="8"/>
      <c r="P58" s="8"/>
      <c r="Q58" s="1498">
        <f>SUM(Q48:Q57)</f>
        <v>-5311.0465116279065</v>
      </c>
      <c r="R58" s="8"/>
      <c r="S58" s="8"/>
      <c r="T58" s="8"/>
      <c r="U58" s="8"/>
      <c r="V58" s="92">
        <f>SUM(V48:V57)</f>
        <v>0</v>
      </c>
      <c r="W58" s="8"/>
      <c r="X58" s="8"/>
      <c r="Y58" s="870"/>
      <c r="Z58" s="716"/>
      <c r="AA58" s="527"/>
      <c r="AB58" s="1122"/>
      <c r="AC58" s="1126"/>
      <c r="AD58" s="1126"/>
      <c r="AE58" s="1126"/>
      <c r="AF58" s="1126"/>
      <c r="AG58" s="1126"/>
      <c r="AH58" s="1126"/>
      <c r="AI58" s="1126"/>
      <c r="AJ58" s="1126"/>
      <c r="AK58" s="1126"/>
      <c r="AL58" s="1126"/>
      <c r="AM58" s="1184"/>
      <c r="AN58" s="2"/>
      <c r="AO58" s="2"/>
    </row>
    <row r="59" spans="1:41">
      <c r="A59" s="737"/>
      <c r="B59" s="8"/>
      <c r="C59" s="8"/>
      <c r="D59" s="8"/>
      <c r="E59" s="8"/>
      <c r="F59" s="8"/>
      <c r="G59" s="8"/>
      <c r="H59" s="526"/>
      <c r="I59" s="8"/>
      <c r="J59" s="1495"/>
      <c r="K59" s="8"/>
      <c r="L59" s="8"/>
      <c r="M59" s="8"/>
      <c r="N59" s="1495"/>
      <c r="O59" s="8"/>
      <c r="P59" s="8"/>
      <c r="Q59" s="1495"/>
      <c r="R59" s="8"/>
      <c r="S59" s="8"/>
      <c r="T59" s="8"/>
      <c r="U59" s="8"/>
      <c r="V59" s="1495"/>
      <c r="W59" s="8"/>
      <c r="X59" s="8"/>
      <c r="Y59" s="870"/>
      <c r="Z59" s="716"/>
      <c r="AA59" s="527"/>
      <c r="AB59" s="1122"/>
      <c r="AC59" s="1126"/>
      <c r="AD59" s="1126"/>
      <c r="AE59" s="1126"/>
      <c r="AF59" s="1126"/>
      <c r="AG59" s="1126"/>
      <c r="AH59" s="1126"/>
      <c r="AI59" s="1126"/>
      <c r="AJ59" s="1126"/>
      <c r="AK59" s="1126"/>
      <c r="AL59" s="1126"/>
      <c r="AM59" s="1184"/>
      <c r="AN59" s="2"/>
      <c r="AO59" s="2"/>
    </row>
    <row r="60" spans="1:41" ht="15.75">
      <c r="A60" s="737"/>
      <c r="B60" s="8"/>
      <c r="C60" s="8"/>
      <c r="D60" s="8"/>
      <c r="E60" s="8"/>
      <c r="F60" s="8"/>
      <c r="G60" s="8"/>
      <c r="H60" s="526"/>
      <c r="I60" s="8"/>
      <c r="J60" s="8"/>
      <c r="K60" s="8"/>
      <c r="L60" s="8"/>
      <c r="M60" s="8"/>
      <c r="N60" s="1496" t="s">
        <v>325</v>
      </c>
      <c r="O60" s="892"/>
      <c r="P60" s="1499">
        <f>SUM(P48:P57)</f>
        <v>0</v>
      </c>
      <c r="Q60" s="1500" t="s">
        <v>314</v>
      </c>
      <c r="R60" s="8"/>
      <c r="S60" s="8"/>
      <c r="T60" s="8"/>
      <c r="U60" s="8"/>
      <c r="V60" s="8"/>
      <c r="W60" s="8"/>
      <c r="X60" s="14"/>
      <c r="Y60" s="716"/>
      <c r="Z60" s="788"/>
      <c r="AA60" s="527"/>
      <c r="AB60" s="1125"/>
      <c r="AC60" s="1126"/>
      <c r="AD60" s="1126"/>
      <c r="AE60" s="1126"/>
      <c r="AF60" s="1126"/>
      <c r="AG60" s="1191"/>
      <c r="AH60" s="1126"/>
      <c r="AI60" s="1126"/>
      <c r="AJ60" s="1126"/>
      <c r="AK60" s="1126"/>
      <c r="AL60" s="1126"/>
      <c r="AM60" s="1184"/>
      <c r="AN60" s="2"/>
      <c r="AO60" s="2"/>
    </row>
    <row r="61" spans="1:41" ht="15">
      <c r="A61" s="737"/>
      <c r="B61" s="8"/>
      <c r="C61" s="8"/>
      <c r="D61" s="8"/>
      <c r="E61" s="8"/>
      <c r="F61" s="8"/>
      <c r="G61" s="8"/>
      <c r="H61" s="526"/>
      <c r="I61" s="8"/>
      <c r="J61" s="8"/>
      <c r="K61" s="8"/>
      <c r="L61" s="93"/>
      <c r="M61" s="8"/>
      <c r="N61" s="1496" t="s">
        <v>326</v>
      </c>
      <c r="O61" s="892"/>
      <c r="P61" s="1501">
        <f>+P60/C42</f>
        <v>0</v>
      </c>
      <c r="Q61" s="1502" t="s">
        <v>314</v>
      </c>
      <c r="R61" s="8"/>
      <c r="S61" s="8"/>
      <c r="T61" s="8"/>
      <c r="U61" s="8"/>
      <c r="V61" s="8"/>
      <c r="W61" s="8"/>
      <c r="X61" s="16"/>
      <c r="Y61" s="788"/>
      <c r="Z61" s="871"/>
      <c r="AA61" s="527"/>
      <c r="AB61" s="1125"/>
      <c r="AC61" s="1126"/>
      <c r="AD61" s="1126"/>
      <c r="AE61" s="1126"/>
      <c r="AF61" s="1126"/>
      <c r="AG61" s="1191"/>
      <c r="AH61" s="1126"/>
      <c r="AI61" s="1126"/>
      <c r="AJ61" s="1126"/>
      <c r="AK61" s="1126"/>
      <c r="AL61" s="1126"/>
      <c r="AM61" s="1184"/>
      <c r="AN61" s="2"/>
      <c r="AO61" s="2"/>
    </row>
    <row r="62" spans="1:41">
      <c r="A62" s="737"/>
      <c r="B62" s="8"/>
      <c r="C62" s="8"/>
      <c r="D62" s="8"/>
      <c r="E62" s="8"/>
      <c r="F62" s="8"/>
      <c r="G62" s="8"/>
      <c r="H62" s="526"/>
      <c r="I62" s="8"/>
      <c r="J62" s="8"/>
      <c r="K62" s="8"/>
      <c r="L62" s="8"/>
      <c r="M62" s="8"/>
      <c r="N62" s="8"/>
      <c r="O62" s="8"/>
      <c r="P62" s="8"/>
      <c r="Q62" s="8"/>
      <c r="R62" s="8"/>
      <c r="S62" s="8"/>
      <c r="T62" s="8"/>
      <c r="U62" s="8"/>
      <c r="V62" s="8"/>
      <c r="W62" s="8"/>
      <c r="X62" s="8"/>
      <c r="Y62" s="716"/>
      <c r="Z62" s="716"/>
      <c r="AA62" s="527"/>
      <c r="AB62" s="1125"/>
      <c r="AC62" s="1126"/>
      <c r="AD62" s="1126"/>
      <c r="AE62" s="1126"/>
      <c r="AF62" s="1126"/>
      <c r="AG62" s="1191"/>
      <c r="AH62" s="1126"/>
      <c r="AI62" s="1126"/>
      <c r="AJ62" s="1126"/>
      <c r="AK62" s="1126"/>
      <c r="AL62" s="1126"/>
      <c r="AM62" s="1184"/>
      <c r="AN62" s="2"/>
      <c r="AO62" s="2"/>
    </row>
    <row r="63" spans="1:41" ht="13.5" thickBot="1">
      <c r="A63" s="738"/>
      <c r="B63" s="739"/>
      <c r="C63" s="739"/>
      <c r="D63" s="739"/>
      <c r="E63" s="739"/>
      <c r="F63" s="739"/>
      <c r="G63" s="739"/>
      <c r="H63" s="562"/>
      <c r="I63" s="739"/>
      <c r="J63" s="739"/>
      <c r="K63" s="739"/>
      <c r="L63" s="1236"/>
      <c r="M63" s="739"/>
      <c r="N63" s="739"/>
      <c r="O63" s="739"/>
      <c r="P63" s="739"/>
      <c r="Q63" s="739"/>
      <c r="R63" s="739"/>
      <c r="S63" s="739"/>
      <c r="T63" s="739"/>
      <c r="U63" s="739"/>
      <c r="V63" s="739"/>
      <c r="W63" s="739"/>
      <c r="X63" s="739"/>
      <c r="Y63" s="1152"/>
      <c r="Z63" s="1152"/>
      <c r="AA63" s="563"/>
      <c r="AB63" s="1125"/>
      <c r="AC63" s="1126"/>
      <c r="AD63" s="1126"/>
      <c r="AE63" s="1126"/>
      <c r="AF63" s="1126"/>
      <c r="AG63" s="1191"/>
      <c r="AH63" s="1126"/>
      <c r="AI63" s="1126"/>
      <c r="AJ63" s="1126"/>
      <c r="AK63" s="1126"/>
      <c r="AL63" s="1126"/>
      <c r="AM63" s="1184"/>
      <c r="AN63" s="2"/>
      <c r="AO63" s="2"/>
    </row>
    <row r="64" spans="1:41">
      <c r="A64" s="2"/>
      <c r="B64" s="2"/>
      <c r="C64" s="2"/>
      <c r="D64" s="9"/>
      <c r="E64" s="9"/>
      <c r="F64" s="9"/>
      <c r="G64" s="9" t="s">
        <v>327</v>
      </c>
      <c r="I64" s="9"/>
      <c r="J64" s="2"/>
      <c r="K64" s="2"/>
      <c r="L64" s="2"/>
      <c r="M64" s="2"/>
      <c r="N64" s="2"/>
      <c r="O64" s="2"/>
      <c r="P64" s="2"/>
      <c r="Q64" s="2"/>
      <c r="R64" s="2"/>
      <c r="S64" s="2"/>
      <c r="T64" s="2"/>
      <c r="U64" s="2"/>
      <c r="V64" s="2"/>
      <c r="W64" s="2"/>
      <c r="X64" s="2"/>
      <c r="Y64" s="2"/>
      <c r="Z64" s="2"/>
      <c r="AA64" s="2"/>
      <c r="AB64" s="1125"/>
      <c r="AC64" s="1126"/>
      <c r="AD64" s="1126"/>
      <c r="AE64" s="1126"/>
      <c r="AF64" s="1126"/>
      <c r="AG64" s="1191"/>
      <c r="AH64" s="1126"/>
      <c r="AI64" s="1126"/>
      <c r="AJ64" s="1126"/>
      <c r="AK64" s="1126"/>
      <c r="AL64" s="1126"/>
      <c r="AM64" s="1184"/>
      <c r="AN64" s="2"/>
      <c r="AO64" s="2"/>
    </row>
    <row r="65" spans="1:41" ht="15">
      <c r="A65" s="2"/>
      <c r="B65" s="2"/>
      <c r="C65" s="1226"/>
      <c r="D65" s="1227" t="s">
        <v>993</v>
      </c>
      <c r="E65" s="1227"/>
      <c r="F65" s="775"/>
      <c r="G65" s="775"/>
      <c r="H65" s="1228"/>
      <c r="I65" s="1228"/>
      <c r="J65" s="1228"/>
      <c r="K65" s="775"/>
      <c r="L65" s="775"/>
      <c r="M65" s="1229"/>
      <c r="N65" s="2"/>
      <c r="O65" s="2"/>
      <c r="P65" s="2"/>
      <c r="Q65" s="2"/>
      <c r="R65" s="2"/>
      <c r="S65" s="2"/>
      <c r="T65" s="2"/>
      <c r="U65" s="2"/>
      <c r="V65" s="2"/>
      <c r="W65" s="2"/>
      <c r="X65" s="2"/>
      <c r="Y65" s="2"/>
      <c r="Z65" s="2"/>
      <c r="AA65" s="2"/>
      <c r="AB65" s="1125"/>
      <c r="AC65" s="1126"/>
      <c r="AD65" s="1126"/>
      <c r="AE65" s="1126"/>
      <c r="AF65" s="1126"/>
      <c r="AG65" s="1191"/>
      <c r="AH65" s="1126"/>
      <c r="AI65" s="1126"/>
      <c r="AJ65" s="1126"/>
      <c r="AK65" s="1126"/>
      <c r="AL65" s="1126"/>
      <c r="AM65" s="1184"/>
      <c r="AN65" s="2"/>
      <c r="AO65" s="2"/>
    </row>
    <row r="66" spans="1:41">
      <c r="A66" s="2"/>
      <c r="C66" s="1681"/>
      <c r="D66" s="1682"/>
      <c r="E66" s="1682"/>
      <c r="F66" s="1682"/>
      <c r="G66" s="1682"/>
      <c r="H66" s="774" t="s">
        <v>1323</v>
      </c>
      <c r="I66" s="775"/>
      <c r="J66" s="774" t="s">
        <v>1319</v>
      </c>
      <c r="K66" s="2291"/>
      <c r="L66" s="2291"/>
      <c r="M66" s="2292"/>
      <c r="N66" s="2"/>
      <c r="O66" s="2"/>
      <c r="P66" s="2"/>
      <c r="Q66" s="2"/>
      <c r="R66" s="2"/>
      <c r="S66" s="2"/>
      <c r="T66" s="2"/>
      <c r="U66" s="2"/>
      <c r="V66" s="2"/>
      <c r="W66" s="2"/>
      <c r="X66" s="2"/>
      <c r="Y66" s="2"/>
      <c r="Z66" s="2"/>
      <c r="AA66" s="2"/>
      <c r="AB66" s="1125"/>
      <c r="AC66" s="1126"/>
      <c r="AD66" s="1126"/>
      <c r="AE66" s="1126"/>
      <c r="AF66" s="1126"/>
      <c r="AG66" s="1191"/>
      <c r="AH66" s="1126"/>
      <c r="AI66" s="1126"/>
      <c r="AJ66" s="1126"/>
      <c r="AK66" s="1126"/>
      <c r="AL66" s="1126"/>
      <c r="AM66" s="1184"/>
      <c r="AN66" s="2"/>
      <c r="AO66" s="2"/>
    </row>
    <row r="67" spans="1:41">
      <c r="A67" s="2"/>
      <c r="C67" s="776"/>
      <c r="D67" s="526"/>
      <c r="E67" s="526"/>
      <c r="F67" s="526"/>
      <c r="G67" s="526"/>
      <c r="H67" s="779" t="s">
        <v>1322</v>
      </c>
      <c r="I67" s="766"/>
      <c r="J67" s="779" t="s">
        <v>1324</v>
      </c>
      <c r="K67" s="766"/>
      <c r="L67" s="766"/>
      <c r="M67" s="679"/>
      <c r="N67" s="2"/>
      <c r="O67" s="2"/>
      <c r="P67" s="2"/>
      <c r="Q67" s="2"/>
      <c r="R67" s="2"/>
      <c r="S67" s="2"/>
      <c r="T67" s="2"/>
      <c r="U67" s="2"/>
      <c r="V67" s="2"/>
      <c r="W67" s="2"/>
      <c r="X67" s="2"/>
      <c r="Y67" s="2"/>
      <c r="Z67" s="2"/>
      <c r="AA67" s="2"/>
      <c r="AB67" s="1125"/>
      <c r="AC67" s="1126"/>
      <c r="AD67" s="1126"/>
      <c r="AE67" s="1126"/>
      <c r="AF67" s="1126"/>
      <c r="AG67" s="1191"/>
      <c r="AH67" s="1126"/>
      <c r="AI67" s="1126"/>
      <c r="AJ67" s="1126"/>
      <c r="AK67" s="1126"/>
      <c r="AL67" s="1126"/>
      <c r="AM67" s="1184"/>
      <c r="AN67" s="2"/>
      <c r="AO67" s="2"/>
    </row>
    <row r="68" spans="1:41" ht="28.5" customHeight="1" thickBot="1">
      <c r="A68" s="2"/>
      <c r="C68" s="1230"/>
      <c r="D68" s="1233" t="s">
        <v>742</v>
      </c>
      <c r="E68" s="2275"/>
      <c r="F68" s="1083"/>
      <c r="G68" s="1084"/>
      <c r="H68" s="2289" t="s">
        <v>749</v>
      </c>
      <c r="I68" s="2290" t="s">
        <v>1272</v>
      </c>
      <c r="J68" s="1677" t="s">
        <v>317</v>
      </c>
      <c r="K68" s="720"/>
      <c r="L68" s="702" t="s">
        <v>992</v>
      </c>
      <c r="M68" s="2287" t="s">
        <v>824</v>
      </c>
      <c r="N68" s="2"/>
      <c r="O68" s="2"/>
      <c r="P68" s="2"/>
      <c r="Q68" s="2"/>
      <c r="R68" s="2"/>
      <c r="S68" s="2"/>
      <c r="T68" s="2"/>
      <c r="U68" s="2"/>
      <c r="V68" s="2"/>
      <c r="W68" s="2"/>
      <c r="X68" s="2"/>
      <c r="Y68" s="2"/>
      <c r="Z68" s="2"/>
      <c r="AA68" s="2"/>
      <c r="AB68" s="1192"/>
      <c r="AC68" s="1193"/>
      <c r="AD68" s="1193"/>
      <c r="AE68" s="1193"/>
      <c r="AF68" s="1193"/>
      <c r="AG68" s="1194"/>
      <c r="AH68" s="1193"/>
      <c r="AI68" s="1193"/>
      <c r="AJ68" s="1193"/>
      <c r="AK68" s="1193"/>
      <c r="AL68" s="1193"/>
      <c r="AM68" s="1195"/>
      <c r="AN68" s="2"/>
      <c r="AO68" s="2"/>
    </row>
    <row r="69" spans="1:41" ht="13.5" thickBot="1">
      <c r="A69" s="2"/>
      <c r="C69" s="1230"/>
      <c r="D69" s="1233" t="str">
        <f>Gröddata!A10</f>
        <v>Höstvete bröd</v>
      </c>
      <c r="E69" s="2275"/>
      <c r="F69" s="1083"/>
      <c r="G69" s="1084"/>
      <c r="H69" s="1234">
        <v>1.5</v>
      </c>
      <c r="I69" s="1235">
        <v>1</v>
      </c>
      <c r="J69" s="1100"/>
      <c r="K69" s="526"/>
      <c r="L69" s="697"/>
      <c r="M69" s="1231"/>
      <c r="N69" s="2"/>
      <c r="O69" s="2"/>
      <c r="P69" s="2"/>
      <c r="Q69" s="2"/>
      <c r="R69" s="2"/>
      <c r="S69" s="2"/>
      <c r="T69" s="2"/>
      <c r="U69" s="2"/>
      <c r="V69" s="2"/>
      <c r="W69" s="2"/>
      <c r="X69" s="2"/>
      <c r="Y69" s="2"/>
      <c r="Z69" s="2"/>
      <c r="AM69" s="2"/>
      <c r="AN69" s="2"/>
      <c r="AO69" s="2"/>
    </row>
    <row r="70" spans="1:41">
      <c r="A70" s="2"/>
      <c r="C70" s="1230"/>
      <c r="D70" s="1233" t="str">
        <f>Gröddata!A11</f>
        <v>Höstvete, foder</v>
      </c>
      <c r="E70" s="2275"/>
      <c r="F70" s="1083"/>
      <c r="G70" s="1084"/>
      <c r="H70" s="1234">
        <v>1.5</v>
      </c>
      <c r="I70" s="1235">
        <v>1</v>
      </c>
      <c r="J70" s="1676"/>
      <c r="K70" s="526"/>
      <c r="L70" s="796"/>
      <c r="M70" s="1231"/>
      <c r="N70" s="2"/>
      <c r="O70" s="2"/>
      <c r="P70" s="2"/>
      <c r="Q70" s="2"/>
      <c r="R70" s="2"/>
      <c r="S70" s="2"/>
      <c r="T70" s="2"/>
      <c r="U70" s="2"/>
      <c r="V70" s="2"/>
      <c r="W70" s="2"/>
      <c r="X70" s="2"/>
      <c r="Y70" s="2"/>
      <c r="Z70" s="2"/>
      <c r="AA70" s="2"/>
      <c r="AB70" s="1119"/>
      <c r="AC70" s="1120"/>
      <c r="AD70" s="1120"/>
      <c r="AE70" s="1120"/>
      <c r="AF70" s="1120"/>
      <c r="AG70" s="1120"/>
      <c r="AH70" s="1120"/>
      <c r="AI70" s="1121"/>
      <c r="AJ70" s="94"/>
      <c r="AK70" s="2"/>
      <c r="AL70" s="2"/>
      <c r="AM70" s="2"/>
      <c r="AN70" s="2"/>
      <c r="AO70" s="2"/>
    </row>
    <row r="71" spans="1:41">
      <c r="A71" s="2"/>
      <c r="C71" s="1230"/>
      <c r="D71" s="1233" t="str">
        <f>Gröddata!A12</f>
        <v>Råg, hybrid</v>
      </c>
      <c r="E71" s="2275"/>
      <c r="F71" s="1083"/>
      <c r="G71" s="1084"/>
      <c r="H71" s="1234">
        <v>1.5</v>
      </c>
      <c r="I71" s="1235">
        <v>1</v>
      </c>
      <c r="J71" s="1676"/>
      <c r="K71" s="526"/>
      <c r="L71" s="796"/>
      <c r="M71" s="1231"/>
      <c r="N71" s="2"/>
      <c r="O71" s="2"/>
      <c r="P71" s="2"/>
      <c r="Q71" s="2"/>
      <c r="R71" s="2"/>
      <c r="S71" s="2"/>
      <c r="T71" s="2"/>
      <c r="U71" s="2"/>
      <c r="V71" s="2"/>
      <c r="W71" s="2"/>
      <c r="X71" s="2"/>
      <c r="Y71" s="2"/>
      <c r="Z71" s="2"/>
      <c r="AA71" s="2"/>
      <c r="AB71" s="1122"/>
      <c r="AC71" s="1426" t="s">
        <v>1306</v>
      </c>
      <c r="AD71" s="1114"/>
      <c r="AE71" s="1114"/>
      <c r="AF71" s="1114"/>
      <c r="AG71" s="1114"/>
      <c r="AH71" s="1114"/>
      <c r="AI71" s="1123"/>
      <c r="AJ71" s="2"/>
      <c r="AK71" s="2"/>
      <c r="AL71" s="2"/>
      <c r="AM71" s="2"/>
      <c r="AN71" s="2"/>
      <c r="AO71" s="2"/>
    </row>
    <row r="72" spans="1:41">
      <c r="A72" s="2"/>
      <c r="C72" s="1230"/>
      <c r="D72" s="1233" t="str">
        <f>Gröddata!A13</f>
        <v>Rågvete</v>
      </c>
      <c r="E72" s="2275"/>
      <c r="F72" s="1083"/>
      <c r="G72" s="1084"/>
      <c r="H72" s="1234">
        <v>1.5</v>
      </c>
      <c r="I72" s="1235">
        <v>1</v>
      </c>
      <c r="J72" s="1676"/>
      <c r="K72" s="526"/>
      <c r="L72" s="796"/>
      <c r="M72" s="1231"/>
      <c r="N72" s="6"/>
      <c r="O72" s="2"/>
      <c r="P72" s="2"/>
      <c r="Q72" s="2"/>
      <c r="R72" s="2"/>
      <c r="S72" s="2"/>
      <c r="T72" s="2"/>
      <c r="U72" s="2"/>
      <c r="V72" s="2"/>
      <c r="W72" s="2"/>
      <c r="X72" s="2"/>
      <c r="Y72" s="2"/>
      <c r="Z72" s="2"/>
      <c r="AA72" s="2"/>
      <c r="AB72" s="1122"/>
      <c r="AC72" s="1114"/>
      <c r="AD72" s="1114"/>
      <c r="AE72" s="1114"/>
      <c r="AF72" s="1114"/>
      <c r="AG72" s="1114"/>
      <c r="AH72" s="1114"/>
      <c r="AI72" s="1123"/>
      <c r="AJ72" s="95"/>
      <c r="AK72" s="2"/>
      <c r="AL72" s="2"/>
      <c r="AM72" s="2"/>
      <c r="AN72" s="2"/>
      <c r="AO72" s="2"/>
    </row>
    <row r="73" spans="1:41">
      <c r="C73" s="1230"/>
      <c r="D73" s="1233" t="str">
        <f>Gröddata!A14</f>
        <v>Höstkorn</v>
      </c>
      <c r="E73" s="2275"/>
      <c r="F73" s="1083"/>
      <c r="G73" s="1084"/>
      <c r="H73" s="1234">
        <v>1.5</v>
      </c>
      <c r="I73" s="1235">
        <v>1</v>
      </c>
      <c r="J73" s="1676"/>
      <c r="K73" s="526"/>
      <c r="L73" s="796"/>
      <c r="M73" s="1231"/>
      <c r="AB73" s="1122"/>
      <c r="AC73" s="2175" t="s">
        <v>301</v>
      </c>
      <c r="AD73" s="2175" t="s">
        <v>1303</v>
      </c>
      <c r="AE73" s="2175" t="s">
        <v>1304</v>
      </c>
      <c r="AF73" s="1114"/>
      <c r="AG73" s="2175" t="s">
        <v>1301</v>
      </c>
      <c r="AH73" s="2175" t="s">
        <v>1305</v>
      </c>
      <c r="AI73" s="1123"/>
    </row>
    <row r="74" spans="1:41" ht="14.25">
      <c r="C74" s="1230"/>
      <c r="D74" s="1233" t="str">
        <f>Gröddata!A15</f>
        <v>Vårkorn, foder</v>
      </c>
      <c r="E74" s="2275"/>
      <c r="F74" s="1083"/>
      <c r="G74" s="1084"/>
      <c r="H74" s="1234">
        <v>0.9</v>
      </c>
      <c r="I74" s="1235">
        <v>0.6</v>
      </c>
      <c r="J74" s="1676"/>
      <c r="K74" s="526"/>
      <c r="L74" s="796"/>
      <c r="M74" s="1231"/>
      <c r="N74" s="96"/>
      <c r="AB74" s="1122"/>
      <c r="AC74" s="1108">
        <v>5</v>
      </c>
      <c r="AD74" s="1111">
        <f>AD107</f>
        <v>0</v>
      </c>
      <c r="AE74" s="1348">
        <f>AD74*10*Huvudinmatning!S$8</f>
        <v>0</v>
      </c>
      <c r="AF74" s="1114"/>
      <c r="AG74" s="1108">
        <f>Huvudinmatning!L2</f>
        <v>10</v>
      </c>
      <c r="AH74" s="2173">
        <f>INDEX(AC74:AD83,MATCH(AG74,AC74:AC83,0),2)</f>
        <v>0</v>
      </c>
      <c r="AI74" s="1123"/>
      <c r="AJ74" s="97"/>
    </row>
    <row r="75" spans="1:41">
      <c r="C75" s="776"/>
      <c r="D75" s="1233" t="str">
        <f>Gröddata!A16</f>
        <v>Maltkorn</v>
      </c>
      <c r="E75" s="2275"/>
      <c r="F75" s="1083"/>
      <c r="G75" s="1084"/>
      <c r="H75" s="1234">
        <v>0.9</v>
      </c>
      <c r="I75" s="2302">
        <v>0.6</v>
      </c>
      <c r="J75" s="1676"/>
      <c r="K75" s="526"/>
      <c r="L75" s="796"/>
      <c r="M75" s="678"/>
      <c r="AB75" s="1122"/>
      <c r="AC75" s="1108">
        <v>10</v>
      </c>
      <c r="AD75" s="1111">
        <f>AD112</f>
        <v>0</v>
      </c>
      <c r="AE75" s="1348">
        <f>AD75*10*Huvudinmatning!S$8</f>
        <v>0</v>
      </c>
      <c r="AF75" s="1114"/>
      <c r="AG75" s="1114"/>
      <c r="AH75" s="1114"/>
      <c r="AI75" s="1123"/>
    </row>
    <row r="76" spans="1:41">
      <c r="C76" s="776"/>
      <c r="D76" s="1233" t="str">
        <f>Gröddata!A17</f>
        <v>Vårvete</v>
      </c>
      <c r="E76" s="2275"/>
      <c r="F76" s="1083"/>
      <c r="G76" s="1084"/>
      <c r="H76" s="1234">
        <v>0.9</v>
      </c>
      <c r="I76" s="2302">
        <v>0.6</v>
      </c>
      <c r="J76" s="1676"/>
      <c r="K76" s="526"/>
      <c r="L76" s="796"/>
      <c r="M76" s="678"/>
      <c r="N76" s="98"/>
      <c r="AB76" s="1122"/>
      <c r="AC76" s="1108">
        <v>15</v>
      </c>
      <c r="AD76" s="1111">
        <f>AD117</f>
        <v>0</v>
      </c>
      <c r="AE76" s="1348">
        <f>AD76*10*Huvudinmatning!S$8</f>
        <v>0</v>
      </c>
      <c r="AF76" s="1114"/>
      <c r="AG76" s="1114"/>
      <c r="AH76" s="1114"/>
      <c r="AI76" s="1123"/>
    </row>
    <row r="77" spans="1:41">
      <c r="C77" s="776"/>
      <c r="D77" s="1233" t="str">
        <f>Gröddata!A18</f>
        <v>Havre</v>
      </c>
      <c r="E77" s="2275"/>
      <c r="F77" s="1083"/>
      <c r="G77" s="1084"/>
      <c r="H77" s="1234">
        <v>0.9</v>
      </c>
      <c r="I77" s="2302">
        <v>0.6</v>
      </c>
      <c r="J77" s="1676"/>
      <c r="K77" s="526"/>
      <c r="L77" s="796"/>
      <c r="M77" s="678"/>
      <c r="AB77" s="1122"/>
      <c r="AC77" s="1108">
        <v>20</v>
      </c>
      <c r="AD77" s="1111">
        <f>AD122</f>
        <v>0</v>
      </c>
      <c r="AE77" s="1348">
        <f>AD77*10*Huvudinmatning!S$8</f>
        <v>0</v>
      </c>
      <c r="AF77" s="1114"/>
      <c r="AG77" s="1114"/>
      <c r="AH77" s="1114"/>
      <c r="AI77" s="1123"/>
    </row>
    <row r="78" spans="1:41">
      <c r="C78" s="776"/>
      <c r="D78" s="1233" t="str">
        <f>Gröddata!A20</f>
        <v xml:space="preserve">Höstraps </v>
      </c>
      <c r="E78" s="2275"/>
      <c r="F78" s="1083"/>
      <c r="G78" s="1084"/>
      <c r="H78" s="1234">
        <v>3</v>
      </c>
      <c r="I78" s="1235">
        <v>1.5</v>
      </c>
      <c r="J78" s="1676"/>
      <c r="K78" s="526"/>
      <c r="L78" s="796"/>
      <c r="M78" s="678"/>
      <c r="N78" s="97"/>
      <c r="AB78" s="1122"/>
      <c r="AC78" s="1108">
        <v>25</v>
      </c>
      <c r="AD78" s="1111">
        <f>AD127</f>
        <v>0</v>
      </c>
      <c r="AE78" s="1348">
        <f>AD78*10*Huvudinmatning!S$8</f>
        <v>0</v>
      </c>
      <c r="AF78" s="1114"/>
      <c r="AG78" s="1114"/>
      <c r="AH78" s="1114"/>
      <c r="AI78" s="1123"/>
      <c r="AJ78" s="99"/>
    </row>
    <row r="79" spans="1:41">
      <c r="C79" s="776"/>
      <c r="D79" s="1233" t="str">
        <f>Gröddata!A21</f>
        <v>Vårraps</v>
      </c>
      <c r="E79" s="2275"/>
      <c r="F79" s="1083"/>
      <c r="G79" s="1084"/>
      <c r="H79" s="1234">
        <v>3</v>
      </c>
      <c r="I79" s="1235">
        <v>1.5</v>
      </c>
      <c r="J79" s="1676"/>
      <c r="K79" s="526"/>
      <c r="L79" s="796"/>
      <c r="M79" s="678"/>
      <c r="AB79" s="1122"/>
      <c r="AC79" s="1108">
        <v>30</v>
      </c>
      <c r="AD79" s="1111">
        <f>AD132</f>
        <v>0</v>
      </c>
      <c r="AE79" s="1348">
        <f>AD79*10*Huvudinmatning!S$8</f>
        <v>0</v>
      </c>
      <c r="AF79" s="1114"/>
      <c r="AG79" s="1114"/>
      <c r="AH79" s="1114"/>
      <c r="AI79" s="1123"/>
    </row>
    <row r="80" spans="1:41">
      <c r="C80" s="776"/>
      <c r="D80" s="1233" t="str">
        <f>Gröddata!A22</f>
        <v>Oljelin</v>
      </c>
      <c r="E80" s="2275"/>
      <c r="F80" s="1083"/>
      <c r="G80" s="1084"/>
      <c r="H80" s="2046">
        <v>3</v>
      </c>
      <c r="I80" s="2041">
        <v>1.5</v>
      </c>
      <c r="J80" s="796"/>
      <c r="K80" s="526"/>
      <c r="L80" s="796"/>
      <c r="M80" s="678"/>
      <c r="AB80" s="1122"/>
      <c r="AC80" s="1108">
        <v>35</v>
      </c>
      <c r="AD80" s="1111">
        <f>AD137</f>
        <v>0</v>
      </c>
      <c r="AE80" s="1348">
        <f>AD80*10*Huvudinmatning!S$8</f>
        <v>0</v>
      </c>
      <c r="AF80" s="1114"/>
      <c r="AG80" s="1114"/>
      <c r="AH80" s="1114"/>
      <c r="AI80" s="1123"/>
      <c r="AJ80" s="96"/>
    </row>
    <row r="81" spans="3:36">
      <c r="C81" s="776"/>
      <c r="D81" s="1233" t="str">
        <f>Gröddata!A24</f>
        <v>Foderärt</v>
      </c>
      <c r="E81" s="2275"/>
      <c r="F81" s="1083"/>
      <c r="G81" s="1084"/>
      <c r="H81" s="1234">
        <v>1.5</v>
      </c>
      <c r="I81" s="1235">
        <v>1</v>
      </c>
      <c r="J81" s="1677"/>
      <c r="K81" s="526"/>
      <c r="L81" s="796"/>
      <c r="M81" s="678"/>
      <c r="AB81" s="1122"/>
      <c r="AC81" s="1108">
        <v>40</v>
      </c>
      <c r="AD81" s="1111">
        <f>AD142</f>
        <v>0</v>
      </c>
      <c r="AE81" s="1348">
        <f>AD81*10*Huvudinmatning!S$8</f>
        <v>0</v>
      </c>
      <c r="AF81" s="1114"/>
      <c r="AG81" s="1114"/>
      <c r="AH81" s="1114"/>
      <c r="AI81" s="1123"/>
    </row>
    <row r="82" spans="3:36">
      <c r="C82" s="776"/>
      <c r="D82" s="1233" t="str">
        <f>Gröddata!A25</f>
        <v>Konservärter</v>
      </c>
      <c r="E82" s="2275"/>
      <c r="F82" s="1083"/>
      <c r="G82" s="1084"/>
      <c r="H82" s="1678">
        <f>J82/Gröddata!C25</f>
        <v>1.6666666666666667</v>
      </c>
      <c r="I82" s="1678">
        <f>J82/Gröddata!C25</f>
        <v>1.6666666666666667</v>
      </c>
      <c r="J82" s="1235">
        <v>6000</v>
      </c>
      <c r="K82" s="526"/>
      <c r="L82" s="695"/>
      <c r="M82" s="702">
        <f t="shared" ref="M82:M85" si="16">J82+L82</f>
        <v>6000</v>
      </c>
      <c r="N82" s="99"/>
      <c r="AB82" s="1122"/>
      <c r="AC82" s="1108">
        <v>45</v>
      </c>
      <c r="AD82" s="1111">
        <f>AD147</f>
        <v>0</v>
      </c>
      <c r="AE82" s="1348">
        <f>AD82*10*Huvudinmatning!S$8</f>
        <v>0</v>
      </c>
      <c r="AF82" s="1114"/>
      <c r="AG82" s="1114"/>
      <c r="AH82" s="1114"/>
      <c r="AI82" s="1123"/>
      <c r="AJ82" s="98"/>
    </row>
    <row r="83" spans="3:36">
      <c r="C83" s="776"/>
      <c r="D83" s="1233" t="str">
        <f>Gröddata!A26</f>
        <v>Åkerbönor</v>
      </c>
      <c r="E83" s="2276"/>
      <c r="F83" s="526"/>
      <c r="G83" s="526"/>
      <c r="H83" s="1235">
        <v>2</v>
      </c>
      <c r="I83" s="1235">
        <v>1</v>
      </c>
      <c r="J83" s="694"/>
      <c r="K83" s="526"/>
      <c r="L83" s="796"/>
      <c r="M83" s="678">
        <f t="shared" si="16"/>
        <v>0</v>
      </c>
      <c r="AB83" s="1122"/>
      <c r="AC83" s="1108">
        <v>50</v>
      </c>
      <c r="AD83" s="1111">
        <f>AD152</f>
        <v>0</v>
      </c>
      <c r="AE83" s="1348">
        <f>AD83*10*Huvudinmatning!S$8</f>
        <v>0</v>
      </c>
      <c r="AF83" s="1114"/>
      <c r="AG83" s="1114"/>
      <c r="AH83" s="1114"/>
      <c r="AI83" s="1123"/>
    </row>
    <row r="84" spans="3:36" ht="13.5" thickBot="1">
      <c r="C84" s="776"/>
      <c r="D84" s="1233" t="str">
        <f>Gröddata!A28</f>
        <v>Sockerbetor</v>
      </c>
      <c r="E84" s="2275"/>
      <c r="F84" s="1083"/>
      <c r="G84" s="1084"/>
      <c r="H84" s="1234">
        <v>0.1</v>
      </c>
      <c r="I84" s="1235">
        <v>0.05</v>
      </c>
      <c r="J84" s="1100"/>
      <c r="K84" s="526"/>
      <c r="L84" s="796"/>
      <c r="M84" s="678">
        <f t="shared" si="16"/>
        <v>0</v>
      </c>
      <c r="N84" s="96"/>
      <c r="AB84" s="1127"/>
      <c r="AC84" s="1128"/>
      <c r="AD84" s="1128"/>
      <c r="AE84" s="1128"/>
      <c r="AF84" s="1128"/>
      <c r="AG84" s="1128"/>
      <c r="AH84" s="1128"/>
      <c r="AI84" s="1129"/>
      <c r="AJ84" s="97"/>
    </row>
    <row r="85" spans="3:36">
      <c r="C85" s="776"/>
      <c r="D85" s="1233" t="str">
        <f>Gröddata!A29</f>
        <v>Matpotatis (parti)*</v>
      </c>
      <c r="E85" s="2275"/>
      <c r="F85" s="1083"/>
      <c r="G85" s="1084"/>
      <c r="H85" s="1234">
        <v>0</v>
      </c>
      <c r="I85" s="1235">
        <v>0</v>
      </c>
      <c r="J85" s="1677"/>
      <c r="K85" s="526"/>
      <c r="L85" s="703"/>
      <c r="M85" s="678">
        <f t="shared" si="16"/>
        <v>0</v>
      </c>
    </row>
    <row r="86" spans="3:36">
      <c r="C86" s="776"/>
      <c r="D86" s="1233" t="str">
        <f>Gröddata!A31</f>
        <v>Slåttervall, ensilage</v>
      </c>
      <c r="E86" s="2275"/>
      <c r="F86" s="1083"/>
      <c r="G86" s="1084"/>
      <c r="H86" s="1679">
        <f>J86/Gröddata!C31</f>
        <v>0.66666666666666663</v>
      </c>
      <c r="I86" s="1679">
        <f>J86/Gröddata!C31</f>
        <v>0.66666666666666663</v>
      </c>
      <c r="J86" s="1235">
        <v>6000</v>
      </c>
      <c r="K86" s="526"/>
      <c r="L86" s="695"/>
      <c r="M86" s="694">
        <f>J86+L86</f>
        <v>6000</v>
      </c>
      <c r="N86" s="98"/>
    </row>
    <row r="87" spans="3:36">
      <c r="C87" s="776"/>
      <c r="D87" s="1233" t="str">
        <f>Gröddata!A32</f>
        <v>Helsädesensilage</v>
      </c>
      <c r="E87" s="2275"/>
      <c r="F87" s="1083"/>
      <c r="G87" s="1084"/>
      <c r="H87" s="1679">
        <f>J87/Gröddata!C32</f>
        <v>1.2</v>
      </c>
      <c r="I87" s="1679">
        <f>J87/Gröddata!C32</f>
        <v>1.2</v>
      </c>
      <c r="J87" s="1235">
        <v>6000</v>
      </c>
      <c r="K87" s="526"/>
      <c r="L87" s="695"/>
      <c r="M87" s="694">
        <f t="shared" ref="M87:M96" si="17">J87+L87</f>
        <v>6000</v>
      </c>
    </row>
    <row r="88" spans="3:36">
      <c r="C88" s="776"/>
      <c r="D88" s="2158" t="str">
        <f>Gröddata!A33</f>
        <v>Fodermajs</v>
      </c>
      <c r="E88" s="2277"/>
      <c r="F88" s="2063"/>
      <c r="G88" s="2157"/>
      <c r="H88" s="1679">
        <f>J88/Gröddata!C33</f>
        <v>0.4</v>
      </c>
      <c r="I88" s="1679">
        <f>J88/Gröddata!C33</f>
        <v>0.4</v>
      </c>
      <c r="J88" s="1235">
        <v>4000</v>
      </c>
      <c r="K88" s="526"/>
      <c r="L88" s="695"/>
      <c r="M88" s="694">
        <f t="shared" si="17"/>
        <v>4000</v>
      </c>
      <c r="N88" s="97"/>
    </row>
    <row r="89" spans="3:36">
      <c r="C89" s="776"/>
      <c r="D89" s="1233">
        <f>Gröddata!A34</f>
        <v>0</v>
      </c>
      <c r="E89" s="2275"/>
      <c r="F89" s="701"/>
      <c r="G89" s="702"/>
      <c r="H89" s="1679" t="e">
        <f>J89/Gröddata!C34</f>
        <v>#DIV/0!</v>
      </c>
      <c r="I89" s="1679" t="e">
        <f>J89/Gröddata!C34</f>
        <v>#DIV/0!</v>
      </c>
      <c r="J89" s="2041">
        <v>6000</v>
      </c>
      <c r="K89" s="526"/>
      <c r="L89" s="695"/>
      <c r="M89" s="694">
        <f t="shared" si="17"/>
        <v>6000</v>
      </c>
    </row>
    <row r="90" spans="3:36">
      <c r="C90" s="776"/>
      <c r="D90" s="2159" t="str">
        <f>Gröddata!A38</f>
        <v>Gröngödsling</v>
      </c>
      <c r="E90" s="2000"/>
      <c r="F90" s="838"/>
      <c r="G90" s="836"/>
      <c r="H90" s="1680">
        <f>J90/Gröddata!C38</f>
        <v>2</v>
      </c>
      <c r="I90" s="1679">
        <f>J90/Gröddata!C38</f>
        <v>2</v>
      </c>
      <c r="J90" s="1235">
        <v>6000</v>
      </c>
      <c r="K90" s="526"/>
      <c r="L90" s="695"/>
      <c r="M90" s="694">
        <f t="shared" si="17"/>
        <v>6000</v>
      </c>
      <c r="N90" s="97"/>
    </row>
    <row r="91" spans="3:36">
      <c r="C91" s="776"/>
      <c r="D91" s="1233" t="str">
        <f>Gröddata!A39</f>
        <v>Fröodling</v>
      </c>
      <c r="E91" s="2275"/>
      <c r="F91" s="1083"/>
      <c r="G91" s="1084"/>
      <c r="H91" s="1680">
        <f>(J91+L91)/Gröddata!C39</f>
        <v>20</v>
      </c>
      <c r="I91" s="1679">
        <f>L91/Gröddata!C39</f>
        <v>10</v>
      </c>
      <c r="J91" s="1235">
        <v>6000</v>
      </c>
      <c r="K91" s="526"/>
      <c r="L91" s="1235">
        <v>6000</v>
      </c>
      <c r="M91" s="694">
        <f t="shared" si="17"/>
        <v>12000</v>
      </c>
      <c r="N91" s="97"/>
    </row>
    <row r="92" spans="3:36">
      <c r="C92" s="776"/>
      <c r="D92" s="1233">
        <f>Gröddata!A40</f>
        <v>0</v>
      </c>
      <c r="E92" s="2275"/>
      <c r="F92" s="1083"/>
      <c r="G92" s="1084"/>
      <c r="H92" s="1234"/>
      <c r="I92" s="1235"/>
      <c r="J92" s="2043">
        <f>H92-I92</f>
        <v>0</v>
      </c>
      <c r="K92" s="526"/>
      <c r="L92" s="695"/>
      <c r="M92" s="694">
        <f t="shared" si="17"/>
        <v>0</v>
      </c>
    </row>
    <row r="93" spans="3:36">
      <c r="C93" s="776"/>
      <c r="D93" s="1233">
        <f>Gröddata!A41</f>
        <v>0</v>
      </c>
      <c r="E93" s="2275"/>
      <c r="F93" s="1083"/>
      <c r="G93" s="1084"/>
      <c r="H93" s="1234"/>
      <c r="I93" s="1235"/>
      <c r="J93" s="695"/>
      <c r="K93" s="526"/>
      <c r="L93" s="695"/>
      <c r="M93" s="694">
        <f t="shared" si="17"/>
        <v>0</v>
      </c>
    </row>
    <row r="94" spans="3:36">
      <c r="C94" s="776"/>
      <c r="D94" s="1233">
        <f>Gröddata!A42</f>
        <v>0</v>
      </c>
      <c r="E94" s="2275"/>
      <c r="F94" s="1083"/>
      <c r="G94" s="1084"/>
      <c r="H94" s="1234"/>
      <c r="I94" s="1235"/>
      <c r="J94" s="695"/>
      <c r="K94" s="526"/>
      <c r="L94" s="695"/>
      <c r="M94" s="694">
        <f t="shared" si="17"/>
        <v>0</v>
      </c>
      <c r="Q94">
        <v>1</v>
      </c>
    </row>
    <row r="95" spans="3:36">
      <c r="C95" s="776"/>
      <c r="D95" s="1233">
        <f>Gröddata!A43</f>
        <v>0</v>
      </c>
      <c r="E95" s="2275"/>
      <c r="F95" s="1083"/>
      <c r="G95" s="1084"/>
      <c r="H95" s="1234"/>
      <c r="I95" s="1235"/>
      <c r="J95" s="695"/>
      <c r="K95" s="526"/>
      <c r="L95" s="695"/>
      <c r="M95" s="694">
        <f t="shared" si="17"/>
        <v>0</v>
      </c>
      <c r="Q95">
        <v>2</v>
      </c>
    </row>
    <row r="96" spans="3:36">
      <c r="C96" s="776"/>
      <c r="D96" s="1233">
        <f>Gröddata!A44</f>
        <v>0</v>
      </c>
      <c r="E96" s="2275"/>
      <c r="F96" s="1083"/>
      <c r="G96" s="1084"/>
      <c r="H96" s="1234"/>
      <c r="I96" s="1235"/>
      <c r="J96" s="695"/>
      <c r="K96" s="526"/>
      <c r="L96" s="695"/>
      <c r="M96" s="694">
        <f t="shared" si="17"/>
        <v>0</v>
      </c>
      <c r="Q96">
        <v>3</v>
      </c>
    </row>
    <row r="97" spans="3:37">
      <c r="C97" s="779"/>
      <c r="D97" s="2000">
        <f>Gröddata!A45</f>
        <v>0</v>
      </c>
      <c r="E97" s="2000"/>
      <c r="F97" s="838"/>
      <c r="G97" s="838"/>
      <c r="H97" s="2001"/>
      <c r="I97" s="2001"/>
      <c r="J97" s="766"/>
      <c r="K97" s="766"/>
      <c r="L97" s="766"/>
      <c r="M97" s="679"/>
      <c r="Q97">
        <v>4</v>
      </c>
    </row>
    <row r="98" spans="3:37">
      <c r="Q98">
        <v>5</v>
      </c>
    </row>
    <row r="99" spans="3:37">
      <c r="Q99">
        <v>6</v>
      </c>
      <c r="AF99" s="13"/>
      <c r="AJ99" t="s">
        <v>895</v>
      </c>
    </row>
    <row r="100" spans="3:37">
      <c r="Q100">
        <v>7</v>
      </c>
      <c r="AF100" s="13"/>
      <c r="AI100" s="471"/>
      <c r="AJ100" s="471" t="s">
        <v>823</v>
      </c>
      <c r="AK100" s="471" t="s">
        <v>872</v>
      </c>
    </row>
    <row r="101" spans="3:37">
      <c r="Q101">
        <v>8</v>
      </c>
      <c r="S101" s="64">
        <f>+(AE6-Q35)/C19</f>
        <v>793.71428571428567</v>
      </c>
      <c r="T101" s="100">
        <f>-Q$35/C19/S19*100</f>
        <v>1.5</v>
      </c>
      <c r="U101" s="64">
        <f>+(AE7-Q58)/C42</f>
        <v>793.71428571428567</v>
      </c>
      <c r="W101" s="101">
        <f>-Q58/C42/S19*100</f>
        <v>1.5</v>
      </c>
      <c r="Y101" s="473" t="s">
        <v>137</v>
      </c>
      <c r="Z101" s="473" t="s">
        <v>152</v>
      </c>
      <c r="AA101" s="473" t="s">
        <v>152</v>
      </c>
      <c r="AE101" s="473" t="str">
        <f>Y101</f>
        <v>År</v>
      </c>
      <c r="AF101" s="1237" t="s">
        <v>29</v>
      </c>
      <c r="AG101" s="473" t="s">
        <v>29</v>
      </c>
      <c r="AI101" s="471">
        <v>1</v>
      </c>
      <c r="AJ101" s="471">
        <f t="shared" ref="AJ101:AJ110" si="18">IF(S25=0,0,T25*U25)</f>
        <v>0</v>
      </c>
      <c r="AK101" s="471">
        <f t="shared" ref="AK101:AK110" si="19">IF(S48=0,0,T48*U48)</f>
        <v>0</v>
      </c>
    </row>
    <row r="102" spans="3:37">
      <c r="Q102">
        <v>9</v>
      </c>
      <c r="Y102" s="473"/>
      <c r="Z102" s="473" t="s">
        <v>147</v>
      </c>
      <c r="AA102" s="473" t="s">
        <v>133</v>
      </c>
      <c r="AE102" s="473"/>
      <c r="AF102" s="473" t="s">
        <v>147</v>
      </c>
      <c r="AG102" s="1237" t="s">
        <v>133</v>
      </c>
      <c r="AI102" s="471">
        <v>2</v>
      </c>
      <c r="AJ102" s="471">
        <f t="shared" si="18"/>
        <v>0</v>
      </c>
      <c r="AK102" s="471">
        <f t="shared" si="19"/>
        <v>0</v>
      </c>
    </row>
    <row r="103" spans="3:37">
      <c r="Q103">
        <v>10</v>
      </c>
      <c r="S103" s="64">
        <f>+$T$101*$S$19*0.01</f>
        <v>758.7209302325582</v>
      </c>
      <c r="T103" s="64">
        <f>+$S$19-S103+S$101</f>
        <v>50616.388704318932</v>
      </c>
      <c r="U103" s="64">
        <f>+$W$101*$S$19*0.01</f>
        <v>758.7209302325582</v>
      </c>
      <c r="W103" s="64">
        <f>+$S$19-U103+U$101</f>
        <v>50616.388704318932</v>
      </c>
      <c r="Y103" s="473">
        <v>1</v>
      </c>
      <c r="Z103" s="1239">
        <f t="shared" ref="Z103:Z134" si="20">+W103/$A$7/10</f>
        <v>1.6872129568106309</v>
      </c>
      <c r="AA103" s="1239">
        <f t="shared" ref="AA103:AA134" si="21">+T103/$A$7/10</f>
        <v>1.6872129568106309</v>
      </c>
      <c r="AC103" s="13"/>
      <c r="AD103" s="2170">
        <f t="shared" ref="AD103:AD134" si="22">+Z103-AA103</f>
        <v>0</v>
      </c>
      <c r="AE103" s="473">
        <f t="shared" ref="AE103:AE165" si="23">Y103</f>
        <v>1</v>
      </c>
      <c r="AF103" s="1238">
        <f t="shared" ref="AF103:AF134" si="24">Z103*C$10</f>
        <v>2.9020062857142852</v>
      </c>
      <c r="AG103" s="1238">
        <f t="shared" ref="AG103:AG134" si="25">AA103*C$10</f>
        <v>2.9020062857142852</v>
      </c>
      <c r="AI103" s="471">
        <v>3</v>
      </c>
      <c r="AJ103" s="471">
        <f t="shared" si="18"/>
        <v>0</v>
      </c>
      <c r="AK103" s="471">
        <f t="shared" si="19"/>
        <v>0</v>
      </c>
    </row>
    <row r="104" spans="3:37">
      <c r="Q104">
        <v>11</v>
      </c>
      <c r="S104" s="64">
        <f t="shared" ref="S104:S135" si="26">+$T$101*T103*0.01</f>
        <v>759.245830564784</v>
      </c>
      <c r="T104" s="97">
        <f t="shared" ref="T104:T135" si="27">+T103-S104+S$101</f>
        <v>50650.857159468433</v>
      </c>
      <c r="U104" s="64">
        <f t="shared" ref="U104:U135" si="28">+$W$101*W103*0.01</f>
        <v>759.245830564784</v>
      </c>
      <c r="W104" s="64">
        <f t="shared" ref="W104:W135" si="29">+W103-U104+U$101</f>
        <v>50650.857159468433</v>
      </c>
      <c r="Y104" s="473">
        <v>2</v>
      </c>
      <c r="Z104" s="1239">
        <f t="shared" si="20"/>
        <v>1.6883619053156145</v>
      </c>
      <c r="AA104" s="1239">
        <f t="shared" si="21"/>
        <v>1.6883619053156145</v>
      </c>
      <c r="AC104" s="13"/>
      <c r="AD104" s="2170">
        <f t="shared" si="22"/>
        <v>0</v>
      </c>
      <c r="AE104" s="473">
        <f t="shared" si="23"/>
        <v>2</v>
      </c>
      <c r="AF104" s="1238">
        <f t="shared" si="24"/>
        <v>2.9039824771428568</v>
      </c>
      <c r="AG104" s="1238">
        <f t="shared" si="25"/>
        <v>2.9039824771428568</v>
      </c>
      <c r="AI104" s="471">
        <v>4</v>
      </c>
      <c r="AJ104" s="471">
        <f t="shared" si="18"/>
        <v>0</v>
      </c>
      <c r="AK104" s="471">
        <f t="shared" si="19"/>
        <v>0</v>
      </c>
    </row>
    <row r="105" spans="3:37">
      <c r="Q105">
        <v>12</v>
      </c>
      <c r="S105" s="64">
        <f t="shared" si="26"/>
        <v>759.76285739202649</v>
      </c>
      <c r="T105" s="97">
        <f t="shared" si="27"/>
        <v>50684.808587790692</v>
      </c>
      <c r="U105" s="64">
        <f t="shared" si="28"/>
        <v>759.76285739202649</v>
      </c>
      <c r="W105" s="64">
        <f t="shared" si="29"/>
        <v>50684.808587790692</v>
      </c>
      <c r="Y105" s="473">
        <v>3</v>
      </c>
      <c r="Z105" s="1239">
        <f t="shared" si="20"/>
        <v>1.6894936195930232</v>
      </c>
      <c r="AA105" s="1239">
        <f t="shared" si="21"/>
        <v>1.6894936195930232</v>
      </c>
      <c r="AC105" s="13"/>
      <c r="AD105" s="2170">
        <f t="shared" si="22"/>
        <v>0</v>
      </c>
      <c r="AE105" s="473">
        <f t="shared" si="23"/>
        <v>3</v>
      </c>
      <c r="AF105" s="1238">
        <f t="shared" si="24"/>
        <v>2.9059290256999999</v>
      </c>
      <c r="AG105" s="1238">
        <f t="shared" si="25"/>
        <v>2.9059290256999999</v>
      </c>
      <c r="AI105" s="471">
        <v>5</v>
      </c>
      <c r="AJ105" s="471">
        <f t="shared" si="18"/>
        <v>0</v>
      </c>
      <c r="AK105" s="471">
        <f t="shared" si="19"/>
        <v>0</v>
      </c>
    </row>
    <row r="106" spans="3:37" ht="13.5" thickBot="1">
      <c r="G106" s="774"/>
      <c r="H106" s="775"/>
      <c r="I106" s="775"/>
      <c r="J106" s="677"/>
      <c r="Q106">
        <v>13</v>
      </c>
      <c r="S106" s="64">
        <f t="shared" si="26"/>
        <v>760.27212881686035</v>
      </c>
      <c r="T106" s="97">
        <f t="shared" si="27"/>
        <v>50718.250744688114</v>
      </c>
      <c r="U106" s="64">
        <f t="shared" si="28"/>
        <v>760.27212881686035</v>
      </c>
      <c r="W106" s="64">
        <f t="shared" si="29"/>
        <v>50718.250744688114</v>
      </c>
      <c r="Y106" s="473">
        <v>4</v>
      </c>
      <c r="Z106" s="1239">
        <f t="shared" si="20"/>
        <v>1.6906083581562705</v>
      </c>
      <c r="AA106" s="1239">
        <f t="shared" si="21"/>
        <v>1.6906083581562705</v>
      </c>
      <c r="AC106" s="13"/>
      <c r="AD106" s="2170">
        <f t="shared" si="22"/>
        <v>0</v>
      </c>
      <c r="AE106" s="473">
        <f t="shared" si="23"/>
        <v>4</v>
      </c>
      <c r="AF106" s="1238">
        <f t="shared" si="24"/>
        <v>2.9078463760287852</v>
      </c>
      <c r="AG106" s="1238">
        <f t="shared" si="25"/>
        <v>2.9078463760287852</v>
      </c>
      <c r="AI106" s="471">
        <v>6</v>
      </c>
      <c r="AJ106" s="471">
        <f t="shared" si="18"/>
        <v>0</v>
      </c>
      <c r="AK106" s="471">
        <f t="shared" si="19"/>
        <v>0</v>
      </c>
    </row>
    <row r="107" spans="3:37" ht="13.5" thickBot="1">
      <c r="G107" s="776"/>
      <c r="H107" s="674" t="s">
        <v>1320</v>
      </c>
      <c r="I107" s="526"/>
      <c r="J107" s="678"/>
      <c r="Q107">
        <v>14</v>
      </c>
      <c r="S107" s="64">
        <f t="shared" si="26"/>
        <v>760.77376117032168</v>
      </c>
      <c r="T107" s="97">
        <f t="shared" si="27"/>
        <v>50751.191269232077</v>
      </c>
      <c r="U107" s="64">
        <f t="shared" si="28"/>
        <v>760.77376117032168</v>
      </c>
      <c r="W107" s="64">
        <f t="shared" si="29"/>
        <v>50751.191269232077</v>
      </c>
      <c r="Y107" s="473">
        <v>5</v>
      </c>
      <c r="Z107" s="1239">
        <f t="shared" si="20"/>
        <v>1.6917063756410691</v>
      </c>
      <c r="AA107" s="1239">
        <f t="shared" si="21"/>
        <v>1.6917063756410691</v>
      </c>
      <c r="AC107" s="13"/>
      <c r="AD107" s="2169">
        <f>+Z107-AA107</f>
        <v>0</v>
      </c>
      <c r="AE107" s="182">
        <f t="shared" si="23"/>
        <v>5</v>
      </c>
      <c r="AF107" s="1238">
        <f t="shared" si="24"/>
        <v>2.9097349661026386</v>
      </c>
      <c r="AG107" s="1238">
        <f t="shared" si="25"/>
        <v>2.9097349661026386</v>
      </c>
      <c r="AI107" s="471">
        <v>7</v>
      </c>
      <c r="AJ107" s="471">
        <f t="shared" si="18"/>
        <v>0</v>
      </c>
      <c r="AK107" s="471">
        <f t="shared" si="19"/>
        <v>0</v>
      </c>
    </row>
    <row r="108" spans="3:37">
      <c r="G108" s="776"/>
      <c r="H108" s="526"/>
      <c r="I108" s="526"/>
      <c r="J108" s="678"/>
      <c r="Q108">
        <v>15</v>
      </c>
      <c r="S108" s="64">
        <f t="shared" si="26"/>
        <v>761.26786903848119</v>
      </c>
      <c r="T108" s="97">
        <f t="shared" si="27"/>
        <v>50783.637685907881</v>
      </c>
      <c r="U108" s="64">
        <f t="shared" si="28"/>
        <v>761.26786903848119</v>
      </c>
      <c r="W108" s="64">
        <f t="shared" si="29"/>
        <v>50783.637685907881</v>
      </c>
      <c r="Y108" s="473">
        <v>6</v>
      </c>
      <c r="Z108" s="1239">
        <f t="shared" si="20"/>
        <v>1.6927879228635958</v>
      </c>
      <c r="AA108" s="1239">
        <f t="shared" si="21"/>
        <v>1.6927879228635958</v>
      </c>
      <c r="AC108" s="13"/>
      <c r="AD108" s="2170">
        <f t="shared" si="22"/>
        <v>0</v>
      </c>
      <c r="AE108" s="473">
        <f t="shared" si="23"/>
        <v>6</v>
      </c>
      <c r="AF108" s="1238">
        <f t="shared" si="24"/>
        <v>2.9115952273253849</v>
      </c>
      <c r="AG108" s="1238">
        <f t="shared" si="25"/>
        <v>2.9115952273253849</v>
      </c>
      <c r="AI108" s="471">
        <v>8</v>
      </c>
      <c r="AJ108" s="471">
        <f t="shared" si="18"/>
        <v>0</v>
      </c>
      <c r="AK108" s="471">
        <f t="shared" si="19"/>
        <v>0</v>
      </c>
    </row>
    <row r="109" spans="3:37">
      <c r="G109" s="776"/>
      <c r="H109" s="481">
        <v>1</v>
      </c>
      <c r="I109" s="481">
        <v>2</v>
      </c>
      <c r="J109" s="678"/>
      <c r="Q109">
        <v>16</v>
      </c>
      <c r="S109" s="64">
        <f t="shared" si="26"/>
        <v>761.75456528861821</v>
      </c>
      <c r="T109" s="97">
        <f t="shared" si="27"/>
        <v>50815.597406333545</v>
      </c>
      <c r="U109" s="64">
        <f t="shared" si="28"/>
        <v>761.75456528861821</v>
      </c>
      <c r="W109" s="64">
        <f t="shared" si="29"/>
        <v>50815.597406333545</v>
      </c>
      <c r="Y109" s="473">
        <v>7</v>
      </c>
      <c r="Z109" s="1239">
        <f t="shared" si="20"/>
        <v>1.6938532468777847</v>
      </c>
      <c r="AA109" s="1239">
        <f t="shared" si="21"/>
        <v>1.6938532468777847</v>
      </c>
      <c r="AC109" s="13"/>
      <c r="AD109" s="2170">
        <f t="shared" si="22"/>
        <v>0</v>
      </c>
      <c r="AE109" s="473">
        <f t="shared" si="23"/>
        <v>7</v>
      </c>
      <c r="AF109" s="1238">
        <f t="shared" si="24"/>
        <v>2.9134275846297895</v>
      </c>
      <c r="AG109" s="1238">
        <f t="shared" si="25"/>
        <v>2.9134275846297895</v>
      </c>
      <c r="AI109" s="471">
        <v>9</v>
      </c>
      <c r="AJ109" s="471">
        <f t="shared" si="18"/>
        <v>0</v>
      </c>
      <c r="AK109" s="471">
        <f t="shared" si="19"/>
        <v>0</v>
      </c>
    </row>
    <row r="110" spans="3:37">
      <c r="G110" s="776"/>
      <c r="H110" s="907">
        <f>IF(B25=" "," ",IF(Huvudinmatning!H14=FALSE,INDEX('Tekniskt underlag'!$A$5:$F$32,MATCH(B25,'Tekniskt underlag'!$A$5:$A$32,0),6)*C25,IF(Huvudinmatning!H14=TRUE,INDEX('Tekniskt underlag'!$A$5:$G$32,MATCH(B25,'Tekniskt underlag'!$A$5:$A$32,0),7)*C25," ")))</f>
        <v>10500</v>
      </c>
      <c r="I110" s="2284">
        <f>IF(B25=" "," ",IF(Huvudinmatning!H14=TRUE,INDEX(D$69:M$96,MATCH(B25,D$69:D$96,0),7),IF(Huvudinmatning!H14=FALSE,INDEX(D$69:M$96,MATCH(B25,D$69:D$96,0),10))))</f>
        <v>0</v>
      </c>
      <c r="J110" s="678"/>
      <c r="Q110">
        <v>17</v>
      </c>
      <c r="S110" s="64">
        <f t="shared" si="26"/>
        <v>762.23396109500322</v>
      </c>
      <c r="T110" s="97">
        <f t="shared" si="27"/>
        <v>50847.077730952828</v>
      </c>
      <c r="U110" s="64">
        <f t="shared" si="28"/>
        <v>762.23396109500322</v>
      </c>
      <c r="W110" s="64">
        <f t="shared" si="29"/>
        <v>50847.077730952828</v>
      </c>
      <c r="Y110" s="473">
        <v>8</v>
      </c>
      <c r="Z110" s="1239">
        <f t="shared" si="20"/>
        <v>1.6949025910317608</v>
      </c>
      <c r="AA110" s="1239">
        <f t="shared" si="21"/>
        <v>1.6949025910317608</v>
      </c>
      <c r="AC110" s="13"/>
      <c r="AD110" s="2170">
        <f t="shared" si="22"/>
        <v>0</v>
      </c>
      <c r="AE110" s="473">
        <f t="shared" si="23"/>
        <v>8</v>
      </c>
      <c r="AF110" s="1238">
        <f t="shared" si="24"/>
        <v>2.9152324565746284</v>
      </c>
      <c r="AG110" s="1238">
        <f t="shared" si="25"/>
        <v>2.9152324565746284</v>
      </c>
      <c r="AI110" s="471">
        <v>10</v>
      </c>
      <c r="AJ110" s="471">
        <f t="shared" si="18"/>
        <v>0</v>
      </c>
      <c r="AK110" s="471">
        <f t="shared" si="19"/>
        <v>0</v>
      </c>
    </row>
    <row r="111" spans="3:37" ht="13.5" thickBot="1">
      <c r="G111" s="776"/>
      <c r="H111" s="907">
        <f>IF(B26=" "," ",IF(Huvudinmatning!H15=FALSE,INDEX('Tekniskt underlag'!$A$5:$F$32,MATCH(B26,'Tekniskt underlag'!$A$5:$A$32,0),6)*C26,IF(Huvudinmatning!H15=TRUE,INDEX('Tekniskt underlag'!$A$5:$G$32,MATCH(B26,'Tekniskt underlag'!$A$5:$A$32,0),7)*C26," ")))</f>
        <v>12000</v>
      </c>
      <c r="I111" s="2284">
        <f>IF(B26=" "," ",IF(Huvudinmatning!H15=TRUE,INDEX(D$69:M$96,MATCH(B26,D$69:D$96,0),7),IF(Huvudinmatning!H15=FALSE,INDEX(D$69:M$96,MATCH(B26,D$69:D$96,0),10))))</f>
        <v>0</v>
      </c>
      <c r="J111" s="678"/>
      <c r="Q111">
        <v>18</v>
      </c>
      <c r="S111" s="64">
        <f t="shared" si="26"/>
        <v>762.7061659642925</v>
      </c>
      <c r="T111" s="97">
        <f t="shared" si="27"/>
        <v>50878.085850702817</v>
      </c>
      <c r="U111" s="64">
        <f t="shared" si="28"/>
        <v>762.7061659642925</v>
      </c>
      <c r="W111" s="64">
        <f t="shared" si="29"/>
        <v>50878.085850702817</v>
      </c>
      <c r="Y111" s="473">
        <v>9</v>
      </c>
      <c r="Z111" s="1239">
        <f t="shared" si="20"/>
        <v>1.6959361950234271</v>
      </c>
      <c r="AA111" s="1239">
        <f t="shared" si="21"/>
        <v>1.6959361950234271</v>
      </c>
      <c r="AC111" s="13"/>
      <c r="AD111" s="2170">
        <f t="shared" si="22"/>
        <v>0</v>
      </c>
      <c r="AE111" s="473">
        <f t="shared" si="23"/>
        <v>9</v>
      </c>
      <c r="AF111" s="1238">
        <f t="shared" si="24"/>
        <v>2.9170102554402946</v>
      </c>
      <c r="AG111" s="1238">
        <f t="shared" si="25"/>
        <v>2.9170102554402946</v>
      </c>
    </row>
    <row r="112" spans="3:37" ht="13.5" thickBot="1">
      <c r="G112" s="776"/>
      <c r="H112" s="907">
        <f>IF(B27=" "," ",IF(Huvudinmatning!H16=FALSE,INDEX('Tekniskt underlag'!$A$5:$F$32,MATCH(B27,'Tekniskt underlag'!$A$5:$A$32,0),6)*C27,IF(Huvudinmatning!H16=TRUE,INDEX('Tekniskt underlag'!$A$5:$G$32,MATCH(B27,'Tekniskt underlag'!$A$5:$A$32,0),7)*C27," ")))</f>
        <v>12000</v>
      </c>
      <c r="I112" s="2284">
        <f>IF(B27=" "," ",IF(Huvudinmatning!H16=TRUE,INDEX(D$69:M$96,MATCH(B27,D$69:D$96,0),7),IF(Huvudinmatning!H16=FALSE,INDEX(D$69:M$96,MATCH(B27,D$69:D$96,0),10))))</f>
        <v>0</v>
      </c>
      <c r="J112" s="678"/>
      <c r="Q112">
        <v>19</v>
      </c>
      <c r="S112" s="64">
        <f t="shared" si="26"/>
        <v>763.17128776054221</v>
      </c>
      <c r="T112" s="97">
        <f t="shared" si="27"/>
        <v>50908.628848656561</v>
      </c>
      <c r="U112" s="64">
        <f t="shared" si="28"/>
        <v>763.17128776054221</v>
      </c>
      <c r="W112" s="64">
        <f t="shared" si="29"/>
        <v>50908.628848656561</v>
      </c>
      <c r="Y112" s="473">
        <v>10</v>
      </c>
      <c r="Z112" s="1239">
        <f t="shared" si="20"/>
        <v>1.6969542949552188</v>
      </c>
      <c r="AA112" s="1239">
        <f t="shared" si="21"/>
        <v>1.6969542949552188</v>
      </c>
      <c r="AC112" s="13"/>
      <c r="AD112" s="2169">
        <f t="shared" si="22"/>
        <v>0</v>
      </c>
      <c r="AE112" s="182">
        <f t="shared" si="23"/>
        <v>10</v>
      </c>
      <c r="AF112" s="1238">
        <f t="shared" si="24"/>
        <v>2.9187613873229763</v>
      </c>
      <c r="AG112" s="1238">
        <f t="shared" si="25"/>
        <v>2.9187613873229763</v>
      </c>
    </row>
    <row r="113" spans="7:33">
      <c r="G113" s="776"/>
      <c r="H113" s="907">
        <f>IF(B28=" "," ",IF(Huvudinmatning!H17=FALSE,INDEX('Tekniskt underlag'!$A$5:$F$32,MATCH(B28,'Tekniskt underlag'!$A$5:$A$32,0),6)*C28,IF(Huvudinmatning!H17=TRUE,INDEX('Tekniskt underlag'!$A$5:$G$32,MATCH(B28,'Tekniskt underlag'!$A$5:$A$32,0),7)*C28," ")))</f>
        <v>6000</v>
      </c>
      <c r="I113" s="2284">
        <f>IF(B28=" "," ",IF(Huvudinmatning!H17=TRUE,INDEX(D$69:M$96,MATCH(B28,D$69:D$96,0),7),IF(Huvudinmatning!H17=FALSE,INDEX(D$69:M$96,MATCH(B28,D$69:D$96,0),10))))</f>
        <v>0</v>
      </c>
      <c r="J113" s="678"/>
      <c r="Q113">
        <v>20</v>
      </c>
      <c r="S113" s="64">
        <f t="shared" si="26"/>
        <v>763.62943272984853</v>
      </c>
      <c r="T113" s="97">
        <f t="shared" si="27"/>
        <v>50938.713701640998</v>
      </c>
      <c r="U113" s="64">
        <f t="shared" si="28"/>
        <v>763.62943272984853</v>
      </c>
      <c r="W113" s="64">
        <f t="shared" si="29"/>
        <v>50938.713701640998</v>
      </c>
      <c r="Y113" s="473">
        <v>11</v>
      </c>
      <c r="Z113" s="1239">
        <f t="shared" si="20"/>
        <v>1.6979571233880333</v>
      </c>
      <c r="AA113" s="1239">
        <f t="shared" si="21"/>
        <v>1.6979571233880333</v>
      </c>
      <c r="AC113" s="13"/>
      <c r="AD113" s="2170">
        <f t="shared" si="22"/>
        <v>0</v>
      </c>
      <c r="AE113" s="473">
        <f t="shared" si="23"/>
        <v>11</v>
      </c>
      <c r="AF113" s="1238">
        <f t="shared" si="24"/>
        <v>2.9204862522274171</v>
      </c>
      <c r="AG113" s="1238">
        <f t="shared" si="25"/>
        <v>2.9204862522274171</v>
      </c>
    </row>
    <row r="114" spans="7:33">
      <c r="G114" s="776"/>
      <c r="H114" s="907">
        <f>IF(B29=" "," ",IF(Huvudinmatning!H18=FALSE,INDEX('Tekniskt underlag'!$A$5:$F$32,MATCH(B29,'Tekniskt underlag'!$A$5:$A$32,0),6)*C29,IF(Huvudinmatning!H18=TRUE,INDEX('Tekniskt underlag'!$A$5:$G$32,MATCH(B29,'Tekniskt underlag'!$A$5:$A$32,0),7)*C29," ")))</f>
        <v>12000</v>
      </c>
      <c r="I114" s="2284">
        <f>IF(B29=" "," ",IF(Huvudinmatning!H18=TRUE,INDEX(D$69:M$96,MATCH(B29,D$69:D$96,0),7),IF(Huvudinmatning!H18=FALSE,INDEX(D$69:M$96,MATCH(B29,D$69:D$96,0),10))))</f>
        <v>0</v>
      </c>
      <c r="J114" s="678"/>
      <c r="Q114">
        <v>21</v>
      </c>
      <c r="S114" s="64">
        <f t="shared" si="26"/>
        <v>764.08070552461493</v>
      </c>
      <c r="T114" s="97">
        <f t="shared" si="27"/>
        <v>50968.347281830669</v>
      </c>
      <c r="U114" s="64">
        <f t="shared" si="28"/>
        <v>764.08070552461493</v>
      </c>
      <c r="W114" s="64">
        <f t="shared" si="29"/>
        <v>50968.347281830669</v>
      </c>
      <c r="Y114" s="473">
        <v>12</v>
      </c>
      <c r="Z114" s="1239">
        <f t="shared" si="20"/>
        <v>1.6989449093943556</v>
      </c>
      <c r="AA114" s="1239">
        <f t="shared" si="21"/>
        <v>1.6989449093943556</v>
      </c>
      <c r="AC114" s="13"/>
      <c r="AD114" s="2170">
        <f t="shared" si="22"/>
        <v>0</v>
      </c>
      <c r="AE114" s="473">
        <f t="shared" si="23"/>
        <v>12</v>
      </c>
      <c r="AF114" s="1238">
        <f t="shared" si="24"/>
        <v>2.9221852441582916</v>
      </c>
      <c r="AG114" s="1238">
        <f t="shared" si="25"/>
        <v>2.9221852441582916</v>
      </c>
    </row>
    <row r="115" spans="7:33">
      <c r="G115" s="776"/>
      <c r="H115" s="907">
        <f>IF(B30=" "," ",IF(Huvudinmatning!H19=FALSE,INDEX('Tekniskt underlag'!$A$5:$F$32,MATCH(B30,'Tekniskt underlag'!$A$5:$A$32,0),6)*C30,IF(Huvudinmatning!H19=TRUE,INDEX('Tekniskt underlag'!$A$5:$G$32,MATCH(B30,'Tekniskt underlag'!$A$5:$A$32,0),7)*C30," ")))</f>
        <v>12000</v>
      </c>
      <c r="I115" s="2284">
        <f>IF(B30=" "," ",IF(Huvudinmatning!H19=TRUE,INDEX(D$69:M$96,MATCH(B30,D$69:D$96,0),7),IF(Huvudinmatning!H19=FALSE,INDEX(D$69:M$96,MATCH(B30,D$69:D$96,0),10))))</f>
        <v>0</v>
      </c>
      <c r="J115" s="678"/>
      <c r="Q115">
        <v>22</v>
      </c>
      <c r="S115" s="64">
        <f t="shared" si="26"/>
        <v>764.52520922745998</v>
      </c>
      <c r="T115" s="97">
        <f t="shared" si="27"/>
        <v>50997.536358317491</v>
      </c>
      <c r="U115" s="64">
        <f t="shared" si="28"/>
        <v>764.52520922745998</v>
      </c>
      <c r="W115" s="64">
        <f t="shared" si="29"/>
        <v>50997.536358317491</v>
      </c>
      <c r="Y115" s="473">
        <v>13</v>
      </c>
      <c r="Z115" s="1239">
        <f t="shared" si="20"/>
        <v>1.6999178786105831</v>
      </c>
      <c r="AA115" s="1239">
        <f t="shared" si="21"/>
        <v>1.6999178786105831</v>
      </c>
      <c r="AC115" s="13"/>
      <c r="AD115" s="2170">
        <f t="shared" si="22"/>
        <v>0</v>
      </c>
      <c r="AE115" s="473">
        <f t="shared" si="23"/>
        <v>13</v>
      </c>
      <c r="AF115" s="1238">
        <f t="shared" si="24"/>
        <v>2.923858751210203</v>
      </c>
      <c r="AG115" s="1238">
        <f t="shared" si="25"/>
        <v>2.923858751210203</v>
      </c>
    </row>
    <row r="116" spans="7:33" ht="13.5" thickBot="1">
      <c r="G116" s="776"/>
      <c r="H116" s="907">
        <f>IF(B31=" "," ",IF(Huvudinmatning!H20=FALSE,INDEX('Tekniskt underlag'!$A$5:$F$32,MATCH(B31,'Tekniskt underlag'!$A$5:$A$32,0),6)*C31,IF(Huvudinmatning!H20=TRUE,INDEX('Tekniskt underlag'!$A$5:$G$32,MATCH(B31,'Tekniskt underlag'!$A$5:$A$32,0),7)*C31," ")))</f>
        <v>4950</v>
      </c>
      <c r="I116" s="2284">
        <f>IF(B31=" "," ",IF(Huvudinmatning!H20=TRUE,INDEX(D$69:M$96,MATCH(B31,D$69:D$96,0),7),IF(Huvudinmatning!H20=FALSE,INDEX(D$69:M$96,MATCH(B31,D$69:D$96,0),10))))</f>
        <v>0</v>
      </c>
      <c r="J116" s="678"/>
      <c r="Q116">
        <v>23</v>
      </c>
      <c r="S116" s="64">
        <f t="shared" si="26"/>
        <v>764.96304537476249</v>
      </c>
      <c r="T116" s="97">
        <f t="shared" si="27"/>
        <v>51026.287598657014</v>
      </c>
      <c r="U116" s="64">
        <f t="shared" si="28"/>
        <v>764.96304537476249</v>
      </c>
      <c r="W116" s="64">
        <f t="shared" si="29"/>
        <v>51026.287598657014</v>
      </c>
      <c r="Y116" s="473">
        <v>14</v>
      </c>
      <c r="Z116" s="1239">
        <f t="shared" si="20"/>
        <v>1.7008762532885673</v>
      </c>
      <c r="AA116" s="1239">
        <f t="shared" si="21"/>
        <v>1.7008762532885673</v>
      </c>
      <c r="AC116" s="13"/>
      <c r="AD116" s="2170">
        <f t="shared" si="22"/>
        <v>0</v>
      </c>
      <c r="AE116" s="473">
        <f t="shared" si="23"/>
        <v>14</v>
      </c>
      <c r="AF116" s="1238">
        <f t="shared" si="24"/>
        <v>2.9255071556563359</v>
      </c>
      <c r="AG116" s="1238">
        <f t="shared" si="25"/>
        <v>2.9255071556563359</v>
      </c>
    </row>
    <row r="117" spans="7:33" ht="13.5" thickBot="1">
      <c r="G117" s="776"/>
      <c r="H117" s="907" t="str">
        <f>IF(B32=" "," ",IF(Huvudinmatning!H21=FALSE,INDEX('Tekniskt underlag'!$A$5:$F$32,MATCH(B32,'Tekniskt underlag'!$A$5:$A$32,0),6)*C32,IF(Huvudinmatning!H21=TRUE,INDEX('Tekniskt underlag'!$A$5:$G$32,MATCH(B32,'Tekniskt underlag'!$A$5:$A$32,0),7)*C32," ")))</f>
        <v xml:space="preserve"> </v>
      </c>
      <c r="I117" s="2284" t="str">
        <f>IF(B32=" "," ",IF(Huvudinmatning!H21=TRUE,INDEX(D$69:M$96,MATCH(B32,D$69:D$96,0),7),IF(Huvudinmatning!H21=FALSE,INDEX(D$69:M$96,MATCH(B32,D$69:D$96,0),10))))</f>
        <v xml:space="preserve"> </v>
      </c>
      <c r="J117" s="678"/>
      <c r="Q117">
        <v>24</v>
      </c>
      <c r="S117" s="64">
        <f t="shared" si="26"/>
        <v>765.39431397985527</v>
      </c>
      <c r="T117" s="97">
        <f t="shared" si="27"/>
        <v>51054.607570391439</v>
      </c>
      <c r="U117" s="64">
        <f t="shared" si="28"/>
        <v>765.39431397985527</v>
      </c>
      <c r="W117" s="64">
        <f t="shared" si="29"/>
        <v>51054.607570391439</v>
      </c>
      <c r="Y117" s="473">
        <v>15</v>
      </c>
      <c r="Z117" s="1239">
        <f t="shared" si="20"/>
        <v>1.7018202523463812</v>
      </c>
      <c r="AA117" s="1239">
        <f t="shared" si="21"/>
        <v>1.7018202523463812</v>
      </c>
      <c r="AC117" s="13"/>
      <c r="AD117" s="2169">
        <f t="shared" si="22"/>
        <v>0</v>
      </c>
      <c r="AE117" s="182">
        <f t="shared" si="23"/>
        <v>15</v>
      </c>
      <c r="AF117" s="1238">
        <f t="shared" si="24"/>
        <v>2.9271308340357756</v>
      </c>
      <c r="AG117" s="1238">
        <f t="shared" si="25"/>
        <v>2.9271308340357756</v>
      </c>
    </row>
    <row r="118" spans="7:33">
      <c r="G118" s="776"/>
      <c r="H118" s="907" t="str">
        <f>IF(B33=" "," ",IF(Huvudinmatning!H22=FALSE,INDEX('Tekniskt underlag'!$A$5:$F$32,MATCH(B33,'Tekniskt underlag'!$A$5:$A$32,0),6)*C33,IF(Huvudinmatning!H22=TRUE,INDEX('Tekniskt underlag'!$A$5:$G$32,MATCH(B33,'Tekniskt underlag'!$A$5:$A$32,0),7)*C33," ")))</f>
        <v xml:space="preserve"> </v>
      </c>
      <c r="I118" s="2284" t="str">
        <f>IF(B33=" "," ",IF(Huvudinmatning!H22=TRUE,INDEX(D$69:M$96,MATCH(B33,D$69:D$96,0),7),IF(Huvudinmatning!H22=FALSE,INDEX(D$69:M$96,MATCH(B33,D$69:D$96,0),10))))</f>
        <v xml:space="preserve"> </v>
      </c>
      <c r="J118" s="678"/>
      <c r="Q118">
        <v>25</v>
      </c>
      <c r="S118" s="64">
        <f t="shared" si="26"/>
        <v>765.81911355587158</v>
      </c>
      <c r="T118" s="97">
        <f t="shared" si="27"/>
        <v>51082.502742549848</v>
      </c>
      <c r="U118" s="64">
        <f t="shared" si="28"/>
        <v>765.81911355587158</v>
      </c>
      <c r="W118" s="64">
        <f t="shared" si="29"/>
        <v>51082.502742549848</v>
      </c>
      <c r="Y118" s="473">
        <v>16</v>
      </c>
      <c r="Z118" s="1239">
        <f t="shared" si="20"/>
        <v>1.7027500914183282</v>
      </c>
      <c r="AA118" s="1239">
        <f t="shared" si="21"/>
        <v>1.7027500914183282</v>
      </c>
      <c r="AC118" s="13"/>
      <c r="AD118" s="2170">
        <f t="shared" si="22"/>
        <v>0</v>
      </c>
      <c r="AE118" s="473">
        <f t="shared" si="23"/>
        <v>16</v>
      </c>
      <c r="AF118" s="1238">
        <f t="shared" si="24"/>
        <v>2.9287301572395243</v>
      </c>
      <c r="AG118" s="1238">
        <f t="shared" si="25"/>
        <v>2.9287301572395243</v>
      </c>
    </row>
    <row r="119" spans="7:33">
      <c r="G119" s="776"/>
      <c r="H119" s="907" t="str">
        <f>IF(B34=" "," ",IF(Huvudinmatning!H23=FALSE,INDEX('Tekniskt underlag'!$A$5:$F$32,MATCH(B34,'Tekniskt underlag'!$A$5:$A$32,0),6)*C34,IF(Huvudinmatning!H23=TRUE,INDEX('Tekniskt underlag'!$A$5:$G$32,MATCH(B34,'Tekniskt underlag'!$A$5:$A$32,0),7)*C34," ")))</f>
        <v xml:space="preserve"> </v>
      </c>
      <c r="I119" s="2284" t="str">
        <f>IF(B34=" "," ",IF(Huvudinmatning!H23=TRUE,INDEX(D$69:M$96,MATCH(B34,D$69:D$96,0),7),IF(Huvudinmatning!H23=FALSE,INDEX(D$69:M$96,MATCH(B34,D$69:D$96,0),10))))</f>
        <v xml:space="preserve"> </v>
      </c>
      <c r="J119" s="678"/>
      <c r="Q119">
        <v>26</v>
      </c>
      <c r="S119" s="64">
        <f t="shared" si="26"/>
        <v>766.23754113824782</v>
      </c>
      <c r="T119" s="97">
        <f t="shared" si="27"/>
        <v>51109.979487125885</v>
      </c>
      <c r="U119" s="64">
        <f t="shared" si="28"/>
        <v>766.23754113824782</v>
      </c>
      <c r="W119" s="64">
        <f t="shared" si="29"/>
        <v>51109.979487125885</v>
      </c>
      <c r="Y119" s="473">
        <v>17</v>
      </c>
      <c r="Z119" s="1239">
        <f t="shared" si="20"/>
        <v>1.7036659829041962</v>
      </c>
      <c r="AA119" s="1239">
        <f t="shared" si="21"/>
        <v>1.7036659829041962</v>
      </c>
      <c r="AC119" s="13"/>
      <c r="AD119" s="2170">
        <f t="shared" si="22"/>
        <v>0</v>
      </c>
      <c r="AE119" s="473">
        <f t="shared" si="23"/>
        <v>17</v>
      </c>
      <c r="AF119" s="1238">
        <f t="shared" si="24"/>
        <v>2.9303054905952175</v>
      </c>
      <c r="AG119" s="1238">
        <f t="shared" si="25"/>
        <v>2.9303054905952175</v>
      </c>
    </row>
    <row r="120" spans="7:33">
      <c r="G120" s="776"/>
      <c r="H120" s="481"/>
      <c r="I120" s="2293"/>
      <c r="J120" s="678"/>
      <c r="Q120">
        <v>27</v>
      </c>
      <c r="S120" s="64">
        <f t="shared" si="26"/>
        <v>766.64969230688837</v>
      </c>
      <c r="T120" s="97">
        <f t="shared" si="27"/>
        <v>51137.044080533276</v>
      </c>
      <c r="U120" s="64">
        <f t="shared" si="28"/>
        <v>766.64969230688837</v>
      </c>
      <c r="W120" s="64">
        <f t="shared" si="29"/>
        <v>51137.044080533276</v>
      </c>
      <c r="Y120" s="473">
        <v>18</v>
      </c>
      <c r="Z120" s="1239">
        <f t="shared" si="20"/>
        <v>1.704568136017776</v>
      </c>
      <c r="AA120" s="1239">
        <f t="shared" si="21"/>
        <v>1.704568136017776</v>
      </c>
      <c r="AC120" s="13"/>
      <c r="AD120" s="2170">
        <f t="shared" si="22"/>
        <v>0</v>
      </c>
      <c r="AE120" s="473">
        <f t="shared" si="23"/>
        <v>18</v>
      </c>
      <c r="AF120" s="1238">
        <f t="shared" si="24"/>
        <v>2.9318571939505746</v>
      </c>
      <c r="AG120" s="1238">
        <f t="shared" si="25"/>
        <v>2.9318571939505746</v>
      </c>
    </row>
    <row r="121" spans="7:33" ht="13.5" thickBot="1">
      <c r="G121" s="776"/>
      <c r="H121" s="481"/>
      <c r="I121" s="2293"/>
      <c r="J121" s="678"/>
      <c r="Q121">
        <v>28</v>
      </c>
      <c r="S121" s="64">
        <f t="shared" si="26"/>
        <v>767.05566120799926</v>
      </c>
      <c r="T121" s="97">
        <f t="shared" si="27"/>
        <v>51163.702705039563</v>
      </c>
      <c r="U121" s="64">
        <f t="shared" si="28"/>
        <v>767.05566120799926</v>
      </c>
      <c r="W121" s="64">
        <f t="shared" si="29"/>
        <v>51163.702705039563</v>
      </c>
      <c r="Y121" s="473">
        <v>19</v>
      </c>
      <c r="Z121" s="1239">
        <f t="shared" si="20"/>
        <v>1.7054567568346521</v>
      </c>
      <c r="AA121" s="1239">
        <f t="shared" si="21"/>
        <v>1.7054567568346521</v>
      </c>
      <c r="AC121" s="13"/>
      <c r="AD121" s="2170">
        <f t="shared" si="22"/>
        <v>0</v>
      </c>
      <c r="AE121" s="473">
        <f t="shared" si="23"/>
        <v>19</v>
      </c>
      <c r="AF121" s="1238">
        <f t="shared" si="24"/>
        <v>2.9333856217556016</v>
      </c>
      <c r="AG121" s="1238">
        <f t="shared" si="25"/>
        <v>2.9333856217556016</v>
      </c>
    </row>
    <row r="122" spans="7:33" ht="13.5" thickBot="1">
      <c r="G122" s="776"/>
      <c r="H122" s="907">
        <f>IF(B48=" "," ",IF(Huvudinmatning!M33=FALSE,INDEX('Tekniskt underlag'!$A$5:$F$32,MATCH(B48,'Tekniskt underlag'!$A$5:$A$32,0),6)*C48,IF(Huvudinmatning!M33=TRUE,INDEX('Tekniskt underlag'!$A$5:$G$32,MATCH(B48,'Tekniskt underlag'!$A$5:$A$32,0),7)*C48," ")))</f>
        <v>10500</v>
      </c>
      <c r="I122" s="2284">
        <f>IF(B48=" "," ",IF(Huvudinmatning!M33=TRUE,INDEX(D$69:M$96,MATCH(B48,D$69:D$96,0),7),IF(Huvudinmatning!M33=FALSE,INDEX(D$69:M$96,MATCH(B48,D$69:D$96,0),10))))</f>
        <v>0</v>
      </c>
      <c r="J122" s="678"/>
      <c r="Q122">
        <v>29</v>
      </c>
      <c r="S122" s="64">
        <f t="shared" si="26"/>
        <v>767.45554057559355</v>
      </c>
      <c r="T122" s="97">
        <f t="shared" si="27"/>
        <v>51189.961450178249</v>
      </c>
      <c r="U122" s="64">
        <f t="shared" si="28"/>
        <v>767.45554057559355</v>
      </c>
      <c r="W122" s="64">
        <f t="shared" si="29"/>
        <v>51189.961450178249</v>
      </c>
      <c r="Y122" s="473">
        <v>20</v>
      </c>
      <c r="Z122" s="1239">
        <f t="shared" si="20"/>
        <v>1.706332048339275</v>
      </c>
      <c r="AA122" s="1239">
        <f t="shared" si="21"/>
        <v>1.706332048339275</v>
      </c>
      <c r="AC122" s="13"/>
      <c r="AD122" s="2169">
        <f t="shared" si="22"/>
        <v>0</v>
      </c>
      <c r="AE122" s="182">
        <f t="shared" si="23"/>
        <v>20</v>
      </c>
      <c r="AF122" s="1238">
        <f t="shared" si="24"/>
        <v>2.934891123143553</v>
      </c>
      <c r="AG122" s="1238">
        <f t="shared" si="25"/>
        <v>2.934891123143553</v>
      </c>
    </row>
    <row r="123" spans="7:33">
      <c r="G123" s="776"/>
      <c r="H123" s="907">
        <f>IF(B49=" "," ",IF(Huvudinmatning!M34=FALSE,INDEX('Tekniskt underlag'!$A$5:$F$32,MATCH(B49,'Tekniskt underlag'!$A$5:$A$32,0),6)*C49,IF(Huvudinmatning!M34=TRUE,INDEX('Tekniskt underlag'!$A$5:$G$32,MATCH(B49,'Tekniskt underlag'!$A$5:$A$32,0),7)*C49," ")))</f>
        <v>12000</v>
      </c>
      <c r="I123" s="2284">
        <f>IF(B49=" "," ",IF(Huvudinmatning!M34=TRUE,INDEX(D$69:M$96,MATCH(B49,D$69:D$96,0),7),IF(Huvudinmatning!M34=FALSE,INDEX(D$69:M$96,MATCH(B49,D$69:D$96,0),10))))</f>
        <v>0</v>
      </c>
      <c r="J123" s="678"/>
      <c r="Q123">
        <v>30</v>
      </c>
      <c r="S123" s="64">
        <f t="shared" si="26"/>
        <v>767.84942175267383</v>
      </c>
      <c r="T123" s="97">
        <f t="shared" si="27"/>
        <v>51215.826314139857</v>
      </c>
      <c r="U123" s="64">
        <f t="shared" si="28"/>
        <v>767.84942175267383</v>
      </c>
      <c r="W123" s="64">
        <f t="shared" si="29"/>
        <v>51215.826314139857</v>
      </c>
      <c r="Y123" s="473">
        <v>21</v>
      </c>
      <c r="Z123" s="1239">
        <f t="shared" si="20"/>
        <v>1.7071942104713287</v>
      </c>
      <c r="AA123" s="1239">
        <f t="shared" si="21"/>
        <v>1.7071942104713287</v>
      </c>
      <c r="AC123" s="13"/>
      <c r="AD123" s="2170">
        <f t="shared" si="22"/>
        <v>0</v>
      </c>
      <c r="AE123" s="473">
        <f t="shared" si="23"/>
        <v>21</v>
      </c>
      <c r="AF123" s="1238">
        <f t="shared" si="24"/>
        <v>2.9363740420106854</v>
      </c>
      <c r="AG123" s="1238">
        <f t="shared" si="25"/>
        <v>2.9363740420106854</v>
      </c>
    </row>
    <row r="124" spans="7:33">
      <c r="G124" s="776"/>
      <c r="H124" s="907">
        <f>IF(B50=" "," ",IF(Huvudinmatning!M35=FALSE,INDEX('Tekniskt underlag'!$A$5:$F$32,MATCH(B50,'Tekniskt underlag'!$A$5:$A$32,0),6)*C50,IF(Huvudinmatning!M35=TRUE,INDEX('Tekniskt underlag'!$A$5:$G$32,MATCH(B50,'Tekniskt underlag'!$A$5:$A$32,0),7)*C50," ")))</f>
        <v>12000</v>
      </c>
      <c r="I124" s="2284">
        <f>IF(B50=" "," ",IF(Huvudinmatning!M35=TRUE,INDEX(D$69:M$96,MATCH(B50,D$69:D$96,0),7),IF(Huvudinmatning!M35=FALSE,INDEX(D$69:M$96,MATCH(B50,D$69:D$96,0),10))))</f>
        <v>0</v>
      </c>
      <c r="J124" s="678"/>
      <c r="Q124">
        <v>31</v>
      </c>
      <c r="S124" s="64">
        <f t="shared" si="26"/>
        <v>768.23739471209785</v>
      </c>
      <c r="T124" s="97">
        <f t="shared" si="27"/>
        <v>51241.303205142038</v>
      </c>
      <c r="U124" s="64">
        <f t="shared" si="28"/>
        <v>768.23739471209785</v>
      </c>
      <c r="W124" s="64">
        <f t="shared" si="29"/>
        <v>51241.303205142038</v>
      </c>
      <c r="Y124" s="473">
        <v>22</v>
      </c>
      <c r="Z124" s="1239">
        <f t="shared" si="20"/>
        <v>1.7080434401714011</v>
      </c>
      <c r="AA124" s="1239">
        <f t="shared" si="21"/>
        <v>1.7080434401714011</v>
      </c>
      <c r="AC124" s="13"/>
      <c r="AD124" s="2170">
        <f t="shared" si="22"/>
        <v>0</v>
      </c>
      <c r="AE124" s="473">
        <f t="shared" si="23"/>
        <v>22</v>
      </c>
      <c r="AF124" s="1238">
        <f t="shared" si="24"/>
        <v>2.9378347170948098</v>
      </c>
      <c r="AG124" s="1238">
        <f t="shared" si="25"/>
        <v>2.9378347170948098</v>
      </c>
    </row>
    <row r="125" spans="7:33">
      <c r="G125" s="776"/>
      <c r="H125" s="907">
        <f>IF(B51=" "," ",IF(Huvudinmatning!M36=FALSE,INDEX('Tekniskt underlag'!$A$5:$F$32,MATCH(B51,'Tekniskt underlag'!$A$5:$A$32,0),6)*C51,IF(Huvudinmatning!M36=TRUE,INDEX('Tekniskt underlag'!$A$5:$G$32,MATCH(B51,'Tekniskt underlag'!$A$5:$A$32,0),7)*C51," ")))</f>
        <v>6000</v>
      </c>
      <c r="I125" s="2284">
        <f>IF(B51=" "," ",IF(Huvudinmatning!M36=TRUE,INDEX(D$69:M$96,MATCH(B51,D$69:D$96,0),7),IF(Huvudinmatning!M36=FALSE,INDEX(D$69:M$96,MATCH(B51,D$69:D$96,0),10))))</f>
        <v>0</v>
      </c>
      <c r="J125" s="678"/>
      <c r="Q125">
        <v>32</v>
      </c>
      <c r="S125" s="64">
        <f t="shared" si="26"/>
        <v>768.61954807713062</v>
      </c>
      <c r="T125" s="97">
        <f t="shared" si="27"/>
        <v>51266.397942779193</v>
      </c>
      <c r="U125" s="64">
        <f t="shared" si="28"/>
        <v>768.61954807713062</v>
      </c>
      <c r="W125" s="64">
        <f t="shared" si="29"/>
        <v>51266.397942779193</v>
      </c>
      <c r="Y125" s="473">
        <v>23</v>
      </c>
      <c r="Z125" s="1239">
        <f t="shared" si="20"/>
        <v>1.7088799314259731</v>
      </c>
      <c r="AA125" s="1239">
        <f t="shared" si="21"/>
        <v>1.7088799314259731</v>
      </c>
      <c r="AC125" s="13"/>
      <c r="AD125" s="2170">
        <f t="shared" si="22"/>
        <v>0</v>
      </c>
      <c r="AE125" s="473">
        <f t="shared" si="23"/>
        <v>23</v>
      </c>
      <c r="AF125" s="1238">
        <f t="shared" si="24"/>
        <v>2.9392734820526738</v>
      </c>
      <c r="AG125" s="1238">
        <f t="shared" si="25"/>
        <v>2.9392734820526738</v>
      </c>
    </row>
    <row r="126" spans="7:33" ht="13.5" thickBot="1">
      <c r="G126" s="776"/>
      <c r="H126" s="907">
        <f>IF(B52=" "," ",IF(Huvudinmatning!M37=FALSE,INDEX('Tekniskt underlag'!$A$5:$F$32,MATCH(B52,'Tekniskt underlag'!$A$5:$A$32,0),6)*C52,IF(Huvudinmatning!M37=TRUE,INDEX('Tekniskt underlag'!$A$5:$G$32,MATCH(B52,'Tekniskt underlag'!$A$5:$A$32,0),7)*C52," ")))</f>
        <v>12000</v>
      </c>
      <c r="I126" s="2284">
        <f>IF(B52=" "," ",IF(Huvudinmatning!M37=TRUE,INDEX(D$69:M$96,MATCH(B52,D$69:D$96,0),7),IF(Huvudinmatning!M37=FALSE,INDEX(D$69:M$96,MATCH(B52,D$69:D$96,0),10))))</f>
        <v>0</v>
      </c>
      <c r="J126" s="678"/>
      <c r="Q126">
        <v>33</v>
      </c>
      <c r="S126" s="64">
        <f t="shared" si="26"/>
        <v>768.99596914168797</v>
      </c>
      <c r="T126" s="97">
        <f t="shared" si="27"/>
        <v>51291.116259351787</v>
      </c>
      <c r="U126" s="64">
        <f t="shared" si="28"/>
        <v>768.99596914168797</v>
      </c>
      <c r="W126" s="64">
        <f t="shared" si="29"/>
        <v>51291.116259351787</v>
      </c>
      <c r="Y126" s="473">
        <v>24</v>
      </c>
      <c r="Z126" s="1239">
        <f t="shared" si="20"/>
        <v>1.7097038753117264</v>
      </c>
      <c r="AA126" s="1239">
        <f t="shared" si="21"/>
        <v>1.7097038753117264</v>
      </c>
      <c r="AC126" s="13"/>
      <c r="AD126" s="2170">
        <f t="shared" si="22"/>
        <v>0</v>
      </c>
      <c r="AE126" s="473">
        <f t="shared" si="23"/>
        <v>24</v>
      </c>
      <c r="AF126" s="1238">
        <f t="shared" si="24"/>
        <v>2.9406906655361693</v>
      </c>
      <c r="AG126" s="1238">
        <f t="shared" si="25"/>
        <v>2.9406906655361693</v>
      </c>
    </row>
    <row r="127" spans="7:33" ht="13.5" thickBot="1">
      <c r="G127" s="776"/>
      <c r="H127" s="907">
        <f>IF(B53=" "," ",IF(Huvudinmatning!M38=FALSE,INDEX('Tekniskt underlag'!$A$5:$F$32,MATCH(B53,'Tekniskt underlag'!$A$5:$A$32,0),6)*C53,IF(Huvudinmatning!M38=TRUE,INDEX('Tekniskt underlag'!$A$5:$G$32,MATCH(B53,'Tekniskt underlag'!$A$5:$A$32,0),7)*C53," ")))</f>
        <v>12000</v>
      </c>
      <c r="I127" s="2284">
        <f>IF(B53=" "," ",IF(Huvudinmatning!M38=TRUE,INDEX(D$69:M$96,MATCH(B53,D$69:D$96,0),7),IF(Huvudinmatning!M38=FALSE,INDEX(D$69:M$96,MATCH(B53,D$69:D$96,0),10))))</f>
        <v>0</v>
      </c>
      <c r="J127" s="678"/>
      <c r="Q127">
        <v>34</v>
      </c>
      <c r="S127" s="64">
        <f t="shared" si="26"/>
        <v>769.36674389027689</v>
      </c>
      <c r="T127" s="97">
        <f t="shared" si="27"/>
        <v>51315.463801175792</v>
      </c>
      <c r="U127" s="64">
        <f t="shared" si="28"/>
        <v>769.36674389027689</v>
      </c>
      <c r="W127" s="64">
        <f t="shared" si="29"/>
        <v>51315.463801175792</v>
      </c>
      <c r="Y127" s="473">
        <v>25</v>
      </c>
      <c r="Z127" s="1239">
        <f t="shared" si="20"/>
        <v>1.710515460039193</v>
      </c>
      <c r="AA127" s="1239">
        <f t="shared" si="21"/>
        <v>1.710515460039193</v>
      </c>
      <c r="AC127" s="13"/>
      <c r="AD127" s="2169">
        <f t="shared" si="22"/>
        <v>0</v>
      </c>
      <c r="AE127" s="182">
        <f t="shared" si="23"/>
        <v>25</v>
      </c>
      <c r="AF127" s="1238">
        <f t="shared" si="24"/>
        <v>2.9420865912674117</v>
      </c>
      <c r="AG127" s="1238">
        <f t="shared" si="25"/>
        <v>2.9420865912674117</v>
      </c>
    </row>
    <row r="128" spans="7:33">
      <c r="G128" s="776"/>
      <c r="H128" s="907">
        <f>IF(B54=" "," ",IF(Huvudinmatning!M39=FALSE,INDEX('Tekniskt underlag'!$A$5:$F$32,MATCH(B54,'Tekniskt underlag'!$A$5:$A$32,0),6)*C54,IF(Huvudinmatning!M39=TRUE,INDEX('Tekniskt underlag'!$A$5:$G$32,MATCH(B54,'Tekniskt underlag'!$A$5:$A$32,0),7)*C54," ")))</f>
        <v>4950</v>
      </c>
      <c r="I128" s="2284">
        <f>IF(B54=" "," ",IF(Huvudinmatning!M39=TRUE,INDEX(D$69:M$96,MATCH(B54,D$69:D$96,0),7),IF(Huvudinmatning!M39=FALSE,INDEX(D$69:M$96,MATCH(B54,D$69:D$96,0),10))))</f>
        <v>0</v>
      </c>
      <c r="J128" s="678"/>
      <c r="Q128">
        <v>35</v>
      </c>
      <c r="S128" s="64">
        <f t="shared" si="26"/>
        <v>769.73195701763689</v>
      </c>
      <c r="T128" s="97">
        <f t="shared" si="27"/>
        <v>51339.446129872442</v>
      </c>
      <c r="U128" s="64">
        <f t="shared" si="28"/>
        <v>769.73195701763689</v>
      </c>
      <c r="W128" s="64">
        <f t="shared" si="29"/>
        <v>51339.446129872442</v>
      </c>
      <c r="Y128" s="473">
        <v>26</v>
      </c>
      <c r="Z128" s="1239">
        <f t="shared" si="20"/>
        <v>1.7113148709957482</v>
      </c>
      <c r="AA128" s="1239">
        <f t="shared" si="21"/>
        <v>1.7113148709957482</v>
      </c>
      <c r="AC128" s="13"/>
      <c r="AD128" s="2170">
        <f t="shared" si="22"/>
        <v>0</v>
      </c>
      <c r="AE128" s="473">
        <f t="shared" si="23"/>
        <v>26</v>
      </c>
      <c r="AF128" s="1238">
        <f t="shared" si="24"/>
        <v>2.9434615781126867</v>
      </c>
      <c r="AG128" s="1238">
        <f t="shared" si="25"/>
        <v>2.9434615781126867</v>
      </c>
    </row>
    <row r="129" spans="7:33">
      <c r="G129" s="776"/>
      <c r="H129" s="907" t="str">
        <f>IF(B55=" "," ",IF(Huvudinmatning!M40=FALSE,INDEX('Tekniskt underlag'!$A$5:$F$32,MATCH(B55,'Tekniskt underlag'!$A$5:$A$32,0),6)*C55,IF(Huvudinmatning!M40=TRUE,INDEX('Tekniskt underlag'!$A$5:$G$32,MATCH(B55,'Tekniskt underlag'!$A$5:$A$32,0),7)*C55," ")))</f>
        <v xml:space="preserve"> </v>
      </c>
      <c r="I129" s="2284" t="str">
        <f>IF(B55=" "," ",IF(Huvudinmatning!M40=TRUE,INDEX(D$69:M$96,MATCH(B55,D$69:D$96,0),7),IF(Huvudinmatning!M40=FALSE,INDEX(D$69:M$96,MATCH(B55,D$69:D$96,0),10))))</f>
        <v xml:space="preserve"> </v>
      </c>
      <c r="J129" s="678"/>
      <c r="Q129">
        <v>36</v>
      </c>
      <c r="S129" s="64">
        <f t="shared" si="26"/>
        <v>770.09169194808669</v>
      </c>
      <c r="T129" s="97">
        <f t="shared" si="27"/>
        <v>51363.068723638637</v>
      </c>
      <c r="U129" s="64">
        <f t="shared" si="28"/>
        <v>770.09169194808669</v>
      </c>
      <c r="W129" s="64">
        <f t="shared" si="29"/>
        <v>51363.068723638637</v>
      </c>
      <c r="Y129" s="473">
        <v>27</v>
      </c>
      <c r="Z129" s="1239">
        <f t="shared" si="20"/>
        <v>1.7121022907879546</v>
      </c>
      <c r="AA129" s="1239">
        <f t="shared" si="21"/>
        <v>1.7121022907879546</v>
      </c>
      <c r="AC129" s="13"/>
      <c r="AD129" s="2170">
        <f t="shared" si="22"/>
        <v>0</v>
      </c>
      <c r="AE129" s="473">
        <f t="shared" si="23"/>
        <v>27</v>
      </c>
      <c r="AF129" s="1238">
        <f t="shared" si="24"/>
        <v>2.9448159401552818</v>
      </c>
      <c r="AG129" s="1238">
        <f t="shared" si="25"/>
        <v>2.9448159401552818</v>
      </c>
    </row>
    <row r="130" spans="7:33">
      <c r="G130" s="776"/>
      <c r="H130" s="907" t="str">
        <f>IF(B56=" "," ",IF(Huvudinmatning!M41=FALSE,INDEX('Tekniskt underlag'!$A$5:$F$32,MATCH(B56,'Tekniskt underlag'!$A$5:$A$32,0),6)*C56,IF(Huvudinmatning!M41=TRUE,INDEX('Tekniskt underlag'!$A$5:$G$32,MATCH(B56,'Tekniskt underlag'!$A$5:$A$32,0),7)*C56," ")))</f>
        <v xml:space="preserve"> </v>
      </c>
      <c r="I130" s="2284" t="str">
        <f>IF(B56=" "," ",IF(Huvudinmatning!M41=TRUE,INDEX(D$69:M$96,MATCH(B56,D$69:D$96,0),7),IF(Huvudinmatning!M41=FALSE,INDEX(D$69:M$96,MATCH(B56,D$69:D$96,0),10))))</f>
        <v xml:space="preserve"> </v>
      </c>
      <c r="J130" s="678"/>
      <c r="Q130">
        <v>37</v>
      </c>
      <c r="S130" s="64">
        <f t="shared" si="26"/>
        <v>770.44603085457959</v>
      </c>
      <c r="T130" s="97">
        <f t="shared" si="27"/>
        <v>51386.336978498337</v>
      </c>
      <c r="U130" s="64">
        <f t="shared" si="28"/>
        <v>770.44603085457959</v>
      </c>
      <c r="W130" s="64">
        <f t="shared" si="29"/>
        <v>51386.336978498337</v>
      </c>
      <c r="Y130" s="473">
        <v>28</v>
      </c>
      <c r="Z130" s="1239">
        <f t="shared" si="20"/>
        <v>1.7128778992832778</v>
      </c>
      <c r="AA130" s="1239">
        <f t="shared" si="21"/>
        <v>1.7128778992832778</v>
      </c>
      <c r="AC130" s="13"/>
      <c r="AD130" s="2170">
        <f t="shared" si="22"/>
        <v>0</v>
      </c>
      <c r="AE130" s="473">
        <f t="shared" si="23"/>
        <v>28</v>
      </c>
      <c r="AF130" s="1238">
        <f t="shared" si="24"/>
        <v>2.9461499867672378</v>
      </c>
      <c r="AG130" s="1238">
        <f t="shared" si="25"/>
        <v>2.9461499867672378</v>
      </c>
    </row>
    <row r="131" spans="7:33" ht="13.5" thickBot="1">
      <c r="G131" s="776"/>
      <c r="H131" s="907" t="str">
        <f>IF(B57=" "," ",IF(Huvudinmatning!M42=FALSE,INDEX('Tekniskt underlag'!$A$5:$F$32,MATCH(B57,'Tekniskt underlag'!$A$5:$A$32,0),6)*C57,IF(Huvudinmatning!M42=TRUE,INDEX('Tekniskt underlag'!$A$5:$G$32,MATCH(B57,'Tekniskt underlag'!$A$5:$A$32,0),7)*C57," ")))</f>
        <v xml:space="preserve"> </v>
      </c>
      <c r="I131" s="2284" t="str">
        <f>IF(B57=" "," ",IF(Huvudinmatning!M42=TRUE,INDEX(D$69:M$96,MATCH(B57,D$69:D$96,0),7),IF(Huvudinmatning!M42=FALSE,INDEX(D$69:M$96,MATCH(B57,D$69:D$96,0),10))))</f>
        <v xml:space="preserve"> </v>
      </c>
      <c r="J131" s="678"/>
      <c r="Q131">
        <v>38</v>
      </c>
      <c r="S131" s="64">
        <f t="shared" si="26"/>
        <v>770.79505467747515</v>
      </c>
      <c r="T131" s="97">
        <f t="shared" si="27"/>
        <v>51409.256209535146</v>
      </c>
      <c r="U131" s="64">
        <f t="shared" si="28"/>
        <v>770.79505467747515</v>
      </c>
      <c r="W131" s="64">
        <f t="shared" si="29"/>
        <v>51409.256209535146</v>
      </c>
      <c r="Y131" s="473">
        <v>29</v>
      </c>
      <c r="Z131" s="1239">
        <f t="shared" si="20"/>
        <v>1.7136418736511714</v>
      </c>
      <c r="AA131" s="1239">
        <f t="shared" si="21"/>
        <v>1.7136418736511714</v>
      </c>
      <c r="AC131" s="13"/>
      <c r="AD131" s="2170">
        <f t="shared" si="22"/>
        <v>0</v>
      </c>
      <c r="AE131" s="473">
        <f t="shared" si="23"/>
        <v>29</v>
      </c>
      <c r="AF131" s="1238">
        <f t="shared" si="24"/>
        <v>2.9474640226800148</v>
      </c>
      <c r="AG131" s="1238">
        <f t="shared" si="25"/>
        <v>2.9474640226800148</v>
      </c>
    </row>
    <row r="132" spans="7:33" ht="13.5" thickBot="1">
      <c r="G132" s="776"/>
      <c r="H132" s="526"/>
      <c r="I132" s="2293"/>
      <c r="J132" s="678"/>
      <c r="Q132">
        <v>39</v>
      </c>
      <c r="S132" s="64">
        <f t="shared" si="26"/>
        <v>771.1388431430272</v>
      </c>
      <c r="T132" s="97">
        <f t="shared" si="27"/>
        <v>51431.831652106404</v>
      </c>
      <c r="U132" s="64">
        <f t="shared" si="28"/>
        <v>771.1388431430272</v>
      </c>
      <c r="W132" s="64">
        <f t="shared" si="29"/>
        <v>51431.831652106404</v>
      </c>
      <c r="Y132" s="473">
        <v>30</v>
      </c>
      <c r="Z132" s="1239">
        <f t="shared" si="20"/>
        <v>1.7143943884035469</v>
      </c>
      <c r="AA132" s="1239">
        <f t="shared" si="21"/>
        <v>1.7143943884035469</v>
      </c>
      <c r="AC132" s="13"/>
      <c r="AD132" s="2169">
        <f t="shared" si="22"/>
        <v>0</v>
      </c>
      <c r="AE132" s="182">
        <f t="shared" si="23"/>
        <v>30</v>
      </c>
      <c r="AF132" s="1238">
        <f t="shared" si="24"/>
        <v>2.9487583480541004</v>
      </c>
      <c r="AG132" s="1238">
        <f t="shared" si="25"/>
        <v>2.9487583480541004</v>
      </c>
    </row>
    <row r="133" spans="7:33">
      <c r="G133" s="776"/>
      <c r="H133" s="526"/>
      <c r="I133" s="526"/>
      <c r="J133" s="678"/>
      <c r="Q133">
        <v>40</v>
      </c>
      <c r="S133" s="64">
        <f t="shared" si="26"/>
        <v>771.47747478159613</v>
      </c>
      <c r="T133" s="97">
        <f t="shared" si="27"/>
        <v>51454.06846303909</v>
      </c>
      <c r="U133" s="64">
        <f t="shared" si="28"/>
        <v>771.47747478159613</v>
      </c>
      <c r="W133" s="64">
        <f t="shared" si="29"/>
        <v>51454.06846303909</v>
      </c>
      <c r="Y133" s="473">
        <v>31</v>
      </c>
      <c r="Z133" s="1239">
        <f t="shared" si="20"/>
        <v>1.7151356154346362</v>
      </c>
      <c r="AA133" s="1239">
        <f t="shared" si="21"/>
        <v>1.7151356154346362</v>
      </c>
      <c r="AC133" s="13"/>
      <c r="AD133" s="2170">
        <f t="shared" si="22"/>
        <v>0</v>
      </c>
      <c r="AE133" s="473">
        <f t="shared" si="23"/>
        <v>31</v>
      </c>
      <c r="AF133" s="1238">
        <f t="shared" si="24"/>
        <v>2.9500332585475744</v>
      </c>
      <c r="AG133" s="1238">
        <f t="shared" si="25"/>
        <v>2.9500332585475744</v>
      </c>
    </row>
    <row r="134" spans="7:33">
      <c r="G134" s="779"/>
      <c r="H134" s="766"/>
      <c r="I134" s="766"/>
      <c r="J134" s="679"/>
      <c r="Q134">
        <v>41</v>
      </c>
      <c r="S134" s="64">
        <f t="shared" si="26"/>
        <v>771.81102694558638</v>
      </c>
      <c r="T134" s="97">
        <f t="shared" si="27"/>
        <v>51475.971721807786</v>
      </c>
      <c r="U134" s="64">
        <f t="shared" si="28"/>
        <v>771.81102694558638</v>
      </c>
      <c r="W134" s="64">
        <f t="shared" si="29"/>
        <v>51475.971721807786</v>
      </c>
      <c r="Y134" s="473">
        <v>32</v>
      </c>
      <c r="Z134" s="1239">
        <f t="shared" si="20"/>
        <v>1.7158657240602593</v>
      </c>
      <c r="AA134" s="1239">
        <f t="shared" si="21"/>
        <v>1.7158657240602593</v>
      </c>
      <c r="AC134" s="13"/>
      <c r="AD134" s="2170">
        <f t="shared" si="22"/>
        <v>0</v>
      </c>
      <c r="AE134" s="473">
        <f t="shared" si="23"/>
        <v>32</v>
      </c>
      <c r="AF134" s="1238">
        <f t="shared" si="24"/>
        <v>2.9512890453836458</v>
      </c>
      <c r="AG134" s="1238">
        <f t="shared" si="25"/>
        <v>2.9512890453836458</v>
      </c>
    </row>
    <row r="135" spans="7:33">
      <c r="Q135">
        <v>42</v>
      </c>
      <c r="S135" s="64">
        <f t="shared" si="26"/>
        <v>772.1395758271168</v>
      </c>
      <c r="T135" s="97">
        <f t="shared" si="27"/>
        <v>51497.546431694951</v>
      </c>
      <c r="U135" s="64">
        <f t="shared" si="28"/>
        <v>772.1395758271168</v>
      </c>
      <c r="W135" s="64">
        <f t="shared" si="29"/>
        <v>51497.546431694951</v>
      </c>
      <c r="Y135" s="473">
        <v>33</v>
      </c>
      <c r="Z135" s="1239">
        <f t="shared" ref="Z135:Z166" si="30">+W135/$A$7/10</f>
        <v>1.7165848810564985</v>
      </c>
      <c r="AA135" s="1239">
        <f t="shared" ref="AA135:AA166" si="31">+T135/$A$7/10</f>
        <v>1.7165848810564985</v>
      </c>
      <c r="AC135" s="13"/>
      <c r="AD135" s="2170">
        <f t="shared" ref="AD135:AD152" si="32">+Z135-AA135</f>
        <v>0</v>
      </c>
      <c r="AE135" s="473">
        <f t="shared" si="23"/>
        <v>33</v>
      </c>
      <c r="AF135" s="1238">
        <f t="shared" ref="AF135:AF166" si="33">Z135*C$10</f>
        <v>2.9525259954171776</v>
      </c>
      <c r="AG135" s="1238">
        <f t="shared" ref="AG135:AG166" si="34">AA135*C$10</f>
        <v>2.9525259954171776</v>
      </c>
    </row>
    <row r="136" spans="7:33" ht="13.5" thickBot="1">
      <c r="Q136">
        <v>43</v>
      </c>
      <c r="S136" s="64">
        <f t="shared" ref="S136:S167" si="35">+$T$101*T135*0.01</f>
        <v>772.46319647542441</v>
      </c>
      <c r="T136" s="97">
        <f t="shared" ref="T136:T167" si="36">+T135-S136+S$101</f>
        <v>51518.797520933811</v>
      </c>
      <c r="U136" s="64">
        <f t="shared" ref="U136:U167" si="37">+$W$101*W135*0.01</f>
        <v>772.46319647542441</v>
      </c>
      <c r="W136" s="64">
        <f t="shared" ref="W136:W167" si="38">+W135-U136+U$101</f>
        <v>51518.797520933811</v>
      </c>
      <c r="Y136" s="473">
        <v>34</v>
      </c>
      <c r="Z136" s="1239">
        <f t="shared" si="30"/>
        <v>1.7172932506977936</v>
      </c>
      <c r="AA136" s="1239">
        <f t="shared" si="31"/>
        <v>1.7172932506977936</v>
      </c>
      <c r="AC136" s="13"/>
      <c r="AD136" s="2170">
        <f t="shared" si="32"/>
        <v>0</v>
      </c>
      <c r="AE136" s="473">
        <f t="shared" si="23"/>
        <v>34</v>
      </c>
      <c r="AF136" s="1238">
        <f t="shared" si="33"/>
        <v>2.953744391200205</v>
      </c>
      <c r="AG136" s="1238">
        <f t="shared" si="34"/>
        <v>2.953744391200205</v>
      </c>
    </row>
    <row r="137" spans="7:33" ht="13.5" thickBot="1">
      <c r="Q137">
        <v>44</v>
      </c>
      <c r="S137" s="64">
        <f t="shared" si="35"/>
        <v>772.7819628140071</v>
      </c>
      <c r="T137" s="97">
        <f t="shared" si="36"/>
        <v>51539.729843834088</v>
      </c>
      <c r="U137" s="64">
        <f t="shared" si="37"/>
        <v>772.7819628140071</v>
      </c>
      <c r="W137" s="64">
        <f t="shared" si="38"/>
        <v>51539.729843834088</v>
      </c>
      <c r="Y137" s="473">
        <v>35</v>
      </c>
      <c r="Z137" s="1239">
        <f t="shared" si="30"/>
        <v>1.7179909947944698</v>
      </c>
      <c r="AA137" s="1239">
        <f t="shared" si="31"/>
        <v>1.7179909947944698</v>
      </c>
      <c r="AC137" s="13"/>
      <c r="AD137" s="2169">
        <f t="shared" si="32"/>
        <v>0</v>
      </c>
      <c r="AE137" s="182">
        <f t="shared" si="23"/>
        <v>35</v>
      </c>
      <c r="AF137" s="1238">
        <f t="shared" si="33"/>
        <v>2.954944511046488</v>
      </c>
      <c r="AG137" s="1238">
        <f t="shared" si="34"/>
        <v>2.954944511046488</v>
      </c>
    </row>
    <row r="138" spans="7:33">
      <c r="Q138">
        <v>45</v>
      </c>
      <c r="S138" s="64">
        <f t="shared" si="35"/>
        <v>773.09594765751126</v>
      </c>
      <c r="T138" s="97">
        <f t="shared" si="36"/>
        <v>51560.348181890862</v>
      </c>
      <c r="U138" s="64">
        <f t="shared" si="37"/>
        <v>773.09594765751126</v>
      </c>
      <c r="W138" s="64">
        <f t="shared" si="38"/>
        <v>51560.348181890862</v>
      </c>
      <c r="Y138" s="473">
        <v>36</v>
      </c>
      <c r="Z138" s="1239">
        <f t="shared" si="30"/>
        <v>1.7186782727296954</v>
      </c>
      <c r="AA138" s="1239">
        <f t="shared" si="31"/>
        <v>1.7186782727296954</v>
      </c>
      <c r="AC138" s="13"/>
      <c r="AD138" s="2170">
        <f t="shared" si="32"/>
        <v>0</v>
      </c>
      <c r="AE138" s="473">
        <f t="shared" si="23"/>
        <v>36</v>
      </c>
      <c r="AF138" s="1238">
        <f t="shared" si="33"/>
        <v>2.9561266290950763</v>
      </c>
      <c r="AG138" s="1238">
        <f t="shared" si="34"/>
        <v>2.9561266290950763</v>
      </c>
    </row>
    <row r="139" spans="7:33">
      <c r="Q139">
        <v>46</v>
      </c>
      <c r="S139" s="64">
        <f t="shared" si="35"/>
        <v>773.40522272836301</v>
      </c>
      <c r="T139" s="97">
        <f t="shared" si="36"/>
        <v>51580.657244876784</v>
      </c>
      <c r="U139" s="64">
        <f t="shared" si="37"/>
        <v>773.40522272836301</v>
      </c>
      <c r="W139" s="64">
        <f t="shared" si="38"/>
        <v>51580.657244876784</v>
      </c>
      <c r="Y139" s="473">
        <v>37</v>
      </c>
      <c r="Z139" s="1239">
        <f t="shared" si="30"/>
        <v>1.7193552414958926</v>
      </c>
      <c r="AA139" s="1239">
        <f t="shared" si="31"/>
        <v>1.7193552414958926</v>
      </c>
      <c r="AC139" s="13"/>
      <c r="AD139" s="2170">
        <f t="shared" si="32"/>
        <v>0</v>
      </c>
      <c r="AE139" s="473">
        <f t="shared" si="23"/>
        <v>37</v>
      </c>
      <c r="AF139" s="1238">
        <f t="shared" si="33"/>
        <v>2.957291015372935</v>
      </c>
      <c r="AG139" s="1238">
        <f t="shared" si="34"/>
        <v>2.957291015372935</v>
      </c>
    </row>
    <row r="140" spans="7:33">
      <c r="Q140">
        <v>47</v>
      </c>
      <c r="S140" s="64">
        <f t="shared" si="35"/>
        <v>773.70985867315176</v>
      </c>
      <c r="T140" s="97">
        <f t="shared" si="36"/>
        <v>51600.661671917915</v>
      </c>
      <c r="U140" s="64">
        <f t="shared" si="37"/>
        <v>773.70985867315176</v>
      </c>
      <c r="W140" s="64">
        <f t="shared" si="38"/>
        <v>51600.661671917915</v>
      </c>
      <c r="Y140" s="473">
        <v>38</v>
      </c>
      <c r="Z140" s="1239">
        <f t="shared" si="30"/>
        <v>1.7200220557305972</v>
      </c>
      <c r="AA140" s="1239">
        <f t="shared" si="31"/>
        <v>1.7200220557305972</v>
      </c>
      <c r="AC140" s="13"/>
      <c r="AD140" s="2170">
        <f t="shared" si="32"/>
        <v>0</v>
      </c>
      <c r="AE140" s="473">
        <f t="shared" si="23"/>
        <v>38</v>
      </c>
      <c r="AF140" s="1238">
        <f t="shared" si="33"/>
        <v>2.9584379358566273</v>
      </c>
      <c r="AG140" s="1238">
        <f t="shared" si="34"/>
        <v>2.9584379358566273</v>
      </c>
    </row>
    <row r="141" spans="7:33" ht="13.5" thickBot="1">
      <c r="Q141">
        <v>48</v>
      </c>
      <c r="S141" s="64">
        <f t="shared" si="35"/>
        <v>774.00992507876879</v>
      </c>
      <c r="T141" s="97">
        <f t="shared" si="36"/>
        <v>51620.366032553429</v>
      </c>
      <c r="U141" s="64">
        <f t="shared" si="37"/>
        <v>774.00992507876879</v>
      </c>
      <c r="W141" s="64">
        <f t="shared" si="38"/>
        <v>51620.366032553429</v>
      </c>
      <c r="Y141" s="473">
        <v>39</v>
      </c>
      <c r="Z141" s="1239">
        <f t="shared" si="30"/>
        <v>1.720678867751781</v>
      </c>
      <c r="AA141" s="1239">
        <f t="shared" si="31"/>
        <v>1.720678867751781</v>
      </c>
      <c r="AC141" s="13"/>
      <c r="AD141" s="2170">
        <f t="shared" si="32"/>
        <v>0</v>
      </c>
      <c r="AE141" s="473">
        <f t="shared" si="23"/>
        <v>39</v>
      </c>
      <c r="AF141" s="1238">
        <f t="shared" si="33"/>
        <v>2.9595676525330634</v>
      </c>
      <c r="AG141" s="1238">
        <f t="shared" si="34"/>
        <v>2.9595676525330634</v>
      </c>
    </row>
    <row r="142" spans="7:33" ht="13.5" thickBot="1">
      <c r="Q142">
        <v>49</v>
      </c>
      <c r="S142" s="64">
        <f t="shared" si="35"/>
        <v>774.30549048830142</v>
      </c>
      <c r="T142" s="97">
        <f t="shared" si="36"/>
        <v>51639.774827779409</v>
      </c>
      <c r="U142" s="64">
        <f t="shared" si="37"/>
        <v>774.30549048830142</v>
      </c>
      <c r="W142" s="64">
        <f t="shared" si="38"/>
        <v>51639.774827779409</v>
      </c>
      <c r="Y142" s="473">
        <v>40</v>
      </c>
      <c r="Z142" s="1239">
        <f t="shared" si="30"/>
        <v>1.7213258275926471</v>
      </c>
      <c r="AA142" s="1239">
        <f t="shared" si="31"/>
        <v>1.7213258275926471</v>
      </c>
      <c r="AC142" s="13"/>
      <c r="AD142" s="2169">
        <f t="shared" si="32"/>
        <v>0</v>
      </c>
      <c r="AE142" s="182">
        <f t="shared" si="23"/>
        <v>40</v>
      </c>
      <c r="AF142" s="1238">
        <f t="shared" si="33"/>
        <v>2.9606804234593529</v>
      </c>
      <c r="AG142" s="1238">
        <f t="shared" si="34"/>
        <v>2.9606804234593529</v>
      </c>
    </row>
    <row r="143" spans="7:33">
      <c r="I143" s="2284">
        <f>IF(B58=" "," ",IF(Huvudinmatning!J47=FALSE,INDEX(D$69:M$96,MATCH(B58,D$69:D$96,0),7),IF(Huvudinmatning!J47=TRUE,INDEX(D$69:M$96,MATCH(B58,D$69:D$96,0),10))))</f>
        <v>6000</v>
      </c>
      <c r="Q143">
        <v>50</v>
      </c>
      <c r="S143" s="64">
        <f t="shared" si="35"/>
        <v>774.59662241669116</v>
      </c>
      <c r="T143" s="97">
        <f t="shared" si="36"/>
        <v>51658.892491077</v>
      </c>
      <c r="U143" s="64">
        <f t="shared" si="37"/>
        <v>774.59662241669116</v>
      </c>
      <c r="W143" s="64">
        <f t="shared" si="38"/>
        <v>51658.892491077</v>
      </c>
      <c r="Y143" s="473">
        <v>41</v>
      </c>
      <c r="Z143" s="1239">
        <f t="shared" si="30"/>
        <v>1.7219630830359001</v>
      </c>
      <c r="AA143" s="1239">
        <f t="shared" si="31"/>
        <v>1.7219630830359001</v>
      </c>
      <c r="AC143" s="13"/>
      <c r="AD143" s="2170">
        <f t="shared" si="32"/>
        <v>0</v>
      </c>
      <c r="AE143" s="473">
        <f t="shared" si="23"/>
        <v>41</v>
      </c>
      <c r="AF143" s="1238">
        <f t="shared" si="33"/>
        <v>2.9617765028217482</v>
      </c>
      <c r="AG143" s="1238">
        <f t="shared" si="34"/>
        <v>2.9617765028217482</v>
      </c>
    </row>
    <row r="144" spans="7:33">
      <c r="Q144">
        <v>51</v>
      </c>
      <c r="S144" s="64">
        <f t="shared" si="35"/>
        <v>774.88338736615492</v>
      </c>
      <c r="T144" s="97">
        <f t="shared" si="36"/>
        <v>51677.723389425126</v>
      </c>
      <c r="U144" s="64">
        <f t="shared" si="37"/>
        <v>774.88338736615492</v>
      </c>
      <c r="W144" s="64">
        <f t="shared" si="38"/>
        <v>51677.723389425126</v>
      </c>
      <c r="Y144" s="473">
        <v>42</v>
      </c>
      <c r="Z144" s="1239">
        <f t="shared" si="30"/>
        <v>1.7225907796475042</v>
      </c>
      <c r="AA144" s="1239">
        <f t="shared" si="31"/>
        <v>1.7225907796475042</v>
      </c>
      <c r="AC144" s="13"/>
      <c r="AD144" s="2170">
        <f t="shared" si="32"/>
        <v>0</v>
      </c>
      <c r="AE144" s="473">
        <f t="shared" si="23"/>
        <v>42</v>
      </c>
      <c r="AF144" s="1238">
        <f t="shared" si="33"/>
        <v>2.9628561409937073</v>
      </c>
      <c r="AG144" s="1238">
        <f t="shared" si="34"/>
        <v>2.9628561409937073</v>
      </c>
    </row>
    <row r="145" spans="17:33">
      <c r="Q145">
        <v>52</v>
      </c>
      <c r="S145" s="64">
        <f t="shared" si="35"/>
        <v>775.16585084137682</v>
      </c>
      <c r="T145" s="97">
        <f t="shared" si="36"/>
        <v>51696.271824298034</v>
      </c>
      <c r="U145" s="64">
        <f t="shared" si="37"/>
        <v>775.16585084137682</v>
      </c>
      <c r="W145" s="64">
        <f t="shared" si="38"/>
        <v>51696.271824298034</v>
      </c>
      <c r="Y145" s="473">
        <v>43</v>
      </c>
      <c r="Z145" s="1239">
        <f t="shared" si="30"/>
        <v>1.7232090608099344</v>
      </c>
      <c r="AA145" s="1239">
        <f t="shared" si="31"/>
        <v>1.7232090608099344</v>
      </c>
      <c r="AC145" s="13"/>
      <c r="AD145" s="2170">
        <f t="shared" si="32"/>
        <v>0</v>
      </c>
      <c r="AE145" s="473">
        <f t="shared" si="23"/>
        <v>43</v>
      </c>
      <c r="AF145" s="1238">
        <f t="shared" si="33"/>
        <v>2.963919584593087</v>
      </c>
      <c r="AG145" s="1238">
        <f t="shared" si="34"/>
        <v>2.963919584593087</v>
      </c>
    </row>
    <row r="146" spans="17:33" ht="13.5" thickBot="1">
      <c r="Q146">
        <v>53</v>
      </c>
      <c r="S146" s="64">
        <f t="shared" si="35"/>
        <v>775.44407736447056</v>
      </c>
      <c r="T146" s="97">
        <f t="shared" si="36"/>
        <v>51714.542032647849</v>
      </c>
      <c r="U146" s="64">
        <f t="shared" si="37"/>
        <v>775.44407736447056</v>
      </c>
      <c r="W146" s="64">
        <f t="shared" si="38"/>
        <v>51714.542032647849</v>
      </c>
      <c r="Y146" s="473">
        <v>44</v>
      </c>
      <c r="Z146" s="1239">
        <f t="shared" si="30"/>
        <v>1.7238180677549284</v>
      </c>
      <c r="AA146" s="1239">
        <f t="shared" si="31"/>
        <v>1.7238180677549284</v>
      </c>
      <c r="AC146" s="13"/>
      <c r="AD146" s="2170">
        <f t="shared" si="32"/>
        <v>0</v>
      </c>
      <c r="AE146" s="473">
        <f t="shared" si="23"/>
        <v>44</v>
      </c>
      <c r="AF146" s="1238">
        <f t="shared" si="33"/>
        <v>2.964967076538477</v>
      </c>
      <c r="AG146" s="1238">
        <f t="shared" si="34"/>
        <v>2.964967076538477</v>
      </c>
    </row>
    <row r="147" spans="17:33" ht="13.5" thickBot="1">
      <c r="Q147">
        <v>54</v>
      </c>
      <c r="S147" s="64">
        <f t="shared" si="35"/>
        <v>775.71813048971774</v>
      </c>
      <c r="T147" s="97">
        <f t="shared" si="36"/>
        <v>51732.538187872415</v>
      </c>
      <c r="U147" s="64">
        <f t="shared" si="37"/>
        <v>775.71813048971774</v>
      </c>
      <c r="W147" s="64">
        <f t="shared" si="38"/>
        <v>51732.538187872415</v>
      </c>
      <c r="Y147" s="473">
        <v>45</v>
      </c>
      <c r="Z147" s="1239">
        <f t="shared" si="30"/>
        <v>1.7244179395957471</v>
      </c>
      <c r="AA147" s="1239">
        <f t="shared" si="31"/>
        <v>1.7244179395957471</v>
      </c>
      <c r="AC147" s="13"/>
      <c r="AD147" s="2169">
        <f t="shared" si="32"/>
        <v>0</v>
      </c>
      <c r="AE147" s="182">
        <f t="shared" si="23"/>
        <v>45</v>
      </c>
      <c r="AF147" s="1238">
        <f t="shared" si="33"/>
        <v>2.9659988561046848</v>
      </c>
      <c r="AG147" s="1238">
        <f t="shared" si="34"/>
        <v>2.9659988561046848</v>
      </c>
    </row>
    <row r="148" spans="17:33">
      <c r="Q148">
        <v>55</v>
      </c>
      <c r="S148" s="64">
        <f t="shared" si="35"/>
        <v>775.98807281808627</v>
      </c>
      <c r="T148" s="97">
        <f t="shared" si="36"/>
        <v>51750.26440076861</v>
      </c>
      <c r="U148" s="64">
        <f t="shared" si="37"/>
        <v>775.98807281808627</v>
      </c>
      <c r="W148" s="64">
        <f t="shared" si="38"/>
        <v>51750.26440076861</v>
      </c>
      <c r="Y148" s="473">
        <v>46</v>
      </c>
      <c r="Z148" s="1239">
        <f t="shared" si="30"/>
        <v>1.7250088133589536</v>
      </c>
      <c r="AA148" s="1239">
        <f t="shared" si="31"/>
        <v>1.7250088133589536</v>
      </c>
      <c r="AC148" s="13"/>
      <c r="AD148" s="2170">
        <f t="shared" si="32"/>
        <v>0</v>
      </c>
      <c r="AE148" s="473">
        <f t="shared" si="23"/>
        <v>46</v>
      </c>
      <c r="AF148" s="1238">
        <f t="shared" si="33"/>
        <v>2.9670151589774001</v>
      </c>
      <c r="AG148" s="1238">
        <f t="shared" si="34"/>
        <v>2.9670151589774001</v>
      </c>
    </row>
    <row r="149" spans="17:33">
      <c r="Q149">
        <v>56</v>
      </c>
      <c r="S149" s="64">
        <f t="shared" si="35"/>
        <v>776.25396601152909</v>
      </c>
      <c r="T149" s="97">
        <f t="shared" si="36"/>
        <v>51767.724720471364</v>
      </c>
      <c r="U149" s="64">
        <f t="shared" si="37"/>
        <v>776.25396601152909</v>
      </c>
      <c r="W149" s="64">
        <f t="shared" si="38"/>
        <v>51767.724720471364</v>
      </c>
      <c r="Y149" s="473">
        <v>47</v>
      </c>
      <c r="Z149" s="1239">
        <f t="shared" si="30"/>
        <v>1.7255908240157123</v>
      </c>
      <c r="AA149" s="1239">
        <f t="shared" si="31"/>
        <v>1.7255908240157123</v>
      </c>
      <c r="AC149" s="13"/>
      <c r="AD149" s="2170">
        <f t="shared" si="32"/>
        <v>0</v>
      </c>
      <c r="AE149" s="473">
        <f t="shared" si="23"/>
        <v>47</v>
      </c>
      <c r="AF149" s="1238">
        <f t="shared" si="33"/>
        <v>2.9680162173070253</v>
      </c>
      <c r="AG149" s="1238">
        <f t="shared" si="34"/>
        <v>2.9680162173070253</v>
      </c>
    </row>
    <row r="150" spans="17:33">
      <c r="Q150">
        <v>57</v>
      </c>
      <c r="S150" s="64">
        <f t="shared" si="35"/>
        <v>776.51587080707043</v>
      </c>
      <c r="T150" s="97">
        <f t="shared" si="36"/>
        <v>51784.923135378573</v>
      </c>
      <c r="U150" s="64">
        <f t="shared" si="37"/>
        <v>776.51587080707043</v>
      </c>
      <c r="W150" s="64">
        <f t="shared" si="38"/>
        <v>51784.923135378573</v>
      </c>
      <c r="Y150" s="473">
        <v>48</v>
      </c>
      <c r="Z150" s="1239">
        <f t="shared" si="30"/>
        <v>1.726164104512619</v>
      </c>
      <c r="AA150" s="1239">
        <f t="shared" si="31"/>
        <v>1.726164104512619</v>
      </c>
      <c r="AC150" s="13"/>
      <c r="AD150" s="2170">
        <f t="shared" si="32"/>
        <v>0</v>
      </c>
      <c r="AE150" s="473">
        <f t="shared" si="23"/>
        <v>48</v>
      </c>
      <c r="AF150" s="1238">
        <f t="shared" si="33"/>
        <v>2.9690022597617047</v>
      </c>
      <c r="AG150" s="1238">
        <f t="shared" si="34"/>
        <v>2.9690022597617047</v>
      </c>
    </row>
    <row r="151" spans="17:33" ht="13.5" thickBot="1">
      <c r="Q151">
        <v>58</v>
      </c>
      <c r="S151" s="64">
        <f t="shared" si="35"/>
        <v>776.77384703067855</v>
      </c>
      <c r="T151" s="97">
        <f t="shared" si="36"/>
        <v>51801.863574062176</v>
      </c>
      <c r="U151" s="64">
        <f t="shared" si="37"/>
        <v>776.77384703067855</v>
      </c>
      <c r="W151" s="64">
        <f t="shared" si="38"/>
        <v>51801.863574062176</v>
      </c>
      <c r="Y151" s="473">
        <v>49</v>
      </c>
      <c r="Z151" s="1239">
        <f t="shared" si="30"/>
        <v>1.7267287858020726</v>
      </c>
      <c r="AA151" s="1239">
        <f t="shared" si="31"/>
        <v>1.7267287858020726</v>
      </c>
      <c r="AC151" s="13"/>
      <c r="AD151" s="2170">
        <f t="shared" si="32"/>
        <v>0</v>
      </c>
      <c r="AE151" s="473">
        <f t="shared" si="23"/>
        <v>49</v>
      </c>
      <c r="AF151" s="1238">
        <f t="shared" si="33"/>
        <v>2.9699735115795649</v>
      </c>
      <c r="AG151" s="1238">
        <f t="shared" si="34"/>
        <v>2.9699735115795649</v>
      </c>
    </row>
    <row r="152" spans="17:33" ht="13.5" thickBot="1">
      <c r="Q152">
        <v>59</v>
      </c>
      <c r="S152" s="64">
        <f t="shared" si="35"/>
        <v>777.02795361093263</v>
      </c>
      <c r="T152" s="97">
        <f t="shared" si="36"/>
        <v>51818.549906165528</v>
      </c>
      <c r="U152" s="64">
        <f t="shared" si="37"/>
        <v>777.02795361093263</v>
      </c>
      <c r="W152" s="64">
        <f t="shared" si="38"/>
        <v>51818.549906165528</v>
      </c>
      <c r="Y152" s="473">
        <v>50</v>
      </c>
      <c r="Z152" s="1239">
        <f t="shared" si="30"/>
        <v>1.7272849968721844</v>
      </c>
      <c r="AA152" s="1239">
        <f t="shared" si="31"/>
        <v>1.7272849968721844</v>
      </c>
      <c r="AC152" s="13"/>
      <c r="AD152" s="2169">
        <f t="shared" si="32"/>
        <v>0</v>
      </c>
      <c r="AE152" s="182">
        <f t="shared" si="23"/>
        <v>50</v>
      </c>
      <c r="AF152" s="1238">
        <f t="shared" si="33"/>
        <v>2.9709301946201569</v>
      </c>
      <c r="AG152" s="1238">
        <f t="shared" si="34"/>
        <v>2.9709301946201569</v>
      </c>
    </row>
    <row r="153" spans="17:33">
      <c r="Q153">
        <v>60</v>
      </c>
      <c r="S153" s="64">
        <f t="shared" si="35"/>
        <v>777.27824859248301</v>
      </c>
      <c r="T153" s="97">
        <f t="shared" si="36"/>
        <v>51834.985943287327</v>
      </c>
      <c r="U153" s="64">
        <f t="shared" si="37"/>
        <v>777.27824859248301</v>
      </c>
      <c r="W153" s="64">
        <f t="shared" si="38"/>
        <v>51834.985943287327</v>
      </c>
      <c r="Y153" s="473">
        <v>51</v>
      </c>
      <c r="Z153" s="1239">
        <f t="shared" si="30"/>
        <v>1.7278328647762442</v>
      </c>
      <c r="AA153" s="1239">
        <f t="shared" si="31"/>
        <v>1.7278328647762442</v>
      </c>
      <c r="AC153" s="13"/>
      <c r="AD153" s="13"/>
      <c r="AE153" s="473">
        <f t="shared" si="23"/>
        <v>51</v>
      </c>
      <c r="AF153" s="1238">
        <f t="shared" si="33"/>
        <v>2.9718725274151399</v>
      </c>
      <c r="AG153" s="1238">
        <f t="shared" si="34"/>
        <v>2.9718725274151399</v>
      </c>
    </row>
    <row r="154" spans="17:33">
      <c r="Q154">
        <v>61</v>
      </c>
      <c r="S154" s="64">
        <f t="shared" si="35"/>
        <v>777.52478914930998</v>
      </c>
      <c r="T154" s="97">
        <f t="shared" si="36"/>
        <v>51851.175439852297</v>
      </c>
      <c r="U154" s="64">
        <f t="shared" si="37"/>
        <v>777.52478914930998</v>
      </c>
      <c r="W154" s="64">
        <f t="shared" si="38"/>
        <v>51851.175439852297</v>
      </c>
      <c r="Y154" s="473">
        <v>52</v>
      </c>
      <c r="Z154" s="1239">
        <f t="shared" si="30"/>
        <v>1.7283725146617432</v>
      </c>
      <c r="AA154" s="1239">
        <f t="shared" si="31"/>
        <v>1.7283725146617432</v>
      </c>
      <c r="AC154" s="13"/>
      <c r="AD154" s="13"/>
      <c r="AE154" s="473">
        <f t="shared" si="23"/>
        <v>52</v>
      </c>
      <c r="AF154" s="1238">
        <f t="shared" si="33"/>
        <v>2.9728007252181983</v>
      </c>
      <c r="AG154" s="1238">
        <f t="shared" si="34"/>
        <v>2.9728007252181983</v>
      </c>
    </row>
    <row r="155" spans="17:33">
      <c r="Q155">
        <v>62</v>
      </c>
      <c r="S155" s="64">
        <f t="shared" si="35"/>
        <v>777.76763159778454</v>
      </c>
      <c r="T155" s="97">
        <f t="shared" si="36"/>
        <v>51867.122093968792</v>
      </c>
      <c r="U155" s="64">
        <f t="shared" si="37"/>
        <v>777.76763159778454</v>
      </c>
      <c r="W155" s="64">
        <f t="shared" si="38"/>
        <v>51867.122093968792</v>
      </c>
      <c r="Y155" s="473">
        <v>53</v>
      </c>
      <c r="Z155" s="1239">
        <f t="shared" si="30"/>
        <v>1.7289040697989599</v>
      </c>
      <c r="AA155" s="1239">
        <f t="shared" si="31"/>
        <v>1.7289040697989599</v>
      </c>
      <c r="AC155" s="13"/>
      <c r="AD155" s="13"/>
      <c r="AE155" s="473">
        <f t="shared" si="23"/>
        <v>53</v>
      </c>
      <c r="AF155" s="1238">
        <f t="shared" si="33"/>
        <v>2.9737150000542112</v>
      </c>
      <c r="AG155" s="1238">
        <f t="shared" si="34"/>
        <v>2.9737150000542112</v>
      </c>
    </row>
    <row r="156" spans="17:33">
      <c r="Q156">
        <v>63</v>
      </c>
      <c r="S156" s="64">
        <f t="shared" si="35"/>
        <v>778.00683140953186</v>
      </c>
      <c r="T156" s="97">
        <f t="shared" si="36"/>
        <v>51882.829548273541</v>
      </c>
      <c r="U156" s="64">
        <f t="shared" si="37"/>
        <v>778.00683140953186</v>
      </c>
      <c r="W156" s="64">
        <f t="shared" si="38"/>
        <v>51882.829548273541</v>
      </c>
      <c r="Y156" s="473">
        <v>54</v>
      </c>
      <c r="Z156" s="1239">
        <f t="shared" si="30"/>
        <v>1.729427651609118</v>
      </c>
      <c r="AA156" s="1239">
        <f t="shared" si="31"/>
        <v>1.729427651609118</v>
      </c>
      <c r="AC156" s="13"/>
      <c r="AD156" s="13"/>
      <c r="AE156" s="473">
        <f t="shared" si="23"/>
        <v>54</v>
      </c>
      <c r="AF156" s="1238">
        <f t="shared" si="33"/>
        <v>2.974615560767683</v>
      </c>
      <c r="AG156" s="1238">
        <f t="shared" si="34"/>
        <v>2.974615560767683</v>
      </c>
    </row>
    <row r="157" spans="17:33">
      <c r="Q157">
        <v>64</v>
      </c>
      <c r="S157" s="64">
        <f t="shared" si="35"/>
        <v>778.24244322410323</v>
      </c>
      <c r="T157" s="97">
        <f t="shared" si="36"/>
        <v>51898.301390763721</v>
      </c>
      <c r="U157" s="64">
        <f t="shared" si="37"/>
        <v>778.24244322410323</v>
      </c>
      <c r="W157" s="64">
        <f t="shared" si="38"/>
        <v>51898.301390763721</v>
      </c>
      <c r="Y157" s="473">
        <v>55</v>
      </c>
      <c r="Z157" s="1239">
        <f t="shared" si="30"/>
        <v>1.729943379692124</v>
      </c>
      <c r="AA157" s="1239">
        <f t="shared" si="31"/>
        <v>1.729943379692124</v>
      </c>
      <c r="AC157" s="13"/>
      <c r="AD157" s="13"/>
      <c r="AE157" s="473">
        <f t="shared" si="23"/>
        <v>55</v>
      </c>
      <c r="AF157" s="1238">
        <f t="shared" si="33"/>
        <v>2.9755026130704532</v>
      </c>
      <c r="AG157" s="1238">
        <f t="shared" si="34"/>
        <v>2.9755026130704532</v>
      </c>
    </row>
    <row r="158" spans="17:33">
      <c r="Q158">
        <v>65</v>
      </c>
      <c r="S158" s="64">
        <f t="shared" si="35"/>
        <v>778.47452086145586</v>
      </c>
      <c r="T158" s="97">
        <f t="shared" si="36"/>
        <v>51913.541155616549</v>
      </c>
      <c r="U158" s="64">
        <f t="shared" si="37"/>
        <v>778.47452086145586</v>
      </c>
      <c r="W158" s="64">
        <f t="shared" si="38"/>
        <v>51913.541155616549</v>
      </c>
      <c r="Y158" s="473">
        <v>56</v>
      </c>
      <c r="Z158" s="1239">
        <f t="shared" si="30"/>
        <v>1.730451371853885</v>
      </c>
      <c r="AA158" s="1239">
        <f t="shared" si="31"/>
        <v>1.730451371853885</v>
      </c>
      <c r="AC158" s="13"/>
      <c r="AD158" s="13"/>
      <c r="AE158" s="473">
        <f t="shared" si="23"/>
        <v>56</v>
      </c>
      <c r="AF158" s="1238">
        <f t="shared" si="33"/>
        <v>2.9763763595886821</v>
      </c>
      <c r="AG158" s="1238">
        <f t="shared" si="34"/>
        <v>2.9763763595886821</v>
      </c>
    </row>
    <row r="159" spans="17:33">
      <c r="Q159">
        <v>66</v>
      </c>
      <c r="S159" s="64">
        <f t="shared" si="35"/>
        <v>778.7031173342483</v>
      </c>
      <c r="T159" s="97">
        <f t="shared" si="36"/>
        <v>51928.552323996584</v>
      </c>
      <c r="U159" s="64">
        <f t="shared" si="37"/>
        <v>778.7031173342483</v>
      </c>
      <c r="W159" s="64">
        <f t="shared" si="38"/>
        <v>51928.552323996584</v>
      </c>
      <c r="Y159" s="473">
        <v>57</v>
      </c>
      <c r="Z159" s="1239">
        <f t="shared" si="30"/>
        <v>1.7309517441332194</v>
      </c>
      <c r="AA159" s="1239">
        <f t="shared" si="31"/>
        <v>1.7309517441332194</v>
      </c>
      <c r="AC159" s="13"/>
      <c r="AD159" s="13"/>
      <c r="AE159" s="473">
        <f t="shared" si="23"/>
        <v>57</v>
      </c>
      <c r="AF159" s="1238">
        <f t="shared" si="33"/>
        <v>2.9772369999091373</v>
      </c>
      <c r="AG159" s="1238">
        <f t="shared" si="34"/>
        <v>2.9772369999091373</v>
      </c>
    </row>
    <row r="160" spans="17:33">
      <c r="Q160">
        <v>67</v>
      </c>
      <c r="S160" s="64">
        <f t="shared" si="35"/>
        <v>778.9282848599488</v>
      </c>
      <c r="T160" s="97">
        <f t="shared" si="36"/>
        <v>51943.33832485092</v>
      </c>
      <c r="U160" s="64">
        <f t="shared" si="37"/>
        <v>778.9282848599488</v>
      </c>
      <c r="W160" s="64">
        <f t="shared" si="38"/>
        <v>51943.33832485092</v>
      </c>
      <c r="Y160" s="473">
        <v>58</v>
      </c>
      <c r="Z160" s="1239">
        <f t="shared" si="30"/>
        <v>1.7314446108283641</v>
      </c>
      <c r="AA160" s="1239">
        <f t="shared" si="31"/>
        <v>1.7314446108283641</v>
      </c>
      <c r="AC160" s="13"/>
      <c r="AD160" s="13"/>
      <c r="AE160" s="473">
        <f t="shared" si="23"/>
        <v>58</v>
      </c>
      <c r="AF160" s="1238">
        <f t="shared" si="33"/>
        <v>2.9780847306247864</v>
      </c>
      <c r="AG160" s="1238">
        <f t="shared" si="34"/>
        <v>2.9780847306247864</v>
      </c>
    </row>
    <row r="161" spans="17:33">
      <c r="Q161">
        <v>68</v>
      </c>
      <c r="S161" s="64">
        <f t="shared" si="35"/>
        <v>779.15007487276387</v>
      </c>
      <c r="T161" s="97">
        <f t="shared" si="36"/>
        <v>51957.902535692439</v>
      </c>
      <c r="U161" s="64">
        <f t="shared" si="37"/>
        <v>779.15007487276387</v>
      </c>
      <c r="W161" s="64">
        <f t="shared" si="38"/>
        <v>51957.902535692439</v>
      </c>
      <c r="Y161" s="473">
        <v>59</v>
      </c>
      <c r="Z161" s="1239">
        <f t="shared" si="30"/>
        <v>1.7319300845230814</v>
      </c>
      <c r="AA161" s="1239">
        <f t="shared" si="31"/>
        <v>1.7319300845230814</v>
      </c>
      <c r="AC161" s="13"/>
      <c r="AD161" s="13"/>
      <c r="AE161" s="473">
        <f t="shared" si="23"/>
        <v>59</v>
      </c>
      <c r="AF161" s="1238">
        <f t="shared" si="33"/>
        <v>2.9789197453797001</v>
      </c>
      <c r="AG161" s="1238">
        <f t="shared" si="34"/>
        <v>2.9789197453797001</v>
      </c>
    </row>
    <row r="162" spans="17:33">
      <c r="Q162">
        <v>69</v>
      </c>
      <c r="S162" s="64">
        <f t="shared" si="35"/>
        <v>779.36853803538656</v>
      </c>
      <c r="T162" s="97">
        <f t="shared" si="36"/>
        <v>51972.248283371337</v>
      </c>
      <c r="U162" s="64">
        <f t="shared" si="37"/>
        <v>779.36853803538656</v>
      </c>
      <c r="W162" s="64">
        <f t="shared" si="38"/>
        <v>51972.248283371337</v>
      </c>
      <c r="Y162" s="473">
        <v>60</v>
      </c>
      <c r="Z162" s="1239">
        <f t="shared" si="30"/>
        <v>1.732408276112378</v>
      </c>
      <c r="AA162" s="1239">
        <f t="shared" si="31"/>
        <v>1.732408276112378</v>
      </c>
      <c r="AC162" s="13"/>
      <c r="AD162" s="13"/>
      <c r="AE162" s="473">
        <f t="shared" si="23"/>
        <v>60</v>
      </c>
      <c r="AF162" s="1238">
        <f t="shared" si="33"/>
        <v>2.97974223491329</v>
      </c>
      <c r="AG162" s="1238">
        <f t="shared" si="34"/>
        <v>2.97974223491329</v>
      </c>
    </row>
    <row r="163" spans="17:33">
      <c r="Q163">
        <v>70</v>
      </c>
      <c r="S163" s="64">
        <f t="shared" si="35"/>
        <v>779.58372425057007</v>
      </c>
      <c r="T163" s="97">
        <f t="shared" si="36"/>
        <v>51986.378844835046</v>
      </c>
      <c r="U163" s="64">
        <f t="shared" si="37"/>
        <v>779.58372425057007</v>
      </c>
      <c r="W163" s="64">
        <f t="shared" si="38"/>
        <v>51986.378844835046</v>
      </c>
      <c r="Y163" s="473">
        <v>61</v>
      </c>
      <c r="Z163" s="1239">
        <f t="shared" si="30"/>
        <v>1.7328792948278349</v>
      </c>
      <c r="AA163" s="1239">
        <f t="shared" si="31"/>
        <v>1.7328792948278349</v>
      </c>
      <c r="AC163" s="13"/>
      <c r="AD163" s="13"/>
      <c r="AE163" s="473">
        <f t="shared" si="23"/>
        <v>61</v>
      </c>
      <c r="AF163" s="1238">
        <f t="shared" si="33"/>
        <v>2.9805523871038759</v>
      </c>
      <c r="AG163" s="1238">
        <f t="shared" si="34"/>
        <v>2.9805523871038759</v>
      </c>
    </row>
    <row r="164" spans="17:33">
      <c r="Q164">
        <v>71</v>
      </c>
      <c r="S164" s="64">
        <f t="shared" si="35"/>
        <v>779.7956826725258</v>
      </c>
      <c r="T164" s="97">
        <f t="shared" si="36"/>
        <v>52000.297447876801</v>
      </c>
      <c r="U164" s="64">
        <f t="shared" si="37"/>
        <v>779.7956826725258</v>
      </c>
      <c r="W164" s="64">
        <f t="shared" si="38"/>
        <v>52000.297447876801</v>
      </c>
      <c r="Y164" s="473">
        <v>62</v>
      </c>
      <c r="Z164" s="1239">
        <f t="shared" si="30"/>
        <v>1.7333432482625599</v>
      </c>
      <c r="AA164" s="1239">
        <f t="shared" si="31"/>
        <v>1.7333432482625599</v>
      </c>
      <c r="AC164" s="13"/>
      <c r="AD164" s="13"/>
      <c r="AE164" s="473">
        <f t="shared" si="23"/>
        <v>62</v>
      </c>
      <c r="AF164" s="1238">
        <f t="shared" si="33"/>
        <v>2.9813503870116032</v>
      </c>
      <c r="AG164" s="1238">
        <f t="shared" si="34"/>
        <v>2.9813503870116032</v>
      </c>
    </row>
    <row r="165" spans="17:33">
      <c r="Q165">
        <v>72</v>
      </c>
      <c r="S165" s="64">
        <f t="shared" si="35"/>
        <v>780.00446171815202</v>
      </c>
      <c r="T165" s="97">
        <f t="shared" si="36"/>
        <v>52014.007271872928</v>
      </c>
      <c r="U165" s="64">
        <f t="shared" si="37"/>
        <v>780.00446171815202</v>
      </c>
      <c r="W165" s="64">
        <f t="shared" si="38"/>
        <v>52014.007271872928</v>
      </c>
      <c r="Y165" s="473">
        <v>63</v>
      </c>
      <c r="Z165" s="1239">
        <f t="shared" si="30"/>
        <v>1.7338002423957644</v>
      </c>
      <c r="AA165" s="1239">
        <f t="shared" si="31"/>
        <v>1.7338002423957644</v>
      </c>
      <c r="AC165" s="13"/>
      <c r="AD165" s="13"/>
      <c r="AE165" s="473">
        <f t="shared" si="23"/>
        <v>63</v>
      </c>
      <c r="AF165" s="1238">
        <f t="shared" si="33"/>
        <v>2.9821364169207145</v>
      </c>
      <c r="AG165" s="1238">
        <f t="shared" si="34"/>
        <v>2.9821364169207145</v>
      </c>
    </row>
    <row r="166" spans="17:33">
      <c r="Q166">
        <v>73</v>
      </c>
      <c r="S166" s="64">
        <f t="shared" si="35"/>
        <v>780.21010907809398</v>
      </c>
      <c r="T166" s="97">
        <f t="shared" si="36"/>
        <v>52027.511448509118</v>
      </c>
      <c r="U166" s="64">
        <f t="shared" si="37"/>
        <v>780.21010907809398</v>
      </c>
      <c r="W166" s="64">
        <f t="shared" si="38"/>
        <v>52027.511448509118</v>
      </c>
      <c r="Y166" s="473">
        <v>64</v>
      </c>
      <c r="Z166" s="1239">
        <f t="shared" si="30"/>
        <v>1.7342503816169708</v>
      </c>
      <c r="AA166" s="1239">
        <f t="shared" si="31"/>
        <v>1.7342503816169708</v>
      </c>
      <c r="AC166" s="13"/>
      <c r="AD166" s="13"/>
      <c r="AE166" s="473">
        <f t="shared" ref="AE166:AE203" si="39">Y166</f>
        <v>64</v>
      </c>
      <c r="AF166" s="1238">
        <f t="shared" si="33"/>
        <v>2.9829106563811898</v>
      </c>
      <c r="AG166" s="1238">
        <f t="shared" si="34"/>
        <v>2.9829106563811898</v>
      </c>
    </row>
    <row r="167" spans="17:33">
      <c r="Q167">
        <v>74</v>
      </c>
      <c r="S167" s="64">
        <f t="shared" si="35"/>
        <v>780.41267172763673</v>
      </c>
      <c r="T167" s="97">
        <f t="shared" si="36"/>
        <v>52040.813062495763</v>
      </c>
      <c r="U167" s="64">
        <f t="shared" si="37"/>
        <v>780.41267172763673</v>
      </c>
      <c r="W167" s="64">
        <f t="shared" si="38"/>
        <v>52040.813062495763</v>
      </c>
      <c r="Y167" s="473">
        <v>65</v>
      </c>
      <c r="Z167" s="1239">
        <f t="shared" ref="Z167:Z203" si="40">+W167/$A$7/10</f>
        <v>1.7346937687498589</v>
      </c>
      <c r="AA167" s="1239">
        <f t="shared" ref="AA167:AA203" si="41">+T167/$A$7/10</f>
        <v>1.7346937687498589</v>
      </c>
      <c r="AC167" s="13"/>
      <c r="AD167" s="13"/>
      <c r="AE167" s="473">
        <f t="shared" si="39"/>
        <v>65</v>
      </c>
      <c r="AF167" s="1238">
        <f t="shared" ref="AF167:AF203" si="42">Z167*C$10</f>
        <v>2.9836732822497574</v>
      </c>
      <c r="AG167" s="1238">
        <f t="shared" ref="AG167:AG203" si="43">AA167*C$10</f>
        <v>2.9836732822497574</v>
      </c>
    </row>
    <row r="168" spans="17:33">
      <c r="Q168">
        <v>75</v>
      </c>
      <c r="S168" s="64">
        <f t="shared" ref="S168:S203" si="44">+$T$101*T167*0.01</f>
        <v>780.61219593743647</v>
      </c>
      <c r="T168" s="97">
        <f t="shared" ref="T168:T199" si="45">+T167-S168+S$101</f>
        <v>52053.91515227261</v>
      </c>
      <c r="U168" s="64">
        <f t="shared" ref="U168:U203" si="46">+$W$101*W167*0.01</f>
        <v>780.61219593743647</v>
      </c>
      <c r="W168" s="64">
        <f t="shared" ref="W168:W203" si="47">+W167-U168+U$101</f>
        <v>52053.91515227261</v>
      </c>
      <c r="Y168" s="473">
        <v>66</v>
      </c>
      <c r="Z168" s="1239">
        <f t="shared" si="40"/>
        <v>1.7351305050757535</v>
      </c>
      <c r="AA168" s="1239">
        <f t="shared" si="41"/>
        <v>1.7351305050757535</v>
      </c>
      <c r="AC168" s="13"/>
      <c r="AD168" s="13"/>
      <c r="AE168" s="473">
        <f t="shared" si="39"/>
        <v>66</v>
      </c>
      <c r="AF168" s="1238">
        <f t="shared" si="42"/>
        <v>2.9844244687302961</v>
      </c>
      <c r="AG168" s="1238">
        <f t="shared" si="43"/>
        <v>2.9844244687302961</v>
      </c>
    </row>
    <row r="169" spans="17:33">
      <c r="Q169">
        <v>76</v>
      </c>
      <c r="S169" s="64">
        <f t="shared" si="44"/>
        <v>780.80872728408917</v>
      </c>
      <c r="T169" s="97">
        <f t="shared" si="45"/>
        <v>52066.820710702807</v>
      </c>
      <c r="U169" s="64">
        <f t="shared" si="46"/>
        <v>780.80872728408917</v>
      </c>
      <c r="W169" s="64">
        <f t="shared" si="47"/>
        <v>52066.820710702807</v>
      </c>
      <c r="Y169" s="473">
        <v>67</v>
      </c>
      <c r="Z169" s="1239">
        <f t="shared" si="40"/>
        <v>1.7355606903567602</v>
      </c>
      <c r="AA169" s="1239">
        <f t="shared" si="41"/>
        <v>1.7355606903567602</v>
      </c>
      <c r="AC169" s="13"/>
      <c r="AD169" s="13"/>
      <c r="AE169" s="473">
        <f t="shared" si="39"/>
        <v>67</v>
      </c>
      <c r="AF169" s="1238">
        <f t="shared" si="42"/>
        <v>2.9851643874136276</v>
      </c>
      <c r="AG169" s="1238">
        <f t="shared" si="43"/>
        <v>2.9851643874136276</v>
      </c>
    </row>
    <row r="170" spans="17:33">
      <c r="Q170">
        <v>77</v>
      </c>
      <c r="S170" s="64">
        <f t="shared" si="44"/>
        <v>781.00231066054221</v>
      </c>
      <c r="T170" s="97">
        <f t="shared" si="45"/>
        <v>52079.532685756545</v>
      </c>
      <c r="U170" s="64">
        <f t="shared" si="46"/>
        <v>781.00231066054221</v>
      </c>
      <c r="W170" s="64">
        <f t="shared" si="47"/>
        <v>52079.532685756545</v>
      </c>
      <c r="Y170" s="473">
        <v>68</v>
      </c>
      <c r="Z170" s="1239">
        <f t="shared" si="40"/>
        <v>1.7359844228585515</v>
      </c>
      <c r="AA170" s="1239">
        <f t="shared" si="41"/>
        <v>1.7359844228585515</v>
      </c>
      <c r="AC170" s="13"/>
      <c r="AD170" s="13"/>
      <c r="AE170" s="473">
        <f t="shared" si="39"/>
        <v>68</v>
      </c>
      <c r="AF170" s="1238">
        <f t="shared" si="42"/>
        <v>2.9858932073167086</v>
      </c>
      <c r="AG170" s="1238">
        <f t="shared" si="43"/>
        <v>2.9858932073167086</v>
      </c>
    </row>
    <row r="171" spans="17:33">
      <c r="Q171">
        <v>78</v>
      </c>
      <c r="S171" s="64">
        <f t="shared" si="44"/>
        <v>781.19299028634828</v>
      </c>
      <c r="T171" s="97">
        <f t="shared" si="45"/>
        <v>52092.053981184479</v>
      </c>
      <c r="U171" s="64">
        <f t="shared" si="46"/>
        <v>781.19299028634828</v>
      </c>
      <c r="W171" s="64">
        <f t="shared" si="47"/>
        <v>52092.053981184479</v>
      </c>
      <c r="Y171" s="473">
        <v>69</v>
      </c>
      <c r="Z171" s="1239">
        <f t="shared" si="40"/>
        <v>1.7364017993728158</v>
      </c>
      <c r="AA171" s="1239">
        <f t="shared" si="41"/>
        <v>1.7364017993728158</v>
      </c>
      <c r="AC171" s="13"/>
      <c r="AD171" s="13"/>
      <c r="AE171" s="473">
        <f t="shared" si="39"/>
        <v>69</v>
      </c>
      <c r="AF171" s="1238">
        <f t="shared" si="42"/>
        <v>2.9866110949212432</v>
      </c>
      <c r="AG171" s="1238">
        <f t="shared" si="43"/>
        <v>2.9866110949212432</v>
      </c>
    </row>
    <row r="172" spans="17:33">
      <c r="Q172">
        <v>79</v>
      </c>
      <c r="S172" s="64">
        <f t="shared" si="44"/>
        <v>781.38080971776708</v>
      </c>
      <c r="T172" s="97">
        <f t="shared" si="45"/>
        <v>52104.387457180994</v>
      </c>
      <c r="U172" s="64">
        <f t="shared" si="46"/>
        <v>781.38080971776708</v>
      </c>
      <c r="W172" s="64">
        <f t="shared" si="47"/>
        <v>52104.387457180994</v>
      </c>
      <c r="Y172" s="473">
        <v>70</v>
      </c>
      <c r="Z172" s="1239">
        <f t="shared" si="40"/>
        <v>1.7368129152393663</v>
      </c>
      <c r="AA172" s="1239">
        <f t="shared" si="41"/>
        <v>1.7368129152393663</v>
      </c>
      <c r="AC172" s="13"/>
      <c r="AD172" s="13"/>
      <c r="AE172" s="473">
        <f t="shared" si="39"/>
        <v>70</v>
      </c>
      <c r="AF172" s="1238">
        <f t="shared" si="42"/>
        <v>2.9873182142117098</v>
      </c>
      <c r="AG172" s="1238">
        <f t="shared" si="43"/>
        <v>2.9873182142117098</v>
      </c>
    </row>
    <row r="173" spans="17:33">
      <c r="Q173">
        <v>80</v>
      </c>
      <c r="S173" s="64">
        <f t="shared" si="44"/>
        <v>781.56581185771483</v>
      </c>
      <c r="T173" s="97">
        <f t="shared" si="45"/>
        <v>52116.535931037564</v>
      </c>
      <c r="U173" s="64">
        <f t="shared" si="46"/>
        <v>781.56581185771483</v>
      </c>
      <c r="W173" s="64">
        <f t="shared" si="47"/>
        <v>52116.535931037564</v>
      </c>
      <c r="Y173" s="473">
        <v>71</v>
      </c>
      <c r="Z173" s="1239">
        <f t="shared" si="40"/>
        <v>1.7372178643679188</v>
      </c>
      <c r="AA173" s="1239">
        <f t="shared" si="41"/>
        <v>1.7372178643679188</v>
      </c>
      <c r="AC173" s="13"/>
      <c r="AD173" s="13"/>
      <c r="AE173" s="473">
        <f t="shared" si="39"/>
        <v>71</v>
      </c>
      <c r="AF173" s="1238">
        <f t="shared" si="42"/>
        <v>2.9880147267128203</v>
      </c>
      <c r="AG173" s="1238">
        <f t="shared" si="43"/>
        <v>2.9880147267128203</v>
      </c>
    </row>
    <row r="174" spans="17:33">
      <c r="Q174">
        <v>81</v>
      </c>
      <c r="S174" s="64">
        <f t="shared" si="44"/>
        <v>781.74803896556352</v>
      </c>
      <c r="T174" s="97">
        <f t="shared" si="45"/>
        <v>52128.502177786286</v>
      </c>
      <c r="U174" s="64">
        <f t="shared" si="46"/>
        <v>781.74803896556352</v>
      </c>
      <c r="W174" s="64">
        <f t="shared" si="47"/>
        <v>52128.502177786286</v>
      </c>
      <c r="Y174" s="473">
        <v>72</v>
      </c>
      <c r="Z174" s="1239">
        <f t="shared" si="40"/>
        <v>1.7376167392595427</v>
      </c>
      <c r="AA174" s="1239">
        <f t="shared" si="41"/>
        <v>1.7376167392595427</v>
      </c>
      <c r="AC174" s="13"/>
      <c r="AD174" s="13"/>
      <c r="AE174" s="473">
        <f t="shared" si="39"/>
        <v>72</v>
      </c>
      <c r="AF174" s="1238">
        <f t="shared" si="42"/>
        <v>2.9887007915264134</v>
      </c>
      <c r="AG174" s="1238">
        <f t="shared" si="43"/>
        <v>2.9887007915264134</v>
      </c>
    </row>
    <row r="175" spans="17:33">
      <c r="Q175">
        <v>82</v>
      </c>
      <c r="S175" s="64">
        <f t="shared" si="44"/>
        <v>781.92753266679426</v>
      </c>
      <c r="T175" s="97">
        <f t="shared" si="45"/>
        <v>52140.288930833776</v>
      </c>
      <c r="U175" s="64">
        <f t="shared" si="46"/>
        <v>781.92753266679426</v>
      </c>
      <c r="W175" s="64">
        <f t="shared" si="47"/>
        <v>52140.288930833776</v>
      </c>
      <c r="Y175" s="473">
        <v>73</v>
      </c>
      <c r="Z175" s="1239">
        <f t="shared" si="40"/>
        <v>1.7380096310277924</v>
      </c>
      <c r="AA175" s="1239">
        <f t="shared" si="41"/>
        <v>1.7380096310277924</v>
      </c>
      <c r="AC175" s="13"/>
      <c r="AD175" s="13"/>
      <c r="AE175" s="473">
        <f t="shared" si="39"/>
        <v>73</v>
      </c>
      <c r="AF175" s="1238">
        <f t="shared" si="42"/>
        <v>2.9893765653678028</v>
      </c>
      <c r="AG175" s="1238">
        <f t="shared" si="43"/>
        <v>2.9893765653678028</v>
      </c>
    </row>
    <row r="176" spans="17:33">
      <c r="Q176">
        <v>83</v>
      </c>
      <c r="S176" s="64">
        <f t="shared" si="44"/>
        <v>782.10433396250664</v>
      </c>
      <c r="T176" s="97">
        <f t="shared" si="45"/>
        <v>52151.898882585556</v>
      </c>
      <c r="U176" s="64">
        <f t="shared" si="46"/>
        <v>782.10433396250664</v>
      </c>
      <c r="W176" s="64">
        <f t="shared" si="47"/>
        <v>52151.898882585556</v>
      </c>
      <c r="Y176" s="473">
        <v>74</v>
      </c>
      <c r="Z176" s="1239">
        <f t="shared" si="40"/>
        <v>1.7383966294195186</v>
      </c>
      <c r="AA176" s="1239">
        <f t="shared" si="41"/>
        <v>1.7383966294195186</v>
      </c>
      <c r="AC176" s="13"/>
      <c r="AD176" s="13"/>
      <c r="AE176" s="473">
        <f t="shared" si="39"/>
        <v>74</v>
      </c>
      <c r="AF176" s="1238">
        <f t="shared" si="42"/>
        <v>2.9900422026015718</v>
      </c>
      <c r="AG176" s="1238">
        <f t="shared" si="43"/>
        <v>2.9900422026015718</v>
      </c>
    </row>
    <row r="177" spans="17:33">
      <c r="Q177">
        <v>84</v>
      </c>
      <c r="S177" s="64">
        <f t="shared" si="44"/>
        <v>782.27848323878334</v>
      </c>
      <c r="T177" s="97">
        <f t="shared" si="45"/>
        <v>52163.334685061054</v>
      </c>
      <c r="U177" s="64">
        <f t="shared" si="46"/>
        <v>782.27848323878334</v>
      </c>
      <c r="W177" s="64">
        <f t="shared" si="47"/>
        <v>52163.334685061054</v>
      </c>
      <c r="Y177" s="473">
        <v>75</v>
      </c>
      <c r="Z177" s="1239">
        <f t="shared" si="40"/>
        <v>1.7387778228353685</v>
      </c>
      <c r="AA177" s="1239">
        <f t="shared" si="41"/>
        <v>1.7387778228353685</v>
      </c>
      <c r="AC177" s="13"/>
      <c r="AD177" s="13"/>
      <c r="AE177" s="473">
        <f t="shared" si="39"/>
        <v>75</v>
      </c>
      <c r="AF177" s="1238">
        <f t="shared" si="42"/>
        <v>2.9906978552768337</v>
      </c>
      <c r="AG177" s="1238">
        <f t="shared" si="43"/>
        <v>2.9906978552768337</v>
      </c>
    </row>
    <row r="178" spans="17:33">
      <c r="Q178">
        <v>85</v>
      </c>
      <c r="S178" s="64">
        <f t="shared" si="44"/>
        <v>782.45002027591579</v>
      </c>
      <c r="T178" s="97">
        <f t="shared" si="45"/>
        <v>52174.598950499421</v>
      </c>
      <c r="U178" s="64">
        <f t="shared" si="46"/>
        <v>782.45002027591579</v>
      </c>
      <c r="W178" s="64">
        <f t="shared" si="47"/>
        <v>52174.598950499421</v>
      </c>
      <c r="Y178" s="473">
        <v>76</v>
      </c>
      <c r="Z178" s="1239">
        <f t="shared" si="40"/>
        <v>1.7391532983499807</v>
      </c>
      <c r="AA178" s="1239">
        <f t="shared" si="41"/>
        <v>1.7391532983499807</v>
      </c>
      <c r="AC178" s="13"/>
      <c r="AD178" s="13"/>
      <c r="AE178" s="473">
        <f t="shared" si="39"/>
        <v>76</v>
      </c>
      <c r="AF178" s="1238">
        <f t="shared" si="42"/>
        <v>2.9913436731619667</v>
      </c>
      <c r="AG178" s="1238">
        <f t="shared" si="43"/>
        <v>2.9913436731619667</v>
      </c>
    </row>
    <row r="179" spans="17:33">
      <c r="Q179">
        <v>86</v>
      </c>
      <c r="S179" s="64">
        <f t="shared" si="44"/>
        <v>782.61898425749132</v>
      </c>
      <c r="T179" s="97">
        <f t="shared" si="45"/>
        <v>52185.694251956214</v>
      </c>
      <c r="U179" s="64">
        <f t="shared" si="46"/>
        <v>782.61898425749132</v>
      </c>
      <c r="W179" s="64">
        <f t="shared" si="47"/>
        <v>52185.694251956214</v>
      </c>
      <c r="Y179" s="473">
        <v>77</v>
      </c>
      <c r="Z179" s="1239">
        <f t="shared" si="40"/>
        <v>1.7395231417318737</v>
      </c>
      <c r="AA179" s="1239">
        <f t="shared" si="41"/>
        <v>1.7395231417318737</v>
      </c>
      <c r="AC179" s="13"/>
      <c r="AD179" s="13"/>
      <c r="AE179" s="473">
        <f t="shared" si="39"/>
        <v>77</v>
      </c>
      <c r="AF179" s="1238">
        <f t="shared" si="42"/>
        <v>2.9919798037788228</v>
      </c>
      <c r="AG179" s="1238">
        <f t="shared" si="43"/>
        <v>2.9919798037788228</v>
      </c>
    </row>
    <row r="180" spans="17:33">
      <c r="Q180">
        <v>87</v>
      </c>
      <c r="S180" s="64">
        <f t="shared" si="44"/>
        <v>782.78541377934323</v>
      </c>
      <c r="T180" s="97">
        <f t="shared" si="45"/>
        <v>52196.623123891157</v>
      </c>
      <c r="U180" s="64">
        <f t="shared" si="46"/>
        <v>782.78541377934323</v>
      </c>
      <c r="W180" s="64">
        <f t="shared" si="47"/>
        <v>52196.623123891157</v>
      </c>
      <c r="Y180" s="473">
        <v>78</v>
      </c>
      <c r="Z180" s="1239">
        <f t="shared" si="40"/>
        <v>1.7398874374630384</v>
      </c>
      <c r="AA180" s="1239">
        <f t="shared" si="41"/>
        <v>1.7398874374630384</v>
      </c>
      <c r="AC180" s="13"/>
      <c r="AD180" s="13"/>
      <c r="AE180" s="473">
        <f t="shared" si="39"/>
        <v>78</v>
      </c>
      <c r="AF180" s="1238">
        <f t="shared" si="42"/>
        <v>2.9926063924364259</v>
      </c>
      <c r="AG180" s="1238">
        <f t="shared" si="43"/>
        <v>2.9926063924364259</v>
      </c>
    </row>
    <row r="181" spans="17:33">
      <c r="Q181">
        <v>88</v>
      </c>
      <c r="S181" s="64">
        <f t="shared" si="44"/>
        <v>782.94934685836733</v>
      </c>
      <c r="T181" s="97">
        <f t="shared" si="45"/>
        <v>52207.388062747072</v>
      </c>
      <c r="U181" s="64">
        <f t="shared" si="46"/>
        <v>782.94934685836733</v>
      </c>
      <c r="W181" s="64">
        <f t="shared" si="47"/>
        <v>52207.388062747072</v>
      </c>
      <c r="Y181" s="473">
        <v>79</v>
      </c>
      <c r="Z181" s="1239">
        <f t="shared" si="40"/>
        <v>1.7402462687582356</v>
      </c>
      <c r="AA181" s="1239">
        <f t="shared" si="41"/>
        <v>1.7402462687582356</v>
      </c>
      <c r="AC181" s="13"/>
      <c r="AD181" s="13"/>
      <c r="AE181" s="473">
        <f t="shared" si="39"/>
        <v>79</v>
      </c>
      <c r="AF181" s="1238">
        <f t="shared" si="42"/>
        <v>2.9932235822641653</v>
      </c>
      <c r="AG181" s="1238">
        <f t="shared" si="43"/>
        <v>2.9932235822641653</v>
      </c>
    </row>
    <row r="182" spans="17:33">
      <c r="Q182">
        <v>89</v>
      </c>
      <c r="S182" s="64">
        <f t="shared" si="44"/>
        <v>783.11082094120604</v>
      </c>
      <c r="T182" s="97">
        <f t="shared" si="45"/>
        <v>52217.991527520149</v>
      </c>
      <c r="U182" s="64">
        <f t="shared" si="46"/>
        <v>783.11082094120604</v>
      </c>
      <c r="W182" s="64">
        <f t="shared" si="47"/>
        <v>52217.991527520149</v>
      </c>
      <c r="Y182" s="473">
        <v>80</v>
      </c>
      <c r="Z182" s="1239">
        <f t="shared" si="40"/>
        <v>1.7405997175840049</v>
      </c>
      <c r="AA182" s="1239">
        <f t="shared" si="41"/>
        <v>1.7405997175840049</v>
      </c>
      <c r="AC182" s="13"/>
      <c r="AD182" s="13"/>
      <c r="AE182" s="473">
        <f t="shared" si="39"/>
        <v>80</v>
      </c>
      <c r="AF182" s="1238">
        <f t="shared" si="42"/>
        <v>2.9938315142444885</v>
      </c>
      <c r="AG182" s="1238">
        <f t="shared" si="43"/>
        <v>2.9938315142444885</v>
      </c>
    </row>
    <row r="183" spans="17:33">
      <c r="Q183">
        <v>90</v>
      </c>
      <c r="S183" s="64">
        <f t="shared" si="44"/>
        <v>783.26987291280227</v>
      </c>
      <c r="T183" s="97">
        <f t="shared" si="45"/>
        <v>52228.435940321629</v>
      </c>
      <c r="U183" s="64">
        <f t="shared" si="46"/>
        <v>783.26987291280227</v>
      </c>
      <c r="W183" s="64">
        <f t="shared" si="47"/>
        <v>52228.435940321629</v>
      </c>
      <c r="Y183" s="473">
        <v>81</v>
      </c>
      <c r="Z183" s="1239">
        <f t="shared" si="40"/>
        <v>1.7409478646773877</v>
      </c>
      <c r="AA183" s="1239">
        <f t="shared" si="41"/>
        <v>1.7409478646773877</v>
      </c>
      <c r="AC183" s="13"/>
      <c r="AD183" s="13"/>
      <c r="AE183" s="473">
        <f t="shared" si="39"/>
        <v>81</v>
      </c>
      <c r="AF183" s="1238">
        <f t="shared" si="42"/>
        <v>2.9944303272451069</v>
      </c>
      <c r="AG183" s="1238">
        <f t="shared" si="43"/>
        <v>2.9944303272451069</v>
      </c>
    </row>
    <row r="184" spans="17:33">
      <c r="Q184">
        <v>91</v>
      </c>
      <c r="S184" s="64">
        <f t="shared" si="44"/>
        <v>783.42653910482454</v>
      </c>
      <c r="T184" s="97">
        <f t="shared" si="45"/>
        <v>52238.723686931087</v>
      </c>
      <c r="U184" s="64">
        <f t="shared" si="46"/>
        <v>783.42653910482454</v>
      </c>
      <c r="W184" s="64">
        <f t="shared" si="47"/>
        <v>52238.723686931087</v>
      </c>
      <c r="Y184" s="473">
        <v>82</v>
      </c>
      <c r="Z184" s="1239">
        <f t="shared" si="40"/>
        <v>1.7412907895643694</v>
      </c>
      <c r="AA184" s="1239">
        <f t="shared" si="41"/>
        <v>1.7412907895643694</v>
      </c>
      <c r="AC184" s="13"/>
      <c r="AD184" s="13"/>
      <c r="AE184" s="473">
        <f t="shared" si="39"/>
        <v>82</v>
      </c>
      <c r="AF184" s="1238">
        <f t="shared" si="42"/>
        <v>2.9950201580507154</v>
      </c>
      <c r="AG184" s="1238">
        <f t="shared" si="43"/>
        <v>2.9950201580507154</v>
      </c>
    </row>
    <row r="185" spans="17:33">
      <c r="Q185">
        <v>92</v>
      </c>
      <c r="S185" s="64">
        <f t="shared" si="44"/>
        <v>783.58085530396636</v>
      </c>
      <c r="T185" s="97">
        <f t="shared" si="45"/>
        <v>52248.857117341402</v>
      </c>
      <c r="U185" s="64">
        <f t="shared" si="46"/>
        <v>783.58085530396636</v>
      </c>
      <c r="W185" s="64">
        <f t="shared" si="47"/>
        <v>52248.857117341402</v>
      </c>
      <c r="Y185" s="473">
        <v>83</v>
      </c>
      <c r="Z185" s="1239">
        <f t="shared" si="40"/>
        <v>1.7416285705780468</v>
      </c>
      <c r="AA185" s="1239">
        <f t="shared" si="41"/>
        <v>1.7416285705780468</v>
      </c>
      <c r="AC185" s="13"/>
      <c r="AD185" s="13"/>
      <c r="AE185" s="473">
        <f t="shared" si="39"/>
        <v>83</v>
      </c>
      <c r="AF185" s="1238">
        <f t="shared" si="42"/>
        <v>2.9956011413942405</v>
      </c>
      <c r="AG185" s="1238">
        <f t="shared" si="43"/>
        <v>2.9956011413942405</v>
      </c>
    </row>
    <row r="186" spans="17:33">
      <c r="Q186">
        <v>93</v>
      </c>
      <c r="S186" s="64">
        <f t="shared" si="44"/>
        <v>783.73285676012108</v>
      </c>
      <c r="T186" s="97">
        <f t="shared" si="45"/>
        <v>52258.838546295563</v>
      </c>
      <c r="U186" s="64">
        <f t="shared" si="46"/>
        <v>783.73285676012108</v>
      </c>
      <c r="W186" s="64">
        <f t="shared" si="47"/>
        <v>52258.838546295563</v>
      </c>
      <c r="Y186" s="473">
        <v>84</v>
      </c>
      <c r="Z186" s="1239">
        <f t="shared" si="40"/>
        <v>1.7419612848765187</v>
      </c>
      <c r="AA186" s="1239">
        <f t="shared" si="41"/>
        <v>1.7419612848765187</v>
      </c>
      <c r="AC186" s="13"/>
      <c r="AD186" s="13"/>
      <c r="AE186" s="473">
        <f t="shared" si="39"/>
        <v>84</v>
      </c>
      <c r="AF186" s="1238">
        <f t="shared" si="42"/>
        <v>2.9961734099876121</v>
      </c>
      <c r="AG186" s="1238">
        <f t="shared" si="43"/>
        <v>2.9961734099876121</v>
      </c>
    </row>
    <row r="187" spans="17:33">
      <c r="Q187">
        <v>94</v>
      </c>
      <c r="S187" s="64">
        <f t="shared" si="44"/>
        <v>783.88257819443345</v>
      </c>
      <c r="T187" s="97">
        <f t="shared" si="45"/>
        <v>52268.670253815413</v>
      </c>
      <c r="U187" s="64">
        <f t="shared" si="46"/>
        <v>783.88257819443345</v>
      </c>
      <c r="W187" s="64">
        <f t="shared" si="47"/>
        <v>52268.670253815413</v>
      </c>
      <c r="Y187" s="473">
        <v>85</v>
      </c>
      <c r="Z187" s="1239">
        <f t="shared" si="40"/>
        <v>1.7422890084605136</v>
      </c>
      <c r="AA187" s="1239">
        <f t="shared" si="41"/>
        <v>1.7422890084605136</v>
      </c>
      <c r="AC187" s="13"/>
      <c r="AD187" s="13"/>
      <c r="AE187" s="473">
        <f t="shared" si="39"/>
        <v>85</v>
      </c>
      <c r="AF187" s="1238">
        <f t="shared" si="42"/>
        <v>2.9967370945520835</v>
      </c>
      <c r="AG187" s="1238">
        <f t="shared" si="43"/>
        <v>2.9967370945520835</v>
      </c>
    </row>
    <row r="188" spans="17:33">
      <c r="Q188">
        <v>95</v>
      </c>
      <c r="S188" s="64">
        <f t="shared" si="44"/>
        <v>784.03005380723118</v>
      </c>
      <c r="T188" s="97">
        <f t="shared" si="45"/>
        <v>52278.354485722462</v>
      </c>
      <c r="U188" s="64">
        <f t="shared" si="46"/>
        <v>784.03005380723118</v>
      </c>
      <c r="W188" s="64">
        <f t="shared" si="47"/>
        <v>52278.354485722462</v>
      </c>
      <c r="Y188" s="473">
        <v>86</v>
      </c>
      <c r="Z188" s="1239">
        <f t="shared" si="40"/>
        <v>1.7426118161907489</v>
      </c>
      <c r="AA188" s="1239">
        <f t="shared" si="41"/>
        <v>1.7426118161907489</v>
      </c>
      <c r="AC188" s="13"/>
      <c r="AD188" s="13"/>
      <c r="AE188" s="473">
        <f t="shared" si="39"/>
        <v>86</v>
      </c>
      <c r="AF188" s="1238">
        <f t="shared" si="42"/>
        <v>2.9972923238480882</v>
      </c>
      <c r="AG188" s="1238">
        <f t="shared" si="43"/>
        <v>2.9972923238480882</v>
      </c>
    </row>
    <row r="189" spans="17:33">
      <c r="Q189">
        <v>96</v>
      </c>
      <c r="S189" s="64">
        <f t="shared" si="44"/>
        <v>784.17531728583697</v>
      </c>
      <c r="T189" s="97">
        <f t="shared" si="45"/>
        <v>52287.893454150908</v>
      </c>
      <c r="U189" s="64">
        <f t="shared" si="46"/>
        <v>784.17531728583697</v>
      </c>
      <c r="W189" s="64">
        <f t="shared" si="47"/>
        <v>52287.893454150908</v>
      </c>
      <c r="Y189" s="473">
        <v>87</v>
      </c>
      <c r="Z189" s="1239">
        <f t="shared" si="40"/>
        <v>1.7429297818050302</v>
      </c>
      <c r="AA189" s="1239">
        <f t="shared" si="41"/>
        <v>1.7429297818050302</v>
      </c>
      <c r="AC189" s="13"/>
      <c r="AD189" s="13"/>
      <c r="AE189" s="473">
        <f t="shared" si="39"/>
        <v>87</v>
      </c>
      <c r="AF189" s="1238">
        <f t="shared" si="42"/>
        <v>2.9978392247046521</v>
      </c>
      <c r="AG189" s="1238">
        <f t="shared" si="43"/>
        <v>2.9978392247046521</v>
      </c>
    </row>
    <row r="190" spans="17:33">
      <c r="Q190">
        <v>97</v>
      </c>
      <c r="S190" s="64">
        <f t="shared" si="44"/>
        <v>784.31840181226369</v>
      </c>
      <c r="T190" s="97">
        <f t="shared" si="45"/>
        <v>52297.289338052928</v>
      </c>
      <c r="U190" s="64">
        <f t="shared" si="46"/>
        <v>784.31840181226369</v>
      </c>
      <c r="W190" s="64">
        <f t="shared" si="47"/>
        <v>52297.289338052928</v>
      </c>
      <c r="Y190" s="473">
        <v>88</v>
      </c>
      <c r="Z190" s="1239">
        <f t="shared" si="40"/>
        <v>1.7432429779350975</v>
      </c>
      <c r="AA190" s="1239">
        <f t="shared" si="41"/>
        <v>1.7432429779350975</v>
      </c>
      <c r="AC190" s="13"/>
      <c r="AD190" s="13"/>
      <c r="AE190" s="473">
        <f t="shared" si="39"/>
        <v>88</v>
      </c>
      <c r="AF190" s="1238">
        <f t="shared" si="42"/>
        <v>2.9983779220483675</v>
      </c>
      <c r="AG190" s="1238">
        <f t="shared" si="43"/>
        <v>2.9983779220483675</v>
      </c>
    </row>
    <row r="191" spans="17:33">
      <c r="Q191">
        <v>98</v>
      </c>
      <c r="S191" s="64">
        <f t="shared" si="44"/>
        <v>784.45934007079404</v>
      </c>
      <c r="T191" s="97">
        <f t="shared" si="45"/>
        <v>52306.544283696414</v>
      </c>
      <c r="U191" s="64">
        <f t="shared" si="46"/>
        <v>784.45934007079404</v>
      </c>
      <c r="W191" s="64">
        <f t="shared" si="47"/>
        <v>52306.544283696414</v>
      </c>
      <c r="Y191" s="473">
        <v>89</v>
      </c>
      <c r="Z191" s="1239">
        <f t="shared" si="40"/>
        <v>1.7435514761232138</v>
      </c>
      <c r="AA191" s="1239">
        <f t="shared" si="41"/>
        <v>1.7435514761232138</v>
      </c>
      <c r="AC191" s="13"/>
      <c r="AD191" s="13"/>
      <c r="AE191" s="473">
        <f t="shared" si="39"/>
        <v>89</v>
      </c>
      <c r="AF191" s="1238">
        <f t="shared" si="42"/>
        <v>2.9989085389319277</v>
      </c>
      <c r="AG191" s="1238">
        <f t="shared" si="43"/>
        <v>2.9989085389319277</v>
      </c>
    </row>
    <row r="192" spans="17:33">
      <c r="Q192">
        <v>99</v>
      </c>
      <c r="S192" s="64">
        <f t="shared" si="44"/>
        <v>784.59816425544614</v>
      </c>
      <c r="T192" s="97">
        <f t="shared" si="45"/>
        <v>52315.660405155249</v>
      </c>
      <c r="U192" s="64">
        <f t="shared" si="46"/>
        <v>784.59816425544614</v>
      </c>
      <c r="W192" s="64">
        <f t="shared" si="47"/>
        <v>52315.660405155249</v>
      </c>
      <c r="Y192" s="473">
        <v>90</v>
      </c>
      <c r="Z192" s="1239">
        <f t="shared" si="40"/>
        <v>1.7438553468385085</v>
      </c>
      <c r="AA192" s="1239">
        <f t="shared" si="41"/>
        <v>1.7438553468385085</v>
      </c>
      <c r="AC192" s="13"/>
      <c r="AD192" s="13"/>
      <c r="AE192" s="473">
        <f t="shared" si="39"/>
        <v>90</v>
      </c>
      <c r="AF192" s="1238">
        <f t="shared" si="42"/>
        <v>2.9994311965622344</v>
      </c>
      <c r="AG192" s="1238">
        <f t="shared" si="43"/>
        <v>2.9994311965622344</v>
      </c>
    </row>
    <row r="193" spans="17:33">
      <c r="Q193">
        <v>100</v>
      </c>
      <c r="S193" s="64">
        <f t="shared" si="44"/>
        <v>784.73490607732879</v>
      </c>
      <c r="T193" s="97">
        <f t="shared" si="45"/>
        <v>52324.639784792205</v>
      </c>
      <c r="U193" s="64">
        <f t="shared" si="46"/>
        <v>784.73490607732879</v>
      </c>
      <c r="W193" s="64">
        <f t="shared" si="47"/>
        <v>52324.639784792205</v>
      </c>
      <c r="Y193" s="473">
        <v>91</v>
      </c>
      <c r="Z193" s="1239">
        <f t="shared" si="40"/>
        <v>1.7441546594930735</v>
      </c>
      <c r="AA193" s="1239">
        <f t="shared" si="41"/>
        <v>1.7441546594930735</v>
      </c>
      <c r="AC193" s="13"/>
      <c r="AD193" s="13"/>
      <c r="AE193" s="473">
        <f t="shared" si="39"/>
        <v>91</v>
      </c>
      <c r="AF193" s="1238">
        <f t="shared" si="42"/>
        <v>2.9999460143280863</v>
      </c>
      <c r="AG193" s="1238">
        <f t="shared" si="43"/>
        <v>2.9999460143280863</v>
      </c>
    </row>
    <row r="194" spans="17:33">
      <c r="Q194">
        <v>101</v>
      </c>
      <c r="S194" s="64">
        <f t="shared" si="44"/>
        <v>784.86959677188315</v>
      </c>
      <c r="T194" s="97">
        <f t="shared" si="45"/>
        <v>52333.484473734607</v>
      </c>
      <c r="U194" s="64">
        <f t="shared" si="46"/>
        <v>784.86959677188315</v>
      </c>
      <c r="W194" s="64">
        <f t="shared" si="47"/>
        <v>52333.484473734607</v>
      </c>
      <c r="Y194" s="473">
        <v>92</v>
      </c>
      <c r="Z194" s="1239">
        <f t="shared" si="40"/>
        <v>1.7444494824578203</v>
      </c>
      <c r="AA194" s="1239">
        <f t="shared" si="41"/>
        <v>1.7444494824578203</v>
      </c>
      <c r="AC194" s="13"/>
      <c r="AD194" s="13"/>
      <c r="AE194" s="473">
        <f t="shared" si="39"/>
        <v>92</v>
      </c>
      <c r="AF194" s="1238">
        <f t="shared" si="42"/>
        <v>3.0004531098274509</v>
      </c>
      <c r="AG194" s="1238">
        <f t="shared" si="43"/>
        <v>3.0004531098274509</v>
      </c>
    </row>
    <row r="195" spans="17:33">
      <c r="S195" s="64">
        <f t="shared" si="44"/>
        <v>785.00226710601919</v>
      </c>
      <c r="T195" s="97">
        <f t="shared" si="45"/>
        <v>52342.196492342868</v>
      </c>
      <c r="U195" s="64">
        <f t="shared" si="46"/>
        <v>785.00226710601919</v>
      </c>
      <c r="W195" s="64">
        <f t="shared" si="47"/>
        <v>52342.196492342868</v>
      </c>
      <c r="Y195" s="473">
        <v>93</v>
      </c>
      <c r="Z195" s="1239">
        <f t="shared" si="40"/>
        <v>1.7447398830780956</v>
      </c>
      <c r="AA195" s="1239">
        <f t="shared" si="41"/>
        <v>1.7447398830780956</v>
      </c>
      <c r="AC195" s="13"/>
      <c r="AD195" s="13"/>
      <c r="AE195" s="473">
        <f t="shared" si="39"/>
        <v>93</v>
      </c>
      <c r="AF195" s="1238">
        <f t="shared" si="42"/>
        <v>3.0009525988943242</v>
      </c>
      <c r="AG195" s="1238">
        <f t="shared" si="43"/>
        <v>3.0009525988943242</v>
      </c>
    </row>
    <row r="196" spans="17:33">
      <c r="S196" s="64">
        <f t="shared" si="44"/>
        <v>785.1329473851431</v>
      </c>
      <c r="T196" s="97">
        <f t="shared" si="45"/>
        <v>52350.777830672007</v>
      </c>
      <c r="U196" s="64">
        <f t="shared" si="46"/>
        <v>785.1329473851431</v>
      </c>
      <c r="W196" s="64">
        <f t="shared" si="47"/>
        <v>52350.777830672007</v>
      </c>
      <c r="Y196" s="473">
        <v>94</v>
      </c>
      <c r="Z196" s="1239">
        <f t="shared" si="40"/>
        <v>1.7450259276890669</v>
      </c>
      <c r="AA196" s="1239">
        <f t="shared" si="41"/>
        <v>1.7450259276890669</v>
      </c>
      <c r="AC196" s="13"/>
      <c r="AD196" s="13"/>
      <c r="AE196" s="473">
        <f t="shared" si="39"/>
        <v>94</v>
      </c>
      <c r="AF196" s="1238">
        <f t="shared" si="42"/>
        <v>3.0014445956251952</v>
      </c>
      <c r="AG196" s="1238">
        <f t="shared" si="43"/>
        <v>3.0014445956251952</v>
      </c>
    </row>
    <row r="197" spans="17:33">
      <c r="S197" s="64">
        <f t="shared" si="44"/>
        <v>785.26166746008005</v>
      </c>
      <c r="T197" s="97">
        <f t="shared" si="45"/>
        <v>52359.23044892621</v>
      </c>
      <c r="U197" s="64">
        <f t="shared" si="46"/>
        <v>785.26166746008005</v>
      </c>
      <c r="W197" s="64">
        <f t="shared" si="47"/>
        <v>52359.23044892621</v>
      </c>
      <c r="Y197" s="473">
        <v>95</v>
      </c>
      <c r="Z197" s="1239">
        <f t="shared" si="40"/>
        <v>1.7453076816308737</v>
      </c>
      <c r="AA197" s="1239">
        <f t="shared" si="41"/>
        <v>1.7453076816308737</v>
      </c>
      <c r="AC197" s="13"/>
      <c r="AD197" s="13"/>
      <c r="AE197" s="473">
        <f t="shared" si="39"/>
        <v>95</v>
      </c>
      <c r="AF197" s="1238">
        <f t="shared" si="42"/>
        <v>3.0019292124051029</v>
      </c>
      <c r="AG197" s="1238">
        <f t="shared" si="43"/>
        <v>3.0019292124051029</v>
      </c>
    </row>
    <row r="198" spans="17:33">
      <c r="S198" s="64">
        <f t="shared" si="44"/>
        <v>785.38845673389312</v>
      </c>
      <c r="T198" s="97">
        <f t="shared" si="45"/>
        <v>52367.556277906602</v>
      </c>
      <c r="U198" s="64">
        <f t="shared" si="46"/>
        <v>785.38845673389312</v>
      </c>
      <c r="W198" s="64">
        <f t="shared" si="47"/>
        <v>52367.556277906602</v>
      </c>
      <c r="Y198" s="473">
        <v>96</v>
      </c>
      <c r="Z198" s="1239">
        <f t="shared" si="40"/>
        <v>1.7455852092635535</v>
      </c>
      <c r="AA198" s="1239">
        <f t="shared" si="41"/>
        <v>1.7455852092635535</v>
      </c>
      <c r="AC198" s="13"/>
      <c r="AD198" s="13"/>
      <c r="AE198" s="473">
        <f t="shared" si="39"/>
        <v>96</v>
      </c>
      <c r="AF198" s="1238">
        <f t="shared" si="42"/>
        <v>3.0024065599333118</v>
      </c>
      <c r="AG198" s="1238">
        <f t="shared" si="43"/>
        <v>3.0024065599333118</v>
      </c>
    </row>
    <row r="199" spans="17:33">
      <c r="S199" s="64">
        <f t="shared" si="44"/>
        <v>785.51334416859902</v>
      </c>
      <c r="T199" s="97">
        <f t="shared" si="45"/>
        <v>52375.757219452287</v>
      </c>
      <c r="U199" s="64">
        <f t="shared" si="46"/>
        <v>785.51334416859902</v>
      </c>
      <c r="W199" s="64">
        <f t="shared" si="47"/>
        <v>52375.757219452287</v>
      </c>
      <c r="Y199" s="473">
        <v>97</v>
      </c>
      <c r="Z199" s="1239">
        <f t="shared" si="40"/>
        <v>1.7458585739817429</v>
      </c>
      <c r="AA199" s="1239">
        <f t="shared" si="41"/>
        <v>1.7458585739817429</v>
      </c>
      <c r="AC199" s="13"/>
      <c r="AD199" s="13"/>
      <c r="AE199" s="473">
        <f t="shared" si="39"/>
        <v>97</v>
      </c>
      <c r="AF199" s="1238">
        <f t="shared" si="42"/>
        <v>3.0028767472485978</v>
      </c>
      <c r="AG199" s="1238">
        <f t="shared" si="43"/>
        <v>3.0028767472485978</v>
      </c>
    </row>
    <row r="200" spans="17:33">
      <c r="S200" s="64">
        <f t="shared" si="44"/>
        <v>785.63635829178429</v>
      </c>
      <c r="T200" s="97">
        <f t="shared" ref="T200:T203" si="48">+T199-S200+S$101</f>
        <v>52383.835146874786</v>
      </c>
      <c r="U200" s="64">
        <f t="shared" si="46"/>
        <v>785.63635829178429</v>
      </c>
      <c r="W200" s="64">
        <f t="shared" si="47"/>
        <v>52383.835146874786</v>
      </c>
      <c r="Y200" s="473">
        <v>98</v>
      </c>
      <c r="Z200" s="1239">
        <f t="shared" si="40"/>
        <v>1.7461278382291596</v>
      </c>
      <c r="AA200" s="1239">
        <f t="shared" si="41"/>
        <v>1.7461278382291596</v>
      </c>
      <c r="AC200" s="13"/>
      <c r="AD200" s="13"/>
      <c r="AE200" s="473">
        <f t="shared" si="39"/>
        <v>98</v>
      </c>
      <c r="AF200" s="1238">
        <f t="shared" si="42"/>
        <v>3.0033398817541546</v>
      </c>
      <c r="AG200" s="1238">
        <f t="shared" si="43"/>
        <v>3.0033398817541546</v>
      </c>
    </row>
    <row r="201" spans="17:33">
      <c r="S201" s="64">
        <f t="shared" si="44"/>
        <v>785.75752720312187</v>
      </c>
      <c r="T201" s="97">
        <f t="shared" si="48"/>
        <v>52391.791905385944</v>
      </c>
      <c r="U201" s="64">
        <f t="shared" si="46"/>
        <v>785.75752720312187</v>
      </c>
      <c r="W201" s="64">
        <f t="shared" si="47"/>
        <v>52391.791905385944</v>
      </c>
      <c r="Y201" s="473">
        <v>99</v>
      </c>
      <c r="Z201" s="1239">
        <f t="shared" si="40"/>
        <v>1.7463930635128648</v>
      </c>
      <c r="AA201" s="1239">
        <f t="shared" si="41"/>
        <v>1.7463930635128648</v>
      </c>
      <c r="AC201" s="13"/>
      <c r="AD201" s="13"/>
      <c r="AE201" s="473">
        <f t="shared" si="39"/>
        <v>99</v>
      </c>
      <c r="AF201" s="1238">
        <f t="shared" si="42"/>
        <v>3.0037960692421275</v>
      </c>
      <c r="AG201" s="1238">
        <f t="shared" si="43"/>
        <v>3.0037960692421275</v>
      </c>
    </row>
    <row r="202" spans="17:33">
      <c r="S202" s="64">
        <f t="shared" si="44"/>
        <v>785.87687858078925</v>
      </c>
      <c r="T202" s="97">
        <f t="shared" si="48"/>
        <v>52399.629312519435</v>
      </c>
      <c r="U202" s="64">
        <f t="shared" si="46"/>
        <v>785.87687858078925</v>
      </c>
      <c r="W202" s="64">
        <f t="shared" si="47"/>
        <v>52399.629312519435</v>
      </c>
      <c r="Y202" s="473">
        <v>100</v>
      </c>
      <c r="Z202" s="1239">
        <f t="shared" si="40"/>
        <v>1.7466543104173144</v>
      </c>
      <c r="AA202" s="1239">
        <f t="shared" si="41"/>
        <v>1.7466543104173144</v>
      </c>
      <c r="AC202" s="13"/>
      <c r="AD202" s="13"/>
      <c r="AE202" s="473">
        <f t="shared" si="39"/>
        <v>100</v>
      </c>
      <c r="AF202" s="1238">
        <f t="shared" si="42"/>
        <v>3.004245413917781</v>
      </c>
      <c r="AG202" s="1238">
        <f t="shared" si="43"/>
        <v>3.004245413917781</v>
      </c>
    </row>
    <row r="203" spans="17:33">
      <c r="S203" s="64">
        <f t="shared" si="44"/>
        <v>785.99443968779144</v>
      </c>
      <c r="T203" s="97">
        <f t="shared" si="48"/>
        <v>52407.349158545927</v>
      </c>
      <c r="U203" s="64">
        <f t="shared" si="46"/>
        <v>785.99443968779144</v>
      </c>
      <c r="W203" s="64">
        <f t="shared" si="47"/>
        <v>52407.349158545927</v>
      </c>
      <c r="Y203" s="473">
        <v>101</v>
      </c>
      <c r="Z203" s="1239">
        <f t="shared" si="40"/>
        <v>1.7469116386181978</v>
      </c>
      <c r="AA203" s="1239">
        <f t="shared" si="41"/>
        <v>1.7469116386181978</v>
      </c>
      <c r="AC203" s="13"/>
      <c r="AD203" s="13"/>
      <c r="AE203" s="473">
        <f t="shared" si="39"/>
        <v>101</v>
      </c>
      <c r="AF203" s="1238">
        <f t="shared" si="42"/>
        <v>3.0046880184233</v>
      </c>
      <c r="AG203" s="1238">
        <f t="shared" si="43"/>
        <v>3.0046880184233</v>
      </c>
    </row>
    <row r="204" spans="17:33">
      <c r="AB204" s="13"/>
      <c r="AC204" s="13"/>
      <c r="AD204" s="13"/>
      <c r="AE204" s="13"/>
    </row>
  </sheetData>
  <protectedRanges>
    <protectedRange sqref="J82:L96" name="Område2"/>
    <protectedRange sqref="A7:B7 G7 C10 Z5:Z8 E21 L21 S21 E44 L44 S44 H69:I81 J82 H84:I85 J86:J91 L91 H92:I96" name="Område1"/>
  </protectedRanges>
  <phoneticPr fontId="24" type="noConversion"/>
  <conditionalFormatting sqref="C7">
    <cfRule type="cellIs" dxfId="8" priority="6" operator="lessThan">
      <formula>0.2</formula>
    </cfRule>
    <cfRule type="cellIs" dxfId="7" priority="7" operator="lessThan">
      <formula>0.3</formula>
    </cfRule>
    <cfRule type="containsText" dxfId="6" priority="8" operator="containsText" text="%">
      <formula>NOT(ISERROR(SEARCH("%",C7)))</formula>
    </cfRule>
    <cfRule type="containsText" dxfId="5" priority="9" operator="containsText" text="%">
      <formula>NOT(ISERROR(SEARCH("%",C7)))</formula>
    </cfRule>
  </conditionalFormatting>
  <conditionalFormatting sqref="G7">
    <cfRule type="cellIs" dxfId="4" priority="5" operator="lessThan">
      <formula>0.2</formula>
    </cfRule>
  </conditionalFormatting>
  <conditionalFormatting sqref="C10">
    <cfRule type="cellIs" dxfId="3" priority="1" operator="lessThan">
      <formula>0.2</formula>
    </cfRule>
    <cfRule type="cellIs" dxfId="2" priority="2" operator="lessThan">
      <formula>0.3</formula>
    </cfRule>
    <cfRule type="containsText" dxfId="1" priority="3" operator="containsText" text="%">
      <formula>NOT(ISERROR(SEARCH("%",C10)))</formula>
    </cfRule>
    <cfRule type="containsText" dxfId="0" priority="4" operator="containsText" text="%">
      <formula>NOT(ISERROR(SEARCH("%",C10)))</formula>
    </cfRule>
  </conditionalFormatting>
  <pageMargins left="0.74791666666666667" right="0.74791666666666667" top="0.98402777777777772" bottom="0.98402777777777772" header="0.51180555555555551" footer="0.51180555555555551"/>
  <pageSetup paperSize="9" scale="66" firstPageNumber="0" orientation="landscape" horizontalDpi="300" verticalDpi="300"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9"/>
  <dimension ref="A1:Q33"/>
  <sheetViews>
    <sheetView zoomScale="80" zoomScaleNormal="80" workbookViewId="0">
      <selection activeCell="H26" sqref="H26"/>
    </sheetView>
  </sheetViews>
  <sheetFormatPr defaultRowHeight="12.75"/>
  <cols>
    <col min="1" max="1" width="25.7109375" style="25" bestFit="1" customWidth="1"/>
    <col min="2" max="5" width="14.42578125" customWidth="1"/>
    <col min="6" max="6" width="12.5703125" bestFit="1" customWidth="1"/>
    <col min="7" max="7" width="16.28515625" bestFit="1" customWidth="1"/>
    <col min="8" max="8" width="16.28515625" customWidth="1"/>
    <col min="9" max="9" width="10" customWidth="1"/>
    <col min="10" max="10" width="12.28515625" bestFit="1" customWidth="1"/>
    <col min="12" max="12" width="12" bestFit="1" customWidth="1"/>
    <col min="13" max="13" width="12" customWidth="1"/>
    <col min="15" max="15" width="10" bestFit="1" customWidth="1"/>
    <col min="16" max="16" width="13.7109375" bestFit="1" customWidth="1"/>
    <col min="17" max="17" width="17.7109375" style="25" customWidth="1"/>
  </cols>
  <sheetData>
    <row r="1" spans="1:17" ht="18">
      <c r="A1" s="1224" t="s">
        <v>902</v>
      </c>
    </row>
    <row r="2" spans="1:17" ht="18">
      <c r="A2" s="1225" t="s">
        <v>892</v>
      </c>
      <c r="B2" s="804"/>
      <c r="C2" s="804"/>
      <c r="D2" s="804"/>
    </row>
    <row r="4" spans="1:17">
      <c r="A4" s="1141" t="s">
        <v>742</v>
      </c>
      <c r="B4" s="1139">
        <f>Gröddata!C8</f>
        <v>0</v>
      </c>
      <c r="C4" s="1139" t="s">
        <v>743</v>
      </c>
      <c r="D4" s="1139" t="str">
        <f>Gröddata!J8</f>
        <v>Sum kostn</v>
      </c>
      <c r="E4" s="1139" t="s">
        <v>748</v>
      </c>
      <c r="F4" s="1139" t="s">
        <v>749</v>
      </c>
      <c r="G4" s="1139" t="s">
        <v>750</v>
      </c>
      <c r="H4" s="1139" t="s">
        <v>886</v>
      </c>
      <c r="I4" s="1139" t="str">
        <f>Gröddata!E8</f>
        <v>Utsäde</v>
      </c>
      <c r="J4" s="1139" t="str">
        <f>Gröddata!F8&amp;" "&amp;Gröddata!F9</f>
        <v>Växtnäring kr/ha</v>
      </c>
      <c r="K4" s="1139" t="str">
        <f>Gröddata!G8&amp;" "&amp;Gröddata!G9</f>
        <v xml:space="preserve"> N-giva</v>
      </c>
      <c r="L4" s="1139" t="str">
        <f>Gröddata!H8</f>
        <v>Växtskydd</v>
      </c>
      <c r="M4" s="1139" t="str">
        <f>Gröddata!I8</f>
        <v>Övriga rörliga</v>
      </c>
      <c r="N4" s="1139" t="str">
        <f>Gröddata!J8</f>
        <v>Sum kostn</v>
      </c>
      <c r="O4" s="1139" t="str">
        <f>Gröddata!K8</f>
        <v>kostn.</v>
      </c>
      <c r="P4" s="1139" t="str">
        <f>Gröddata!L8</f>
        <v>Kostnad/ton</v>
      </c>
      <c r="Q4" s="1999" t="str">
        <f>Gröddata!M9</f>
        <v>Gröda</v>
      </c>
    </row>
    <row r="5" spans="1:17">
      <c r="A5" s="1141" t="str">
        <f>Gröddata!A10</f>
        <v>Höstvete bröd</v>
      </c>
      <c r="B5" s="471">
        <f>Gröddata!C10</f>
        <v>8000</v>
      </c>
      <c r="C5" s="1140">
        <f>Gröddata!D10</f>
        <v>1.47</v>
      </c>
      <c r="D5" s="471">
        <f>Gröddata!J10</f>
        <v>12000</v>
      </c>
      <c r="E5" s="901">
        <f>Gröddata!L10</f>
        <v>438.55250000000001</v>
      </c>
      <c r="F5" s="1108">
        <f>Mullberäkning!H69</f>
        <v>1.5</v>
      </c>
      <c r="G5" s="1108">
        <f>Mullberäkning!I69</f>
        <v>1</v>
      </c>
      <c r="H5" s="471">
        <f>F5-G5</f>
        <v>0.5</v>
      </c>
      <c r="I5" s="471">
        <f>Gröddata!E10</f>
        <v>840</v>
      </c>
      <c r="J5" s="471">
        <f>Gröddata!F10</f>
        <v>2154.42</v>
      </c>
      <c r="K5" s="901">
        <f>Gröddata!G10</f>
        <v>185</v>
      </c>
      <c r="L5" s="471">
        <f>Gröddata!H10</f>
        <v>766</v>
      </c>
      <c r="M5" s="471">
        <f>Gröddata!I10</f>
        <v>1807</v>
      </c>
      <c r="N5" s="471">
        <f>Gröddata!J10</f>
        <v>12000</v>
      </c>
      <c r="O5" s="471">
        <f>Gröddata!K10</f>
        <v>1.5</v>
      </c>
      <c r="P5" s="901">
        <f>Gröddata!L10</f>
        <v>438.55250000000001</v>
      </c>
      <c r="Q5" s="1999" t="str">
        <f>Gröddata!M10</f>
        <v>Höstvete bröd</v>
      </c>
    </row>
    <row r="6" spans="1:17">
      <c r="A6" s="1141" t="str">
        <f>Gröddata!A11</f>
        <v>Höstvete, foder</v>
      </c>
      <c r="B6" s="471">
        <f>Gröddata!C11</f>
        <v>8500</v>
      </c>
      <c r="C6" s="1140">
        <f>Gröddata!D11</f>
        <v>1.4</v>
      </c>
      <c r="D6" s="471">
        <f>Gröddata!J11</f>
        <v>5700</v>
      </c>
      <c r="E6" s="901">
        <f>Gröddata!L11</f>
        <v>424.44764705882346</v>
      </c>
      <c r="F6" s="1108">
        <f>Mullberäkning!H70</f>
        <v>1.5</v>
      </c>
      <c r="G6" s="1108">
        <f>Mullberäkning!I70</f>
        <v>1</v>
      </c>
      <c r="H6" s="471">
        <f t="shared" ref="H6:H19" si="0">F6-G6</f>
        <v>0.5</v>
      </c>
      <c r="I6" s="471">
        <f>Gröddata!E11</f>
        <v>630</v>
      </c>
      <c r="J6" s="471">
        <f>Gröddata!F11</f>
        <v>2201.8049999999998</v>
      </c>
      <c r="K6" s="901">
        <f>Gröddata!G11</f>
        <v>185</v>
      </c>
      <c r="L6" s="471">
        <f>Gröddata!H11</f>
        <v>766</v>
      </c>
      <c r="M6" s="471">
        <f>Gröddata!I11</f>
        <v>2144</v>
      </c>
      <c r="N6" s="471">
        <f>Gröddata!J11</f>
        <v>5700</v>
      </c>
      <c r="O6" s="471">
        <f>Gröddata!K11</f>
        <v>0.6705882352941176</v>
      </c>
      <c r="P6" s="901">
        <f>Gröddata!L11</f>
        <v>424.44764705882346</v>
      </c>
      <c r="Q6" s="1999" t="str">
        <f>Gröddata!M11</f>
        <v>Höstvete, foder</v>
      </c>
    </row>
    <row r="7" spans="1:17">
      <c r="A7" s="1141" t="str">
        <f>Gröddata!A12</f>
        <v>Råg, hybrid</v>
      </c>
      <c r="B7" s="471">
        <f>Gröddata!C12</f>
        <v>6000</v>
      </c>
      <c r="C7" s="1140">
        <f>Gröddata!D12</f>
        <v>1.1299999999999999</v>
      </c>
      <c r="D7" s="471">
        <f>Gröddata!J12</f>
        <v>5200</v>
      </c>
      <c r="E7" s="901">
        <f>Gröddata!L12</f>
        <v>394.23</v>
      </c>
      <c r="F7" s="1108">
        <f>Mullberäkning!H71</f>
        <v>1.5</v>
      </c>
      <c r="G7" s="1108">
        <f>Mullberäkning!I71</f>
        <v>1</v>
      </c>
      <c r="H7" s="471">
        <f t="shared" si="0"/>
        <v>0.5</v>
      </c>
      <c r="I7" s="471">
        <f>Gröddata!E12</f>
        <v>1512.5</v>
      </c>
      <c r="J7" s="471">
        <f>Gröddata!F12</f>
        <v>1219.3800000000001</v>
      </c>
      <c r="K7" s="901">
        <f>Gröddata!G12</f>
        <v>115</v>
      </c>
      <c r="L7" s="471">
        <f>Gröddata!H12</f>
        <v>576</v>
      </c>
      <c r="M7" s="471">
        <f>Gröddata!I12</f>
        <v>1893</v>
      </c>
      <c r="N7" s="471">
        <f>Gröddata!J12</f>
        <v>5200</v>
      </c>
      <c r="O7" s="471">
        <f>Gröddata!K12</f>
        <v>0.8666666666666667</v>
      </c>
      <c r="P7" s="901">
        <f>Gröddata!L12</f>
        <v>394.23</v>
      </c>
      <c r="Q7" s="1999" t="str">
        <f>Gröddata!M12</f>
        <v>Råg, hybrid</v>
      </c>
    </row>
    <row r="8" spans="1:17">
      <c r="A8" s="1141" t="str">
        <f>Gröddata!A13</f>
        <v>Rågvete</v>
      </c>
      <c r="B8" s="471">
        <f>Gröddata!C13</f>
        <v>6000</v>
      </c>
      <c r="C8" s="1140">
        <f>Gröddata!D13</f>
        <v>1.25</v>
      </c>
      <c r="D8" s="471">
        <f>Gröddata!J13</f>
        <v>4600</v>
      </c>
      <c r="E8" s="901">
        <f>Gröddata!L13</f>
        <v>399.95499999999998</v>
      </c>
      <c r="F8" s="1108">
        <f>Mullberäkning!H72</f>
        <v>1.5</v>
      </c>
      <c r="G8" s="1108">
        <f>Mullberäkning!I72</f>
        <v>1</v>
      </c>
      <c r="H8" s="471">
        <f t="shared" si="0"/>
        <v>0.5</v>
      </c>
      <c r="I8" s="471">
        <f>Gröddata!E13</f>
        <v>744</v>
      </c>
      <c r="J8" s="471">
        <f>Gröddata!F13</f>
        <v>1358.73</v>
      </c>
      <c r="K8" s="901">
        <f>Gröddata!G13</f>
        <v>130</v>
      </c>
      <c r="L8" s="471">
        <f>Gröddata!H13</f>
        <v>746</v>
      </c>
      <c r="M8" s="471">
        <f>Gröddata!I13</f>
        <v>1738</v>
      </c>
      <c r="N8" s="471">
        <f>Gröddata!J13</f>
        <v>4600</v>
      </c>
      <c r="O8" s="471">
        <f>Gröddata!K13</f>
        <v>0.76666666666666672</v>
      </c>
      <c r="P8" s="901">
        <f>Gröddata!L13</f>
        <v>399.95499999999998</v>
      </c>
      <c r="Q8" s="1999" t="str">
        <f>Gröddata!M13</f>
        <v>Rågvete</v>
      </c>
    </row>
    <row r="9" spans="1:17">
      <c r="A9" s="1141" t="str">
        <f>Gröddata!A14</f>
        <v>Höstkorn</v>
      </c>
      <c r="B9" s="471">
        <f>Gröddata!C14</f>
        <v>6000</v>
      </c>
      <c r="C9" s="1140">
        <f>Gröddata!D14</f>
        <v>1.1299999999999999</v>
      </c>
      <c r="D9" s="471">
        <f>Gröddata!J14</f>
        <v>4600</v>
      </c>
      <c r="E9" s="901">
        <f>Gröddata!L14</f>
        <v>417.45500000000004</v>
      </c>
      <c r="F9" s="1108">
        <f>Mullberäkning!H73</f>
        <v>1.5</v>
      </c>
      <c r="G9" s="1108">
        <f>Mullberäkning!I73</f>
        <v>1</v>
      </c>
      <c r="H9" s="471">
        <f t="shared" si="0"/>
        <v>0.5</v>
      </c>
      <c r="I9" s="471">
        <f>Gröddata!E14</f>
        <v>768</v>
      </c>
      <c r="J9" s="471">
        <f>Gröddata!F14</f>
        <v>1358.73</v>
      </c>
      <c r="K9" s="901">
        <f>Gröddata!G14</f>
        <v>130</v>
      </c>
      <c r="L9" s="471">
        <f>Gröddata!H14</f>
        <v>575</v>
      </c>
      <c r="M9" s="471">
        <f>Gröddata!I14</f>
        <v>1860</v>
      </c>
      <c r="N9" s="471">
        <f>Gröddata!J14</f>
        <v>4600</v>
      </c>
      <c r="O9" s="471">
        <f>Gröddata!K14</f>
        <v>0.76666666666666672</v>
      </c>
      <c r="P9" s="901">
        <f>Gröddata!L14</f>
        <v>417.45500000000004</v>
      </c>
      <c r="Q9" s="1999" t="str">
        <f>Gröddata!M14</f>
        <v>Höstkorn</v>
      </c>
    </row>
    <row r="10" spans="1:17">
      <c r="A10" s="1141" t="str">
        <f>Gröddata!A15</f>
        <v>Vårkorn, foder</v>
      </c>
      <c r="B10" s="471">
        <f>Gröddata!C15</f>
        <v>5500</v>
      </c>
      <c r="C10" s="1140">
        <f>Gröddata!D15</f>
        <v>1.31</v>
      </c>
      <c r="D10" s="471">
        <f>Gröddata!J15</f>
        <v>3900</v>
      </c>
      <c r="E10" s="901">
        <f>Gröddata!L15</f>
        <v>371.45181818181823</v>
      </c>
      <c r="F10" s="1108">
        <f>Mullberäkning!H74</f>
        <v>0.9</v>
      </c>
      <c r="G10" s="1108">
        <f>Mullberäkning!I74</f>
        <v>0.6</v>
      </c>
      <c r="H10" s="471">
        <f t="shared" si="0"/>
        <v>0.30000000000000004</v>
      </c>
      <c r="I10" s="471">
        <f>Gröddata!E15</f>
        <v>807.5</v>
      </c>
      <c r="J10" s="471">
        <f>Gröddata!F15</f>
        <v>1053.9850000000001</v>
      </c>
      <c r="K10" s="901">
        <f>Gröddata!G15</f>
        <v>90</v>
      </c>
      <c r="L10" s="471">
        <f>Gröddata!H15</f>
        <v>296</v>
      </c>
      <c r="M10" s="471">
        <f>Gröddata!I15</f>
        <v>1703</v>
      </c>
      <c r="N10" s="471">
        <f>Gröddata!J15</f>
        <v>3900</v>
      </c>
      <c r="O10" s="471">
        <f>Gröddata!K15</f>
        <v>0.70909090909090911</v>
      </c>
      <c r="P10" s="901">
        <f>Gröddata!L15</f>
        <v>371.45181818181823</v>
      </c>
      <c r="Q10" s="1999" t="str">
        <f>Gröddata!M15</f>
        <v>Vårkorn, foder</v>
      </c>
    </row>
    <row r="11" spans="1:17">
      <c r="A11" s="1141" t="str">
        <f>Gröddata!A16</f>
        <v>Maltkorn</v>
      </c>
      <c r="B11" s="471">
        <f>Gröddata!C16</f>
        <v>5500</v>
      </c>
      <c r="C11" s="1140">
        <f>Gröddata!D16</f>
        <v>1.62</v>
      </c>
      <c r="D11" s="471">
        <f>Gröddata!J16</f>
        <v>9500</v>
      </c>
      <c r="E11" s="901">
        <f>Gröddata!L16</f>
        <v>379.89727272727271</v>
      </c>
      <c r="F11" s="1108">
        <f>Mullberäkning!H75</f>
        <v>0.9</v>
      </c>
      <c r="G11" s="1108">
        <f>Mullberäkning!I75</f>
        <v>0.6</v>
      </c>
      <c r="H11" s="471">
        <f t="shared" si="0"/>
        <v>0.30000000000000004</v>
      </c>
      <c r="I11" s="471">
        <f>Gröddata!E16</f>
        <v>802.4</v>
      </c>
      <c r="J11" s="471">
        <f>Gröddata!F16</f>
        <v>1100.4349999999999</v>
      </c>
      <c r="K11" s="901">
        <f>Gröddata!G16</f>
        <v>95</v>
      </c>
      <c r="L11" s="471">
        <f>Gröddata!H16</f>
        <v>296</v>
      </c>
      <c r="M11" s="471">
        <f>Gröddata!I16</f>
        <v>1745</v>
      </c>
      <c r="N11" s="471">
        <f>Gröddata!J16</f>
        <v>9500</v>
      </c>
      <c r="O11" s="471">
        <f>Gröddata!K16</f>
        <v>1.7272727272727273</v>
      </c>
      <c r="P11" s="901">
        <f>Gröddata!L16</f>
        <v>379.89727272727271</v>
      </c>
      <c r="Q11" s="1999" t="str">
        <f>Gröddata!M16</f>
        <v>Maltkorn</v>
      </c>
    </row>
    <row r="12" spans="1:17">
      <c r="A12" s="1141" t="str">
        <f>Gröddata!A17</f>
        <v>Vårvete</v>
      </c>
      <c r="B12" s="471">
        <f>Gröddata!C17</f>
        <v>5000</v>
      </c>
      <c r="C12" s="1140">
        <f>Gröddata!D17</f>
        <v>1.56</v>
      </c>
      <c r="D12" s="471">
        <f>Gröddata!J17</f>
        <v>4800</v>
      </c>
      <c r="E12" s="901">
        <f>Gröddata!L17</f>
        <v>490.91</v>
      </c>
      <c r="F12" s="1108">
        <f>Mullberäkning!H76</f>
        <v>0.9</v>
      </c>
      <c r="G12" s="1108">
        <f>Mullberäkning!I76</f>
        <v>0.6</v>
      </c>
      <c r="H12" s="471">
        <f t="shared" si="0"/>
        <v>0.30000000000000004</v>
      </c>
      <c r="I12" s="471">
        <f>Gröddata!E17</f>
        <v>1047.9000000000001</v>
      </c>
      <c r="J12" s="471">
        <f>Gröddata!F17</f>
        <v>1517.5500000000002</v>
      </c>
      <c r="K12" s="901">
        <f>Gröddata!G17</f>
        <v>145</v>
      </c>
      <c r="L12" s="471">
        <f>Gröddata!H17</f>
        <v>550</v>
      </c>
      <c r="M12" s="471">
        <f>Gröddata!I17</f>
        <v>1662</v>
      </c>
      <c r="N12" s="471">
        <f>Gröddata!J17</f>
        <v>4800</v>
      </c>
      <c r="O12" s="471">
        <f>Gröddata!K17</f>
        <v>0.96</v>
      </c>
      <c r="P12" s="901">
        <f>Gröddata!L17</f>
        <v>490.91</v>
      </c>
      <c r="Q12" s="1999" t="str">
        <f>Gröddata!M17</f>
        <v>Vårvete</v>
      </c>
    </row>
    <row r="13" spans="1:17">
      <c r="A13" s="1141" t="str">
        <f>Gröddata!A18</f>
        <v>Havre</v>
      </c>
      <c r="B13" s="471">
        <f>Gröddata!C18</f>
        <v>5500</v>
      </c>
      <c r="C13" s="1140">
        <f>Gröddata!D18</f>
        <v>1.6</v>
      </c>
      <c r="D13" s="471">
        <f>Gröddata!J18</f>
        <v>9500</v>
      </c>
      <c r="E13" s="901">
        <f>Gröddata!L18</f>
        <v>363.00636363636363</v>
      </c>
      <c r="F13" s="1108">
        <f>Mullberäkning!H77</f>
        <v>0.9</v>
      </c>
      <c r="G13" s="1108">
        <f>Mullberäkning!I77</f>
        <v>0.6</v>
      </c>
      <c r="H13" s="471">
        <f t="shared" si="0"/>
        <v>0.30000000000000004</v>
      </c>
      <c r="I13" s="471">
        <f>Gröddata!E18</f>
        <v>909.49999999999989</v>
      </c>
      <c r="J13" s="471">
        <f>Gröddata!F18</f>
        <v>1007.5350000000001</v>
      </c>
      <c r="K13" s="901">
        <f>Gröddata!G18</f>
        <v>85</v>
      </c>
      <c r="L13" s="471">
        <f>Gröddata!H18</f>
        <v>200</v>
      </c>
      <c r="M13" s="471">
        <f>Gröddata!I18</f>
        <v>1714</v>
      </c>
      <c r="N13" s="471">
        <f>Gröddata!J18</f>
        <v>9500</v>
      </c>
      <c r="O13" s="471">
        <f>Gröddata!K18</f>
        <v>1.7272727272727273</v>
      </c>
      <c r="P13" s="901">
        <f>Gröddata!L18</f>
        <v>363.00636363636363</v>
      </c>
      <c r="Q13" s="1999" t="str">
        <f>Gröddata!M18</f>
        <v>Havre</v>
      </c>
    </row>
    <row r="14" spans="1:17">
      <c r="A14" s="1141" t="str">
        <f>Gröddata!A20</f>
        <v xml:space="preserve">Höstraps </v>
      </c>
      <c r="B14" s="471">
        <f>Gröddata!B20</f>
        <v>3500</v>
      </c>
      <c r="C14" s="1140">
        <f>Gröddata!D20</f>
        <v>4.0999999999999996</v>
      </c>
      <c r="D14" s="901">
        <f>Gröddata!J20</f>
        <v>11000</v>
      </c>
      <c r="E14" s="901">
        <f>Gröddata!L20</f>
        <v>1062.0714285714284</v>
      </c>
      <c r="F14" s="1108">
        <f>Mullberäkning!H78</f>
        <v>3</v>
      </c>
      <c r="G14" s="1108">
        <f>Mullberäkning!I78</f>
        <v>1.5</v>
      </c>
      <c r="H14" s="471">
        <f t="shared" si="0"/>
        <v>1.5</v>
      </c>
      <c r="I14" s="471">
        <f>Gröddata!E20</f>
        <v>408</v>
      </c>
      <c r="J14" s="471">
        <f>Gröddata!F20</f>
        <v>2438.25</v>
      </c>
      <c r="K14" s="901">
        <f>Gröddata!G20</f>
        <v>218.47502399999996</v>
      </c>
      <c r="L14" s="901">
        <f>Gröddata!H20</f>
        <v>1546</v>
      </c>
      <c r="M14" s="901">
        <f>Gröddata!I20</f>
        <v>1846</v>
      </c>
      <c r="N14" s="901">
        <f>Gröddata!J20</f>
        <v>11000</v>
      </c>
      <c r="O14" s="1140">
        <f>Gröddata!K20</f>
        <v>3.1428571428571428</v>
      </c>
      <c r="P14" s="901">
        <f>Gröddata!L20</f>
        <v>1062.0714285714284</v>
      </c>
      <c r="Q14" s="1999" t="str">
        <f>Gröddata!M20</f>
        <v xml:space="preserve">Höstraps </v>
      </c>
    </row>
    <row r="15" spans="1:17">
      <c r="A15" s="1141" t="str">
        <f>Gröddata!A21</f>
        <v>Vårraps</v>
      </c>
      <c r="B15" s="471">
        <f>Gröddata!B21</f>
        <v>2000</v>
      </c>
      <c r="C15" s="1140">
        <f>Gröddata!D21</f>
        <v>2.81</v>
      </c>
      <c r="D15" s="901">
        <f>Gröddata!J21</f>
        <v>3800</v>
      </c>
      <c r="E15" s="901">
        <f>Gröddata!L21</f>
        <v>858.55000000000007</v>
      </c>
      <c r="F15" s="1108">
        <f>Mullberäkning!H79</f>
        <v>3</v>
      </c>
      <c r="G15" s="1108">
        <f>Mullberäkning!I79</f>
        <v>1.5</v>
      </c>
      <c r="H15" s="471">
        <f t="shared" si="0"/>
        <v>1.5</v>
      </c>
      <c r="I15" s="471">
        <f>Gröddata!E21</f>
        <v>768</v>
      </c>
      <c r="J15" s="471">
        <f>Gröddata!F21</f>
        <v>1301.1000000000001</v>
      </c>
      <c r="K15" s="901">
        <f>Gröddata!G21</f>
        <v>111.09874600000001</v>
      </c>
      <c r="L15" s="901">
        <f>Gröddata!H21</f>
        <v>708</v>
      </c>
      <c r="M15" s="901">
        <f>Gröddata!I21</f>
        <v>1041</v>
      </c>
      <c r="N15" s="901">
        <f>Gröddata!J21</f>
        <v>3800</v>
      </c>
      <c r="O15" s="1140">
        <f>Gröddata!K21</f>
        <v>1.9</v>
      </c>
      <c r="P15" s="901">
        <f>Gröddata!L21</f>
        <v>858.55000000000007</v>
      </c>
      <c r="Q15" s="1999" t="str">
        <f>Gröddata!M21</f>
        <v>Vårraps</v>
      </c>
    </row>
    <row r="16" spans="1:17">
      <c r="A16" s="1141" t="str">
        <f>Gröddata!A22</f>
        <v>Oljelin</v>
      </c>
      <c r="B16" s="471">
        <f>Gröddata!B22</f>
        <v>1500</v>
      </c>
      <c r="C16" s="1140">
        <f>Gröddata!D22</f>
        <v>3.98</v>
      </c>
      <c r="D16" s="901">
        <f>Gröddata!J22</f>
        <v>3100</v>
      </c>
      <c r="E16" s="901">
        <f>Gröddata!L22</f>
        <v>788.76666666666677</v>
      </c>
      <c r="F16" s="1108">
        <f>Mullberäkning!H80</f>
        <v>3</v>
      </c>
      <c r="G16" s="1108">
        <f>Mullberäkning!I80</f>
        <v>1.5</v>
      </c>
      <c r="H16" s="471">
        <f t="shared" si="0"/>
        <v>1.5</v>
      </c>
      <c r="I16" s="471">
        <f>Gröddata!E22</f>
        <v>838.75</v>
      </c>
      <c r="J16" s="471">
        <f>Gröddata!F22</f>
        <v>505.15</v>
      </c>
      <c r="K16" s="901">
        <f>Gröddata!G22</f>
        <v>50</v>
      </c>
      <c r="L16" s="901">
        <f>Gröddata!H22</f>
        <v>380</v>
      </c>
      <c r="M16" s="901">
        <f>Gröddata!I22</f>
        <v>1362</v>
      </c>
      <c r="N16" s="901">
        <f>Gröddata!J22</f>
        <v>3100</v>
      </c>
      <c r="O16" s="1140">
        <f>Gröddata!K22</f>
        <v>2.0666666666666669</v>
      </c>
      <c r="P16" s="901">
        <f>Gröddata!L22</f>
        <v>788.76666666666677</v>
      </c>
      <c r="Q16" s="1999" t="str">
        <f>Gröddata!M22</f>
        <v>Oljelin</v>
      </c>
    </row>
    <row r="17" spans="1:17">
      <c r="A17" s="1141" t="str">
        <f>Gröddata!A24</f>
        <v>Foderärt</v>
      </c>
      <c r="B17" s="471">
        <f>Gröddata!B24</f>
        <v>4000</v>
      </c>
      <c r="C17" s="1140">
        <f>Gröddata!D24</f>
        <v>1.83</v>
      </c>
      <c r="D17" s="901">
        <f>Gröddata!J24</f>
        <v>4100</v>
      </c>
      <c r="E17" s="901">
        <f>Gröddata!L24</f>
        <v>347.07749999999999</v>
      </c>
      <c r="F17" s="1108">
        <f>Mullberäkning!H81</f>
        <v>1.5</v>
      </c>
      <c r="G17" s="1108">
        <f>Mullberäkning!I81</f>
        <v>1</v>
      </c>
      <c r="H17" s="471">
        <f t="shared" si="0"/>
        <v>0.5</v>
      </c>
      <c r="I17" s="471">
        <f>Gröddata!E24</f>
        <v>1233</v>
      </c>
      <c r="J17" s="471">
        <f>Gröddata!F24</f>
        <v>239.31</v>
      </c>
      <c r="K17" s="901">
        <f>Gröddata!G24</f>
        <v>0</v>
      </c>
      <c r="L17" s="901">
        <f>Gröddata!H24</f>
        <v>911</v>
      </c>
      <c r="M17" s="901">
        <f>Gröddata!I24</f>
        <v>1678</v>
      </c>
      <c r="N17" s="901">
        <f>Gröddata!J24</f>
        <v>4100</v>
      </c>
      <c r="O17" s="901">
        <f>Gröddata!K24</f>
        <v>1.0249999999999999</v>
      </c>
      <c r="P17" s="901">
        <f>Gröddata!L24</f>
        <v>347.07749999999999</v>
      </c>
      <c r="Q17" s="2005" t="str">
        <f>Gröddata!M24</f>
        <v>Foderärt</v>
      </c>
    </row>
    <row r="18" spans="1:17">
      <c r="A18" s="1141" t="str">
        <f>Gröddata!A25</f>
        <v>Konservärter</v>
      </c>
      <c r="B18" s="471">
        <f>Gröddata!B25</f>
        <v>3600</v>
      </c>
      <c r="C18" s="1140">
        <f>Gröddata!D25</f>
        <v>2.31</v>
      </c>
      <c r="D18" s="901">
        <f>Gröddata!J25</f>
        <v>1600</v>
      </c>
      <c r="E18" s="901">
        <f>Gröddata!L25</f>
        <v>51.761666666666663</v>
      </c>
      <c r="F18" s="1437">
        <f>Mullberäkning!H82</f>
        <v>1.6666666666666667</v>
      </c>
      <c r="G18" s="1437">
        <f>Mullberäkning!I82</f>
        <v>1.6666666666666667</v>
      </c>
      <c r="H18" s="471">
        <f t="shared" si="0"/>
        <v>0</v>
      </c>
      <c r="I18" s="471">
        <f>Gröddata!E25</f>
        <v>0</v>
      </c>
      <c r="J18" s="471">
        <f>Gröddata!F25</f>
        <v>186.34199999999998</v>
      </c>
      <c r="K18" s="901">
        <f>Gröddata!G25</f>
        <v>0</v>
      </c>
      <c r="L18" s="901">
        <f>Gröddata!H25</f>
        <v>755</v>
      </c>
      <c r="M18" s="901">
        <f>Gröddata!I25</f>
        <v>678</v>
      </c>
      <c r="N18" s="901">
        <f>Gröddata!J25</f>
        <v>1600</v>
      </c>
      <c r="O18" s="901">
        <f>Gröddata!K25</f>
        <v>0.44444444444444442</v>
      </c>
      <c r="P18" s="901">
        <f>Gröddata!L25</f>
        <v>51.761666666666663</v>
      </c>
      <c r="Q18" s="2005" t="str">
        <f>Gröddata!M25</f>
        <v>Konservärter</v>
      </c>
    </row>
    <row r="19" spans="1:17">
      <c r="A19" s="1141" t="str">
        <f>Gröddata!A26</f>
        <v>Åkerbönor</v>
      </c>
      <c r="B19" s="471">
        <f>Gröddata!B26</f>
        <v>4000</v>
      </c>
      <c r="C19" s="1140">
        <f>Gröddata!D26</f>
        <v>1.88</v>
      </c>
      <c r="D19" s="901">
        <f>Gröddata!J26</f>
        <v>4000</v>
      </c>
      <c r="E19" s="901">
        <f>Gröddata!L26</f>
        <v>425.82749999999999</v>
      </c>
      <c r="F19" s="1348">
        <f>Mullberäkning!H83</f>
        <v>2</v>
      </c>
      <c r="G19" s="1348">
        <f>Mullberäkning!I83</f>
        <v>1</v>
      </c>
      <c r="H19" s="471">
        <f t="shared" si="0"/>
        <v>1</v>
      </c>
      <c r="I19" s="471">
        <f>Gröddata!E26</f>
        <v>1480</v>
      </c>
      <c r="J19" s="471">
        <f>Gröddata!F26</f>
        <v>239.31</v>
      </c>
      <c r="K19" s="901">
        <f>Gröddata!G26</f>
        <v>0</v>
      </c>
      <c r="L19" s="901">
        <f>Gröddata!H26</f>
        <v>330</v>
      </c>
      <c r="M19" s="901">
        <f>Gröddata!I26</f>
        <v>1996</v>
      </c>
      <c r="N19" s="901">
        <f>Gröddata!J26</f>
        <v>4000</v>
      </c>
      <c r="O19" s="901">
        <f>Gröddata!K26</f>
        <v>1</v>
      </c>
      <c r="P19" s="901">
        <f>Gröddata!L26</f>
        <v>425.82749999999999</v>
      </c>
      <c r="Q19" s="2005" t="str">
        <f>Gröddata!M26</f>
        <v>Åkerbönor</v>
      </c>
    </row>
    <row r="20" spans="1:17">
      <c r="A20" s="1141" t="str">
        <f>Gröddata!A28</f>
        <v>Sockerbetor</v>
      </c>
      <c r="B20" s="471">
        <f>Gröddata!B28</f>
        <v>50000</v>
      </c>
      <c r="C20" s="1140">
        <f>Gröddata!D28</f>
        <v>0.29799999999999999</v>
      </c>
      <c r="D20" s="901">
        <f>Gröddata!J28</f>
        <v>12700</v>
      </c>
      <c r="E20" s="901">
        <f>Gröddata!L28</f>
        <v>171.32799999999997</v>
      </c>
      <c r="F20" s="1348">
        <f>Mullberäkning!H84</f>
        <v>0.1</v>
      </c>
      <c r="G20" s="1348">
        <f>Mullberäkning!I84</f>
        <v>0.05</v>
      </c>
      <c r="H20" s="471">
        <f t="shared" ref="H20:H29" si="1">F20-G20</f>
        <v>0.05</v>
      </c>
      <c r="I20" s="471">
        <f>Gröddata!E28</f>
        <v>2520</v>
      </c>
      <c r="J20" s="471">
        <f>Gröddata!F28</f>
        <v>1230.4000000000001</v>
      </c>
      <c r="K20" s="471">
        <f>Gröddata!G28</f>
        <v>85</v>
      </c>
      <c r="L20" s="901">
        <f>Gröddata!H28</f>
        <v>1658</v>
      </c>
      <c r="M20" s="901">
        <f>Gröddata!I28</f>
        <v>7336</v>
      </c>
      <c r="N20" s="901">
        <f>Gröddata!J28</f>
        <v>12700</v>
      </c>
      <c r="O20" s="901">
        <f>Gröddata!K28</f>
        <v>0.254</v>
      </c>
      <c r="P20" s="901">
        <f>Gröddata!L28</f>
        <v>171.32799999999997</v>
      </c>
      <c r="Q20" s="2005" t="str">
        <f>Gröddata!M28</f>
        <v>Sockerbetor</v>
      </c>
    </row>
    <row r="21" spans="1:17">
      <c r="A21" s="1141" t="str">
        <f>Gröddata!A29</f>
        <v>Matpotatis (parti)*</v>
      </c>
      <c r="B21" s="471">
        <f>Gröddata!B29</f>
        <v>50000</v>
      </c>
      <c r="C21" s="1140">
        <f>Gröddata!D29</f>
        <v>1.68</v>
      </c>
      <c r="D21" s="901">
        <f>Gröddata!J29</f>
        <v>61300</v>
      </c>
      <c r="E21" s="901">
        <f>Gröddata!L29</f>
        <v>885.60800000000006</v>
      </c>
      <c r="F21" s="1348">
        <f>Mullberäkning!H85</f>
        <v>0</v>
      </c>
      <c r="G21" s="1348">
        <f>Mullberäkning!I85</f>
        <v>0</v>
      </c>
      <c r="H21" s="471">
        <f t="shared" si="1"/>
        <v>0</v>
      </c>
      <c r="I21" s="471">
        <f>Gröddata!E29</f>
        <v>12628</v>
      </c>
      <c r="J21" s="471">
        <f>Gröddata!F29</f>
        <v>3573.4</v>
      </c>
      <c r="K21" s="471">
        <f>Gröddata!G29</f>
        <v>150</v>
      </c>
      <c r="L21" s="901">
        <f>Gröddata!H29</f>
        <v>4350</v>
      </c>
      <c r="M21" s="901">
        <f>Gröddata!I29</f>
        <v>40707</v>
      </c>
      <c r="N21" s="901">
        <f>Gröddata!J29</f>
        <v>61300</v>
      </c>
      <c r="O21" s="901">
        <f>Gröddata!K29</f>
        <v>1.226</v>
      </c>
      <c r="P21" s="901">
        <f>Gröddata!L29</f>
        <v>885.60800000000006</v>
      </c>
      <c r="Q21" s="2005" t="str">
        <f>Gröddata!M29</f>
        <v>Matpotatis (parti)*</v>
      </c>
    </row>
    <row r="22" spans="1:17">
      <c r="A22" s="1141" t="str">
        <f>Gröddata!A31</f>
        <v>Slåttervall, ensilage</v>
      </c>
      <c r="B22" s="471">
        <f>Gröddata!B31</f>
        <v>9000</v>
      </c>
      <c r="C22" s="1140">
        <f>Gröddata!D31</f>
        <v>1.25</v>
      </c>
      <c r="D22" s="901">
        <f>Gröddata!J31</f>
        <v>7000</v>
      </c>
      <c r="E22" s="901">
        <f>Gröddata!L31</f>
        <v>741.37777777777774</v>
      </c>
      <c r="F22" s="1348">
        <f>Mullberäkning!H86</f>
        <v>0.66666666666666663</v>
      </c>
      <c r="G22" s="1348">
        <f>Mullberäkning!I86</f>
        <v>0.66666666666666663</v>
      </c>
      <c r="H22" s="471">
        <f t="shared" si="1"/>
        <v>0</v>
      </c>
      <c r="I22" s="471">
        <f>Gröddata!E31</f>
        <v>322</v>
      </c>
      <c r="J22" s="471">
        <f>Gröddata!F31</f>
        <v>2902.4</v>
      </c>
      <c r="K22" s="471">
        <f>Gröddata!G31</f>
        <v>181</v>
      </c>
      <c r="L22" s="901">
        <f>Gröddata!H31</f>
        <v>0</v>
      </c>
      <c r="M22" s="901">
        <f>Gröddata!I31</f>
        <v>3770</v>
      </c>
      <c r="N22" s="901">
        <f>Gröddata!J31</f>
        <v>7000</v>
      </c>
      <c r="O22" s="901">
        <f>Gröddata!K31</f>
        <v>0.77777777777777779</v>
      </c>
      <c r="P22" s="901">
        <f>Gröddata!L31</f>
        <v>741.37777777777774</v>
      </c>
      <c r="Q22" s="2005" t="str">
        <f>Gröddata!M31</f>
        <v>Slåttervall, ensilage</v>
      </c>
    </row>
    <row r="23" spans="1:17">
      <c r="A23" s="1141" t="str">
        <f>Gröddata!A32</f>
        <v>Helsädesensilage</v>
      </c>
      <c r="B23" s="471">
        <f>Gröddata!B32</f>
        <v>5000</v>
      </c>
      <c r="C23" s="1140">
        <f>Gröddata!D32</f>
        <v>1.2</v>
      </c>
      <c r="D23" s="901">
        <f>Gröddata!J32</f>
        <v>4300</v>
      </c>
      <c r="E23" s="901">
        <f>Gröddata!L32</f>
        <v>674.38</v>
      </c>
      <c r="F23" s="1348">
        <f>Mullberäkning!H87</f>
        <v>1.2</v>
      </c>
      <c r="G23" s="1348">
        <f>Mullberäkning!I87</f>
        <v>1.2</v>
      </c>
      <c r="H23" s="471">
        <f t="shared" si="1"/>
        <v>0</v>
      </c>
      <c r="I23" s="471">
        <f>Gröddata!E32</f>
        <v>936</v>
      </c>
      <c r="J23" s="471">
        <f>Gröddata!F32</f>
        <v>839.90000000000009</v>
      </c>
      <c r="K23" s="471">
        <f>Gröddata!G32</f>
        <v>40</v>
      </c>
      <c r="L23" s="901">
        <f>Gröddata!H32</f>
        <v>0</v>
      </c>
      <c r="M23" s="901">
        <f>Gröddata!I32</f>
        <v>2532</v>
      </c>
      <c r="N23" s="901">
        <f>Gröddata!J32</f>
        <v>4300</v>
      </c>
      <c r="O23" s="901">
        <f>Gröddata!K32</f>
        <v>0.86</v>
      </c>
      <c r="P23" s="901">
        <f>Gröddata!L32</f>
        <v>674.38</v>
      </c>
      <c r="Q23" s="2005" t="str">
        <f>Gröddata!M32</f>
        <v>Helsädesensilage</v>
      </c>
    </row>
    <row r="24" spans="1:17">
      <c r="A24" s="1141" t="str">
        <f>Gröddata!A33</f>
        <v>Fodermajs</v>
      </c>
      <c r="B24" s="471">
        <f>Gröddata!B33</f>
        <v>10000</v>
      </c>
      <c r="C24" s="1140">
        <f>Gröddata!D33</f>
        <v>0.95</v>
      </c>
      <c r="D24" s="901">
        <f>Gröddata!J33</f>
        <v>12100</v>
      </c>
      <c r="E24" s="901">
        <f>Gröddata!L33</f>
        <v>966.52999999999986</v>
      </c>
      <c r="F24" s="1348">
        <f>Mullberäkning!H88</f>
        <v>0.4</v>
      </c>
      <c r="G24" s="1348">
        <f>Mullberäkning!I88</f>
        <v>0.4</v>
      </c>
      <c r="H24" s="471">
        <f t="shared" si="1"/>
        <v>0</v>
      </c>
      <c r="I24" s="471">
        <f>Gröddata!E33</f>
        <v>1695</v>
      </c>
      <c r="J24" s="471">
        <f>Gröddata!F33</f>
        <v>2769.3</v>
      </c>
      <c r="K24" s="471">
        <f>Gröddata!G33</f>
        <v>160</v>
      </c>
      <c r="L24" s="901">
        <f>Gröddata!H33</f>
        <v>760</v>
      </c>
      <c r="M24" s="901">
        <f>Gröddata!I33</f>
        <v>6896</v>
      </c>
      <c r="N24" s="901">
        <f>Gröddata!J33</f>
        <v>12100</v>
      </c>
      <c r="O24" s="901">
        <f>Gröddata!K33</f>
        <v>1.21</v>
      </c>
      <c r="P24" s="901">
        <f>Gröddata!L33</f>
        <v>966.52999999999986</v>
      </c>
      <c r="Q24" s="2005" t="str">
        <f>Gröddata!M33</f>
        <v>Fodermajs</v>
      </c>
    </row>
    <row r="25" spans="1:17">
      <c r="A25" s="1141">
        <f>Gröddata!A34</f>
        <v>0</v>
      </c>
      <c r="B25" s="471">
        <f>Gröddata!B34</f>
        <v>0</v>
      </c>
      <c r="C25" s="1140">
        <f>Gröddata!D34</f>
        <v>0</v>
      </c>
      <c r="D25" s="901">
        <f>Gröddata!J34</f>
        <v>0</v>
      </c>
      <c r="E25" s="901" t="e">
        <f>Gröddata!L34</f>
        <v>#DIV/0!</v>
      </c>
      <c r="F25" s="1348" t="e">
        <f>Mullberäkning!H89</f>
        <v>#DIV/0!</v>
      </c>
      <c r="G25" s="1348" t="e">
        <f>Mullberäkning!I89</f>
        <v>#DIV/0!</v>
      </c>
      <c r="H25" s="471" t="e">
        <f t="shared" ref="H25" si="2">F25-G25</f>
        <v>#DIV/0!</v>
      </c>
      <c r="I25" s="471">
        <f>Gröddata!E34</f>
        <v>0</v>
      </c>
      <c r="J25" s="471">
        <f>Gröddata!F34</f>
        <v>0</v>
      </c>
      <c r="K25" s="471">
        <f>Gröddata!G34</f>
        <v>0</v>
      </c>
      <c r="L25" s="901">
        <f>Gröddata!H34</f>
        <v>0</v>
      </c>
      <c r="M25" s="901">
        <f>Gröddata!I34</f>
        <v>0</v>
      </c>
      <c r="N25" s="901">
        <f>Gröddata!J34</f>
        <v>0</v>
      </c>
      <c r="O25" s="901" t="e">
        <f>Gröddata!K34</f>
        <v>#DIV/0!</v>
      </c>
      <c r="P25" s="901" t="e">
        <f>Gröddata!L34</f>
        <v>#DIV/0!</v>
      </c>
      <c r="Q25" s="2005">
        <f>Gröddata!M34</f>
        <v>0</v>
      </c>
    </row>
    <row r="26" spans="1:17">
      <c r="A26" s="1141" t="str">
        <f>Gröddata!A38</f>
        <v>Gröngödsling</v>
      </c>
      <c r="B26" s="471">
        <f>Gröddata!B38</f>
        <v>3000</v>
      </c>
      <c r="C26" s="1140">
        <f>Gröddata!D38</f>
        <v>1E-3</v>
      </c>
      <c r="D26" s="901">
        <f>Gröddata!J38</f>
        <v>2200</v>
      </c>
      <c r="E26" s="901">
        <f>Gröddata!L38</f>
        <v>666.66666666666663</v>
      </c>
      <c r="F26" s="1348">
        <f>Mullberäkning!H90</f>
        <v>2</v>
      </c>
      <c r="G26" s="1348">
        <f>Mullberäkning!I90</f>
        <v>2</v>
      </c>
      <c r="H26" s="471">
        <f t="shared" si="1"/>
        <v>0</v>
      </c>
      <c r="I26" s="471">
        <f>Gröddata!E38</f>
        <v>200</v>
      </c>
      <c r="J26" s="471">
        <f>Gröddata!F38</f>
        <v>0</v>
      </c>
      <c r="K26" s="471">
        <f>Gröddata!G38</f>
        <v>0</v>
      </c>
      <c r="L26" s="901">
        <f>Gröddata!H38</f>
        <v>0</v>
      </c>
      <c r="M26" s="901">
        <f>Gröddata!I38</f>
        <v>2000</v>
      </c>
      <c r="N26" s="901">
        <f>Gröddata!J38</f>
        <v>2200</v>
      </c>
      <c r="O26" s="901">
        <f>Gröddata!K38</f>
        <v>0.73333333333333328</v>
      </c>
      <c r="P26" s="901">
        <f>Gröddata!L38</f>
        <v>666.66666666666663</v>
      </c>
      <c r="Q26" s="2005" t="str">
        <f>Gröddata!M38</f>
        <v>Gröngödsling</v>
      </c>
    </row>
    <row r="27" spans="1:17">
      <c r="A27" s="1141" t="str">
        <f>Gröddata!A39</f>
        <v>Fröodling</v>
      </c>
      <c r="B27" s="471">
        <f>Gröddata!B39</f>
        <v>600</v>
      </c>
      <c r="C27" s="1140">
        <f>Gröddata!D39</f>
        <v>15.8</v>
      </c>
      <c r="D27" s="901">
        <f>Gröddata!J39</f>
        <v>5500</v>
      </c>
      <c r="E27" s="901">
        <f>Gröddata!L39</f>
        <v>8318.3333333333339</v>
      </c>
      <c r="F27" s="1108">
        <f>Mullberäkning!H91</f>
        <v>20</v>
      </c>
      <c r="G27" s="1108">
        <f>Mullberäkning!I91</f>
        <v>10</v>
      </c>
      <c r="H27" s="471">
        <f t="shared" si="1"/>
        <v>10</v>
      </c>
      <c r="I27" s="471">
        <f>Gröddata!E39</f>
        <v>117</v>
      </c>
      <c r="J27" s="471">
        <f>Gröddata!F39</f>
        <v>1838</v>
      </c>
      <c r="K27" s="471">
        <f>Gröddata!G39</f>
        <v>100</v>
      </c>
      <c r="L27" s="901">
        <f>Gröddata!H39</f>
        <v>390</v>
      </c>
      <c r="M27" s="901">
        <f>Gröddata!I39</f>
        <v>3153</v>
      </c>
      <c r="N27" s="901">
        <f>Gröddata!J39</f>
        <v>5500</v>
      </c>
      <c r="O27" s="901">
        <f>Gröddata!K39</f>
        <v>9.1666666666666661</v>
      </c>
      <c r="P27" s="901">
        <f>Gröddata!L39</f>
        <v>8318.3333333333339</v>
      </c>
      <c r="Q27" s="2005" t="str">
        <f>Gröddata!M39</f>
        <v>Fröodling</v>
      </c>
    </row>
    <row r="28" spans="1:17">
      <c r="A28" s="1141">
        <f>Gröddata!A40</f>
        <v>0</v>
      </c>
      <c r="B28" s="471">
        <f>Gröddata!B40</f>
        <v>0</v>
      </c>
      <c r="C28" s="1140">
        <f>Gröddata!D40</f>
        <v>0</v>
      </c>
      <c r="D28" s="901">
        <f>Gröddata!J40</f>
        <v>0</v>
      </c>
      <c r="E28" s="901" t="e">
        <f>Gröddata!L40</f>
        <v>#DIV/0!</v>
      </c>
      <c r="F28" s="1108">
        <f>Mullberäkning!H92</f>
        <v>0</v>
      </c>
      <c r="G28" s="1108">
        <f>Mullberäkning!I92</f>
        <v>0</v>
      </c>
      <c r="H28" s="471">
        <f t="shared" si="1"/>
        <v>0</v>
      </c>
      <c r="I28" s="471">
        <f>Gröddata!E40</f>
        <v>0</v>
      </c>
      <c r="J28" s="471">
        <f>Gröddata!F40</f>
        <v>0</v>
      </c>
      <c r="K28" s="471">
        <f>Gröddata!G40</f>
        <v>0</v>
      </c>
      <c r="L28" s="901">
        <f>Gröddata!H40</f>
        <v>0</v>
      </c>
      <c r="M28" s="901">
        <f>Gröddata!I40</f>
        <v>0</v>
      </c>
      <c r="N28" s="901">
        <f>Gröddata!J40</f>
        <v>0</v>
      </c>
      <c r="O28" s="901" t="e">
        <f>Gröddata!K40</f>
        <v>#DIV/0!</v>
      </c>
      <c r="P28" s="901" t="e">
        <f>Gröddata!L40</f>
        <v>#DIV/0!</v>
      </c>
      <c r="Q28" s="2005">
        <f>Gröddata!M40</f>
        <v>0</v>
      </c>
    </row>
    <row r="29" spans="1:17">
      <c r="A29" s="1141">
        <f>Gröddata!A41</f>
        <v>0</v>
      </c>
      <c r="B29" s="471">
        <f>Gröddata!B41</f>
        <v>0</v>
      </c>
      <c r="C29" s="1140">
        <f>Gröddata!D41</f>
        <v>0</v>
      </c>
      <c r="D29" s="901">
        <f>Gröddata!J41</f>
        <v>0</v>
      </c>
      <c r="E29" s="901" t="e">
        <f>Gröddata!L41</f>
        <v>#DIV/0!</v>
      </c>
      <c r="F29" s="1108">
        <f>Mullberäkning!H93</f>
        <v>0</v>
      </c>
      <c r="G29" s="1108">
        <f>Mullberäkning!I93</f>
        <v>0</v>
      </c>
      <c r="H29" s="471">
        <f t="shared" si="1"/>
        <v>0</v>
      </c>
      <c r="I29" s="471">
        <f>Gröddata!E41</f>
        <v>0</v>
      </c>
      <c r="J29" s="471">
        <f>Gröddata!F41</f>
        <v>0</v>
      </c>
      <c r="K29" s="471">
        <f>Gröddata!G41</f>
        <v>0</v>
      </c>
      <c r="L29" s="901">
        <f>Gröddata!H41</f>
        <v>0</v>
      </c>
      <c r="M29" s="901">
        <f>Gröddata!I41</f>
        <v>0</v>
      </c>
      <c r="N29" s="901">
        <f>Gröddata!J41</f>
        <v>0</v>
      </c>
      <c r="O29" s="901" t="e">
        <f>Gröddata!K41</f>
        <v>#DIV/0!</v>
      </c>
      <c r="P29" s="901" t="e">
        <f>Gröddata!L41</f>
        <v>#DIV/0!</v>
      </c>
      <c r="Q29" s="2005">
        <f>Gröddata!M41</f>
        <v>0</v>
      </c>
    </row>
    <row r="30" spans="1:17">
      <c r="A30" s="1141">
        <f>Gröddata!A42</f>
        <v>0</v>
      </c>
      <c r="B30" s="471">
        <f>Gröddata!B42</f>
        <v>0</v>
      </c>
      <c r="C30" s="1140">
        <f>Gröddata!D42</f>
        <v>0</v>
      </c>
      <c r="D30" s="901">
        <f>Gröddata!J42</f>
        <v>0</v>
      </c>
      <c r="E30" s="901" t="e">
        <f>Gröddata!L42</f>
        <v>#DIV/0!</v>
      </c>
      <c r="F30" s="1108">
        <f>Mullberäkning!H94</f>
        <v>0</v>
      </c>
      <c r="G30" s="1108">
        <f>Mullberäkning!I94</f>
        <v>0</v>
      </c>
      <c r="H30" s="471">
        <f t="shared" ref="H30:H32" si="3">F30-G30</f>
        <v>0</v>
      </c>
      <c r="I30" s="471">
        <f>Gröddata!E42</f>
        <v>0</v>
      </c>
      <c r="J30" s="471">
        <f>Gröddata!F42</f>
        <v>0</v>
      </c>
      <c r="K30" s="471">
        <f>Gröddata!G42</f>
        <v>0</v>
      </c>
      <c r="L30" s="901">
        <f>Gröddata!H42</f>
        <v>0</v>
      </c>
      <c r="M30" s="901">
        <f>Gröddata!I42</f>
        <v>0</v>
      </c>
      <c r="N30" s="901">
        <f>Gröddata!J42</f>
        <v>0</v>
      </c>
      <c r="O30" s="901" t="e">
        <f>Gröddata!K42</f>
        <v>#DIV/0!</v>
      </c>
      <c r="P30" s="901" t="e">
        <f>Gröddata!L42</f>
        <v>#DIV/0!</v>
      </c>
      <c r="Q30" s="2005">
        <f>Gröddata!M42</f>
        <v>0</v>
      </c>
    </row>
    <row r="31" spans="1:17">
      <c r="A31" s="1141">
        <f>Gröddata!A43</f>
        <v>0</v>
      </c>
      <c r="B31" s="471">
        <f>Gröddata!B43</f>
        <v>0</v>
      </c>
      <c r="C31" s="1140">
        <f>Gröddata!D43</f>
        <v>0</v>
      </c>
      <c r="D31" s="901">
        <f>Gröddata!J43</f>
        <v>0</v>
      </c>
      <c r="E31" s="901" t="e">
        <f>Gröddata!L43</f>
        <v>#DIV/0!</v>
      </c>
      <c r="F31" s="1108">
        <f>Mullberäkning!H95</f>
        <v>0</v>
      </c>
      <c r="G31" s="1108">
        <f>Mullberäkning!I95</f>
        <v>0</v>
      </c>
      <c r="H31" s="471">
        <f t="shared" si="3"/>
        <v>0</v>
      </c>
      <c r="I31" s="471">
        <f>Gröddata!E43</f>
        <v>0</v>
      </c>
      <c r="J31" s="471">
        <f>Gröddata!F43</f>
        <v>0</v>
      </c>
      <c r="K31" s="471">
        <f>Gröddata!G43</f>
        <v>0</v>
      </c>
      <c r="L31" s="901">
        <f>Gröddata!H43</f>
        <v>0</v>
      </c>
      <c r="M31" s="901">
        <f>Gröddata!I43</f>
        <v>0</v>
      </c>
      <c r="N31" s="901">
        <f>Gröddata!J43</f>
        <v>0</v>
      </c>
      <c r="O31" s="901" t="e">
        <f>Gröddata!K43</f>
        <v>#DIV/0!</v>
      </c>
      <c r="P31" s="901" t="e">
        <f>Gröddata!L43</f>
        <v>#DIV/0!</v>
      </c>
      <c r="Q31" s="2005">
        <f>Gröddata!M43</f>
        <v>0</v>
      </c>
    </row>
    <row r="32" spans="1:17">
      <c r="A32" s="1141">
        <f>Gröddata!A44</f>
        <v>0</v>
      </c>
      <c r="B32" s="471">
        <f>Gröddata!B44</f>
        <v>0</v>
      </c>
      <c r="C32" s="1140">
        <f>Gröddata!D44</f>
        <v>0</v>
      </c>
      <c r="D32" s="901">
        <f>Gröddata!J44</f>
        <v>0</v>
      </c>
      <c r="E32" s="901" t="e">
        <f>Gröddata!L44</f>
        <v>#DIV/0!</v>
      </c>
      <c r="F32" s="1108">
        <f>Mullberäkning!H96</f>
        <v>0</v>
      </c>
      <c r="G32" s="1108">
        <f>Mullberäkning!I96</f>
        <v>0</v>
      </c>
      <c r="H32" s="471">
        <f t="shared" si="3"/>
        <v>0</v>
      </c>
      <c r="I32" s="471">
        <f>Gröddata!E44</f>
        <v>0</v>
      </c>
      <c r="J32" s="471">
        <f>Gröddata!F44</f>
        <v>0</v>
      </c>
      <c r="K32" s="471">
        <f>Gröddata!G44</f>
        <v>0</v>
      </c>
      <c r="L32" s="901">
        <f>Gröddata!H44</f>
        <v>0</v>
      </c>
      <c r="M32" s="901">
        <f>Gröddata!I44</f>
        <v>0</v>
      </c>
      <c r="N32" s="901">
        <f>Gröddata!J44</f>
        <v>0</v>
      </c>
      <c r="O32" s="901" t="e">
        <f>Gröddata!K44</f>
        <v>#DIV/0!</v>
      </c>
      <c r="P32" s="901" t="e">
        <f>Gröddata!L44</f>
        <v>#DIV/0!</v>
      </c>
      <c r="Q32" s="2005">
        <f>Gröddata!M44</f>
        <v>0</v>
      </c>
    </row>
    <row r="33" spans="1:3">
      <c r="A33" s="2003"/>
      <c r="B33" s="128"/>
      <c r="C33" s="2004"/>
    </row>
  </sheetData>
  <pageMargins left="0.7" right="0.7" top="0.75" bottom="0.75" header="0.3" footer="0.3"/>
  <pageSetup paperSize="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0"/>
  <dimension ref="B3:K35"/>
  <sheetViews>
    <sheetView workbookViewId="0">
      <selection activeCell="E5" sqref="E5"/>
    </sheetView>
  </sheetViews>
  <sheetFormatPr defaultRowHeight="12.75"/>
  <cols>
    <col min="2" max="2" width="20.5703125" customWidth="1"/>
    <col min="3" max="6" width="9.140625" style="104" customWidth="1"/>
    <col min="8" max="8" width="25.28515625" customWidth="1"/>
    <col min="9" max="9" width="13" style="104" customWidth="1"/>
  </cols>
  <sheetData>
    <row r="3" spans="2:11" ht="15.75">
      <c r="B3" s="1955" t="s">
        <v>1249</v>
      </c>
      <c r="H3" s="1954" t="s">
        <v>1250</v>
      </c>
    </row>
    <row r="5" spans="2:11">
      <c r="B5" s="473" t="s">
        <v>1050</v>
      </c>
      <c r="C5" s="1140">
        <v>11.3</v>
      </c>
      <c r="D5" s="104" t="s">
        <v>103</v>
      </c>
    </row>
    <row r="6" spans="2:11">
      <c r="H6" s="1642" t="s">
        <v>75</v>
      </c>
      <c r="I6" s="471" t="s">
        <v>74</v>
      </c>
    </row>
    <row r="7" spans="2:11">
      <c r="H7" s="1639" t="s">
        <v>195</v>
      </c>
      <c r="I7" s="1953">
        <f>'"Kvävesimulator"'!AH22</f>
        <v>155.4955230549366</v>
      </c>
    </row>
    <row r="8" spans="2:11">
      <c r="H8" s="1727" t="s">
        <v>196</v>
      </c>
      <c r="I8" s="1953">
        <f>'"Kvävesimulator"'!AH20</f>
        <v>159.57901037472462</v>
      </c>
    </row>
    <row r="9" spans="2:11">
      <c r="D9" s="1948" t="s">
        <v>139</v>
      </c>
      <c r="E9" s="1948" t="s">
        <v>743</v>
      </c>
      <c r="H9" s="1496" t="s">
        <v>479</v>
      </c>
      <c r="I9" s="1953">
        <f>'"Kvävesimulator"'!AH32</f>
        <v>101.04830130099424</v>
      </c>
    </row>
    <row r="10" spans="2:11">
      <c r="D10" s="1950" t="s">
        <v>1251</v>
      </c>
      <c r="E10" s="1950" t="s">
        <v>103</v>
      </c>
      <c r="H10" s="1496" t="s">
        <v>480</v>
      </c>
      <c r="I10" s="1953">
        <f>'"Kvävesimulator"'!AH34</f>
        <v>114.56267346325428</v>
      </c>
    </row>
    <row r="11" spans="2:11">
      <c r="B11" s="1768" t="s">
        <v>1089</v>
      </c>
      <c r="C11" s="471">
        <f>Gröddata!C11</f>
        <v>8500</v>
      </c>
      <c r="D11" s="1951">
        <f>C11/100</f>
        <v>85</v>
      </c>
      <c r="E11" s="1952">
        <f>Gröddata!D11</f>
        <v>1.4</v>
      </c>
      <c r="H11" s="1496" t="s">
        <v>481</v>
      </c>
      <c r="I11" s="1953">
        <f>'"Kvävesimulator"'!AH26</f>
        <v>110.49272492740727</v>
      </c>
    </row>
    <row r="12" spans="2:11">
      <c r="B12" s="1769"/>
      <c r="C12" s="901"/>
      <c r="D12" s="471"/>
      <c r="E12" s="471"/>
      <c r="H12" s="1496" t="s">
        <v>482</v>
      </c>
      <c r="I12" s="1953">
        <f>'"Kvävesimulator"'!AH28</f>
        <v>91.353803500011196</v>
      </c>
    </row>
    <row r="13" spans="2:11">
      <c r="B13" s="1768" t="s">
        <v>1091</v>
      </c>
      <c r="C13" s="471">
        <f>Gröddata!C10</f>
        <v>8000</v>
      </c>
      <c r="D13" s="1951">
        <f t="shared" ref="D13:D31" si="0">C13/100</f>
        <v>80</v>
      </c>
      <c r="E13" s="1952">
        <f>Gröddata!D10</f>
        <v>1.47</v>
      </c>
      <c r="H13" s="1727" t="s">
        <v>199</v>
      </c>
      <c r="I13" s="1953">
        <f>'"Kvävesimulator"'!AH30</f>
        <v>98.17429950000701</v>
      </c>
    </row>
    <row r="14" spans="2:11">
      <c r="B14" s="1769"/>
      <c r="C14" s="901"/>
      <c r="D14" s="471"/>
      <c r="E14" s="471"/>
      <c r="H14" s="1727" t="s">
        <v>200</v>
      </c>
      <c r="I14" s="1953">
        <f>'"Kvävesimulator"'!AH24</f>
        <v>130.10534716629948</v>
      </c>
    </row>
    <row r="15" spans="2:11">
      <c r="B15" s="1782" t="s">
        <v>1092</v>
      </c>
      <c r="C15" s="471">
        <f>Gröddata!C17</f>
        <v>5000</v>
      </c>
      <c r="D15" s="1951">
        <f t="shared" si="0"/>
        <v>50</v>
      </c>
      <c r="E15" s="1952">
        <f>Gröddata!D17</f>
        <v>1.56</v>
      </c>
      <c r="H15" s="1946" t="s">
        <v>169</v>
      </c>
      <c r="I15" s="1953">
        <f>'"Kvävesimulator"'!AH36</f>
        <v>99.035812000006459</v>
      </c>
    </row>
    <row r="16" spans="2:11">
      <c r="B16" s="1769"/>
      <c r="C16" s="901"/>
      <c r="D16" s="471"/>
      <c r="E16" s="471"/>
      <c r="H16" s="894" t="s">
        <v>1009</v>
      </c>
      <c r="I16" s="471"/>
      <c r="K16" s="100"/>
    </row>
    <row r="17" spans="2:9">
      <c r="B17" s="1782" t="s">
        <v>1093</v>
      </c>
      <c r="C17" s="471">
        <f>Gröddata!C14</f>
        <v>6000</v>
      </c>
      <c r="D17" s="1951">
        <f t="shared" si="0"/>
        <v>60</v>
      </c>
      <c r="E17" s="1952">
        <f>Gröddata!D14</f>
        <v>1.1299999999999999</v>
      </c>
      <c r="H17" s="1947" t="s">
        <v>382</v>
      </c>
      <c r="I17" s="1953">
        <f>'"Kvävesimulator"'!AH38+'TB_oljeväxter, trindsäd'!J56</f>
        <v>218.47502399999996</v>
      </c>
    </row>
    <row r="18" spans="2:9">
      <c r="B18" s="1769"/>
      <c r="C18" s="901"/>
      <c r="D18" s="471"/>
      <c r="E18" s="471"/>
      <c r="H18" s="1727" t="s">
        <v>201</v>
      </c>
      <c r="I18" s="1953">
        <f>'"Kvävesimulator"'!AH40</f>
        <v>111.09874600000001</v>
      </c>
    </row>
    <row r="19" spans="2:9">
      <c r="B19" s="1782" t="s">
        <v>1094</v>
      </c>
      <c r="C19" s="471">
        <f>Gröddata!C15</f>
        <v>5500</v>
      </c>
      <c r="D19" s="1951">
        <f t="shared" si="0"/>
        <v>55</v>
      </c>
      <c r="E19" s="1952">
        <f>Gröddata!D15</f>
        <v>1.31</v>
      </c>
    </row>
    <row r="20" spans="2:9">
      <c r="B20" s="1769"/>
      <c r="C20" s="901"/>
      <c r="D20" s="471"/>
      <c r="E20" s="471"/>
    </row>
    <row r="21" spans="2:9">
      <c r="B21" s="1782" t="s">
        <v>1095</v>
      </c>
      <c r="C21" s="471">
        <f>Gröddata!C16</f>
        <v>5500</v>
      </c>
      <c r="D21" s="1951">
        <f t="shared" si="0"/>
        <v>55</v>
      </c>
      <c r="E21" s="1952">
        <f>Gröddata!D16</f>
        <v>1.62</v>
      </c>
    </row>
    <row r="22" spans="2:9">
      <c r="B22" s="1769"/>
      <c r="C22" s="901"/>
      <c r="D22" s="471"/>
      <c r="E22" s="471"/>
    </row>
    <row r="23" spans="2:9">
      <c r="B23" s="1782" t="s">
        <v>1096</v>
      </c>
      <c r="C23" s="471">
        <f>Gröddata!C12</f>
        <v>6000</v>
      </c>
      <c r="D23" s="1951">
        <f t="shared" si="0"/>
        <v>60</v>
      </c>
      <c r="E23" s="1952">
        <f>Gröddata!D12</f>
        <v>1.1299999999999999</v>
      </c>
    </row>
    <row r="24" spans="2:9">
      <c r="B24" s="1769"/>
      <c r="C24" s="901"/>
      <c r="D24" s="471"/>
      <c r="E24" s="471"/>
    </row>
    <row r="25" spans="2:9">
      <c r="B25" s="1782" t="s">
        <v>1097</v>
      </c>
      <c r="C25" s="471">
        <f>Gröddata!C13</f>
        <v>6000</v>
      </c>
      <c r="D25" s="1951">
        <f t="shared" si="0"/>
        <v>60</v>
      </c>
      <c r="E25" s="1952">
        <f>Gröddata!D13</f>
        <v>1.25</v>
      </c>
    </row>
    <row r="26" spans="2:9">
      <c r="B26" s="1769"/>
      <c r="C26" s="901"/>
      <c r="D26" s="471"/>
      <c r="E26" s="471"/>
    </row>
    <row r="27" spans="2:9">
      <c r="B27" s="1782" t="s">
        <v>1098</v>
      </c>
      <c r="C27" s="471">
        <f>Gröddata!C18</f>
        <v>5500</v>
      </c>
      <c r="D27" s="1951">
        <f t="shared" si="0"/>
        <v>55</v>
      </c>
      <c r="E27" s="1952">
        <f>Gröddata!D18</f>
        <v>1.6</v>
      </c>
    </row>
    <row r="28" spans="2:9">
      <c r="B28" s="1763"/>
      <c r="C28" s="901"/>
      <c r="D28" s="471"/>
      <c r="E28" s="471"/>
    </row>
    <row r="29" spans="2:9">
      <c r="B29" s="1782" t="s">
        <v>1099</v>
      </c>
      <c r="C29" s="471">
        <f>Gröddata!C20</f>
        <v>3500</v>
      </c>
      <c r="D29" s="1951">
        <f t="shared" si="0"/>
        <v>35</v>
      </c>
      <c r="E29" s="1952">
        <f>Gröddata!D20</f>
        <v>4.0999999999999996</v>
      </c>
    </row>
    <row r="30" spans="2:9">
      <c r="B30" s="1769"/>
      <c r="C30" s="901"/>
      <c r="D30" s="471"/>
      <c r="E30" s="471"/>
    </row>
    <row r="31" spans="2:9">
      <c r="B31" s="1782" t="s">
        <v>1100</v>
      </c>
      <c r="C31" s="471">
        <f>Gröddata!C21</f>
        <v>2000</v>
      </c>
      <c r="D31" s="1951">
        <f t="shared" si="0"/>
        <v>20</v>
      </c>
      <c r="E31" s="1952">
        <f>Gröddata!D21</f>
        <v>2.81</v>
      </c>
    </row>
    <row r="32" spans="2:9">
      <c r="D32" s="1951" t="s">
        <v>1317</v>
      </c>
    </row>
    <row r="33" spans="2:5">
      <c r="B33" s="1782" t="s">
        <v>1110</v>
      </c>
      <c r="C33" s="104">
        <f>Gröddata!C31</f>
        <v>9000</v>
      </c>
      <c r="D33" s="1951">
        <f>C33/1000</f>
        <v>9</v>
      </c>
      <c r="E33" s="1581">
        <f>Gröddata!D31</f>
        <v>1.25</v>
      </c>
    </row>
    <row r="34" spans="2:5">
      <c r="B34" s="1769"/>
      <c r="D34" s="1951"/>
    </row>
    <row r="35" spans="2:5">
      <c r="B35" s="1782" t="s">
        <v>1111</v>
      </c>
      <c r="C35" s="104">
        <f>Gröddata!B31</f>
        <v>9000</v>
      </c>
      <c r="D35" s="1951">
        <f>C35/1000</f>
        <v>9</v>
      </c>
      <c r="E35" s="1581">
        <f>Gröddata!D31</f>
        <v>1.25</v>
      </c>
    </row>
  </sheetData>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
  <dimension ref="A1:DD335"/>
  <sheetViews>
    <sheetView topLeftCell="BB1" zoomScale="80" zoomScaleNormal="8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0.5703125" customWidth="1"/>
    <col min="13" max="13" width="20.28515625" customWidth="1"/>
    <col min="14" max="14" width="11.7109375" customWidth="1"/>
    <col min="15" max="15" width="12.28515625" bestFit="1" customWidth="1"/>
    <col min="17" max="17" width="10.28515625" customWidth="1"/>
    <col min="18" max="18" width="12.7109375" customWidth="1"/>
    <col min="22" max="22" width="9.7109375" customWidth="1"/>
    <col min="25" max="25" width="20.28515625" customWidth="1"/>
    <col min="26" max="26" width="11.7109375" customWidth="1"/>
    <col min="27" max="27" width="12.28515625" bestFit="1" customWidth="1"/>
    <col min="29" max="29" width="10.28515625" customWidth="1"/>
    <col min="30" max="30" width="12.7109375" customWidth="1"/>
    <col min="37" max="37" width="20.28515625" customWidth="1"/>
    <col min="38" max="38" width="11.7109375" customWidth="1"/>
    <col min="39" max="39" width="12.28515625" bestFit="1" customWidth="1"/>
    <col min="41" max="41" width="10.28515625" customWidth="1"/>
    <col min="42" max="42" width="12.7109375" customWidth="1"/>
    <col min="49" max="49" width="20.28515625" customWidth="1"/>
    <col min="50" max="50" width="11.7109375" customWidth="1"/>
    <col min="51" max="51" width="12.28515625" bestFit="1" customWidth="1"/>
    <col min="53" max="53" width="10.28515625" customWidth="1"/>
    <col min="54" max="54" width="12.7109375" customWidth="1"/>
    <col min="61" max="61" width="20.28515625" customWidth="1"/>
    <col min="62" max="62" width="11.7109375" customWidth="1"/>
    <col min="63" max="63" width="12.28515625" bestFit="1" customWidth="1"/>
    <col min="65" max="65" width="10.28515625" customWidth="1"/>
    <col min="66" max="66" width="12.7109375" customWidth="1"/>
    <col min="73" max="73" width="20.28515625" customWidth="1"/>
    <col min="74" max="74" width="11.7109375" customWidth="1"/>
    <col min="75" max="75" width="12.28515625" bestFit="1" customWidth="1"/>
    <col min="77" max="77" width="10.28515625" customWidth="1"/>
    <col min="78" max="78" width="12.7109375" customWidth="1"/>
    <col min="85" max="85" width="20.28515625" customWidth="1"/>
    <col min="86" max="86" width="11.7109375" customWidth="1"/>
    <col min="87" max="87" width="12.28515625" bestFit="1" customWidth="1"/>
    <col min="89" max="89" width="10.28515625" customWidth="1"/>
    <col min="90" max="90" width="12.7109375" customWidth="1"/>
    <col min="97" max="97" width="20.28515625" customWidth="1"/>
    <col min="98" max="98" width="11.7109375" customWidth="1"/>
    <col min="99" max="99" width="12.28515625" bestFit="1" customWidth="1"/>
    <col min="101" max="101" width="10.28515625" customWidth="1"/>
    <col min="102" max="102" width="12.7109375" customWidth="1"/>
  </cols>
  <sheetData>
    <row r="1" spans="1:108" ht="25.5">
      <c r="A1" s="2182" t="s">
        <v>1112</v>
      </c>
      <c r="B1" s="263"/>
      <c r="C1" s="263"/>
      <c r="D1" s="263"/>
      <c r="E1" s="263"/>
      <c r="F1" s="263"/>
      <c r="G1" s="263"/>
      <c r="H1" s="263"/>
      <c r="I1" s="263"/>
      <c r="J1" s="263"/>
      <c r="K1" s="263"/>
      <c r="L1" s="263"/>
      <c r="M1" s="2182" t="s">
        <v>1113</v>
      </c>
      <c r="N1" s="263"/>
      <c r="O1" s="263"/>
      <c r="P1" s="263"/>
      <c r="Q1" s="263"/>
      <c r="R1" s="263"/>
      <c r="S1" s="263"/>
      <c r="T1" s="263"/>
      <c r="U1" s="263"/>
      <c r="V1" s="263"/>
      <c r="W1" s="263"/>
      <c r="X1" s="263"/>
      <c r="Y1" s="2182" t="s">
        <v>1114</v>
      </c>
      <c r="Z1" s="263"/>
      <c r="AA1" s="263"/>
      <c r="AB1" s="263"/>
      <c r="AC1" s="263"/>
      <c r="AD1" s="263"/>
      <c r="AE1" s="263"/>
      <c r="AF1" s="263"/>
      <c r="AG1" s="263"/>
      <c r="AH1" s="263"/>
      <c r="AI1" s="263"/>
      <c r="AJ1" s="263"/>
      <c r="AK1" s="2182" t="s">
        <v>1115</v>
      </c>
      <c r="AL1" s="263"/>
      <c r="AM1" s="263"/>
      <c r="AN1" s="263"/>
      <c r="AO1" s="263"/>
      <c r="AP1" s="263"/>
      <c r="AQ1" s="263"/>
      <c r="AR1" s="263"/>
      <c r="AS1" s="263"/>
      <c r="AT1" s="263"/>
      <c r="AU1" s="263"/>
      <c r="AV1" s="263"/>
      <c r="AW1" s="2182" t="s">
        <v>1116</v>
      </c>
      <c r="AX1" s="263"/>
      <c r="AY1" s="263"/>
      <c r="AZ1" s="263"/>
      <c r="BA1" s="263"/>
      <c r="BB1" s="263"/>
      <c r="BC1" s="263"/>
      <c r="BD1" s="263"/>
      <c r="BE1" s="263"/>
      <c r="BF1" s="263"/>
      <c r="BG1" s="263"/>
      <c r="BH1" s="263"/>
      <c r="BI1" s="2182" t="s">
        <v>1117</v>
      </c>
      <c r="BJ1" s="263"/>
      <c r="BK1" s="263"/>
      <c r="BL1" s="263"/>
      <c r="BM1" s="263"/>
      <c r="BN1" s="263"/>
      <c r="BO1" s="263"/>
      <c r="BP1" s="263"/>
      <c r="BQ1" s="263"/>
      <c r="BR1" s="263"/>
      <c r="BS1" s="263"/>
      <c r="BT1" s="263"/>
      <c r="BU1" s="2182" t="s">
        <v>1118</v>
      </c>
      <c r="BV1" s="263"/>
      <c r="BW1" s="263"/>
      <c r="BX1" s="263"/>
      <c r="BY1" s="263"/>
      <c r="BZ1" s="263"/>
      <c r="CA1" s="263"/>
      <c r="CB1" s="263"/>
      <c r="CC1" s="263"/>
      <c r="CD1" s="263"/>
      <c r="CE1" s="263"/>
      <c r="CF1" s="263"/>
      <c r="CG1" s="2182" t="s">
        <v>1119</v>
      </c>
      <c r="CH1" s="263"/>
      <c r="CI1" s="263"/>
      <c r="CJ1" s="263"/>
      <c r="CK1" s="263"/>
      <c r="CL1" s="263"/>
      <c r="CM1" s="263"/>
      <c r="CN1" s="263"/>
      <c r="CO1" s="263"/>
      <c r="CP1" s="263"/>
      <c r="CQ1" s="263"/>
      <c r="CR1" s="263"/>
      <c r="CS1" s="2182" t="s">
        <v>1120</v>
      </c>
      <c r="CT1" s="263"/>
      <c r="CU1" s="263"/>
      <c r="CV1" s="263"/>
      <c r="CW1" s="263"/>
      <c r="CX1" s="263"/>
      <c r="CY1" s="263"/>
      <c r="CZ1" s="263"/>
      <c r="DA1" s="263"/>
      <c r="DB1" s="263"/>
      <c r="DC1" s="263"/>
      <c r="DD1" s="263"/>
    </row>
    <row r="2" spans="1:108">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row>
    <row r="3" spans="1:108">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row>
    <row r="4" spans="1:108">
      <c r="A4" s="2183"/>
      <c r="B4" s="267"/>
      <c r="C4" s="267"/>
      <c r="D4" s="267"/>
      <c r="E4" s="263"/>
      <c r="F4" s="263"/>
      <c r="G4" s="263"/>
      <c r="H4" s="263"/>
      <c r="I4" s="263"/>
      <c r="J4" s="263"/>
      <c r="K4" s="263"/>
      <c r="L4" s="263"/>
      <c r="M4" s="267"/>
      <c r="N4" s="267"/>
      <c r="O4" s="267"/>
      <c r="P4" s="267"/>
      <c r="Q4" s="263"/>
      <c r="R4" s="263"/>
      <c r="S4" s="263"/>
      <c r="T4" s="263"/>
      <c r="U4" s="263"/>
      <c r="V4" s="263"/>
      <c r="W4" s="263"/>
      <c r="X4" s="263"/>
      <c r="Y4" s="267"/>
      <c r="Z4" s="267"/>
      <c r="AA4" s="267"/>
      <c r="AB4" s="267"/>
      <c r="AC4" s="263"/>
      <c r="AD4" s="263"/>
      <c r="AE4" s="263"/>
      <c r="AF4" s="263"/>
      <c r="AG4" s="263"/>
      <c r="AH4" s="263"/>
      <c r="AI4" s="263"/>
      <c r="AJ4" s="263"/>
      <c r="AK4" s="2184"/>
      <c r="AL4" s="267"/>
      <c r="AM4" s="267"/>
      <c r="AN4" s="267"/>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184"/>
      <c r="BV4" s="267"/>
      <c r="BW4" s="267"/>
      <c r="BX4" s="267"/>
      <c r="BY4" s="263"/>
      <c r="BZ4" s="263"/>
      <c r="CA4" s="263"/>
      <c r="CB4" s="263"/>
      <c r="CC4" s="263"/>
      <c r="CD4" s="263"/>
      <c r="CE4" s="263"/>
      <c r="CF4" s="263"/>
      <c r="CG4" s="2184"/>
      <c r="CH4" s="267"/>
      <c r="CI4" s="267"/>
      <c r="CJ4" s="267"/>
      <c r="CK4" s="263"/>
      <c r="CL4" s="263"/>
      <c r="CM4" s="263"/>
      <c r="CN4" s="263"/>
      <c r="CO4" s="263"/>
      <c r="CP4" s="263"/>
      <c r="CQ4" s="263"/>
      <c r="CR4" s="263"/>
      <c r="CS4" s="263"/>
      <c r="CT4" s="263"/>
      <c r="CU4" s="263"/>
      <c r="CV4" s="263"/>
      <c r="CW4" s="263"/>
      <c r="CX4" s="263"/>
      <c r="CY4" s="263"/>
      <c r="CZ4" s="263"/>
      <c r="DA4" s="263"/>
      <c r="DB4" s="263"/>
      <c r="DC4" s="263"/>
      <c r="DD4" s="263"/>
    </row>
    <row r="5" spans="1:108">
      <c r="A5" s="2185"/>
      <c r="B5" s="1469"/>
      <c r="C5" s="2186"/>
      <c r="D5" s="319"/>
      <c r="E5" s="320"/>
      <c r="F5" s="320"/>
      <c r="G5" s="320"/>
      <c r="H5" s="2187"/>
      <c r="I5" s="267"/>
      <c r="J5" s="267"/>
      <c r="K5" s="267"/>
      <c r="L5" s="267"/>
      <c r="M5" s="2185"/>
      <c r="N5" s="1469"/>
      <c r="O5" s="2186"/>
      <c r="P5" s="319"/>
      <c r="Q5" s="320"/>
      <c r="R5" s="320"/>
      <c r="S5" s="320"/>
      <c r="T5" s="2187"/>
      <c r="U5" s="267"/>
      <c r="V5" s="267"/>
      <c r="W5" s="267"/>
      <c r="X5" s="267"/>
      <c r="Y5" s="2185"/>
      <c r="Z5" s="1469"/>
      <c r="AA5" s="2186"/>
      <c r="AB5" s="319"/>
      <c r="AC5" s="320"/>
      <c r="AD5" s="320"/>
      <c r="AE5" s="320"/>
      <c r="AF5" s="2187"/>
      <c r="AG5" s="267"/>
      <c r="AH5" s="267"/>
      <c r="AI5" s="267"/>
      <c r="AJ5" s="267"/>
      <c r="AK5" s="2188"/>
      <c r="AL5" s="1469"/>
      <c r="AM5" s="2186"/>
      <c r="AN5" s="319"/>
      <c r="AO5" s="320"/>
      <c r="AP5" s="320"/>
      <c r="AQ5" s="320"/>
      <c r="AR5" s="2187"/>
      <c r="AS5" s="267"/>
      <c r="AT5" s="267"/>
      <c r="AU5" s="267"/>
      <c r="AV5" s="267"/>
      <c r="AW5" s="2185"/>
      <c r="AX5" s="1469"/>
      <c r="AY5" s="2186"/>
      <c r="AZ5" s="319"/>
      <c r="BA5" s="320"/>
      <c r="BB5" s="320"/>
      <c r="BC5" s="320"/>
      <c r="BD5" s="2187"/>
      <c r="BE5" s="267"/>
      <c r="BF5" s="267"/>
      <c r="BG5" s="267"/>
      <c r="BH5" s="263"/>
      <c r="BI5" s="2185"/>
      <c r="BJ5" s="1469"/>
      <c r="BK5" s="2186"/>
      <c r="BL5" s="319"/>
      <c r="BM5" s="320"/>
      <c r="BN5" s="320"/>
      <c r="BO5" s="320"/>
      <c r="BP5" s="2187"/>
      <c r="BQ5" s="267"/>
      <c r="BR5" s="267"/>
      <c r="BS5" s="267"/>
      <c r="BT5" s="263"/>
      <c r="BU5" s="2188"/>
      <c r="BV5" s="1469"/>
      <c r="BW5" s="2186"/>
      <c r="BX5" s="319"/>
      <c r="BY5" s="320"/>
      <c r="BZ5" s="320"/>
      <c r="CA5" s="320"/>
      <c r="CB5" s="2187"/>
      <c r="CC5" s="267"/>
      <c r="CD5" s="267"/>
      <c r="CE5" s="267"/>
      <c r="CF5" s="263"/>
      <c r="CG5" s="2188"/>
      <c r="CH5" s="1469"/>
      <c r="CI5" s="2186"/>
      <c r="CJ5" s="319"/>
      <c r="CK5" s="320"/>
      <c r="CL5" s="320"/>
      <c r="CM5" s="320"/>
      <c r="CN5" s="2187"/>
      <c r="CO5" s="267"/>
      <c r="CP5" s="267"/>
      <c r="CQ5" s="267"/>
      <c r="CR5" s="263"/>
      <c r="CS5" s="2185"/>
      <c r="CT5" s="1469"/>
      <c r="CU5" s="2186"/>
      <c r="CV5" s="319"/>
      <c r="CW5" s="320"/>
      <c r="CX5" s="320"/>
      <c r="CY5" s="320"/>
      <c r="CZ5" s="2187"/>
      <c r="DA5" s="267"/>
      <c r="DB5" s="267"/>
      <c r="DC5" s="267"/>
      <c r="DD5" s="263"/>
    </row>
    <row r="6" spans="1:108">
      <c r="A6" s="2188"/>
      <c r="B6" s="357"/>
      <c r="C6" s="2189"/>
      <c r="D6" s="323"/>
      <c r="E6" s="331" t="s">
        <v>1121</v>
      </c>
      <c r="F6" s="326"/>
      <c r="G6" s="326"/>
      <c r="H6" s="2190"/>
      <c r="I6" s="267"/>
      <c r="J6" s="267"/>
      <c r="K6" s="267"/>
      <c r="L6" s="267"/>
      <c r="M6" s="2188"/>
      <c r="N6" s="357"/>
      <c r="O6" s="2189"/>
      <c r="P6" s="323"/>
      <c r="Q6" s="331" t="s">
        <v>1121</v>
      </c>
      <c r="R6" s="326"/>
      <c r="S6" s="326"/>
      <c r="T6" s="2190"/>
      <c r="U6" s="267"/>
      <c r="V6" s="267"/>
      <c r="W6" s="267"/>
      <c r="X6" s="267"/>
      <c r="Y6" s="2188"/>
      <c r="Z6" s="357"/>
      <c r="AA6" s="2189"/>
      <c r="AB6" s="323"/>
      <c r="AC6" s="331" t="s">
        <v>1121</v>
      </c>
      <c r="AD6" s="326"/>
      <c r="AE6" s="326"/>
      <c r="AF6" s="2190"/>
      <c r="AG6" s="267"/>
      <c r="AH6" s="267"/>
      <c r="AI6" s="267"/>
      <c r="AJ6" s="267"/>
      <c r="AK6" s="2188"/>
      <c r="AL6" s="357"/>
      <c r="AM6" s="2189"/>
      <c r="AN6" s="323"/>
      <c r="AO6" s="331" t="s">
        <v>1121</v>
      </c>
      <c r="AP6" s="326"/>
      <c r="AQ6" s="326"/>
      <c r="AR6" s="2190"/>
      <c r="AS6" s="267"/>
      <c r="AT6" s="267"/>
      <c r="AU6" s="267"/>
      <c r="AV6" s="267"/>
      <c r="AW6" s="2188"/>
      <c r="AX6" s="357"/>
      <c r="AY6" s="2189"/>
      <c r="AZ6" s="323"/>
      <c r="BA6" s="331" t="s">
        <v>1122</v>
      </c>
      <c r="BB6" s="326"/>
      <c r="BC6" s="326"/>
      <c r="BD6" s="2190"/>
      <c r="BE6" s="267"/>
      <c r="BF6" s="267"/>
      <c r="BG6" s="267"/>
      <c r="BH6" s="263"/>
      <c r="BI6" s="2188"/>
      <c r="BJ6" s="357"/>
      <c r="BK6" s="2189"/>
      <c r="BL6" s="323"/>
      <c r="BM6" s="331" t="s">
        <v>1122</v>
      </c>
      <c r="BN6" s="326"/>
      <c r="BO6" s="326"/>
      <c r="BP6" s="2190"/>
      <c r="BQ6" s="267"/>
      <c r="BR6" s="267"/>
      <c r="BS6" s="267"/>
      <c r="BT6" s="263"/>
      <c r="BU6" s="2188"/>
      <c r="BV6" s="357"/>
      <c r="BW6" s="2189"/>
      <c r="BX6" s="323"/>
      <c r="BY6" s="331" t="s">
        <v>1121</v>
      </c>
      <c r="BZ6" s="326"/>
      <c r="CA6" s="326"/>
      <c r="CB6" s="2190"/>
      <c r="CC6" s="267"/>
      <c r="CD6" s="267"/>
      <c r="CE6" s="267"/>
      <c r="CF6" s="263"/>
      <c r="CG6" s="2188"/>
      <c r="CH6" s="357"/>
      <c r="CI6" s="2189"/>
      <c r="CJ6" s="323"/>
      <c r="CK6" s="331" t="s">
        <v>1121</v>
      </c>
      <c r="CL6" s="326"/>
      <c r="CM6" s="326"/>
      <c r="CN6" s="2190"/>
      <c r="CO6" s="267"/>
      <c r="CP6" s="267"/>
      <c r="CQ6" s="267"/>
      <c r="CR6" s="263"/>
      <c r="CS6" s="2188"/>
      <c r="CT6" s="357"/>
      <c r="CU6" s="2189"/>
      <c r="CV6" s="323"/>
      <c r="CW6" s="331" t="s">
        <v>1122</v>
      </c>
      <c r="CX6" s="326"/>
      <c r="CY6" s="326"/>
      <c r="CZ6" s="2190"/>
      <c r="DA6" s="267"/>
      <c r="DB6" s="267"/>
      <c r="DC6" s="267"/>
      <c r="DD6" s="263"/>
    </row>
    <row r="7" spans="1:108">
      <c r="A7" s="2188" t="s">
        <v>1123</v>
      </c>
      <c r="B7" s="2191">
        <f>'"Kvävesimulator"'!U20</f>
        <v>1.4</v>
      </c>
      <c r="C7" s="2189" t="s">
        <v>103</v>
      </c>
      <c r="D7" s="323"/>
      <c r="E7" s="2192" t="s">
        <v>1124</v>
      </c>
      <c r="F7" s="2192" t="s">
        <v>727</v>
      </c>
      <c r="G7" s="308"/>
      <c r="H7" s="2190"/>
      <c r="I7" s="267"/>
      <c r="J7" s="267"/>
      <c r="K7" s="267"/>
      <c r="L7" s="267"/>
      <c r="M7" s="2188" t="s">
        <v>1123</v>
      </c>
      <c r="N7" s="2191">
        <f>'"Kvävesimulator"'!U22</f>
        <v>1.47</v>
      </c>
      <c r="O7" s="2189" t="s">
        <v>103</v>
      </c>
      <c r="P7" s="323"/>
      <c r="Q7" s="2192" t="s">
        <v>1124</v>
      </c>
      <c r="R7" s="2192" t="s">
        <v>727</v>
      </c>
      <c r="S7" s="308"/>
      <c r="T7" s="2190"/>
      <c r="U7" s="267"/>
      <c r="V7" s="267"/>
      <c r="W7" s="267"/>
      <c r="X7" s="267"/>
      <c r="Y7" s="2188" t="s">
        <v>1123</v>
      </c>
      <c r="Z7" s="2191">
        <f>'"Kvävesimulator"'!U24</f>
        <v>1.56</v>
      </c>
      <c r="AA7" s="2189" t="s">
        <v>103</v>
      </c>
      <c r="AB7" s="323"/>
      <c r="AC7" s="2192" t="s">
        <v>1124</v>
      </c>
      <c r="AD7" s="2192" t="s">
        <v>727</v>
      </c>
      <c r="AE7" s="308"/>
      <c r="AF7" s="2190"/>
      <c r="AG7" s="267"/>
      <c r="AH7" s="267"/>
      <c r="AI7" s="267"/>
      <c r="AJ7" s="267"/>
      <c r="AK7" s="2188" t="s">
        <v>1123</v>
      </c>
      <c r="AL7" s="2191">
        <f>'"Kvävesimulator"'!U26</f>
        <v>1.1299999999999999</v>
      </c>
      <c r="AM7" s="2189" t="s">
        <v>103</v>
      </c>
      <c r="AN7" s="323"/>
      <c r="AO7" s="2192" t="s">
        <v>1124</v>
      </c>
      <c r="AP7" s="2192" t="s">
        <v>727</v>
      </c>
      <c r="AQ7" s="308"/>
      <c r="AR7" s="2190"/>
      <c r="AS7" s="267"/>
      <c r="AT7" s="267"/>
      <c r="AU7" s="267"/>
      <c r="AV7" s="267"/>
      <c r="AW7" s="2188" t="s">
        <v>1123</v>
      </c>
      <c r="AX7" s="2191">
        <f>'"Kvävesimulator"'!U28</f>
        <v>1.31</v>
      </c>
      <c r="AY7" s="2189" t="s">
        <v>103</v>
      </c>
      <c r="AZ7" s="323"/>
      <c r="BA7" s="2192" t="s">
        <v>1124</v>
      </c>
      <c r="BB7" s="2192" t="s">
        <v>727</v>
      </c>
      <c r="BC7" s="308"/>
      <c r="BD7" s="2190"/>
      <c r="BE7" s="267"/>
      <c r="BF7" s="267"/>
      <c r="BG7" s="267"/>
      <c r="BH7" s="263"/>
      <c r="BI7" s="2188" t="s">
        <v>1123</v>
      </c>
      <c r="BJ7" s="2191">
        <f>'"Kvävesimulator"'!U30</f>
        <v>1.62</v>
      </c>
      <c r="BK7" s="2189" t="s">
        <v>103</v>
      </c>
      <c r="BL7" s="323"/>
      <c r="BM7" s="2192" t="s">
        <v>1124</v>
      </c>
      <c r="BN7" s="2192" t="s">
        <v>727</v>
      </c>
      <c r="BO7" s="308"/>
      <c r="BP7" s="2190"/>
      <c r="BQ7" s="267"/>
      <c r="BR7" s="267"/>
      <c r="BS7" s="267"/>
      <c r="BT7" s="263"/>
      <c r="BU7" s="2188" t="s">
        <v>1123</v>
      </c>
      <c r="BV7" s="2191">
        <f>'"Kvävesimulator"'!U32</f>
        <v>1.1299999999999999</v>
      </c>
      <c r="BW7" s="2189" t="s">
        <v>103</v>
      </c>
      <c r="BX7" s="323"/>
      <c r="BY7" s="2192" t="s">
        <v>1124</v>
      </c>
      <c r="BZ7" s="2192" t="s">
        <v>727</v>
      </c>
      <c r="CA7" s="308"/>
      <c r="CB7" s="2190"/>
      <c r="CC7" s="267"/>
      <c r="CD7" s="267"/>
      <c r="CE7" s="267"/>
      <c r="CF7" s="263"/>
      <c r="CG7" s="2188" t="s">
        <v>1123</v>
      </c>
      <c r="CH7" s="2191">
        <f>'"Kvävesimulator"'!U34</f>
        <v>1.25</v>
      </c>
      <c r="CI7" s="2189" t="s">
        <v>103</v>
      </c>
      <c r="CJ7" s="323"/>
      <c r="CK7" s="2192" t="s">
        <v>1124</v>
      </c>
      <c r="CL7" s="2192" t="s">
        <v>727</v>
      </c>
      <c r="CM7" s="308"/>
      <c r="CN7" s="2190"/>
      <c r="CO7" s="267"/>
      <c r="CP7" s="267"/>
      <c r="CQ7" s="267"/>
      <c r="CR7" s="263"/>
      <c r="CS7" s="2188" t="s">
        <v>1123</v>
      </c>
      <c r="CT7" s="2191">
        <f>'"Kvävesimulator"'!U36</f>
        <v>1.6</v>
      </c>
      <c r="CU7" s="2189" t="s">
        <v>103</v>
      </c>
      <c r="CV7" s="323"/>
      <c r="CW7" s="2192" t="s">
        <v>1124</v>
      </c>
      <c r="CX7" s="2192" t="s">
        <v>727</v>
      </c>
      <c r="CY7" s="308"/>
      <c r="CZ7" s="2190"/>
      <c r="DA7" s="267"/>
      <c r="DB7" s="267"/>
      <c r="DC7" s="267"/>
      <c r="DD7" s="263"/>
    </row>
    <row r="8" spans="1:108">
      <c r="A8" s="2188" t="s">
        <v>1125</v>
      </c>
      <c r="B8" s="2191">
        <f>'"Kvävesimulator"'!S8</f>
        <v>11.3</v>
      </c>
      <c r="C8" s="2189" t="s">
        <v>103</v>
      </c>
      <c r="D8" s="323"/>
      <c r="E8" s="310">
        <v>30</v>
      </c>
      <c r="F8" s="2194">
        <f t="shared" ref="F8:F16" si="0">$B$12+(E8-$B$14/100)*$B$16</f>
        <v>77.079010374724618</v>
      </c>
      <c r="G8" s="308"/>
      <c r="H8" s="2190"/>
      <c r="I8" s="267"/>
      <c r="J8" s="267"/>
      <c r="K8" s="267"/>
      <c r="L8" s="267"/>
      <c r="M8" s="2188" t="s">
        <v>1125</v>
      </c>
      <c r="N8" s="2191">
        <f>'"Kvävesimulator"'!S8</f>
        <v>11.3</v>
      </c>
      <c r="O8" s="2189" t="s">
        <v>103</v>
      </c>
      <c r="P8" s="323"/>
      <c r="Q8" s="310">
        <v>30</v>
      </c>
      <c r="R8" s="2194">
        <f t="shared" ref="R8:R16" si="1">$N$12+(Q8-$N$14/100)*$N$16</f>
        <v>80.495523054936612</v>
      </c>
      <c r="S8" s="308"/>
      <c r="T8" s="2190"/>
      <c r="U8" s="267"/>
      <c r="V8" s="267"/>
      <c r="W8" s="267"/>
      <c r="X8" s="267"/>
      <c r="Y8" s="2188" t="s">
        <v>1125</v>
      </c>
      <c r="Z8" s="2191">
        <f>'"Kvävesimulator"'!S8</f>
        <v>11.3</v>
      </c>
      <c r="AA8" s="2189" t="s">
        <v>103</v>
      </c>
      <c r="AB8" s="323"/>
      <c r="AC8" s="310">
        <v>30</v>
      </c>
      <c r="AD8" s="2194">
        <f t="shared" ref="AD8:AD16" si="2">$Z$12+(AC8-$B$14/100)*$Z$16</f>
        <v>90.105347166299481</v>
      </c>
      <c r="AE8" s="308"/>
      <c r="AF8" s="2190"/>
      <c r="AG8" s="267"/>
      <c r="AH8" s="267"/>
      <c r="AI8" s="267"/>
      <c r="AJ8" s="267"/>
      <c r="AK8" s="2188" t="s">
        <v>1125</v>
      </c>
      <c r="AL8" s="2191">
        <f>'"Kvävesimulator"'!S8</f>
        <v>11.3</v>
      </c>
      <c r="AM8" s="2189" t="s">
        <v>103</v>
      </c>
      <c r="AN8" s="323"/>
      <c r="AO8" s="310">
        <v>30</v>
      </c>
      <c r="AP8" s="2194">
        <f t="shared" ref="AP8:AP16" si="3">$AL$12+(AO8-$AL$14/100)*$AL$16</f>
        <v>65.492724927407266</v>
      </c>
      <c r="AQ8" s="308"/>
      <c r="AR8" s="2190"/>
      <c r="AS8" s="267"/>
      <c r="AT8" s="267"/>
      <c r="AU8" s="267"/>
      <c r="AV8" s="267"/>
      <c r="AW8" s="2188" t="s">
        <v>1125</v>
      </c>
      <c r="AX8" s="2191">
        <f>'"Kvävesimulator"'!S8</f>
        <v>11.3</v>
      </c>
      <c r="AY8" s="2189" t="s">
        <v>103</v>
      </c>
      <c r="AZ8" s="323"/>
      <c r="BA8" s="310">
        <v>30</v>
      </c>
      <c r="BB8" s="2194">
        <f t="shared" ref="BB8:BB14" si="4">$AX$12+(BA8-$AX$14/100)*$AX$16</f>
        <v>53.853803500011203</v>
      </c>
      <c r="BC8" s="308"/>
      <c r="BD8" s="2190"/>
      <c r="BE8" s="267"/>
      <c r="BF8" s="267"/>
      <c r="BG8" s="267"/>
      <c r="BH8" s="263"/>
      <c r="BI8" s="2188" t="s">
        <v>1125</v>
      </c>
      <c r="BJ8" s="2191">
        <f>'"Kvävesimulator"'!S8</f>
        <v>11.3</v>
      </c>
      <c r="BK8" s="2189" t="s">
        <v>103</v>
      </c>
      <c r="BL8" s="323"/>
      <c r="BM8" s="310">
        <v>30</v>
      </c>
      <c r="BN8" s="2194">
        <f t="shared" ref="BN8:BN14" si="5">$BJ$12+(BM8-$BJ$14/100)*$BJ$16</f>
        <v>60.674299500007017</v>
      </c>
      <c r="BO8" s="308"/>
      <c r="BP8" s="2190"/>
      <c r="BQ8" s="267"/>
      <c r="BR8" s="267"/>
      <c r="BS8" s="267"/>
      <c r="BT8" s="263"/>
      <c r="BU8" s="2188" t="s">
        <v>1125</v>
      </c>
      <c r="BV8" s="2191">
        <f>'"Kvävesimulator"'!S8</f>
        <v>11.3</v>
      </c>
      <c r="BW8" s="2189" t="s">
        <v>103</v>
      </c>
      <c r="BX8" s="323"/>
      <c r="BY8" s="310">
        <v>30</v>
      </c>
      <c r="BZ8" s="2194">
        <f t="shared" ref="BZ8:BZ16" si="6">$BV$12+(BY8-$BV$14/100)*$BV$16</f>
        <v>56.04830130099424</v>
      </c>
      <c r="CA8" s="308"/>
      <c r="CB8" s="2190"/>
      <c r="CC8" s="267"/>
      <c r="CD8" s="267"/>
      <c r="CE8" s="267"/>
      <c r="CF8" s="263"/>
      <c r="CG8" s="2188" t="s">
        <v>1125</v>
      </c>
      <c r="CH8" s="2191">
        <f>'"Kvävesimulator"'!S8</f>
        <v>11.3</v>
      </c>
      <c r="CI8" s="2189" t="s">
        <v>103</v>
      </c>
      <c r="CJ8" s="323"/>
      <c r="CK8" s="310">
        <v>30</v>
      </c>
      <c r="CL8" s="2194">
        <f t="shared" ref="CL8:CL16" si="7">$CH$12+(CK8-$CH$14/100)*$CH$16</f>
        <v>69.562673463254285</v>
      </c>
      <c r="CM8" s="308"/>
      <c r="CN8" s="2190"/>
      <c r="CO8" s="267"/>
      <c r="CP8" s="267"/>
      <c r="CQ8" s="267"/>
      <c r="CR8" s="263"/>
      <c r="CS8" s="2188" t="s">
        <v>1125</v>
      </c>
      <c r="CT8" s="2191">
        <f>'"Kvävesimulator"'!S8</f>
        <v>11.3</v>
      </c>
      <c r="CU8" s="2189" t="s">
        <v>103</v>
      </c>
      <c r="CV8" s="323"/>
      <c r="CW8" s="310">
        <v>30</v>
      </c>
      <c r="CX8" s="2194">
        <f t="shared" ref="CX8:CX14" si="8">$CT$12+(CW8-$CT$14/100)*$CT$16</f>
        <v>61.535812000006459</v>
      </c>
      <c r="CY8" s="308"/>
      <c r="CZ8" s="2190"/>
      <c r="DA8" s="267"/>
      <c r="DB8" s="267"/>
      <c r="DC8" s="267"/>
      <c r="DD8" s="263"/>
    </row>
    <row r="9" spans="1:108">
      <c r="A9" s="2188" t="s">
        <v>1126</v>
      </c>
      <c r="B9" s="2191">
        <f>'"Kvävesimulator"'!W20</f>
        <v>0.25</v>
      </c>
      <c r="C9" s="2189" t="s">
        <v>103</v>
      </c>
      <c r="D9" s="323"/>
      <c r="E9" s="310">
        <v>40</v>
      </c>
      <c r="F9" s="2194">
        <f t="shared" si="0"/>
        <v>92.079010374724618</v>
      </c>
      <c r="G9" s="308"/>
      <c r="H9" s="2190"/>
      <c r="I9" s="267"/>
      <c r="J9" s="267"/>
      <c r="K9" s="267"/>
      <c r="L9" s="267"/>
      <c r="M9" s="2188" t="s">
        <v>1126</v>
      </c>
      <c r="N9" s="2191">
        <f>'"Kvävesimulator"'!W22</f>
        <v>0.25</v>
      </c>
      <c r="O9" s="2189" t="s">
        <v>103</v>
      </c>
      <c r="P9" s="323"/>
      <c r="Q9" s="310">
        <v>40</v>
      </c>
      <c r="R9" s="2194">
        <f t="shared" si="1"/>
        <v>95.495523054936612</v>
      </c>
      <c r="S9" s="308"/>
      <c r="T9" s="2190"/>
      <c r="U9" s="267"/>
      <c r="V9" s="267"/>
      <c r="W9" s="267"/>
      <c r="X9" s="267"/>
      <c r="Y9" s="2188" t="s">
        <v>1126</v>
      </c>
      <c r="Z9" s="2191">
        <f>'"Kvävesimulator"'!W24</f>
        <v>0.25</v>
      </c>
      <c r="AA9" s="2189" t="s">
        <v>103</v>
      </c>
      <c r="AB9" s="323"/>
      <c r="AC9" s="310">
        <v>40</v>
      </c>
      <c r="AD9" s="2194">
        <f t="shared" si="2"/>
        <v>110.10534716629948</v>
      </c>
      <c r="AE9" s="308"/>
      <c r="AF9" s="2190"/>
      <c r="AG9" s="267"/>
      <c r="AH9" s="267"/>
      <c r="AI9" s="267"/>
      <c r="AJ9" s="267"/>
      <c r="AK9" s="2188" t="s">
        <v>1126</v>
      </c>
      <c r="AL9" s="2191">
        <f>'"Kvävesimulator"'!W26</f>
        <v>0.25</v>
      </c>
      <c r="AM9" s="2189" t="s">
        <v>103</v>
      </c>
      <c r="AN9" s="323"/>
      <c r="AO9" s="310">
        <v>40</v>
      </c>
      <c r="AP9" s="2194">
        <f t="shared" si="3"/>
        <v>80.492724927407266</v>
      </c>
      <c r="AQ9" s="308"/>
      <c r="AR9" s="2190"/>
      <c r="AS9" s="267"/>
      <c r="AT9" s="267"/>
      <c r="AU9" s="267"/>
      <c r="AV9" s="267"/>
      <c r="AW9" s="2188" t="s">
        <v>1126</v>
      </c>
      <c r="AX9" s="2191">
        <f>'"Kvävesimulator"'!W28</f>
        <v>0.25</v>
      </c>
      <c r="AY9" s="2189" t="s">
        <v>103</v>
      </c>
      <c r="AZ9" s="323"/>
      <c r="BA9" s="310">
        <v>40</v>
      </c>
      <c r="BB9" s="2194">
        <f t="shared" si="4"/>
        <v>68.853803500011196</v>
      </c>
      <c r="BC9" s="308"/>
      <c r="BD9" s="2190"/>
      <c r="BE9" s="267"/>
      <c r="BF9" s="267"/>
      <c r="BG9" s="267"/>
      <c r="BH9" s="263"/>
      <c r="BI9" s="2188" t="s">
        <v>1126</v>
      </c>
      <c r="BJ9" s="2191">
        <f>'"Kvävesimulator"'!W30</f>
        <v>0.25</v>
      </c>
      <c r="BK9" s="2189" t="s">
        <v>103</v>
      </c>
      <c r="BL9" s="323"/>
      <c r="BM9" s="310">
        <v>40</v>
      </c>
      <c r="BN9" s="2194">
        <f t="shared" si="5"/>
        <v>75.67429950000701</v>
      </c>
      <c r="BO9" s="308"/>
      <c r="BP9" s="2190"/>
      <c r="BQ9" s="267"/>
      <c r="BR9" s="267"/>
      <c r="BS9" s="267"/>
      <c r="BT9" s="263"/>
      <c r="BU9" s="2188" t="s">
        <v>1126</v>
      </c>
      <c r="BV9" s="2191">
        <f>'"Kvävesimulator"'!W32</f>
        <v>0.25</v>
      </c>
      <c r="BW9" s="2189" t="s">
        <v>103</v>
      </c>
      <c r="BX9" s="323"/>
      <c r="BY9" s="310">
        <v>40</v>
      </c>
      <c r="BZ9" s="2194">
        <f t="shared" si="6"/>
        <v>71.04830130099424</v>
      </c>
      <c r="CA9" s="308"/>
      <c r="CB9" s="2190"/>
      <c r="CC9" s="267"/>
      <c r="CD9" s="267"/>
      <c r="CE9" s="267"/>
      <c r="CF9" s="263"/>
      <c r="CG9" s="2188" t="s">
        <v>1126</v>
      </c>
      <c r="CH9" s="2191">
        <f>'"Kvävesimulator"'!W34</f>
        <v>0.25</v>
      </c>
      <c r="CI9" s="2189" t="s">
        <v>103</v>
      </c>
      <c r="CJ9" s="323"/>
      <c r="CK9" s="310">
        <v>40</v>
      </c>
      <c r="CL9" s="2194">
        <f t="shared" si="7"/>
        <v>84.562673463254285</v>
      </c>
      <c r="CM9" s="308"/>
      <c r="CN9" s="2190"/>
      <c r="CO9" s="267"/>
      <c r="CP9" s="267"/>
      <c r="CQ9" s="267"/>
      <c r="CR9" s="263"/>
      <c r="CS9" s="2188" t="s">
        <v>1126</v>
      </c>
      <c r="CT9" s="2191">
        <f>'"Kvävesimulator"'!W36</f>
        <v>0.25</v>
      </c>
      <c r="CU9" s="2189" t="s">
        <v>103</v>
      </c>
      <c r="CV9" s="323"/>
      <c r="CW9" s="310">
        <v>40</v>
      </c>
      <c r="CX9" s="2194">
        <f t="shared" si="8"/>
        <v>76.535812000006459</v>
      </c>
      <c r="CY9" s="308"/>
      <c r="CZ9" s="2190"/>
      <c r="DA9" s="267"/>
      <c r="DB9" s="267"/>
      <c r="DC9" s="267"/>
      <c r="DD9" s="263"/>
    </row>
    <row r="10" spans="1:108">
      <c r="A10" s="2188" t="s">
        <v>1127</v>
      </c>
      <c r="B10" s="2195">
        <f>B8/(B7-B9)</f>
        <v>9.8260869565217401</v>
      </c>
      <c r="C10" s="2189"/>
      <c r="D10" s="323"/>
      <c r="E10" s="310">
        <v>50</v>
      </c>
      <c r="F10" s="2194">
        <f t="shared" si="0"/>
        <v>107.07901037472462</v>
      </c>
      <c r="G10" s="308"/>
      <c r="H10" s="2190"/>
      <c r="I10" s="267"/>
      <c r="J10" s="267"/>
      <c r="K10" s="267"/>
      <c r="L10" s="267"/>
      <c r="M10" s="2188" t="s">
        <v>1127</v>
      </c>
      <c r="N10" s="2195">
        <f>N8/(N7-N9)</f>
        <v>9.2622950819672134</v>
      </c>
      <c r="O10" s="2189"/>
      <c r="P10" s="323"/>
      <c r="Q10" s="310">
        <v>50</v>
      </c>
      <c r="R10" s="2194">
        <f t="shared" si="1"/>
        <v>110.49552305493661</v>
      </c>
      <c r="S10" s="308"/>
      <c r="T10" s="2190"/>
      <c r="U10" s="267"/>
      <c r="V10" s="267"/>
      <c r="W10" s="267"/>
      <c r="X10" s="267"/>
      <c r="Y10" s="2188" t="s">
        <v>1127</v>
      </c>
      <c r="Z10" s="2195">
        <f>Z8/(Z7-Z9)</f>
        <v>8.6259541984732824</v>
      </c>
      <c r="AA10" s="2189"/>
      <c r="AB10" s="323"/>
      <c r="AC10" s="310">
        <v>50</v>
      </c>
      <c r="AD10" s="2194">
        <f t="shared" si="2"/>
        <v>130.10534716629948</v>
      </c>
      <c r="AE10" s="308"/>
      <c r="AF10" s="2190"/>
      <c r="AG10" s="267"/>
      <c r="AH10" s="267"/>
      <c r="AI10" s="267"/>
      <c r="AJ10" s="267"/>
      <c r="AK10" s="2188" t="s">
        <v>1127</v>
      </c>
      <c r="AL10" s="2195">
        <f>AL8/(AL7-AL9)</f>
        <v>12.840909090909093</v>
      </c>
      <c r="AM10" s="2189"/>
      <c r="AN10" s="323"/>
      <c r="AO10" s="310">
        <v>50</v>
      </c>
      <c r="AP10" s="2194">
        <f t="shared" si="3"/>
        <v>95.492724927407266</v>
      </c>
      <c r="AQ10" s="308"/>
      <c r="AR10" s="2190"/>
      <c r="AS10" s="267"/>
      <c r="AT10" s="267"/>
      <c r="AU10" s="267"/>
      <c r="AV10" s="267"/>
      <c r="AW10" s="2188" t="s">
        <v>1127</v>
      </c>
      <c r="AX10" s="2195">
        <f>AX8/(AX7-AX9)</f>
        <v>10.660377358490566</v>
      </c>
      <c r="AY10" s="2189"/>
      <c r="AZ10" s="323"/>
      <c r="BA10" s="310">
        <v>50</v>
      </c>
      <c r="BB10" s="2194">
        <f t="shared" si="4"/>
        <v>83.853803500011196</v>
      </c>
      <c r="BC10" s="308"/>
      <c r="BD10" s="2190"/>
      <c r="BE10" s="267"/>
      <c r="BF10" s="267"/>
      <c r="BG10" s="267"/>
      <c r="BH10" s="263"/>
      <c r="BI10" s="2188" t="s">
        <v>1127</v>
      </c>
      <c r="BJ10" s="2195">
        <f>BJ8/(BJ7-BJ9)</f>
        <v>8.2481751824817522</v>
      </c>
      <c r="BK10" s="2189"/>
      <c r="BL10" s="323"/>
      <c r="BM10" s="310">
        <v>50</v>
      </c>
      <c r="BN10" s="2194">
        <f t="shared" si="5"/>
        <v>90.67429950000701</v>
      </c>
      <c r="BO10" s="308"/>
      <c r="BP10" s="2190"/>
      <c r="BQ10" s="267"/>
      <c r="BR10" s="267"/>
      <c r="BS10" s="267"/>
      <c r="BT10" s="263"/>
      <c r="BU10" s="2188" t="s">
        <v>1127</v>
      </c>
      <c r="BV10" s="2195">
        <f>BV8/(BV7-BV9)</f>
        <v>12.840909090909093</v>
      </c>
      <c r="BW10" s="2189"/>
      <c r="BX10" s="323"/>
      <c r="BY10" s="310">
        <v>50</v>
      </c>
      <c r="BZ10" s="2194">
        <f t="shared" si="6"/>
        <v>86.04830130099424</v>
      </c>
      <c r="CA10" s="308"/>
      <c r="CB10" s="2190"/>
      <c r="CC10" s="267"/>
      <c r="CD10" s="267"/>
      <c r="CE10" s="267"/>
      <c r="CF10" s="263"/>
      <c r="CG10" s="2188" t="s">
        <v>1127</v>
      </c>
      <c r="CH10" s="2195">
        <f>CH8/(CH7-CH9)</f>
        <v>11.3</v>
      </c>
      <c r="CI10" s="2189"/>
      <c r="CJ10" s="323"/>
      <c r="CK10" s="310">
        <v>50</v>
      </c>
      <c r="CL10" s="2194">
        <f t="shared" si="7"/>
        <v>99.562673463254285</v>
      </c>
      <c r="CM10" s="308"/>
      <c r="CN10" s="2190"/>
      <c r="CO10" s="267"/>
      <c r="CP10" s="267"/>
      <c r="CQ10" s="267"/>
      <c r="CR10" s="263"/>
      <c r="CS10" s="2188" t="s">
        <v>1127</v>
      </c>
      <c r="CT10" s="2195">
        <f>CT8/(CT7-CT9)</f>
        <v>8.3703703703703702</v>
      </c>
      <c r="CU10" s="2189"/>
      <c r="CV10" s="323"/>
      <c r="CW10" s="310">
        <v>50</v>
      </c>
      <c r="CX10" s="2194">
        <f t="shared" si="8"/>
        <v>91.535812000006459</v>
      </c>
      <c r="CY10" s="308"/>
      <c r="CZ10" s="2190"/>
      <c r="DA10" s="267"/>
      <c r="DB10" s="267"/>
      <c r="DC10" s="267"/>
      <c r="DD10" s="263"/>
    </row>
    <row r="11" spans="1:108">
      <c r="A11" s="2188"/>
      <c r="B11" s="357"/>
      <c r="C11" s="2189"/>
      <c r="D11" s="323"/>
      <c r="E11" s="310">
        <v>60</v>
      </c>
      <c r="F11" s="2194">
        <f t="shared" si="0"/>
        <v>122.07901037472462</v>
      </c>
      <c r="G11" s="308"/>
      <c r="H11" s="2190"/>
      <c r="I11" s="267"/>
      <c r="J11" s="267"/>
      <c r="K11" s="267"/>
      <c r="L11" s="267"/>
      <c r="M11" s="2188"/>
      <c r="N11" s="357"/>
      <c r="O11" s="2189"/>
      <c r="P11" s="323"/>
      <c r="Q11" s="310">
        <v>60</v>
      </c>
      <c r="R11" s="2194">
        <f t="shared" si="1"/>
        <v>125.49552305493661</v>
      </c>
      <c r="S11" s="308"/>
      <c r="T11" s="2190"/>
      <c r="U11" s="267"/>
      <c r="V11" s="267"/>
      <c r="W11" s="267"/>
      <c r="X11" s="267"/>
      <c r="Y11" s="2188"/>
      <c r="Z11" s="357"/>
      <c r="AA11" s="2189"/>
      <c r="AB11" s="323"/>
      <c r="AC11" s="310">
        <v>60</v>
      </c>
      <c r="AD11" s="2194">
        <f t="shared" si="2"/>
        <v>150.10534716629948</v>
      </c>
      <c r="AE11" s="308"/>
      <c r="AF11" s="2190"/>
      <c r="AG11" s="267"/>
      <c r="AH11" s="267"/>
      <c r="AI11" s="267"/>
      <c r="AJ11" s="267"/>
      <c r="AK11" s="2188"/>
      <c r="AL11" s="357"/>
      <c r="AM11" s="2189"/>
      <c r="AN11" s="323"/>
      <c r="AO11" s="310">
        <v>60</v>
      </c>
      <c r="AP11" s="2194">
        <f t="shared" si="3"/>
        <v>110.49272492740727</v>
      </c>
      <c r="AQ11" s="308"/>
      <c r="AR11" s="2190"/>
      <c r="AS11" s="267"/>
      <c r="AT11" s="267"/>
      <c r="AU11" s="267"/>
      <c r="AV11" s="267"/>
      <c r="AW11" s="2188"/>
      <c r="AX11" s="357"/>
      <c r="AY11" s="2189"/>
      <c r="AZ11" s="323"/>
      <c r="BA11" s="310">
        <v>60</v>
      </c>
      <c r="BB11" s="2194">
        <f t="shared" si="4"/>
        <v>98.853803500011196</v>
      </c>
      <c r="BC11" s="308"/>
      <c r="BD11" s="2190"/>
      <c r="BE11" s="267"/>
      <c r="BF11" s="267"/>
      <c r="BG11" s="267"/>
      <c r="BH11" s="263"/>
      <c r="BI11" s="2188"/>
      <c r="BJ11" s="357"/>
      <c r="BK11" s="2189"/>
      <c r="BL11" s="323"/>
      <c r="BM11" s="310">
        <v>60</v>
      </c>
      <c r="BN11" s="2194">
        <f t="shared" si="5"/>
        <v>105.67429950000701</v>
      </c>
      <c r="BO11" s="308"/>
      <c r="BP11" s="2190"/>
      <c r="BQ11" s="267"/>
      <c r="BR11" s="267"/>
      <c r="BS11" s="267"/>
      <c r="BT11" s="263"/>
      <c r="BU11" s="2188"/>
      <c r="BV11" s="357"/>
      <c r="BW11" s="2189"/>
      <c r="BX11" s="323"/>
      <c r="BY11" s="310">
        <v>60</v>
      </c>
      <c r="BZ11" s="2194">
        <f t="shared" si="6"/>
        <v>101.04830130099424</v>
      </c>
      <c r="CA11" s="308"/>
      <c r="CB11" s="2190"/>
      <c r="CC11" s="267"/>
      <c r="CD11" s="267"/>
      <c r="CE11" s="267"/>
      <c r="CF11" s="263"/>
      <c r="CG11" s="2188"/>
      <c r="CH11" s="357"/>
      <c r="CI11" s="2189"/>
      <c r="CJ11" s="323"/>
      <c r="CK11" s="310">
        <v>60</v>
      </c>
      <c r="CL11" s="2194">
        <f t="shared" si="7"/>
        <v>114.56267346325428</v>
      </c>
      <c r="CM11" s="308"/>
      <c r="CN11" s="2190"/>
      <c r="CO11" s="267"/>
      <c r="CP11" s="267"/>
      <c r="CQ11" s="267"/>
      <c r="CR11" s="263"/>
      <c r="CS11" s="2188"/>
      <c r="CT11" s="357"/>
      <c r="CU11" s="2189"/>
      <c r="CV11" s="323"/>
      <c r="CW11" s="310">
        <v>60</v>
      </c>
      <c r="CX11" s="2194">
        <f t="shared" si="8"/>
        <v>106.53581200000646</v>
      </c>
      <c r="CY11" s="308"/>
      <c r="CZ11" s="2190"/>
      <c r="DA11" s="267"/>
      <c r="DB11" s="267"/>
      <c r="DC11" s="267"/>
      <c r="DD11" s="263"/>
    </row>
    <row r="12" spans="1:108">
      <c r="A12" s="2188" t="s">
        <v>1128</v>
      </c>
      <c r="B12" s="2193">
        <f>VLOOKUP(B30,Fodervete_S,4)+B13</f>
        <v>161</v>
      </c>
      <c r="C12" s="2189" t="s">
        <v>1129</v>
      </c>
      <c r="D12" s="323"/>
      <c r="E12" s="310">
        <v>70</v>
      </c>
      <c r="F12" s="2194">
        <f t="shared" si="0"/>
        <v>137.07901037472462</v>
      </c>
      <c r="G12" s="308"/>
      <c r="H12" s="2190"/>
      <c r="I12" s="267"/>
      <c r="J12" s="267"/>
      <c r="K12" s="267"/>
      <c r="L12" s="267"/>
      <c r="M12" s="2188" t="s">
        <v>1128</v>
      </c>
      <c r="N12" s="2193">
        <f>VLOOKUP(N30,Kvarnvete_S,4)+N13</f>
        <v>165</v>
      </c>
      <c r="O12" s="2189" t="s">
        <v>1129</v>
      </c>
      <c r="P12" s="323"/>
      <c r="Q12" s="310">
        <v>70</v>
      </c>
      <c r="R12" s="2194">
        <f t="shared" si="1"/>
        <v>140.4955230549366</v>
      </c>
      <c r="S12" s="308"/>
      <c r="T12" s="2190"/>
      <c r="U12" s="267"/>
      <c r="V12" s="267"/>
      <c r="W12" s="267"/>
      <c r="X12" s="267"/>
      <c r="Y12" s="2188" t="s">
        <v>1128</v>
      </c>
      <c r="Z12" s="2193">
        <f>VLOOKUP(Z30,Vårvete_S,4)+Z13</f>
        <v>202</v>
      </c>
      <c r="AA12" s="2189" t="s">
        <v>1129</v>
      </c>
      <c r="AB12" s="323"/>
      <c r="AC12" s="310">
        <v>70</v>
      </c>
      <c r="AD12" s="2194">
        <f t="shared" si="2"/>
        <v>170.10534716629948</v>
      </c>
      <c r="AE12" s="308"/>
      <c r="AF12" s="2190"/>
      <c r="AG12" s="267"/>
      <c r="AH12" s="267"/>
      <c r="AI12" s="267"/>
      <c r="AJ12" s="267"/>
      <c r="AK12" s="2188" t="s">
        <v>1128</v>
      </c>
      <c r="AL12" s="2193">
        <f>VLOOKUP(AL30,Höstkorn_S,4)+AL13</f>
        <v>147</v>
      </c>
      <c r="AM12" s="2189" t="s">
        <v>1129</v>
      </c>
      <c r="AN12" s="323"/>
      <c r="AO12" s="310">
        <v>70</v>
      </c>
      <c r="AP12" s="2194">
        <f t="shared" si="3"/>
        <v>125.49272492740727</v>
      </c>
      <c r="AQ12" s="308"/>
      <c r="AR12" s="2190"/>
      <c r="AS12" s="267"/>
      <c r="AT12" s="267"/>
      <c r="AU12" s="267"/>
      <c r="AV12" s="267"/>
      <c r="AW12" s="2188" t="s">
        <v>1128</v>
      </c>
      <c r="AX12" s="2193">
        <f>VLOOKUP(AX30,Vårkorn_S,4)+AX13</f>
        <v>103</v>
      </c>
      <c r="AY12" s="2189" t="s">
        <v>1129</v>
      </c>
      <c r="AZ12" s="323"/>
      <c r="BA12" s="310">
        <v>70</v>
      </c>
      <c r="BB12" s="2194">
        <f t="shared" si="4"/>
        <v>113.8538035000112</v>
      </c>
      <c r="BC12" s="308"/>
      <c r="BD12" s="2190"/>
      <c r="BE12" s="267"/>
      <c r="BF12" s="267"/>
      <c r="BG12" s="267"/>
      <c r="BH12" s="263"/>
      <c r="BI12" s="2188" t="s">
        <v>1128</v>
      </c>
      <c r="BJ12" s="2193">
        <f>VLOOKUP(BJ30,Maltkorn_S,4)+BJ13</f>
        <v>111</v>
      </c>
      <c r="BK12" s="2189" t="s">
        <v>1129</v>
      </c>
      <c r="BL12" s="323"/>
      <c r="BM12" s="310">
        <v>70</v>
      </c>
      <c r="BN12" s="2194">
        <f t="shared" si="5"/>
        <v>120.67429950000701</v>
      </c>
      <c r="BO12" s="308"/>
      <c r="BP12" s="2190"/>
      <c r="BQ12" s="267"/>
      <c r="BR12" s="267"/>
      <c r="BS12" s="267"/>
      <c r="BT12" s="263"/>
      <c r="BU12" s="2188" t="s">
        <v>1128</v>
      </c>
      <c r="BV12" s="2193">
        <f>VLOOKUP(BV30,Råg_S,4)+BV13</f>
        <v>135</v>
      </c>
      <c r="BW12" s="2189" t="s">
        <v>1129</v>
      </c>
      <c r="BX12" s="323"/>
      <c r="BY12" s="310">
        <v>70</v>
      </c>
      <c r="BZ12" s="2194">
        <f t="shared" si="6"/>
        <v>116.04830130099424</v>
      </c>
      <c r="CA12" s="308"/>
      <c r="CB12" s="2190"/>
      <c r="CC12" s="267"/>
      <c r="CD12" s="267"/>
      <c r="CE12" s="267"/>
      <c r="CF12" s="263"/>
      <c r="CG12" s="2188" t="s">
        <v>1128</v>
      </c>
      <c r="CH12" s="2193">
        <f>VLOOKUP(CH30,Rågvete_S,4)+CH13</f>
        <v>152</v>
      </c>
      <c r="CI12" s="2189" t="s">
        <v>1129</v>
      </c>
      <c r="CJ12" s="323"/>
      <c r="CK12" s="310">
        <v>70</v>
      </c>
      <c r="CL12" s="2194">
        <f t="shared" si="7"/>
        <v>129.56267346325427</v>
      </c>
      <c r="CM12" s="308"/>
      <c r="CN12" s="2190"/>
      <c r="CO12" s="267"/>
      <c r="CP12" s="267"/>
      <c r="CQ12" s="267"/>
      <c r="CR12" s="263"/>
      <c r="CS12" s="2188" t="s">
        <v>1128</v>
      </c>
      <c r="CT12" s="2193">
        <f>VLOOKUP(CT30,Havre_S,4)+CT13</f>
        <v>112</v>
      </c>
      <c r="CU12" s="2189" t="s">
        <v>1129</v>
      </c>
      <c r="CV12" s="323"/>
      <c r="CW12" s="310">
        <v>70</v>
      </c>
      <c r="CX12" s="2194">
        <f t="shared" si="8"/>
        <v>121.53581200000646</v>
      </c>
      <c r="CY12" s="308"/>
      <c r="CZ12" s="2190"/>
      <c r="DA12" s="267"/>
      <c r="DB12" s="267"/>
      <c r="DC12" s="267"/>
      <c r="DD12" s="263"/>
    </row>
    <row r="13" spans="1:108">
      <c r="A13" s="2188" t="s">
        <v>149</v>
      </c>
      <c r="B13" s="2196">
        <v>-2</v>
      </c>
      <c r="C13" s="2189" t="s">
        <v>317</v>
      </c>
      <c r="D13" s="323"/>
      <c r="E13" s="310">
        <v>80</v>
      </c>
      <c r="F13" s="2194">
        <f t="shared" si="0"/>
        <v>152.07901037472462</v>
      </c>
      <c r="G13" s="308"/>
      <c r="H13" s="2190"/>
      <c r="I13" s="267"/>
      <c r="J13" s="267"/>
      <c r="K13" s="267"/>
      <c r="L13" s="267"/>
      <c r="M13" s="2188" t="s">
        <v>149</v>
      </c>
      <c r="N13" s="2196">
        <v>-1</v>
      </c>
      <c r="O13" s="2189" t="s">
        <v>317</v>
      </c>
      <c r="P13" s="323"/>
      <c r="Q13" s="310">
        <v>80</v>
      </c>
      <c r="R13" s="2194">
        <f t="shared" si="1"/>
        <v>155.4955230549366</v>
      </c>
      <c r="S13" s="308"/>
      <c r="T13" s="2190"/>
      <c r="U13" s="267"/>
      <c r="V13" s="267"/>
      <c r="W13" s="267"/>
      <c r="X13" s="267"/>
      <c r="Y13" s="2188" t="s">
        <v>149</v>
      </c>
      <c r="Z13" s="2196">
        <v>32</v>
      </c>
      <c r="AA13" s="2189" t="s">
        <v>317</v>
      </c>
      <c r="AB13" s="323"/>
      <c r="AC13" s="310">
        <v>80</v>
      </c>
      <c r="AD13" s="2194">
        <f t="shared" si="2"/>
        <v>190.10534716629948</v>
      </c>
      <c r="AE13" s="308"/>
      <c r="AF13" s="2190"/>
      <c r="AG13" s="267"/>
      <c r="AH13" s="267"/>
      <c r="AI13" s="267"/>
      <c r="AJ13" s="267"/>
      <c r="AK13" s="2188" t="s">
        <v>149</v>
      </c>
      <c r="AL13" s="2196">
        <v>-1</v>
      </c>
      <c r="AM13" s="2189" t="s">
        <v>317</v>
      </c>
      <c r="AN13" s="323"/>
      <c r="AO13" s="310">
        <v>80</v>
      </c>
      <c r="AP13" s="2194">
        <f t="shared" si="3"/>
        <v>140.49272492740727</v>
      </c>
      <c r="AQ13" s="308"/>
      <c r="AR13" s="2190"/>
      <c r="AS13" s="267"/>
      <c r="AT13" s="267"/>
      <c r="AU13" s="267"/>
      <c r="AV13" s="267"/>
      <c r="AW13" s="2188" t="s">
        <v>149</v>
      </c>
      <c r="AX13" s="2196">
        <v>1</v>
      </c>
      <c r="AY13" s="2189" t="s">
        <v>317</v>
      </c>
      <c r="AZ13" s="323"/>
      <c r="BA13" s="310">
        <v>80</v>
      </c>
      <c r="BB13" s="2194">
        <f t="shared" si="4"/>
        <v>128.8538035000112</v>
      </c>
      <c r="BC13" s="308"/>
      <c r="BD13" s="2190"/>
      <c r="BE13" s="267"/>
      <c r="BF13" s="267"/>
      <c r="BG13" s="267"/>
      <c r="BH13" s="263"/>
      <c r="BI13" s="2188" t="s">
        <v>149</v>
      </c>
      <c r="BJ13" s="2196">
        <v>-11</v>
      </c>
      <c r="BK13" s="2189" t="s">
        <v>317</v>
      </c>
      <c r="BL13" s="323"/>
      <c r="BM13" s="310">
        <v>80</v>
      </c>
      <c r="BN13" s="2194">
        <f t="shared" si="5"/>
        <v>135.67429950000701</v>
      </c>
      <c r="BO13" s="308"/>
      <c r="BP13" s="2190"/>
      <c r="BQ13" s="267"/>
      <c r="BR13" s="267"/>
      <c r="BS13" s="267"/>
      <c r="BT13" s="263"/>
      <c r="BU13" s="2188" t="s">
        <v>149</v>
      </c>
      <c r="BV13" s="2196">
        <v>-13</v>
      </c>
      <c r="BW13" s="2189" t="s">
        <v>317</v>
      </c>
      <c r="BX13" s="323"/>
      <c r="BY13" s="310">
        <v>80</v>
      </c>
      <c r="BZ13" s="2194">
        <f t="shared" si="6"/>
        <v>131.04830130099424</v>
      </c>
      <c r="CA13" s="308"/>
      <c r="CB13" s="2190"/>
      <c r="CC13" s="267"/>
      <c r="CD13" s="267"/>
      <c r="CE13" s="267"/>
      <c r="CF13" s="263"/>
      <c r="CG13" s="2188" t="s">
        <v>149</v>
      </c>
      <c r="CH13" s="2196">
        <v>-4</v>
      </c>
      <c r="CI13" s="2189" t="s">
        <v>317</v>
      </c>
      <c r="CJ13" s="323"/>
      <c r="CK13" s="310">
        <v>80</v>
      </c>
      <c r="CL13" s="2194">
        <f t="shared" si="7"/>
        <v>144.56267346325427</v>
      </c>
      <c r="CM13" s="308"/>
      <c r="CN13" s="2190"/>
      <c r="CO13" s="267"/>
      <c r="CP13" s="267"/>
      <c r="CQ13" s="267"/>
      <c r="CR13" s="263"/>
      <c r="CS13" s="2188" t="s">
        <v>149</v>
      </c>
      <c r="CT13" s="2196">
        <v>-8</v>
      </c>
      <c r="CU13" s="2189" t="s">
        <v>317</v>
      </c>
      <c r="CV13" s="323"/>
      <c r="CW13" s="310">
        <v>80</v>
      </c>
      <c r="CX13" s="2194">
        <f t="shared" si="8"/>
        <v>136.53581200000644</v>
      </c>
      <c r="CY13" s="308"/>
      <c r="CZ13" s="2190"/>
      <c r="DA13" s="267"/>
      <c r="DB13" s="267"/>
      <c r="DC13" s="267"/>
      <c r="DD13" s="263"/>
    </row>
    <row r="14" spans="1:108">
      <c r="A14" s="2188" t="s">
        <v>1130</v>
      </c>
      <c r="B14" s="2197">
        <f>B$27+(B$26*B12)-(B$25*(B12^2))+(B$24*(B12^3))</f>
        <v>8594.7326416850265</v>
      </c>
      <c r="C14" s="2189" t="s">
        <v>317</v>
      </c>
      <c r="D14" s="323"/>
      <c r="E14" s="310">
        <v>90</v>
      </c>
      <c r="F14" s="2194">
        <f t="shared" si="0"/>
        <v>167.07901037472462</v>
      </c>
      <c r="G14" s="308"/>
      <c r="H14" s="2190"/>
      <c r="I14" s="267"/>
      <c r="J14" s="267"/>
      <c r="K14" s="267"/>
      <c r="L14" s="267"/>
      <c r="M14" s="2188" t="s">
        <v>1130</v>
      </c>
      <c r="N14" s="2197">
        <f>N$27+(N$26*N12)-(N$25*(N12^2))+(N$24*(N12^3))</f>
        <v>8633.6317963375586</v>
      </c>
      <c r="O14" s="2189" t="s">
        <v>317</v>
      </c>
      <c r="P14" s="323"/>
      <c r="Q14" s="310">
        <v>90</v>
      </c>
      <c r="R14" s="2194">
        <f t="shared" si="1"/>
        <v>170.4955230549366</v>
      </c>
      <c r="S14" s="308"/>
      <c r="T14" s="2190"/>
      <c r="U14" s="267"/>
      <c r="V14" s="267"/>
      <c r="W14" s="267"/>
      <c r="X14" s="267"/>
      <c r="Y14" s="2188" t="s">
        <v>1130</v>
      </c>
      <c r="Z14" s="2197">
        <f>Z$27+(Z$26*Z12)-(Z$25*(Z12^2))+(Z$24*(Z12^3))</f>
        <v>8860.2296639403667</v>
      </c>
      <c r="AA14" s="2189" t="s">
        <v>317</v>
      </c>
      <c r="AB14" s="323"/>
      <c r="AC14" s="310">
        <v>90</v>
      </c>
      <c r="AD14" s="2194">
        <f t="shared" si="2"/>
        <v>210.10534716629948</v>
      </c>
      <c r="AE14" s="308"/>
      <c r="AF14" s="2190"/>
      <c r="AG14" s="267"/>
      <c r="AH14" s="267"/>
      <c r="AI14" s="267"/>
      <c r="AJ14" s="267"/>
      <c r="AK14" s="2188" t="s">
        <v>1130</v>
      </c>
      <c r="AL14" s="2197">
        <f>AL$27+(AL$26*AL12)-(AL$25*(AL12^2))+(AL$24*(AL12^3))</f>
        <v>8433.8183381728486</v>
      </c>
      <c r="AM14" s="2189" t="s">
        <v>317</v>
      </c>
      <c r="AN14" s="323"/>
      <c r="AO14" s="310">
        <v>90</v>
      </c>
      <c r="AP14" s="2194">
        <f t="shared" si="3"/>
        <v>155.49272492740727</v>
      </c>
      <c r="AQ14" s="308"/>
      <c r="AR14" s="2190"/>
      <c r="AS14" s="267"/>
      <c r="AV14" s="267"/>
      <c r="AW14" s="2188" t="s">
        <v>1130</v>
      </c>
      <c r="AX14" s="2197">
        <f>$AX$27+$AX$26*AX12-($AX$25*(AX12^2))+$AX$24*(AX12^3)</f>
        <v>6276.4130999992531</v>
      </c>
      <c r="AY14" s="2189" t="s">
        <v>317</v>
      </c>
      <c r="AZ14" s="323"/>
      <c r="BA14" s="310">
        <v>90</v>
      </c>
      <c r="BB14" s="2194">
        <f t="shared" si="4"/>
        <v>143.8538035000112</v>
      </c>
      <c r="BC14" s="308"/>
      <c r="BD14" s="2190"/>
      <c r="BE14" s="267"/>
      <c r="BF14" s="267"/>
      <c r="BG14" s="267"/>
      <c r="BH14" s="263"/>
      <c r="BI14" s="2188" t="s">
        <v>1130</v>
      </c>
      <c r="BJ14" s="2197">
        <f>$BJ$27+$BJ$26*BJ12-($BJ$25*(BJ12^2))+$BJ$24*(BJ12^3)</f>
        <v>6355.0466999995324</v>
      </c>
      <c r="BK14" s="2189" t="s">
        <v>317</v>
      </c>
      <c r="BL14" s="323"/>
      <c r="BM14" s="310">
        <v>90</v>
      </c>
      <c r="BN14" s="2194">
        <f t="shared" si="5"/>
        <v>150.67429950000701</v>
      </c>
      <c r="BO14" s="308"/>
      <c r="BP14" s="2190"/>
      <c r="BQ14" s="267"/>
      <c r="BR14" s="267"/>
      <c r="BS14" s="267"/>
      <c r="BT14" s="263"/>
      <c r="BU14" s="2188" t="s">
        <v>1130</v>
      </c>
      <c r="BV14" s="2197">
        <f>BV$27+(BV$26*BV12)-(BV$25*(BV12^2))+(BV$24*(BV12^3))</f>
        <v>8263.4465799337177</v>
      </c>
      <c r="BW14" s="2189" t="s">
        <v>317</v>
      </c>
      <c r="BX14" s="323"/>
      <c r="BY14" s="310">
        <v>90</v>
      </c>
      <c r="BZ14" s="2194">
        <f t="shared" si="6"/>
        <v>146.04830130099424</v>
      </c>
      <c r="CA14" s="308"/>
      <c r="CB14" s="2190"/>
      <c r="CC14" s="267"/>
      <c r="CD14" s="267"/>
      <c r="CE14" s="267"/>
      <c r="CF14" s="263"/>
      <c r="CG14" s="2188" t="s">
        <v>1130</v>
      </c>
      <c r="CH14" s="2197">
        <f>CH$27+(CH$26*CH12)-(CH$25*(CH12^2))+(CH$24*(CH12^3))</f>
        <v>8495.8217691163809</v>
      </c>
      <c r="CI14" s="2189" t="s">
        <v>317</v>
      </c>
      <c r="CJ14" s="323"/>
      <c r="CK14" s="310">
        <v>90</v>
      </c>
      <c r="CL14" s="2194">
        <f t="shared" si="7"/>
        <v>159.56267346325427</v>
      </c>
      <c r="CM14" s="308"/>
      <c r="CN14" s="2190"/>
      <c r="CO14" s="267"/>
      <c r="CP14" s="267"/>
      <c r="CQ14" s="267"/>
      <c r="CR14" s="263"/>
      <c r="CS14" s="2188" t="s">
        <v>1130</v>
      </c>
      <c r="CT14" s="2197">
        <f>$CT$27+$CT$26*CT12-$CT$25*(CT12^2)+$CT$24*(CT12^3)</f>
        <v>6364.2791999995698</v>
      </c>
      <c r="CU14" s="2189" t="s">
        <v>317</v>
      </c>
      <c r="CV14" s="323"/>
      <c r="CW14" s="310">
        <v>90</v>
      </c>
      <c r="CX14" s="2194">
        <f t="shared" si="8"/>
        <v>151.53581200000644</v>
      </c>
      <c r="CY14" s="308"/>
      <c r="CZ14" s="2190"/>
      <c r="DA14" s="267"/>
      <c r="DB14" s="267"/>
      <c r="DC14" s="267"/>
      <c r="DD14" s="263"/>
    </row>
    <row r="15" spans="1:108">
      <c r="A15" s="2188"/>
      <c r="B15" s="357"/>
      <c r="C15" s="2189"/>
      <c r="D15" s="323"/>
      <c r="E15" s="310">
        <v>100</v>
      </c>
      <c r="F15" s="2194">
        <f t="shared" si="0"/>
        <v>182.07901037472462</v>
      </c>
      <c r="G15" s="308"/>
      <c r="H15" s="2190"/>
      <c r="I15" s="267"/>
      <c r="J15" s="267"/>
      <c r="K15" s="267"/>
      <c r="L15" s="267"/>
      <c r="M15" s="2188"/>
      <c r="N15" s="357"/>
      <c r="O15" s="2189"/>
      <c r="P15" s="323"/>
      <c r="Q15" s="310">
        <v>100</v>
      </c>
      <c r="R15" s="2194">
        <f t="shared" si="1"/>
        <v>185.4955230549366</v>
      </c>
      <c r="S15" s="308"/>
      <c r="T15" s="2190"/>
      <c r="U15" s="267"/>
      <c r="V15" s="267"/>
      <c r="W15" s="267"/>
      <c r="X15" s="267"/>
      <c r="Y15" s="2188"/>
      <c r="Z15" s="357"/>
      <c r="AA15" s="2189"/>
      <c r="AB15" s="323"/>
      <c r="AC15" s="310">
        <v>100</v>
      </c>
      <c r="AD15" s="2194">
        <f t="shared" si="2"/>
        <v>230.10534716629948</v>
      </c>
      <c r="AE15" s="308"/>
      <c r="AF15" s="2190"/>
      <c r="AG15" s="267"/>
      <c r="AH15" s="267"/>
      <c r="AI15" s="267"/>
      <c r="AJ15" s="267"/>
      <c r="AK15" s="2188"/>
      <c r="AL15" s="357"/>
      <c r="AM15" s="2189"/>
      <c r="AN15" s="323"/>
      <c r="AO15" s="310">
        <v>100</v>
      </c>
      <c r="AP15" s="2194">
        <f t="shared" si="3"/>
        <v>170.49272492740727</v>
      </c>
      <c r="AQ15" s="308"/>
      <c r="AR15" s="2190"/>
      <c r="AS15" s="267"/>
      <c r="AT15" s="267"/>
      <c r="AU15" s="267"/>
      <c r="AV15" s="267"/>
      <c r="AW15" s="2188"/>
      <c r="AX15" s="357"/>
      <c r="AY15" s="2189"/>
      <c r="AZ15" s="323"/>
      <c r="BA15" s="308"/>
      <c r="BB15" s="308"/>
      <c r="BC15" s="308"/>
      <c r="BD15" s="2190"/>
      <c r="BE15" s="267"/>
      <c r="BF15" s="267"/>
      <c r="BG15" s="267"/>
      <c r="BH15" s="263"/>
      <c r="BI15" s="2188"/>
      <c r="BJ15" s="357"/>
      <c r="BK15" s="2189"/>
      <c r="BL15" s="323"/>
      <c r="BM15" s="308"/>
      <c r="BN15" s="308"/>
      <c r="BO15" s="308"/>
      <c r="BP15" s="2190"/>
      <c r="BQ15" s="267"/>
      <c r="BR15" s="267"/>
      <c r="BS15" s="267"/>
      <c r="BT15" s="263"/>
      <c r="BU15" s="2188"/>
      <c r="BV15" s="357"/>
      <c r="BW15" s="2189"/>
      <c r="BX15" s="323"/>
      <c r="BY15" s="310">
        <v>100</v>
      </c>
      <c r="BZ15" s="2194">
        <f t="shared" si="6"/>
        <v>161.04830130099424</v>
      </c>
      <c r="CA15" s="308"/>
      <c r="CB15" s="2190"/>
      <c r="CC15" s="267"/>
      <c r="CD15" s="267"/>
      <c r="CE15" s="267"/>
      <c r="CF15" s="263"/>
      <c r="CG15" s="2188"/>
      <c r="CH15" s="357"/>
      <c r="CI15" s="2189"/>
      <c r="CJ15" s="323"/>
      <c r="CK15" s="310">
        <v>100</v>
      </c>
      <c r="CL15" s="2194">
        <f t="shared" si="7"/>
        <v>174.56267346325427</v>
      </c>
      <c r="CM15" s="308"/>
      <c r="CN15" s="2190"/>
      <c r="CO15" s="267"/>
      <c r="CP15" s="267"/>
      <c r="CQ15" s="267"/>
      <c r="CR15" s="263"/>
      <c r="CS15" s="2188"/>
      <c r="CT15" s="357"/>
      <c r="CU15" s="2189"/>
      <c r="CV15" s="323"/>
      <c r="CW15" s="308"/>
      <c r="CX15" s="308"/>
      <c r="CY15" s="308"/>
      <c r="CZ15" s="2190"/>
      <c r="DA15" s="267"/>
      <c r="DB15" s="267"/>
      <c r="DC15" s="267"/>
      <c r="DD15" s="263"/>
    </row>
    <row r="16" spans="1:108">
      <c r="A16" s="2188" t="s">
        <v>1131</v>
      </c>
      <c r="B16" s="2196">
        <v>1.5</v>
      </c>
      <c r="C16" s="2189" t="s">
        <v>1132</v>
      </c>
      <c r="D16" s="323"/>
      <c r="E16" s="310">
        <v>110</v>
      </c>
      <c r="F16" s="2194">
        <f t="shared" si="0"/>
        <v>197.07901037472462</v>
      </c>
      <c r="G16" s="308"/>
      <c r="H16" s="2190"/>
      <c r="I16" s="267"/>
      <c r="J16" s="267"/>
      <c r="K16" s="267"/>
      <c r="L16" s="267"/>
      <c r="M16" s="2188" t="s">
        <v>1131</v>
      </c>
      <c r="N16" s="2196">
        <v>1.5</v>
      </c>
      <c r="O16" s="2189" t="s">
        <v>1132</v>
      </c>
      <c r="P16" s="323"/>
      <c r="Q16" s="310">
        <v>110</v>
      </c>
      <c r="R16" s="2194">
        <f t="shared" si="1"/>
        <v>200.4955230549366</v>
      </c>
      <c r="S16" s="308"/>
      <c r="T16" s="2190"/>
      <c r="U16" s="267"/>
      <c r="V16" s="267"/>
      <c r="W16" s="267"/>
      <c r="X16" s="267"/>
      <c r="Y16" s="2188" t="s">
        <v>1131</v>
      </c>
      <c r="Z16" s="2196">
        <v>2</v>
      </c>
      <c r="AA16" s="2189" t="s">
        <v>1132</v>
      </c>
      <c r="AB16" s="323"/>
      <c r="AC16" s="310">
        <v>110</v>
      </c>
      <c r="AD16" s="2194">
        <f t="shared" si="2"/>
        <v>250.10534716629948</v>
      </c>
      <c r="AE16" s="308"/>
      <c r="AF16" s="2190"/>
      <c r="AG16" s="267"/>
      <c r="AH16" s="267"/>
      <c r="AI16" s="267"/>
      <c r="AJ16" s="267"/>
      <c r="AK16" s="2188" t="s">
        <v>1131</v>
      </c>
      <c r="AL16" s="2196">
        <v>1.5</v>
      </c>
      <c r="AM16" s="2189" t="s">
        <v>1132</v>
      </c>
      <c r="AN16" s="323"/>
      <c r="AO16" s="310">
        <v>110</v>
      </c>
      <c r="AP16" s="2194">
        <f t="shared" si="3"/>
        <v>185.49272492740727</v>
      </c>
      <c r="AQ16" s="308"/>
      <c r="AR16" s="2190"/>
      <c r="AS16" s="267"/>
      <c r="AT16" s="267"/>
      <c r="AU16" s="267"/>
      <c r="AV16" s="267"/>
      <c r="AW16" s="2188" t="s">
        <v>1131</v>
      </c>
      <c r="AX16" s="2196">
        <v>1.5</v>
      </c>
      <c r="AY16" s="2189" t="s">
        <v>1132</v>
      </c>
      <c r="AZ16" s="323"/>
      <c r="BA16" s="326"/>
      <c r="BB16" s="326"/>
      <c r="BC16" s="326"/>
      <c r="BD16" s="2190"/>
      <c r="BE16" s="267"/>
      <c r="BF16" s="267"/>
      <c r="BG16" s="267"/>
      <c r="BH16" s="263"/>
      <c r="BI16" s="2188" t="s">
        <v>1131</v>
      </c>
      <c r="BJ16" s="2196">
        <v>1.5</v>
      </c>
      <c r="BK16" s="2189" t="s">
        <v>1132</v>
      </c>
      <c r="BL16" s="323"/>
      <c r="BM16" s="326"/>
      <c r="BN16" s="326"/>
      <c r="BO16" s="326"/>
      <c r="BP16" s="2190"/>
      <c r="BQ16" s="267"/>
      <c r="BR16" s="267"/>
      <c r="BS16" s="267"/>
      <c r="BT16" s="263"/>
      <c r="BU16" s="2188" t="s">
        <v>1131</v>
      </c>
      <c r="BV16" s="2196">
        <v>1.5</v>
      </c>
      <c r="BW16" s="2189" t="s">
        <v>1132</v>
      </c>
      <c r="BX16" s="323"/>
      <c r="BY16" s="310">
        <v>110</v>
      </c>
      <c r="BZ16" s="2194">
        <f t="shared" si="6"/>
        <v>176.04830130099424</v>
      </c>
      <c r="CA16" s="308"/>
      <c r="CB16" s="2190"/>
      <c r="CC16" s="267"/>
      <c r="CD16" s="267"/>
      <c r="CE16" s="267"/>
      <c r="CF16" s="263"/>
      <c r="CG16" s="2188" t="s">
        <v>1131</v>
      </c>
      <c r="CH16" s="2196">
        <v>1.5</v>
      </c>
      <c r="CI16" s="2189" t="s">
        <v>1132</v>
      </c>
      <c r="CJ16" s="323"/>
      <c r="CK16" s="310">
        <v>110</v>
      </c>
      <c r="CL16" s="2194">
        <f t="shared" si="7"/>
        <v>189.56267346325427</v>
      </c>
      <c r="CM16" s="308"/>
      <c r="CN16" s="2190"/>
      <c r="CO16" s="267"/>
      <c r="CP16" s="267"/>
      <c r="CQ16" s="267"/>
      <c r="CR16" s="263"/>
      <c r="CS16" s="2188" t="s">
        <v>1131</v>
      </c>
      <c r="CT16" s="2196">
        <v>1.5</v>
      </c>
      <c r="CU16" s="2189" t="s">
        <v>1132</v>
      </c>
      <c r="CV16" s="323"/>
      <c r="CW16" s="326"/>
      <c r="CX16" s="326"/>
      <c r="CY16" s="326"/>
      <c r="CZ16" s="2190"/>
      <c r="DA16" s="267"/>
      <c r="DB16" s="267"/>
      <c r="DC16" s="267"/>
      <c r="DD16" s="263"/>
    </row>
    <row r="17" spans="1:108">
      <c r="A17" s="2188"/>
      <c r="B17" s="2198"/>
      <c r="C17" s="2189"/>
      <c r="D17" s="323"/>
      <c r="E17" s="308"/>
      <c r="F17" s="308"/>
      <c r="G17" s="308"/>
      <c r="H17" s="2190"/>
      <c r="I17" s="267"/>
      <c r="J17" s="267"/>
      <c r="K17" s="267"/>
      <c r="L17" s="267"/>
      <c r="M17" s="2188"/>
      <c r="N17" s="2198"/>
      <c r="O17" s="2189"/>
      <c r="P17" s="323"/>
      <c r="Q17" s="308"/>
      <c r="R17" s="308"/>
      <c r="S17" s="308"/>
      <c r="T17" s="2190"/>
      <c r="U17" s="267"/>
      <c r="V17" s="267"/>
      <c r="W17" s="267"/>
      <c r="X17" s="267"/>
      <c r="Y17" s="2188"/>
      <c r="Z17" s="2198"/>
      <c r="AA17" s="2189"/>
      <c r="AB17" s="323"/>
      <c r="AC17" s="308"/>
      <c r="AD17" s="308"/>
      <c r="AE17" s="308"/>
      <c r="AF17" s="2190"/>
      <c r="AG17" s="267"/>
      <c r="AH17" s="267"/>
      <c r="AI17" s="267"/>
      <c r="AJ17" s="267"/>
      <c r="AK17" s="2188"/>
      <c r="AL17" s="2198"/>
      <c r="AM17" s="2189"/>
      <c r="AN17" s="323"/>
      <c r="AO17" s="308"/>
      <c r="AP17" s="308"/>
      <c r="AQ17" s="308"/>
      <c r="AR17" s="2190"/>
      <c r="AS17" s="267"/>
      <c r="AT17" s="267"/>
      <c r="AU17" s="267"/>
      <c r="AV17" s="267"/>
      <c r="AW17" s="2188"/>
      <c r="AX17" s="2198"/>
      <c r="AY17" s="2189"/>
      <c r="AZ17" s="323"/>
      <c r="BA17" s="326"/>
      <c r="BB17" s="326"/>
      <c r="BC17" s="326"/>
      <c r="BD17" s="2190"/>
      <c r="BE17" s="267"/>
      <c r="BF17" s="267"/>
      <c r="BG17" s="267"/>
      <c r="BH17" s="263"/>
      <c r="BI17" s="2188"/>
      <c r="BJ17" s="2198"/>
      <c r="BK17" s="2189"/>
      <c r="BL17" s="323"/>
      <c r="BM17" s="326"/>
      <c r="BN17" s="326"/>
      <c r="BO17" s="326"/>
      <c r="BP17" s="2190"/>
      <c r="BQ17" s="267"/>
      <c r="BR17" s="267"/>
      <c r="BS17" s="267"/>
      <c r="BT17" s="263"/>
      <c r="BU17" s="2188"/>
      <c r="BV17" s="2198"/>
      <c r="BW17" s="2189"/>
      <c r="BX17" s="323"/>
      <c r="BY17" s="308"/>
      <c r="BZ17" s="308"/>
      <c r="CA17" s="308"/>
      <c r="CB17" s="2190"/>
      <c r="CC17" s="267"/>
      <c r="CD17" s="267"/>
      <c r="CE17" s="267"/>
      <c r="CF17" s="263"/>
      <c r="CG17" s="2188"/>
      <c r="CH17" s="2198"/>
      <c r="CI17" s="2189"/>
      <c r="CJ17" s="323"/>
      <c r="CK17" s="308"/>
      <c r="CL17" s="308"/>
      <c r="CM17" s="308"/>
      <c r="CN17" s="2190"/>
      <c r="CO17" s="267"/>
      <c r="CP17" s="267"/>
      <c r="CQ17" s="267"/>
      <c r="CR17" s="263"/>
      <c r="CS17" s="2188"/>
      <c r="CT17" s="2198"/>
      <c r="CU17" s="2189"/>
      <c r="CV17" s="323"/>
      <c r="CW17" s="326"/>
      <c r="CX17" s="326"/>
      <c r="CY17" s="326"/>
      <c r="CZ17" s="2190"/>
      <c r="DA17" s="267"/>
      <c r="DB17" s="267"/>
      <c r="DC17" s="267"/>
      <c r="DD17" s="263"/>
    </row>
    <row r="18" spans="1:108">
      <c r="A18" s="2188"/>
      <c r="B18" s="2198"/>
      <c r="C18" s="2189"/>
      <c r="D18" s="323"/>
      <c r="E18" s="326"/>
      <c r="F18" s="326"/>
      <c r="G18" s="326"/>
      <c r="H18" s="2190"/>
      <c r="I18" s="267"/>
      <c r="J18" s="267"/>
      <c r="K18" s="267"/>
      <c r="L18" s="267"/>
      <c r="M18" s="2188"/>
      <c r="N18" s="2198"/>
      <c r="O18" s="2189"/>
      <c r="P18" s="323"/>
      <c r="Q18" s="326"/>
      <c r="R18" s="326"/>
      <c r="S18" s="326"/>
      <c r="T18" s="2190"/>
      <c r="U18" s="267"/>
      <c r="V18" s="267"/>
      <c r="W18" s="267"/>
      <c r="X18" s="267"/>
      <c r="Y18" s="2188"/>
      <c r="Z18" s="2198"/>
      <c r="AA18" s="2189"/>
      <c r="AB18" s="323"/>
      <c r="AC18" s="326"/>
      <c r="AD18" s="326"/>
      <c r="AE18" s="326"/>
      <c r="AF18" s="2190"/>
      <c r="AG18" s="267"/>
      <c r="AH18" s="267"/>
      <c r="AI18" s="267"/>
      <c r="AJ18" s="267"/>
      <c r="AK18" s="2188"/>
      <c r="AL18" s="2198"/>
      <c r="AM18" s="2189"/>
      <c r="AN18" s="323"/>
      <c r="AO18" s="326"/>
      <c r="AP18" s="326"/>
      <c r="AQ18" s="326"/>
      <c r="AR18" s="2190"/>
      <c r="AS18" s="267"/>
      <c r="AT18" s="267"/>
      <c r="AU18" s="267"/>
      <c r="AV18" s="267"/>
      <c r="AW18" s="2188"/>
      <c r="AX18" s="2198"/>
      <c r="AY18" s="2189"/>
      <c r="AZ18" s="323"/>
      <c r="BA18" s="326"/>
      <c r="BB18" s="326"/>
      <c r="BC18" s="326"/>
      <c r="BD18" s="2190"/>
      <c r="BE18" s="267"/>
      <c r="BF18" s="267"/>
      <c r="BG18" s="267"/>
      <c r="BH18" s="263"/>
      <c r="BI18" s="2188"/>
      <c r="BJ18" s="2198"/>
      <c r="BK18" s="2189"/>
      <c r="BL18" s="323"/>
      <c r="BM18" s="326"/>
      <c r="BN18" s="326"/>
      <c r="BO18" s="326"/>
      <c r="BP18" s="2190"/>
      <c r="BQ18" s="267"/>
      <c r="BR18" s="267"/>
      <c r="BS18" s="267"/>
      <c r="BT18" s="263"/>
      <c r="BU18" s="2188"/>
      <c r="BV18" s="2198"/>
      <c r="BW18" s="2189"/>
      <c r="BX18" s="323"/>
      <c r="BY18" s="326"/>
      <c r="BZ18" s="326"/>
      <c r="CA18" s="326"/>
      <c r="CB18" s="2190"/>
      <c r="CC18" s="267"/>
      <c r="CD18" s="267"/>
      <c r="CE18" s="267"/>
      <c r="CF18" s="263"/>
      <c r="CG18" s="2188"/>
      <c r="CH18" s="2198"/>
      <c r="CI18" s="2189"/>
      <c r="CJ18" s="323"/>
      <c r="CK18" s="326"/>
      <c r="CL18" s="326"/>
      <c r="CM18" s="326"/>
      <c r="CN18" s="2190"/>
      <c r="CO18" s="267"/>
      <c r="CP18" s="267"/>
      <c r="CQ18" s="267"/>
      <c r="CR18" s="263"/>
      <c r="CS18" s="2188"/>
      <c r="CT18" s="2198"/>
      <c r="CU18" s="2189"/>
      <c r="CV18" s="323"/>
      <c r="CW18" s="326"/>
      <c r="CX18" s="326"/>
      <c r="CY18" s="326"/>
      <c r="CZ18" s="2190"/>
      <c r="DA18" s="267"/>
      <c r="DB18" s="267"/>
      <c r="DC18" s="267"/>
      <c r="DD18" s="263"/>
    </row>
    <row r="19" spans="1:108">
      <c r="A19" s="2199"/>
      <c r="B19" s="2200"/>
      <c r="C19" s="2201"/>
      <c r="D19" s="327"/>
      <c r="E19" s="328"/>
      <c r="F19" s="328"/>
      <c r="G19" s="328"/>
      <c r="H19" s="2202"/>
      <c r="I19" s="267"/>
      <c r="J19" s="267"/>
      <c r="K19" s="267"/>
      <c r="L19" s="267"/>
      <c r="M19" s="2199"/>
      <c r="N19" s="2200"/>
      <c r="O19" s="2201"/>
      <c r="P19" s="327"/>
      <c r="Q19" s="328"/>
      <c r="R19" s="328"/>
      <c r="S19" s="328"/>
      <c r="T19" s="2202"/>
      <c r="U19" s="267"/>
      <c r="V19" s="267"/>
      <c r="W19" s="267"/>
      <c r="X19" s="267"/>
      <c r="Y19" s="2199"/>
      <c r="Z19" s="2200"/>
      <c r="AA19" s="2201"/>
      <c r="AB19" s="327"/>
      <c r="AC19" s="328"/>
      <c r="AD19" s="328"/>
      <c r="AE19" s="328"/>
      <c r="AF19" s="2202"/>
      <c r="AG19" s="267"/>
      <c r="AH19" s="267"/>
      <c r="AI19" s="267"/>
      <c r="AJ19" s="267"/>
      <c r="AK19" s="2199"/>
      <c r="AL19" s="2200"/>
      <c r="AM19" s="2201"/>
      <c r="AN19" s="327"/>
      <c r="AO19" s="328"/>
      <c r="AP19" s="328"/>
      <c r="AQ19" s="328"/>
      <c r="AR19" s="2202"/>
      <c r="AS19" s="267"/>
      <c r="AT19" s="267"/>
      <c r="AU19" s="267"/>
      <c r="AV19" s="267"/>
      <c r="AW19" s="2199"/>
      <c r="AX19" s="2200"/>
      <c r="AY19" s="2201"/>
      <c r="AZ19" s="327"/>
      <c r="BA19" s="328"/>
      <c r="BB19" s="328"/>
      <c r="BC19" s="328"/>
      <c r="BD19" s="2202"/>
      <c r="BE19" s="267"/>
      <c r="BF19" s="267"/>
      <c r="BG19" s="267"/>
      <c r="BH19" s="263"/>
      <c r="BI19" s="2199"/>
      <c r="BJ19" s="2200"/>
      <c r="BK19" s="2201"/>
      <c r="BL19" s="327"/>
      <c r="BM19" s="328"/>
      <c r="BN19" s="328"/>
      <c r="BO19" s="328"/>
      <c r="BP19" s="2202"/>
      <c r="BQ19" s="267"/>
      <c r="BR19" s="267"/>
      <c r="BS19" s="267"/>
      <c r="BT19" s="263"/>
      <c r="BU19" s="2199"/>
      <c r="BV19" s="2200"/>
      <c r="BW19" s="2201"/>
      <c r="BX19" s="327"/>
      <c r="BY19" s="328"/>
      <c r="BZ19" s="328"/>
      <c r="CA19" s="328"/>
      <c r="CB19" s="2202"/>
      <c r="CC19" s="267"/>
      <c r="CD19" s="267"/>
      <c r="CE19" s="267"/>
      <c r="CF19" s="263"/>
      <c r="CG19" s="2199"/>
      <c r="CH19" s="2200"/>
      <c r="CI19" s="2201"/>
      <c r="CJ19" s="327"/>
      <c r="CK19" s="328"/>
      <c r="CL19" s="328"/>
      <c r="CM19" s="328"/>
      <c r="CN19" s="2202"/>
      <c r="CO19" s="267"/>
      <c r="CP19" s="267"/>
      <c r="CQ19" s="267"/>
      <c r="CR19" s="263"/>
      <c r="CS19" s="2199"/>
      <c r="CT19" s="2200"/>
      <c r="CU19" s="2201"/>
      <c r="CV19" s="327"/>
      <c r="CW19" s="328"/>
      <c r="CX19" s="328"/>
      <c r="CY19" s="328"/>
      <c r="CZ19" s="2202"/>
      <c r="DA19" s="267"/>
      <c r="DB19" s="267"/>
      <c r="DC19" s="267"/>
      <c r="DD19" s="263"/>
    </row>
    <row r="20" spans="1:108">
      <c r="A20" s="319"/>
      <c r="B20" s="2203" t="s">
        <v>1133</v>
      </c>
      <c r="C20" s="2187"/>
      <c r="D20" s="263"/>
      <c r="E20" s="263"/>
      <c r="F20" s="263"/>
      <c r="G20" s="263"/>
      <c r="H20" s="263"/>
      <c r="I20" s="263"/>
      <c r="J20" s="263"/>
      <c r="K20" s="263"/>
      <c r="L20" s="263"/>
      <c r="M20" s="319"/>
      <c r="N20" s="2203" t="s">
        <v>1133</v>
      </c>
      <c r="O20" s="2187"/>
      <c r="P20" s="263"/>
      <c r="Q20" s="263"/>
      <c r="R20" s="263"/>
      <c r="S20" s="263"/>
      <c r="T20" s="263"/>
      <c r="U20" s="263"/>
      <c r="V20" s="263"/>
      <c r="W20" s="263"/>
      <c r="X20" s="263"/>
      <c r="Y20" s="319"/>
      <c r="Z20" s="2203" t="s">
        <v>1133</v>
      </c>
      <c r="AA20" s="2187"/>
      <c r="AB20" s="263"/>
      <c r="AC20" s="263"/>
      <c r="AD20" s="263"/>
      <c r="AE20" s="263"/>
      <c r="AF20" s="263"/>
      <c r="AG20" s="263"/>
      <c r="AH20" s="263"/>
      <c r="AI20" s="263"/>
      <c r="AJ20" s="263"/>
      <c r="AK20" s="319"/>
      <c r="AL20" s="2203" t="s">
        <v>1133</v>
      </c>
      <c r="AM20" s="2187"/>
      <c r="AN20" s="263"/>
      <c r="AO20" s="263"/>
      <c r="AP20" s="263"/>
      <c r="AQ20" s="263"/>
      <c r="AR20" s="263"/>
      <c r="AS20" s="263"/>
      <c r="AT20" s="263"/>
      <c r="AU20" s="263"/>
      <c r="AV20" s="263"/>
      <c r="AW20" s="319"/>
      <c r="AX20" s="2203" t="s">
        <v>1133</v>
      </c>
      <c r="AY20" s="2187"/>
      <c r="AZ20" s="263"/>
      <c r="BA20" s="263"/>
      <c r="BB20" s="263"/>
      <c r="BC20" s="263"/>
      <c r="BD20" s="263"/>
      <c r="BE20" s="263"/>
      <c r="BF20" s="263"/>
      <c r="BG20" s="263"/>
      <c r="BH20" s="263"/>
      <c r="BI20" s="319"/>
      <c r="BJ20" s="2203" t="s">
        <v>1133</v>
      </c>
      <c r="BK20" s="2187"/>
      <c r="BL20" s="263"/>
      <c r="BM20" s="263"/>
      <c r="BN20" s="263"/>
      <c r="BO20" s="263"/>
      <c r="BP20" s="263"/>
      <c r="BQ20" s="263"/>
      <c r="BR20" s="263"/>
      <c r="BS20" s="263"/>
      <c r="BT20" s="263"/>
      <c r="BU20" s="319"/>
      <c r="BV20" s="2203" t="s">
        <v>1133</v>
      </c>
      <c r="BW20" s="2187"/>
      <c r="BX20" s="263"/>
      <c r="BY20" s="263"/>
      <c r="BZ20" s="263"/>
      <c r="CA20" s="263"/>
      <c r="CB20" s="263"/>
      <c r="CC20" s="263"/>
      <c r="CD20" s="263"/>
      <c r="CE20" s="263"/>
      <c r="CF20" s="263"/>
      <c r="CG20" s="319"/>
      <c r="CH20" s="2203" t="s">
        <v>1133</v>
      </c>
      <c r="CI20" s="2187"/>
      <c r="CJ20" s="263"/>
      <c r="CK20" s="263"/>
      <c r="CL20" s="263"/>
      <c r="CM20" s="263"/>
      <c r="CN20" s="263"/>
      <c r="CO20" s="263"/>
      <c r="CP20" s="263"/>
      <c r="CQ20" s="263"/>
      <c r="CR20" s="263"/>
      <c r="CS20" s="319"/>
      <c r="CT20" s="2203" t="s">
        <v>1133</v>
      </c>
      <c r="CU20" s="2187"/>
      <c r="CV20" s="263"/>
      <c r="CW20" s="263"/>
      <c r="CX20" s="263"/>
      <c r="CY20" s="263"/>
      <c r="CZ20" s="263"/>
      <c r="DA20" s="263"/>
      <c r="DB20" s="263"/>
      <c r="DC20" s="263"/>
      <c r="DD20" s="263"/>
    </row>
    <row r="21" spans="1:108" ht="14.25">
      <c r="A21" s="323"/>
      <c r="B21" s="326" t="s">
        <v>1313</v>
      </c>
      <c r="C21" s="2190"/>
      <c r="D21" s="263"/>
      <c r="E21" s="263"/>
      <c r="F21" s="263"/>
      <c r="G21" s="263"/>
      <c r="H21" s="263"/>
      <c r="I21" s="263"/>
      <c r="J21" s="263"/>
      <c r="K21" s="263"/>
      <c r="L21" s="263"/>
      <c r="M21" s="323"/>
      <c r="N21" s="326" t="s">
        <v>1313</v>
      </c>
      <c r="O21" s="2190"/>
      <c r="P21" s="263"/>
      <c r="Q21" s="263"/>
      <c r="R21" s="263"/>
      <c r="S21" s="263"/>
      <c r="T21" s="263"/>
      <c r="U21" s="263"/>
      <c r="V21" s="263"/>
      <c r="W21" s="263"/>
      <c r="X21" s="263"/>
      <c r="Y21" s="323"/>
      <c r="Z21" s="326" t="s">
        <v>1313</v>
      </c>
      <c r="AA21" s="2190"/>
      <c r="AB21" s="263"/>
      <c r="AC21" s="263"/>
      <c r="AD21" s="263"/>
      <c r="AE21" s="263"/>
      <c r="AF21" s="263"/>
      <c r="AG21" s="263"/>
      <c r="AH21" s="263"/>
      <c r="AI21" s="263"/>
      <c r="AJ21" s="263"/>
      <c r="AK21" s="323"/>
      <c r="AL21" s="326" t="s">
        <v>1313</v>
      </c>
      <c r="AM21" s="2190"/>
      <c r="AN21" s="263"/>
      <c r="AO21" s="263"/>
      <c r="AP21" s="263"/>
      <c r="AQ21" s="263"/>
      <c r="AR21" s="263"/>
      <c r="AS21" s="263"/>
      <c r="AT21" s="263"/>
      <c r="AU21" s="263"/>
      <c r="AV21" s="263"/>
      <c r="AW21" s="323"/>
      <c r="AX21" s="326" t="s">
        <v>1313</v>
      </c>
      <c r="AY21" s="2190"/>
      <c r="AZ21" s="263"/>
      <c r="BA21" s="263"/>
      <c r="BB21" s="263"/>
      <c r="BC21" s="263"/>
      <c r="BD21" s="263"/>
      <c r="BE21" s="263"/>
      <c r="BF21" s="263"/>
      <c r="BG21" s="263"/>
      <c r="BH21" s="263"/>
      <c r="BI21" s="323"/>
      <c r="BJ21" s="326" t="s">
        <v>1313</v>
      </c>
      <c r="BK21" s="2190"/>
      <c r="BL21" s="263"/>
      <c r="BM21" s="263"/>
      <c r="BN21" s="263"/>
      <c r="BO21" s="263"/>
      <c r="BP21" s="263"/>
      <c r="BQ21" s="263"/>
      <c r="BR21" s="263"/>
      <c r="BS21" s="263"/>
      <c r="BT21" s="263"/>
      <c r="BU21" s="323"/>
      <c r="BV21" s="326" t="s">
        <v>1313</v>
      </c>
      <c r="BW21" s="2190"/>
      <c r="BX21" s="263"/>
      <c r="BY21" s="263"/>
      <c r="BZ21" s="263"/>
      <c r="CA21" s="263"/>
      <c r="CB21" s="263"/>
      <c r="CC21" s="263"/>
      <c r="CD21" s="263"/>
      <c r="CE21" s="263"/>
      <c r="CF21" s="263"/>
      <c r="CG21" s="323"/>
      <c r="CH21" s="326" t="s">
        <v>1313</v>
      </c>
      <c r="CI21" s="2190"/>
      <c r="CJ21" s="263"/>
      <c r="CK21" s="263"/>
      <c r="CL21" s="263"/>
      <c r="CM21" s="263"/>
      <c r="CN21" s="263"/>
      <c r="CO21" s="263"/>
      <c r="CP21" s="263"/>
      <c r="CQ21" s="263"/>
      <c r="CR21" s="263"/>
      <c r="CS21" s="323"/>
      <c r="CT21" s="326" t="s">
        <v>1313</v>
      </c>
      <c r="CU21" s="2190"/>
      <c r="CV21" s="263"/>
      <c r="CW21" s="263"/>
      <c r="CX21" s="263"/>
      <c r="CY21" s="263"/>
      <c r="CZ21" s="263"/>
      <c r="DA21" s="263"/>
      <c r="DB21" s="263"/>
      <c r="DC21" s="263"/>
      <c r="DD21" s="263"/>
    </row>
    <row r="22" spans="1:108">
      <c r="A22" s="323"/>
      <c r="B22" s="326"/>
      <c r="C22" s="2190"/>
      <c r="D22" s="263"/>
      <c r="E22" s="319" t="s">
        <v>1134</v>
      </c>
      <c r="F22" s="320"/>
      <c r="G22" s="2187"/>
      <c r="H22" s="267"/>
      <c r="I22" s="267"/>
      <c r="J22" s="267"/>
      <c r="K22" s="263"/>
      <c r="L22" s="263"/>
      <c r="M22" s="323"/>
      <c r="N22" s="326"/>
      <c r="O22" s="2190"/>
      <c r="P22" s="263"/>
      <c r="Q22" s="319" t="s">
        <v>1134</v>
      </c>
      <c r="R22" s="320"/>
      <c r="S22" s="2187"/>
      <c r="T22" s="263"/>
      <c r="U22" s="263"/>
      <c r="V22" s="263"/>
      <c r="W22" s="263"/>
      <c r="X22" s="263"/>
      <c r="Y22" s="323"/>
      <c r="Z22" s="326"/>
      <c r="AA22" s="2190"/>
      <c r="AB22" s="263"/>
      <c r="AC22" s="319" t="s">
        <v>1134</v>
      </c>
      <c r="AD22" s="320"/>
      <c r="AE22" s="2187"/>
      <c r="AF22" s="263"/>
      <c r="AG22" s="263"/>
      <c r="AH22" s="263"/>
      <c r="AI22" s="263"/>
      <c r="AJ22" s="263"/>
      <c r="AK22" s="323"/>
      <c r="AL22" s="326"/>
      <c r="AM22" s="2190"/>
      <c r="AN22" s="263"/>
      <c r="AO22" s="319" t="s">
        <v>1134</v>
      </c>
      <c r="AP22" s="320"/>
      <c r="AQ22" s="2187"/>
      <c r="AR22" s="263"/>
      <c r="AS22" s="263"/>
      <c r="AT22" s="263"/>
      <c r="AU22" s="263"/>
      <c r="AV22" s="263"/>
      <c r="AW22" s="323"/>
      <c r="AX22" s="326"/>
      <c r="AY22" s="2190"/>
      <c r="AZ22" s="263"/>
      <c r="BA22" s="319" t="s">
        <v>1134</v>
      </c>
      <c r="BB22" s="320"/>
      <c r="BC22" s="2187"/>
      <c r="BD22" s="263"/>
      <c r="BE22" s="263"/>
      <c r="BF22" s="263"/>
      <c r="BG22" s="263"/>
      <c r="BH22" s="263"/>
      <c r="BI22" s="323"/>
      <c r="BJ22" s="326"/>
      <c r="BK22" s="2190"/>
      <c r="BL22" s="263"/>
      <c r="BM22" s="319" t="s">
        <v>1134</v>
      </c>
      <c r="BN22" s="320"/>
      <c r="BO22" s="2187"/>
      <c r="BP22" s="263"/>
      <c r="BQ22" s="263"/>
      <c r="BR22" s="263"/>
      <c r="BS22" s="263"/>
      <c r="BT22" s="263"/>
      <c r="BU22" s="323"/>
      <c r="BV22" s="326"/>
      <c r="BW22" s="2190"/>
      <c r="BX22" s="263"/>
      <c r="BY22" s="319" t="s">
        <v>1134</v>
      </c>
      <c r="BZ22" s="320"/>
      <c r="CA22" s="2187"/>
      <c r="CB22" s="263"/>
      <c r="CC22" s="263"/>
      <c r="CD22" s="263"/>
      <c r="CE22" s="263"/>
      <c r="CF22" s="263"/>
      <c r="CG22" s="323"/>
      <c r="CH22" s="326"/>
      <c r="CI22" s="2190"/>
      <c r="CJ22" s="263"/>
      <c r="CK22" s="319" t="s">
        <v>1134</v>
      </c>
      <c r="CL22" s="320"/>
      <c r="CM22" s="2187"/>
      <c r="CN22" s="263"/>
      <c r="CO22" s="263"/>
      <c r="CP22" s="263"/>
      <c r="CQ22" s="263"/>
      <c r="CR22" s="263"/>
      <c r="CS22" s="323"/>
      <c r="CT22" s="326"/>
      <c r="CU22" s="2190"/>
      <c r="CV22" s="263"/>
      <c r="CW22" s="319" t="s">
        <v>1134</v>
      </c>
      <c r="CX22" s="320"/>
      <c r="CY22" s="2187"/>
      <c r="CZ22" s="263"/>
      <c r="DA22" s="263"/>
      <c r="DB22" s="263"/>
      <c r="DC22" s="263"/>
      <c r="DD22" s="263"/>
    </row>
    <row r="23" spans="1:108">
      <c r="A23" s="323"/>
      <c r="B23" s="310" t="s">
        <v>1135</v>
      </c>
      <c r="C23" s="2204"/>
      <c r="D23" s="263"/>
      <c r="E23" s="327" t="s">
        <v>1136</v>
      </c>
      <c r="F23" s="328"/>
      <c r="G23" s="2202"/>
      <c r="H23" s="267"/>
      <c r="I23" s="267"/>
      <c r="J23" s="267"/>
      <c r="K23" s="263"/>
      <c r="L23" s="263"/>
      <c r="M23" s="323"/>
      <c r="N23" s="310" t="s">
        <v>1135</v>
      </c>
      <c r="O23" s="2204"/>
      <c r="P23" s="263"/>
      <c r="Q23" s="327" t="s">
        <v>1136</v>
      </c>
      <c r="R23" s="328"/>
      <c r="S23" s="2202"/>
      <c r="T23" s="263"/>
      <c r="U23" s="263"/>
      <c r="V23" s="263"/>
      <c r="W23" s="263"/>
      <c r="X23" s="263"/>
      <c r="Y23" s="323"/>
      <c r="Z23" s="310" t="s">
        <v>1135</v>
      </c>
      <c r="AA23" s="2204"/>
      <c r="AB23" s="263"/>
      <c r="AC23" s="327" t="s">
        <v>1136</v>
      </c>
      <c r="AD23" s="328"/>
      <c r="AE23" s="2202"/>
      <c r="AF23" s="263"/>
      <c r="AG23" s="263"/>
      <c r="AH23" s="263"/>
      <c r="AI23" s="263"/>
      <c r="AJ23" s="263"/>
      <c r="AK23" s="323"/>
      <c r="AL23" s="310" t="s">
        <v>1135</v>
      </c>
      <c r="AM23" s="2204"/>
      <c r="AN23" s="263"/>
      <c r="AO23" s="327" t="s">
        <v>1136</v>
      </c>
      <c r="AP23" s="328"/>
      <c r="AQ23" s="2202"/>
      <c r="AR23" s="263"/>
      <c r="AS23" s="263"/>
      <c r="AT23" s="263"/>
      <c r="AU23" s="263"/>
      <c r="AV23" s="263"/>
      <c r="AW23" s="323"/>
      <c r="AX23" s="310" t="s">
        <v>1135</v>
      </c>
      <c r="AY23" s="2204"/>
      <c r="AZ23" s="263"/>
      <c r="BA23" s="327" t="s">
        <v>1137</v>
      </c>
      <c r="BB23" s="328"/>
      <c r="BC23" s="2202"/>
      <c r="BD23" s="263"/>
      <c r="BE23" s="263"/>
      <c r="BF23" s="263"/>
      <c r="BG23" s="263"/>
      <c r="BH23" s="263"/>
      <c r="BI23" s="323"/>
      <c r="BJ23" s="310" t="s">
        <v>1135</v>
      </c>
      <c r="BK23" s="2204"/>
      <c r="BL23" s="263"/>
      <c r="BM23" s="327" t="s">
        <v>1137</v>
      </c>
      <c r="BN23" s="328"/>
      <c r="BO23" s="2202"/>
      <c r="BP23" s="263"/>
      <c r="BQ23" s="263"/>
      <c r="BR23" s="263"/>
      <c r="BS23" s="263"/>
      <c r="BT23" s="263"/>
      <c r="BU23" s="323"/>
      <c r="BV23" s="310" t="s">
        <v>1135</v>
      </c>
      <c r="BW23" s="2204"/>
      <c r="BX23" s="263"/>
      <c r="BY23" s="327" t="s">
        <v>1136</v>
      </c>
      <c r="BZ23" s="328"/>
      <c r="CA23" s="2202"/>
      <c r="CB23" s="263"/>
      <c r="CC23" s="263"/>
      <c r="CD23" s="263"/>
      <c r="CE23" s="263"/>
      <c r="CF23" s="263"/>
      <c r="CG23" s="323"/>
      <c r="CH23" s="310" t="s">
        <v>1135</v>
      </c>
      <c r="CI23" s="2204"/>
      <c r="CJ23" s="263"/>
      <c r="CK23" s="327" t="s">
        <v>1136</v>
      </c>
      <c r="CL23" s="328"/>
      <c r="CM23" s="2202"/>
      <c r="CN23" s="263"/>
      <c r="CO23" s="263"/>
      <c r="CP23" s="263"/>
      <c r="CQ23" s="263"/>
      <c r="CR23" s="263"/>
      <c r="CS23" s="323"/>
      <c r="CT23" s="310" t="s">
        <v>1135</v>
      </c>
      <c r="CU23" s="2204"/>
      <c r="CV23" s="263"/>
      <c r="CW23" s="327" t="s">
        <v>1137</v>
      </c>
      <c r="CX23" s="328"/>
      <c r="CY23" s="2202"/>
      <c r="CZ23" s="263"/>
      <c r="DA23" s="263"/>
      <c r="DB23" s="263"/>
      <c r="DC23" s="263"/>
      <c r="DD23" s="263"/>
    </row>
    <row r="24" spans="1:108">
      <c r="A24" s="2205" t="s">
        <v>672</v>
      </c>
      <c r="B24" s="2206">
        <v>1.9027595577187265E-4</v>
      </c>
      <c r="C24" s="2207"/>
      <c r="D24" s="263"/>
      <c r="E24" s="263"/>
      <c r="F24" s="263"/>
      <c r="G24" s="263"/>
      <c r="H24" s="263"/>
      <c r="I24" s="267"/>
      <c r="J24" s="267"/>
      <c r="K24" s="267"/>
      <c r="L24" s="267"/>
      <c r="M24" s="2205" t="s">
        <v>672</v>
      </c>
      <c r="N24" s="2206">
        <v>1.9027595577187265E-4</v>
      </c>
      <c r="O24" s="2207"/>
      <c r="P24" s="263"/>
      <c r="Q24" s="263"/>
      <c r="R24" s="263"/>
      <c r="S24" s="263"/>
      <c r="T24" s="263"/>
      <c r="U24" s="267"/>
      <c r="V24" s="267"/>
      <c r="W24" s="267"/>
      <c r="X24" s="267"/>
      <c r="Y24" s="2205" t="s">
        <v>672</v>
      </c>
      <c r="Z24" s="2206">
        <v>1.9027595577187265E-4</v>
      </c>
      <c r="AA24" s="2207"/>
      <c r="AB24" s="263"/>
      <c r="AC24" s="263"/>
      <c r="AD24" s="263"/>
      <c r="AE24" s="263"/>
      <c r="AF24" s="263"/>
      <c r="AG24" s="267"/>
      <c r="AH24" s="267"/>
      <c r="AI24" s="267"/>
      <c r="AJ24" s="267"/>
      <c r="AK24" s="2205" t="s">
        <v>672</v>
      </c>
      <c r="AL24" s="2206">
        <v>1.9027595577187265E-4</v>
      </c>
      <c r="AM24" s="2207"/>
      <c r="AN24" s="263"/>
      <c r="AO24" s="263"/>
      <c r="AP24" s="263"/>
      <c r="AQ24" s="263"/>
      <c r="AR24" s="263"/>
      <c r="AS24" s="267"/>
      <c r="AT24" s="267"/>
      <c r="AU24" s="267"/>
      <c r="AV24" s="267"/>
      <c r="AW24" s="2205" t="s">
        <v>672</v>
      </c>
      <c r="AX24" s="2196">
        <v>5.9999999999905127E-4</v>
      </c>
      <c r="AY24" s="2207"/>
      <c r="AZ24" s="263"/>
      <c r="BA24" s="263"/>
      <c r="BB24" s="263"/>
      <c r="BC24" s="263"/>
      <c r="BD24" s="263"/>
      <c r="BE24" s="267"/>
      <c r="BF24" s="267"/>
      <c r="BG24" s="267"/>
      <c r="BH24" s="263"/>
      <c r="BI24" s="2205" t="s">
        <v>672</v>
      </c>
      <c r="BJ24" s="2196">
        <v>5.9999999999905127E-4</v>
      </c>
      <c r="BK24" s="2207"/>
      <c r="BL24" s="263"/>
      <c r="BM24" s="263"/>
      <c r="BN24" s="263"/>
      <c r="BO24" s="263"/>
      <c r="BP24" s="263"/>
      <c r="BQ24" s="267"/>
      <c r="BR24" s="267"/>
      <c r="BS24" s="267"/>
      <c r="BT24" s="263"/>
      <c r="BU24" s="2205" t="s">
        <v>672</v>
      </c>
      <c r="BV24" s="2206">
        <v>1.9027595577187265E-4</v>
      </c>
      <c r="BW24" s="2207"/>
      <c r="BX24" s="263"/>
      <c r="BY24" s="263"/>
      <c r="BZ24" s="263"/>
      <c r="CA24" s="263"/>
      <c r="CB24" s="263"/>
      <c r="CC24" s="267"/>
      <c r="CD24" s="267"/>
      <c r="CE24" s="267"/>
      <c r="CF24" s="263"/>
      <c r="CG24" s="2205" t="s">
        <v>672</v>
      </c>
      <c r="CH24" s="2206">
        <v>1.9027595577187265E-4</v>
      </c>
      <c r="CI24" s="2207"/>
      <c r="CJ24" s="263"/>
      <c r="CK24" s="263"/>
      <c r="CL24" s="263"/>
      <c r="CM24" s="263"/>
      <c r="CN24" s="263"/>
      <c r="CO24" s="267"/>
      <c r="CP24" s="267"/>
      <c r="CQ24" s="267"/>
      <c r="CR24" s="263"/>
      <c r="CS24" s="2205" t="s">
        <v>672</v>
      </c>
      <c r="CT24" s="2196">
        <v>5.9999999999905127E-4</v>
      </c>
      <c r="CU24" s="2207"/>
      <c r="CV24" s="263"/>
      <c r="CW24" s="263"/>
      <c r="CX24" s="263"/>
      <c r="CY24" s="263"/>
      <c r="CZ24" s="263"/>
      <c r="DA24" s="267"/>
      <c r="DB24" s="267"/>
      <c r="DC24" s="267"/>
      <c r="DD24" s="263"/>
    </row>
    <row r="25" spans="1:108">
      <c r="A25" s="2205" t="s">
        <v>1138</v>
      </c>
      <c r="B25" s="2206">
        <v>0.18828331370036899</v>
      </c>
      <c r="C25" s="2207"/>
      <c r="D25" s="263"/>
      <c r="E25" s="263"/>
      <c r="F25" s="263"/>
      <c r="G25" s="263"/>
      <c r="H25" s="263"/>
      <c r="I25" s="267"/>
      <c r="J25" s="267"/>
      <c r="K25" s="267"/>
      <c r="L25" s="267"/>
      <c r="M25" s="2205" t="s">
        <v>1138</v>
      </c>
      <c r="N25" s="2206">
        <v>0.18828331370036899</v>
      </c>
      <c r="O25" s="2207"/>
      <c r="P25" s="263"/>
      <c r="Q25" s="263"/>
      <c r="R25" s="263"/>
      <c r="S25" s="263"/>
      <c r="T25" s="263"/>
      <c r="U25" s="267"/>
      <c r="V25" s="267"/>
      <c r="W25" s="267"/>
      <c r="X25" s="267"/>
      <c r="Y25" s="2205" t="s">
        <v>1138</v>
      </c>
      <c r="Z25" s="2206">
        <v>0.18828331370036899</v>
      </c>
      <c r="AA25" s="2207"/>
      <c r="AB25" s="263"/>
      <c r="AC25" s="263"/>
      <c r="AD25" s="263"/>
      <c r="AE25" s="263"/>
      <c r="AF25" s="263"/>
      <c r="AG25" s="267"/>
      <c r="AH25" s="267"/>
      <c r="AI25" s="267"/>
      <c r="AJ25" s="267"/>
      <c r="AK25" s="2205" t="s">
        <v>1138</v>
      </c>
      <c r="AL25" s="2206">
        <v>0.18828331370036899</v>
      </c>
      <c r="AM25" s="2207"/>
      <c r="AN25" s="263"/>
      <c r="AO25" s="263"/>
      <c r="AP25" s="263"/>
      <c r="AQ25" s="263"/>
      <c r="AR25" s="263"/>
      <c r="AS25" s="267"/>
      <c r="AT25" s="267"/>
      <c r="AU25" s="267"/>
      <c r="AV25" s="267"/>
      <c r="AW25" s="2205" t="s">
        <v>1138</v>
      </c>
      <c r="AX25" s="2196">
        <v>0.26189999999934599</v>
      </c>
      <c r="AY25" s="2207"/>
      <c r="AZ25" s="263"/>
      <c r="BA25" s="263"/>
      <c r="BB25" s="263"/>
      <c r="BC25" s="263"/>
      <c r="BD25" s="263"/>
      <c r="BE25" s="267"/>
      <c r="BF25" s="267"/>
      <c r="BG25" s="267"/>
      <c r="BH25" s="263"/>
      <c r="BI25" s="2205" t="s">
        <v>1138</v>
      </c>
      <c r="BJ25" s="2196">
        <v>0.26189999999934599</v>
      </c>
      <c r="BK25" s="2207"/>
      <c r="BL25" s="263"/>
      <c r="BM25" s="263"/>
      <c r="BN25" s="263"/>
      <c r="BO25" s="263"/>
      <c r="BP25" s="263"/>
      <c r="BQ25" s="267"/>
      <c r="BR25" s="267"/>
      <c r="BS25" s="267"/>
      <c r="BT25" s="263"/>
      <c r="BU25" s="2205" t="s">
        <v>1138</v>
      </c>
      <c r="BV25" s="2206">
        <v>0.18828331370036899</v>
      </c>
      <c r="BW25" s="2207"/>
      <c r="BX25" s="263"/>
      <c r="BY25" s="263"/>
      <c r="BZ25" s="263"/>
      <c r="CA25" s="263"/>
      <c r="CB25" s="263"/>
      <c r="CC25" s="267"/>
      <c r="CD25" s="267"/>
      <c r="CE25" s="267"/>
      <c r="CF25" s="263"/>
      <c r="CG25" s="2205" t="s">
        <v>1138</v>
      </c>
      <c r="CH25" s="2206">
        <v>0.18828331370036899</v>
      </c>
      <c r="CI25" s="2207"/>
      <c r="CJ25" s="263"/>
      <c r="CK25" s="263"/>
      <c r="CL25" s="263"/>
      <c r="CM25" s="263"/>
      <c r="CN25" s="263"/>
      <c r="CO25" s="267"/>
      <c r="CP25" s="267"/>
      <c r="CQ25" s="267"/>
      <c r="CR25" s="263"/>
      <c r="CS25" s="2205" t="s">
        <v>1138</v>
      </c>
      <c r="CT25" s="2196">
        <v>0.26189999999934599</v>
      </c>
      <c r="CU25" s="2207"/>
      <c r="CV25" s="263"/>
      <c r="CW25" s="263"/>
      <c r="CX25" s="263"/>
      <c r="CY25" s="263"/>
      <c r="CZ25" s="263"/>
      <c r="DA25" s="267"/>
      <c r="DB25" s="267"/>
      <c r="DC25" s="267"/>
      <c r="DD25" s="263"/>
    </row>
    <row r="26" spans="1:108">
      <c r="A26" s="2205" t="s">
        <v>1139</v>
      </c>
      <c r="B26" s="2206">
        <v>55.938062218921957</v>
      </c>
      <c r="C26" s="2207"/>
      <c r="D26" s="263"/>
      <c r="E26" s="263"/>
      <c r="F26" s="2208">
        <f>B35^2</f>
        <v>74796424.36244002</v>
      </c>
      <c r="G26" s="263"/>
      <c r="H26" s="2209"/>
      <c r="I26" s="2209"/>
      <c r="J26" s="2209"/>
      <c r="K26" s="2209"/>
      <c r="L26" s="2209"/>
      <c r="M26" s="2205" t="s">
        <v>1139</v>
      </c>
      <c r="N26" s="2206">
        <v>55.938062218921957</v>
      </c>
      <c r="O26" s="2207"/>
      <c r="P26" s="263"/>
      <c r="Q26" s="263"/>
      <c r="R26" s="263"/>
      <c r="S26" s="263"/>
      <c r="T26" s="2209"/>
      <c r="U26" s="2209"/>
      <c r="V26" s="2209"/>
      <c r="W26" s="2209"/>
      <c r="X26" s="2209"/>
      <c r="Y26" s="2205" t="s">
        <v>1139</v>
      </c>
      <c r="Z26" s="2206">
        <v>55.938062218921957</v>
      </c>
      <c r="AA26" s="2207"/>
      <c r="AB26" s="263"/>
      <c r="AC26" s="263"/>
      <c r="AD26" s="263"/>
      <c r="AE26" s="263"/>
      <c r="AF26" s="2209"/>
      <c r="AG26" s="2209"/>
      <c r="AH26" s="2209"/>
      <c r="AI26" s="2209"/>
      <c r="AJ26" s="2209"/>
      <c r="AK26" s="2205" t="s">
        <v>1139</v>
      </c>
      <c r="AL26" s="2206">
        <v>55.938062218921957</v>
      </c>
      <c r="AM26" s="2207"/>
      <c r="AN26" s="263"/>
      <c r="AO26" s="263"/>
      <c r="AP26" s="263"/>
      <c r="AQ26" s="263"/>
      <c r="AR26" s="2209"/>
      <c r="AS26" s="2209"/>
      <c r="AT26" s="2209"/>
      <c r="AU26" s="2209"/>
      <c r="AV26" s="2209"/>
      <c r="AW26" s="2205" t="s">
        <v>1139</v>
      </c>
      <c r="AX26" s="2196">
        <v>45.257999999927492</v>
      </c>
      <c r="AY26" s="2207"/>
      <c r="AZ26" s="263"/>
      <c r="BA26" s="263"/>
      <c r="BB26" s="263"/>
      <c r="BC26" s="263"/>
      <c r="BD26" s="2209"/>
      <c r="BE26" s="2209"/>
      <c r="BF26" s="2209"/>
      <c r="BG26" s="2209"/>
      <c r="BH26" s="263"/>
      <c r="BI26" s="2205" t="s">
        <v>1139</v>
      </c>
      <c r="BJ26" s="2196">
        <v>45.257999999927492</v>
      </c>
      <c r="BK26" s="2207"/>
      <c r="BL26" s="263"/>
      <c r="BM26" s="263"/>
      <c r="BN26" s="263"/>
      <c r="BO26" s="263"/>
      <c r="BP26" s="2209"/>
      <c r="BQ26" s="2209"/>
      <c r="BR26" s="2209"/>
      <c r="BS26" s="2209"/>
      <c r="BT26" s="263"/>
      <c r="BU26" s="2205" t="s">
        <v>1139</v>
      </c>
      <c r="BV26" s="2206">
        <v>55.938062218921957</v>
      </c>
      <c r="BW26" s="2207"/>
      <c r="BX26" s="263"/>
      <c r="BY26" s="263"/>
      <c r="BZ26" s="263"/>
      <c r="CA26" s="263"/>
      <c r="CB26" s="2209"/>
      <c r="CC26" s="2209"/>
      <c r="CD26" s="2209"/>
      <c r="CE26" s="2209"/>
      <c r="CF26" s="263"/>
      <c r="CG26" s="2205" t="s">
        <v>1139</v>
      </c>
      <c r="CH26" s="2206">
        <v>55.938062218921957</v>
      </c>
      <c r="CI26" s="2207"/>
      <c r="CJ26" s="263"/>
      <c r="CK26" s="263"/>
      <c r="CL26" s="263"/>
      <c r="CM26" s="263"/>
      <c r="CN26" s="2209"/>
      <c r="CO26" s="2209"/>
      <c r="CP26" s="2209"/>
      <c r="CQ26" s="2209"/>
      <c r="CR26" s="263"/>
      <c r="CS26" s="2205" t="s">
        <v>1139</v>
      </c>
      <c r="CT26" s="2196">
        <v>45.257999999927492</v>
      </c>
      <c r="CU26" s="2207"/>
      <c r="CV26" s="263"/>
      <c r="CW26" s="263"/>
      <c r="CX26" s="263"/>
      <c r="CY26" s="263"/>
      <c r="CZ26" s="2209"/>
      <c r="DA26" s="2209"/>
      <c r="DB26" s="2209"/>
      <c r="DC26" s="2209"/>
      <c r="DD26" s="263"/>
    </row>
    <row r="27" spans="1:108">
      <c r="A27" s="2205" t="s">
        <v>1140</v>
      </c>
      <c r="B27" s="2206">
        <v>3675.1213678862591</v>
      </c>
      <c r="C27" s="2207"/>
      <c r="D27" s="263"/>
      <c r="E27" s="263"/>
      <c r="F27" s="263"/>
      <c r="G27" s="263"/>
      <c r="H27" s="263"/>
      <c r="I27" s="263"/>
      <c r="J27" s="263"/>
      <c r="K27" s="263"/>
      <c r="L27" s="263"/>
      <c r="M27" s="2205" t="s">
        <v>1140</v>
      </c>
      <c r="N27" s="2206">
        <v>3675.1213678862591</v>
      </c>
      <c r="O27" s="2207"/>
      <c r="P27" s="263"/>
      <c r="Q27" s="263"/>
      <c r="R27" s="263"/>
      <c r="S27" s="263"/>
      <c r="T27" s="263"/>
      <c r="U27" s="263"/>
      <c r="V27" s="263"/>
      <c r="W27" s="263"/>
      <c r="X27" s="263"/>
      <c r="Y27" s="2205" t="s">
        <v>1140</v>
      </c>
      <c r="Z27" s="2206">
        <v>3675.1213678862591</v>
      </c>
      <c r="AA27" s="2207"/>
      <c r="AB27" s="263"/>
      <c r="AC27" s="263"/>
      <c r="AD27" s="263"/>
      <c r="AE27" s="263"/>
      <c r="AF27" s="263"/>
      <c r="AG27" s="263"/>
      <c r="AH27" s="263"/>
      <c r="AI27" s="263"/>
      <c r="AJ27" s="263"/>
      <c r="AK27" s="2205" t="s">
        <v>1140</v>
      </c>
      <c r="AL27" s="2206">
        <v>3675.1213678862591</v>
      </c>
      <c r="AM27" s="2207"/>
      <c r="AN27" s="263"/>
      <c r="AO27" s="263"/>
      <c r="AP27" s="263"/>
      <c r="AQ27" s="263"/>
      <c r="AR27" s="263"/>
      <c r="AS27" s="263"/>
      <c r="AT27" s="263"/>
      <c r="AU27" s="263"/>
      <c r="AV27" s="263"/>
      <c r="AW27" s="2205" t="s">
        <v>1140</v>
      </c>
      <c r="AX27" s="2196">
        <v>3737.7000000008188</v>
      </c>
      <c r="AY27" s="2207"/>
      <c r="AZ27" s="263"/>
      <c r="BA27" s="263"/>
      <c r="BB27" s="263"/>
      <c r="BC27" s="263"/>
      <c r="BD27" s="2209"/>
      <c r="BE27" s="2209"/>
      <c r="BF27" s="2209"/>
      <c r="BG27" s="2209"/>
      <c r="BH27" s="263"/>
      <c r="BI27" s="2205" t="s">
        <v>1140</v>
      </c>
      <c r="BJ27" s="2196">
        <v>3737.7000000008188</v>
      </c>
      <c r="BK27" s="2207"/>
      <c r="BL27" s="263"/>
      <c r="BM27" s="263"/>
      <c r="BN27" s="263"/>
      <c r="BO27" s="263"/>
      <c r="BP27" s="2209"/>
      <c r="BQ27" s="2209"/>
      <c r="BR27" s="2209"/>
      <c r="BS27" s="2209"/>
      <c r="BT27" s="263"/>
      <c r="BU27" s="2205" t="s">
        <v>1140</v>
      </c>
      <c r="BV27" s="2206">
        <v>3675.1213678862591</v>
      </c>
      <c r="BW27" s="2207"/>
      <c r="BX27" s="263"/>
      <c r="BY27" s="263"/>
      <c r="BZ27" s="263"/>
      <c r="CA27" s="263"/>
      <c r="CB27" s="263"/>
      <c r="CC27" s="263"/>
      <c r="CD27" s="263"/>
      <c r="CE27" s="263"/>
      <c r="CF27" s="263"/>
      <c r="CG27" s="2205" t="s">
        <v>1140</v>
      </c>
      <c r="CH27" s="2206">
        <v>3675.1213678862591</v>
      </c>
      <c r="CI27" s="2207"/>
      <c r="CJ27" s="263"/>
      <c r="CK27" s="263"/>
      <c r="CL27" s="263"/>
      <c r="CM27" s="263"/>
      <c r="CN27" s="263"/>
      <c r="CO27" s="263"/>
      <c r="CP27" s="263"/>
      <c r="CQ27" s="263"/>
      <c r="CR27" s="263"/>
      <c r="CS27" s="2205" t="s">
        <v>1140</v>
      </c>
      <c r="CT27" s="2196">
        <v>3737.7000000008188</v>
      </c>
      <c r="CU27" s="2207"/>
      <c r="CV27" s="263"/>
      <c r="CW27" s="263"/>
      <c r="CX27" s="263"/>
      <c r="CY27" s="263"/>
      <c r="CZ27" s="2209"/>
      <c r="DA27" s="2209"/>
      <c r="DB27" s="2209"/>
      <c r="DC27" s="2209"/>
      <c r="DD27" s="263"/>
    </row>
    <row r="28" spans="1:108">
      <c r="A28" s="327"/>
      <c r="B28" s="328"/>
      <c r="C28" s="2202"/>
      <c r="D28" s="263"/>
      <c r="E28" s="263"/>
      <c r="F28" s="263"/>
      <c r="G28" s="263"/>
      <c r="H28" s="263"/>
      <c r="I28" s="263"/>
      <c r="J28" s="263"/>
      <c r="K28" s="263"/>
      <c r="L28" s="263"/>
      <c r="M28" s="327"/>
      <c r="N28" s="328"/>
      <c r="O28" s="2202"/>
      <c r="P28" s="263"/>
      <c r="Q28" s="263"/>
      <c r="R28" s="263"/>
      <c r="S28" s="263"/>
      <c r="T28" s="263"/>
      <c r="U28" s="263"/>
      <c r="V28" s="263"/>
      <c r="W28" s="263"/>
      <c r="X28" s="263"/>
      <c r="Y28" s="327"/>
      <c r="Z28" s="328"/>
      <c r="AA28" s="2202"/>
      <c r="AB28" s="263"/>
      <c r="AC28" s="263"/>
      <c r="AD28" s="263"/>
      <c r="AE28" s="263"/>
      <c r="AF28" s="263"/>
      <c r="AG28" s="263"/>
      <c r="AH28" s="263"/>
      <c r="AI28" s="263"/>
      <c r="AJ28" s="263"/>
      <c r="AK28" s="327"/>
      <c r="AL28" s="328"/>
      <c r="AM28" s="2202"/>
      <c r="AN28" s="263"/>
      <c r="AO28" s="263"/>
      <c r="AP28" s="263"/>
      <c r="AQ28" s="263"/>
      <c r="AR28" s="263"/>
      <c r="AS28" s="263"/>
      <c r="AT28" s="263"/>
      <c r="AU28" s="263"/>
      <c r="AV28" s="263"/>
      <c r="AW28" s="327"/>
      <c r="AX28" s="328"/>
      <c r="AY28" s="2202"/>
      <c r="AZ28" s="263"/>
      <c r="BA28" s="263"/>
      <c r="BB28" s="263"/>
      <c r="BC28" s="263"/>
      <c r="BD28" s="263"/>
      <c r="BE28" s="263"/>
      <c r="BF28" s="263"/>
      <c r="BG28" s="263"/>
      <c r="BH28" s="263"/>
      <c r="BI28" s="327"/>
      <c r="BJ28" s="328"/>
      <c r="BK28" s="2202"/>
      <c r="BL28" s="263"/>
      <c r="BM28" s="263"/>
      <c r="BN28" s="263"/>
      <c r="BO28" s="263"/>
      <c r="BP28" s="263"/>
      <c r="BQ28" s="263"/>
      <c r="BR28" s="263"/>
      <c r="BS28" s="263"/>
      <c r="BT28" s="263"/>
      <c r="BU28" s="327"/>
      <c r="BV28" s="328"/>
      <c r="BW28" s="2202"/>
      <c r="BX28" s="263"/>
      <c r="BY28" s="263"/>
      <c r="BZ28" s="263"/>
      <c r="CA28" s="263"/>
      <c r="CB28" s="263"/>
      <c r="CC28" s="263"/>
      <c r="CD28" s="263"/>
      <c r="CE28" s="263"/>
      <c r="CF28" s="263"/>
      <c r="CG28" s="327"/>
      <c r="CH28" s="328"/>
      <c r="CI28" s="2202"/>
      <c r="CJ28" s="263"/>
      <c r="CK28" s="263"/>
      <c r="CL28" s="263"/>
      <c r="CM28" s="263"/>
      <c r="CN28" s="263"/>
      <c r="CO28" s="263"/>
      <c r="CP28" s="263"/>
      <c r="CQ28" s="263"/>
      <c r="CR28" s="263"/>
      <c r="CS28" s="327"/>
      <c r="CT28" s="328"/>
      <c r="CU28" s="2202"/>
      <c r="CV28" s="263"/>
      <c r="CW28" s="263"/>
      <c r="CX28" s="263"/>
      <c r="CY28" s="263"/>
      <c r="CZ28" s="263"/>
      <c r="DA28" s="263"/>
      <c r="DB28" s="263"/>
      <c r="DC28" s="263"/>
      <c r="DD28" s="263"/>
    </row>
    <row r="29" spans="1:108">
      <c r="A29" s="263"/>
      <c r="B29" s="263"/>
      <c r="C29" s="263"/>
      <c r="D29" s="263"/>
      <c r="E29" s="263"/>
      <c r="F29" s="2210"/>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row>
    <row r="30" spans="1:108">
      <c r="A30" s="2211" t="s">
        <v>1141</v>
      </c>
      <c r="B30" s="2196">
        <v>0</v>
      </c>
      <c r="C30" s="263" t="s">
        <v>1142</v>
      </c>
      <c r="D30" s="263"/>
      <c r="E30" s="263"/>
      <c r="F30" s="263"/>
      <c r="G30" s="263"/>
      <c r="H30" s="263"/>
      <c r="I30" s="263"/>
      <c r="J30" s="263"/>
      <c r="K30" s="263"/>
      <c r="L30" s="263"/>
      <c r="M30" s="2211" t="s">
        <v>1141</v>
      </c>
      <c r="N30" s="2196">
        <v>0</v>
      </c>
      <c r="O30" s="263" t="s">
        <v>1142</v>
      </c>
      <c r="P30" s="263"/>
      <c r="Q30" s="263"/>
      <c r="R30" s="263"/>
      <c r="S30" s="263"/>
      <c r="T30" s="263"/>
      <c r="U30" s="263"/>
      <c r="V30" s="263"/>
      <c r="W30" s="263"/>
      <c r="X30" s="263"/>
      <c r="Y30" s="2211" t="s">
        <v>1141</v>
      </c>
      <c r="Z30" s="2196">
        <v>0</v>
      </c>
      <c r="AA30" s="263" t="s">
        <v>1142</v>
      </c>
      <c r="AB30" s="263"/>
      <c r="AC30" s="263"/>
      <c r="AD30" s="263"/>
      <c r="AE30" s="263"/>
      <c r="AF30" s="263"/>
      <c r="AG30" s="263"/>
      <c r="AH30" s="263"/>
      <c r="AI30" s="263"/>
      <c r="AJ30" s="263"/>
      <c r="AK30" s="2211" t="s">
        <v>1141</v>
      </c>
      <c r="AL30" s="2196">
        <v>0</v>
      </c>
      <c r="AM30" s="263" t="s">
        <v>1142</v>
      </c>
      <c r="AN30" s="263"/>
      <c r="AO30" s="263"/>
      <c r="AP30" s="263"/>
      <c r="AQ30" s="263"/>
      <c r="AR30" s="263"/>
      <c r="AS30" s="263"/>
      <c r="AT30" s="263"/>
      <c r="AU30" s="263"/>
      <c r="AV30" s="263"/>
      <c r="AW30" s="2211" t="s">
        <v>1141</v>
      </c>
      <c r="AX30" s="2196">
        <v>0</v>
      </c>
      <c r="AY30" s="263" t="s">
        <v>1142</v>
      </c>
      <c r="AZ30" s="263"/>
      <c r="BA30" s="263"/>
      <c r="BB30" s="263"/>
      <c r="BC30" s="263"/>
      <c r="BD30" s="263"/>
      <c r="BE30" s="263"/>
      <c r="BF30" s="263"/>
      <c r="BG30" s="263"/>
      <c r="BH30" s="263"/>
      <c r="BI30" s="2211" t="s">
        <v>1141</v>
      </c>
      <c r="BJ30" s="2196">
        <v>0</v>
      </c>
      <c r="BK30" s="263" t="s">
        <v>1142</v>
      </c>
      <c r="BL30" s="263"/>
      <c r="BM30" s="263"/>
      <c r="BN30" s="263"/>
      <c r="BO30" s="263"/>
      <c r="BP30" s="263"/>
      <c r="BQ30" s="263"/>
      <c r="BT30" s="263"/>
      <c r="BU30" s="2211" t="s">
        <v>1141</v>
      </c>
      <c r="BV30" s="2196">
        <v>0</v>
      </c>
      <c r="BW30" s="263" t="s">
        <v>1142</v>
      </c>
      <c r="BX30" s="263"/>
      <c r="BY30" s="263"/>
      <c r="BZ30" s="263"/>
      <c r="CA30" s="263"/>
      <c r="CB30" s="263"/>
      <c r="CC30" s="263"/>
      <c r="CD30" s="263"/>
      <c r="CE30" s="263"/>
      <c r="CF30" s="263"/>
      <c r="CG30" s="2211" t="s">
        <v>1141</v>
      </c>
      <c r="CH30" s="2196">
        <v>0</v>
      </c>
      <c r="CI30" s="263" t="s">
        <v>1142</v>
      </c>
      <c r="CJ30" s="263"/>
      <c r="CK30" s="263"/>
      <c r="CL30" s="263"/>
      <c r="CM30" s="263"/>
      <c r="CN30" s="263"/>
      <c r="CO30" s="263"/>
      <c r="CP30" s="263"/>
      <c r="CQ30" s="263"/>
      <c r="CR30" s="263"/>
      <c r="CS30" s="2211" t="s">
        <v>1141</v>
      </c>
      <c r="CT30" s="2196">
        <v>0</v>
      </c>
      <c r="CU30" s="263" t="s">
        <v>1142</v>
      </c>
      <c r="CV30" s="263"/>
      <c r="CW30" s="263"/>
      <c r="CX30" s="263"/>
      <c r="CY30" s="263"/>
      <c r="CZ30" s="263"/>
      <c r="DA30" s="263"/>
      <c r="DB30" s="263"/>
      <c r="DC30" s="263"/>
      <c r="DD30" s="263"/>
    </row>
    <row r="31" spans="1:108">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row>
    <row r="32" spans="1:108">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row>
    <row r="33" spans="1:108">
      <c r="A33" s="263"/>
      <c r="B33" s="263" t="s">
        <v>1143</v>
      </c>
      <c r="C33" s="263"/>
      <c r="D33" s="263"/>
      <c r="E33" s="263"/>
      <c r="F33" s="263"/>
      <c r="G33" s="263"/>
      <c r="H33" s="263"/>
      <c r="I33" s="263"/>
      <c r="J33" s="263"/>
      <c r="K33" s="263"/>
      <c r="L33" s="263"/>
      <c r="M33" s="263"/>
      <c r="N33" s="263" t="s">
        <v>1143</v>
      </c>
      <c r="O33" s="263"/>
      <c r="P33" s="263"/>
      <c r="Q33" s="263"/>
      <c r="R33" s="263"/>
      <c r="S33" s="263"/>
      <c r="T33" s="263"/>
      <c r="U33" s="263"/>
      <c r="V33" s="263"/>
      <c r="W33" s="263"/>
      <c r="X33" s="263"/>
      <c r="Y33" s="263"/>
      <c r="Z33" s="263" t="s">
        <v>1143</v>
      </c>
      <c r="AA33" s="263"/>
      <c r="AB33" s="263"/>
      <c r="AC33" s="263"/>
      <c r="AD33" s="263"/>
      <c r="AE33" s="263"/>
      <c r="AF33" s="263"/>
      <c r="AG33" s="263"/>
      <c r="AH33" s="263"/>
      <c r="AI33" s="263"/>
      <c r="AJ33" s="263"/>
      <c r="AK33" s="263"/>
      <c r="AL33" s="263" t="s">
        <v>1143</v>
      </c>
      <c r="AM33" s="263"/>
      <c r="AN33" s="263"/>
      <c r="AO33" s="263"/>
      <c r="AP33" s="263"/>
      <c r="AQ33" s="263"/>
      <c r="AR33" s="263"/>
      <c r="AS33" s="263"/>
      <c r="AT33" s="263"/>
      <c r="AU33" s="263"/>
      <c r="AV33" s="263"/>
      <c r="AW33" s="263"/>
      <c r="AX33" s="263" t="s">
        <v>1143</v>
      </c>
      <c r="AY33" s="263"/>
      <c r="AZ33" s="263"/>
      <c r="BA33" s="263"/>
      <c r="BB33" s="263"/>
      <c r="BC33" s="263"/>
      <c r="BD33" s="263"/>
      <c r="BE33" s="263"/>
      <c r="BF33" s="263"/>
      <c r="BG33" s="263"/>
      <c r="BH33" s="263"/>
      <c r="BI33" s="263"/>
      <c r="BJ33" s="263" t="s">
        <v>1143</v>
      </c>
      <c r="BK33" s="263"/>
      <c r="BL33" s="263"/>
      <c r="BM33" s="263"/>
      <c r="BN33" s="263"/>
      <c r="BO33" s="263"/>
      <c r="BP33" s="263"/>
      <c r="BQ33" s="263"/>
      <c r="BR33" s="263"/>
      <c r="BS33" s="263"/>
      <c r="BT33" s="263"/>
      <c r="BU33" s="263"/>
      <c r="BV33" s="263" t="s">
        <v>1143</v>
      </c>
      <c r="BW33" s="263"/>
      <c r="BX33" s="263"/>
      <c r="BY33" s="263"/>
      <c r="BZ33" s="263"/>
      <c r="CA33" s="263"/>
      <c r="CB33" s="263"/>
      <c r="CC33" s="263"/>
      <c r="CD33" s="263"/>
      <c r="CE33" s="263"/>
      <c r="CF33" s="263"/>
      <c r="CG33" s="263"/>
      <c r="CH33" s="263" t="s">
        <v>1143</v>
      </c>
      <c r="CI33" s="263"/>
      <c r="CJ33" s="263"/>
      <c r="CK33" s="263"/>
      <c r="CL33" s="263"/>
      <c r="CM33" s="263"/>
      <c r="CN33" s="263"/>
      <c r="CO33" s="263"/>
      <c r="CP33" s="263"/>
      <c r="CQ33" s="263"/>
      <c r="CR33" s="263"/>
      <c r="CS33" s="263"/>
      <c r="CT33" s="263" t="s">
        <v>1143</v>
      </c>
      <c r="CU33" s="263"/>
      <c r="CV33" s="263"/>
      <c r="CW33" s="263"/>
      <c r="CX33" s="263"/>
      <c r="CY33" s="263"/>
      <c r="CZ33" s="263"/>
      <c r="DA33" s="263"/>
      <c r="DB33" s="263"/>
      <c r="DC33" s="263"/>
      <c r="DD33" s="263"/>
    </row>
    <row r="34" spans="1:108">
      <c r="A34" s="2212" t="s">
        <v>135</v>
      </c>
      <c r="B34" s="2212" t="s">
        <v>139</v>
      </c>
      <c r="C34" s="2212" t="s">
        <v>1144</v>
      </c>
      <c r="D34" s="2212" t="s">
        <v>74</v>
      </c>
      <c r="E34" s="2213"/>
      <c r="F34" s="2213"/>
      <c r="G34" s="2213"/>
      <c r="H34" s="2213"/>
      <c r="I34" s="2213"/>
      <c r="J34" s="2214" t="s">
        <v>1145</v>
      </c>
      <c r="K34" s="2213"/>
      <c r="L34" s="2213"/>
      <c r="M34" s="2212" t="s">
        <v>135</v>
      </c>
      <c r="N34" s="2212" t="s">
        <v>139</v>
      </c>
      <c r="O34" s="2212" t="s">
        <v>1144</v>
      </c>
      <c r="P34" s="2212" t="s">
        <v>74</v>
      </c>
      <c r="Q34" s="2213"/>
      <c r="R34" s="2213"/>
      <c r="S34" s="2215"/>
      <c r="T34" s="2216"/>
      <c r="U34" s="2216"/>
      <c r="V34" s="2214" t="s">
        <v>1145</v>
      </c>
      <c r="W34" s="2216"/>
      <c r="X34" s="2213"/>
      <c r="Y34" s="2212" t="s">
        <v>135</v>
      </c>
      <c r="Z34" s="2212" t="s">
        <v>139</v>
      </c>
      <c r="AA34" s="2212" t="s">
        <v>1144</v>
      </c>
      <c r="AB34" s="2212" t="s">
        <v>74</v>
      </c>
      <c r="AC34" s="2213"/>
      <c r="AD34" s="2213"/>
      <c r="AE34" s="2213"/>
      <c r="AF34" s="2213"/>
      <c r="AG34" s="2213"/>
      <c r="AH34" s="2214" t="s">
        <v>1145</v>
      </c>
      <c r="AI34" s="2213"/>
      <c r="AJ34" s="2213"/>
      <c r="AK34" s="2212" t="s">
        <v>135</v>
      </c>
      <c r="AL34" s="2212" t="s">
        <v>139</v>
      </c>
      <c r="AM34" s="2212" t="s">
        <v>1144</v>
      </c>
      <c r="AN34" s="2212" t="s">
        <v>74</v>
      </c>
      <c r="AO34" s="2213"/>
      <c r="AP34" s="2213"/>
      <c r="AQ34" s="2213"/>
      <c r="AR34" s="2213"/>
      <c r="AS34" s="2213"/>
      <c r="AT34" s="2214" t="s">
        <v>1145</v>
      </c>
      <c r="AU34" s="2213"/>
      <c r="AV34" s="2213"/>
      <c r="AW34" s="2212" t="s">
        <v>135</v>
      </c>
      <c r="AX34" s="2212" t="s">
        <v>139</v>
      </c>
      <c r="AY34" s="2212" t="s">
        <v>1144</v>
      </c>
      <c r="AZ34" s="2212" t="s">
        <v>74</v>
      </c>
      <c r="BA34" s="263"/>
      <c r="BB34" s="2213"/>
      <c r="BC34" s="2213"/>
      <c r="BD34" s="2213"/>
      <c r="BE34" s="2213"/>
      <c r="BF34" s="2214" t="s">
        <v>1145</v>
      </c>
      <c r="BG34" s="2213"/>
      <c r="BH34" s="263"/>
      <c r="BI34" s="2212" t="s">
        <v>135</v>
      </c>
      <c r="BJ34" s="2212" t="s">
        <v>139</v>
      </c>
      <c r="BK34" s="2212" t="s">
        <v>1144</v>
      </c>
      <c r="BL34" s="2212" t="s">
        <v>74</v>
      </c>
      <c r="BM34" s="263"/>
      <c r="BN34" s="2213"/>
      <c r="BO34" s="2213"/>
      <c r="BP34" s="2213"/>
      <c r="BQ34" s="2213"/>
      <c r="BR34" s="2214" t="s">
        <v>1145</v>
      </c>
      <c r="BS34" s="2213"/>
      <c r="BT34" s="263"/>
      <c r="BU34" s="2212" t="s">
        <v>135</v>
      </c>
      <c r="BV34" s="2212" t="s">
        <v>139</v>
      </c>
      <c r="BW34" s="2212" t="s">
        <v>1144</v>
      </c>
      <c r="BX34" s="2212" t="s">
        <v>74</v>
      </c>
      <c r="BY34" s="2213"/>
      <c r="BZ34" s="2213"/>
      <c r="CA34" s="2213"/>
      <c r="CB34" s="2213"/>
      <c r="CC34" s="2213"/>
      <c r="CD34" s="2214" t="s">
        <v>1145</v>
      </c>
      <c r="CE34" s="2213"/>
      <c r="CF34" s="2213"/>
      <c r="CG34" s="2212" t="s">
        <v>135</v>
      </c>
      <c r="CH34" s="2212" t="s">
        <v>139</v>
      </c>
      <c r="CI34" s="2212" t="s">
        <v>1144</v>
      </c>
      <c r="CJ34" s="2212" t="s">
        <v>74</v>
      </c>
      <c r="CK34" s="2213"/>
      <c r="CL34" s="2213"/>
      <c r="CM34" s="2213"/>
      <c r="CN34" s="2213"/>
      <c r="CO34" s="2213"/>
      <c r="CP34" s="2214" t="s">
        <v>1145</v>
      </c>
      <c r="CQ34" s="2213"/>
      <c r="CR34" s="2213"/>
      <c r="CS34" s="2212" t="s">
        <v>135</v>
      </c>
      <c r="CT34" s="2212" t="s">
        <v>139</v>
      </c>
      <c r="CU34" s="2212" t="s">
        <v>1144</v>
      </c>
      <c r="CV34" s="2212" t="s">
        <v>74</v>
      </c>
      <c r="CW34" s="263"/>
      <c r="CX34" s="2213"/>
      <c r="CY34" s="2213"/>
      <c r="CZ34" s="2213"/>
      <c r="DA34" s="2213"/>
      <c r="DB34" s="2214" t="s">
        <v>1145</v>
      </c>
      <c r="DC34" s="2213"/>
      <c r="DD34" s="263"/>
    </row>
    <row r="35" spans="1:108">
      <c r="A35" s="2212">
        <v>-22</v>
      </c>
      <c r="B35" s="2217">
        <f>B$27+(B$26*D35)-(B$25*(D35^2))+(B$24*(D35^3))</f>
        <v>8648.4926063702005</v>
      </c>
      <c r="C35" s="2217">
        <f>C36</f>
        <v>-5.6049811506854894</v>
      </c>
      <c r="D35" s="2212">
        <v>300</v>
      </c>
      <c r="E35" s="2213"/>
      <c r="F35" s="2215" t="s">
        <v>1146</v>
      </c>
      <c r="G35" s="2217">
        <v>10</v>
      </c>
      <c r="H35" s="2218" t="s">
        <v>1147</v>
      </c>
      <c r="I35" s="2218"/>
      <c r="J35" s="901">
        <v>70</v>
      </c>
      <c r="K35" s="2218"/>
      <c r="L35" s="2213"/>
      <c r="M35" s="2212">
        <v>-22</v>
      </c>
      <c r="N35" s="2217">
        <f t="shared" ref="N35:N98" si="9">N$27+(N$26*P35)-(N$25*(P35^2))+(N$24*(P35^3))</f>
        <v>8648.4926063702005</v>
      </c>
      <c r="O35" s="2217">
        <f>O36</f>
        <v>-5.6049811506854894</v>
      </c>
      <c r="P35" s="2212">
        <v>300</v>
      </c>
      <c r="Q35" s="2213"/>
      <c r="R35" s="2215" t="s">
        <v>1146</v>
      </c>
      <c r="S35" s="2217">
        <v>14</v>
      </c>
      <c r="T35" s="2218" t="s">
        <v>1147</v>
      </c>
      <c r="U35" s="2218"/>
      <c r="V35" s="901">
        <v>70</v>
      </c>
      <c r="W35" s="2218"/>
      <c r="X35" s="2213"/>
      <c r="Y35" s="2212">
        <v>-22</v>
      </c>
      <c r="Z35" s="2217">
        <f t="shared" ref="Z35:Z98" si="10">Z$27+(Z$26*AB35)-(Z$25*(AB35^2))+(Z$24*(AB35^3))</f>
        <v>8648.4926063702005</v>
      </c>
      <c r="AA35" s="2217">
        <f>AA36</f>
        <v>-5.6049811506854894</v>
      </c>
      <c r="AB35" s="2212">
        <v>300</v>
      </c>
      <c r="AC35" s="2213"/>
      <c r="AD35" s="2215" t="s">
        <v>1146</v>
      </c>
      <c r="AE35" s="2217">
        <v>12</v>
      </c>
      <c r="AF35" s="2218" t="s">
        <v>1147</v>
      </c>
      <c r="AG35" s="2218"/>
      <c r="AH35" s="901">
        <v>60</v>
      </c>
      <c r="AI35" s="2218"/>
      <c r="AJ35" s="2213"/>
      <c r="AK35" s="2212">
        <v>-22</v>
      </c>
      <c r="AL35" s="2217">
        <f t="shared" ref="AL35:AL98" si="11">AL$27+(AL$26*AN35)-(AL$25*(AN35^2))+(AL$24*(AN35^3))</f>
        <v>8648.4926063702005</v>
      </c>
      <c r="AM35" s="2217">
        <f>AM36</f>
        <v>-5.6049811506854894</v>
      </c>
      <c r="AN35" s="2212">
        <v>300</v>
      </c>
      <c r="AO35" s="2213"/>
      <c r="AP35" s="2215" t="s">
        <v>1146</v>
      </c>
      <c r="AQ35" s="2217">
        <v>14</v>
      </c>
      <c r="AR35" s="2218" t="s">
        <v>1147</v>
      </c>
      <c r="AS35" s="2218"/>
      <c r="AT35" s="2217">
        <v>70</v>
      </c>
      <c r="AU35" s="2218"/>
      <c r="AV35" s="2213"/>
      <c r="AW35" s="2217">
        <f>AW36</f>
        <v>40.945174000064867</v>
      </c>
      <c r="AX35" s="2217">
        <f>AX$27+(AX$26*AZ35)-(AX$25*(AZ35^2))+(AX$24*(AZ35^3))</f>
        <v>9944.1000000123131</v>
      </c>
      <c r="AY35" s="2217">
        <f t="shared" ref="AY35:AY98" si="12">AX35-AX36</f>
        <v>49.840500000069369</v>
      </c>
      <c r="AZ35" s="2212">
        <v>300</v>
      </c>
      <c r="BA35" s="263"/>
      <c r="BB35" s="2215" t="s">
        <v>1146</v>
      </c>
      <c r="BC35" s="2217">
        <v>18</v>
      </c>
      <c r="BD35" s="2218" t="s">
        <v>1147</v>
      </c>
      <c r="BE35" s="2218"/>
      <c r="BF35" s="901">
        <v>60</v>
      </c>
      <c r="BG35" s="2218"/>
      <c r="BH35" s="2208"/>
      <c r="BI35" s="2217">
        <f>BI36</f>
        <v>56.224423000083846</v>
      </c>
      <c r="BJ35" s="2217">
        <f>BJ$27+(BJ$26*BL35)-(BJ$25*(BL35^2))+(BJ$24*(BL35^3))</f>
        <v>9944.1000000123131</v>
      </c>
      <c r="BK35" s="2217">
        <f t="shared" ref="BK35:BK98" si="13">BJ35-BJ36</f>
        <v>49.840500000069369</v>
      </c>
      <c r="BL35" s="2212">
        <v>300</v>
      </c>
      <c r="BM35" s="263"/>
      <c r="BN35" s="2215" t="s">
        <v>1146</v>
      </c>
      <c r="BO35" s="2217">
        <v>18</v>
      </c>
      <c r="BP35" s="2218" t="s">
        <v>1147</v>
      </c>
      <c r="BQ35" s="2218"/>
      <c r="BR35" s="901">
        <v>60</v>
      </c>
      <c r="BS35" s="2218"/>
      <c r="BT35" s="2208"/>
      <c r="BU35" s="2212">
        <v>-22</v>
      </c>
      <c r="BV35" s="2217">
        <f t="shared" ref="BV35:BV98" si="14">BV$27+(BV$26*BX35)-(BV$25*(BX35^2))+(BV$24*(BX35^3))</f>
        <v>8648.4926063702005</v>
      </c>
      <c r="BW35" s="2217">
        <f>BW36</f>
        <v>-5.6049811506854894</v>
      </c>
      <c r="BX35" s="2212">
        <v>300</v>
      </c>
      <c r="BY35" s="2213"/>
      <c r="BZ35" s="2215" t="s">
        <v>1146</v>
      </c>
      <c r="CA35" s="2217">
        <v>14</v>
      </c>
      <c r="CB35" s="2218" t="s">
        <v>1147</v>
      </c>
      <c r="CC35" s="2218"/>
      <c r="CD35" s="2217">
        <v>60</v>
      </c>
      <c r="CE35" s="2218"/>
      <c r="CF35" s="2213"/>
      <c r="CG35" s="2212">
        <v>-22</v>
      </c>
      <c r="CH35" s="2217">
        <f t="shared" ref="CH35:CH98" si="15">CH$27+(CH$26*CJ35)-(CH$25*(CJ35^2))+(CH$24*(CJ35^3))</f>
        <v>8648.4926063702005</v>
      </c>
      <c r="CI35" s="2217">
        <f>CI36</f>
        <v>-5.6049811506854894</v>
      </c>
      <c r="CJ35" s="2212">
        <v>300</v>
      </c>
      <c r="CK35" s="2213"/>
      <c r="CL35" s="2215" t="s">
        <v>1146</v>
      </c>
      <c r="CM35" s="2217">
        <v>14</v>
      </c>
      <c r="CN35" s="2218" t="s">
        <v>1147</v>
      </c>
      <c r="CO35" s="2218"/>
      <c r="CP35" s="2217">
        <v>70</v>
      </c>
      <c r="CQ35" s="2218"/>
      <c r="CR35" s="2213"/>
      <c r="CS35" s="2217">
        <f>CS36</f>
        <v>55.238665000082634</v>
      </c>
      <c r="CT35" s="2217">
        <f>CT$27+(CT$26*CV35)-(CT$25*(CV35^2))+(CT$24*(CV35^3))</f>
        <v>9944.1000000123131</v>
      </c>
      <c r="CU35" s="2217">
        <f t="shared" ref="CU35:CU98" si="16">CT35-CT36</f>
        <v>49.840500000069369</v>
      </c>
      <c r="CV35" s="2212">
        <v>300</v>
      </c>
      <c r="CW35" s="263"/>
      <c r="CX35" s="2215" t="s">
        <v>1146</v>
      </c>
      <c r="CY35" s="2217">
        <v>18</v>
      </c>
      <c r="CZ35" s="2218" t="s">
        <v>1147</v>
      </c>
      <c r="DA35" s="2218"/>
      <c r="DB35" s="901">
        <v>60</v>
      </c>
      <c r="DC35" s="2218"/>
      <c r="DD35" s="2208"/>
    </row>
    <row r="36" spans="1:108">
      <c r="A36" s="2217">
        <f>(C36*(B$7-B$9))-B$8</f>
        <v>-17.745728323288311</v>
      </c>
      <c r="B36" s="2217">
        <f t="shared" ref="B36:B99" si="17">B$27+(B$26*D36)-(B$25*(D36^2))+(B$24*(D36^3))</f>
        <v>8654.1327990836289</v>
      </c>
      <c r="C36" s="2217">
        <f t="shared" ref="C36:C99" si="18">B36-B37</f>
        <v>-5.6049811506854894</v>
      </c>
      <c r="D36" s="2212">
        <v>299</v>
      </c>
      <c r="E36" s="2219"/>
      <c r="F36" s="2213" t="s">
        <v>1144</v>
      </c>
      <c r="G36" s="1848">
        <v>1.2E-2</v>
      </c>
      <c r="H36" s="2218" t="s">
        <v>1148</v>
      </c>
      <c r="I36" s="2218"/>
      <c r="J36" s="2218"/>
      <c r="K36" s="2218"/>
      <c r="L36" s="2213"/>
      <c r="M36" s="2217">
        <f>(O36*(N$7-N$9))-N$8</f>
        <v>-18.138077003836298</v>
      </c>
      <c r="N36" s="2217">
        <f t="shared" si="9"/>
        <v>8654.1327990836289</v>
      </c>
      <c r="O36" s="2217">
        <f t="shared" ref="O36:O99" si="19">N36-N37</f>
        <v>-5.6049811506854894</v>
      </c>
      <c r="P36" s="2212">
        <v>299</v>
      </c>
      <c r="Q36" s="2219"/>
      <c r="R36" s="2213" t="s">
        <v>1144</v>
      </c>
      <c r="S36" s="1848">
        <v>6.0000000000000001E-3</v>
      </c>
      <c r="T36" s="2218" t="s">
        <v>1148</v>
      </c>
      <c r="U36" s="2218"/>
      <c r="V36" s="2218"/>
      <c r="W36" s="2218"/>
      <c r="X36" s="2213"/>
      <c r="Y36" s="2217">
        <f>(AA36*(Z$7-Z$9))-Z$8</f>
        <v>-18.642525307397992</v>
      </c>
      <c r="Z36" s="2217">
        <f t="shared" si="10"/>
        <v>8654.1327990836289</v>
      </c>
      <c r="AA36" s="2217">
        <f t="shared" ref="AA36:AA99" si="20">Z36-Z37</f>
        <v>-5.6049811506854894</v>
      </c>
      <c r="AB36" s="2212">
        <v>299</v>
      </c>
      <c r="AC36" s="2219"/>
      <c r="AD36" s="2213" t="s">
        <v>1144</v>
      </c>
      <c r="AE36" s="1848">
        <v>6.0000000000000001E-3</v>
      </c>
      <c r="AF36" s="2218" t="s">
        <v>1148</v>
      </c>
      <c r="AG36" s="2218"/>
      <c r="AH36" s="2218"/>
      <c r="AI36" s="2218"/>
      <c r="AJ36" s="2213"/>
      <c r="AK36" s="2217">
        <f>(AM36*(AL$7-AL$9))-AL$8</f>
        <v>-16.23238341260323</v>
      </c>
      <c r="AL36" s="2217">
        <f t="shared" si="11"/>
        <v>8654.1327990836289</v>
      </c>
      <c r="AM36" s="2217">
        <f t="shared" ref="AM36:AM99" si="21">AL36-AL37</f>
        <v>-5.6049811506854894</v>
      </c>
      <c r="AN36" s="2212">
        <v>299</v>
      </c>
      <c r="AO36" s="2219"/>
      <c r="AP36" s="2213" t="s">
        <v>1144</v>
      </c>
      <c r="AQ36" s="1848">
        <v>8.0000000000000002E-3</v>
      </c>
      <c r="AR36" s="2218" t="s">
        <v>1148</v>
      </c>
      <c r="AS36" s="2218"/>
      <c r="AT36" s="2218"/>
      <c r="AU36" s="2218"/>
      <c r="AV36" s="2213"/>
      <c r="AW36" s="2217">
        <f>AY36*(AX$7-AX$9)-AX$8</f>
        <v>40.945174000064867</v>
      </c>
      <c r="AX36" s="2217">
        <f>AX$27+(AX$26*AZ36)-(AX$25*(AZ36^2))+(AX$24*(AZ36^3))</f>
        <v>9894.2595000122437</v>
      </c>
      <c r="AY36" s="2217">
        <f t="shared" si="12"/>
        <v>49.2879000000612</v>
      </c>
      <c r="AZ36" s="2212">
        <v>299</v>
      </c>
      <c r="BA36" s="2208"/>
      <c r="BB36" s="2213" t="s">
        <v>1144</v>
      </c>
      <c r="BC36" s="1848">
        <v>1.6E-2</v>
      </c>
      <c r="BD36" s="2218" t="s">
        <v>1148</v>
      </c>
      <c r="BE36" s="2218"/>
      <c r="BF36" s="2218"/>
      <c r="BG36" s="2218"/>
      <c r="BH36" s="2208"/>
      <c r="BI36" s="2217">
        <f>BK36*(BJ$7-BJ$9)-BJ$8</f>
        <v>56.224423000083846</v>
      </c>
      <c r="BJ36" s="2217">
        <f t="shared" ref="BJ36:BJ99" si="22">BJ$27+(BJ$26*BL36)-(BJ$25*(BL36^2))+(BJ$24*(BL36^3))</f>
        <v>9894.2595000122437</v>
      </c>
      <c r="BK36" s="2217">
        <f t="shared" si="13"/>
        <v>49.2879000000612</v>
      </c>
      <c r="BL36" s="2212">
        <v>299</v>
      </c>
      <c r="BM36" s="2208"/>
      <c r="BN36" s="2213" t="s">
        <v>1144</v>
      </c>
      <c r="BO36" s="1848">
        <v>1.6E-2</v>
      </c>
      <c r="BP36" s="2218" t="s">
        <v>1148</v>
      </c>
      <c r="BQ36" s="2218"/>
      <c r="BR36" s="2218"/>
      <c r="BS36" s="2218"/>
      <c r="BT36" s="2208"/>
      <c r="BU36" s="2217">
        <f>(BW36*(BV$7-BV$9))-BV$8</f>
        <v>-16.23238341260323</v>
      </c>
      <c r="BV36" s="2217">
        <f t="shared" si="14"/>
        <v>8654.1327990836289</v>
      </c>
      <c r="BW36" s="2217">
        <f t="shared" ref="BW36:BW99" si="23">BV36-BV37</f>
        <v>-5.6049811506854894</v>
      </c>
      <c r="BX36" s="2212">
        <v>299</v>
      </c>
      <c r="BY36" s="2219"/>
      <c r="BZ36" s="2213" t="s">
        <v>1144</v>
      </c>
      <c r="CA36" s="1848">
        <v>8.0000000000000002E-3</v>
      </c>
      <c r="CB36" s="2218" t="s">
        <v>1148</v>
      </c>
      <c r="CC36" s="2218"/>
      <c r="CD36" s="2218"/>
      <c r="CE36" s="2218"/>
      <c r="CF36" s="2213"/>
      <c r="CG36" s="2217">
        <f>(CI36*(CH$7-CH$9))-CH$8</f>
        <v>-16.90498115068549</v>
      </c>
      <c r="CH36" s="2217">
        <f t="shared" si="15"/>
        <v>8654.1327990836289</v>
      </c>
      <c r="CI36" s="2217">
        <f t="shared" ref="CI36:CI99" si="24">CH36-CH37</f>
        <v>-5.6049811506854894</v>
      </c>
      <c r="CJ36" s="2212">
        <v>299</v>
      </c>
      <c r="CK36" s="2219"/>
      <c r="CL36" s="2213" t="s">
        <v>1144</v>
      </c>
      <c r="CM36" s="1848">
        <v>8.0000000000000002E-3</v>
      </c>
      <c r="CN36" s="2218" t="s">
        <v>1148</v>
      </c>
      <c r="CO36" s="2218"/>
      <c r="CP36" s="2218"/>
      <c r="CQ36" s="2218"/>
      <c r="CR36" s="2213"/>
      <c r="CS36" s="2217">
        <f>CU36*(CT$7-CT$9)-CT$8</f>
        <v>55.238665000082634</v>
      </c>
      <c r="CT36" s="2217">
        <f t="shared" ref="CT36:CT99" si="25">CT$27+(CT$26*CV36)-(CT$25*(CV36^2))+(CT$24*(CV36^3))</f>
        <v>9894.2595000122437</v>
      </c>
      <c r="CU36" s="2217">
        <f t="shared" si="16"/>
        <v>49.2879000000612</v>
      </c>
      <c r="CV36" s="2212">
        <v>299</v>
      </c>
      <c r="CW36" s="2208"/>
      <c r="CX36" s="2213" t="s">
        <v>1144</v>
      </c>
      <c r="CY36" s="1848">
        <v>1.6E-2</v>
      </c>
      <c r="CZ36" s="2218" t="s">
        <v>1148</v>
      </c>
      <c r="DA36" s="2218"/>
      <c r="DB36" s="2218"/>
      <c r="DC36" s="2218"/>
      <c r="DD36" s="2208"/>
    </row>
    <row r="37" spans="1:108">
      <c r="A37" s="2217">
        <f t="shared" ref="A37:A100" si="26">(C37*(B$7-B$9))-B$8</f>
        <v>-17.703922122038239</v>
      </c>
      <c r="B37" s="2217">
        <f t="shared" si="17"/>
        <v>8659.7377802343144</v>
      </c>
      <c r="C37" s="2217">
        <f t="shared" si="18"/>
        <v>-5.5686279322071641</v>
      </c>
      <c r="D37" s="2212">
        <v>298</v>
      </c>
      <c r="E37" s="2219"/>
      <c r="F37" s="2213" t="s">
        <v>1144</v>
      </c>
      <c r="G37" s="1848">
        <v>8.0000000000000002E-3</v>
      </c>
      <c r="H37" s="2218" t="s">
        <v>1149</v>
      </c>
      <c r="I37" s="2218"/>
      <c r="J37" s="2213" t="s">
        <v>1150</v>
      </c>
      <c r="K37" s="2218"/>
      <c r="L37" s="2213"/>
      <c r="M37" s="2217">
        <f t="shared" ref="M37:M100" si="27">(O37*(N$7-N$9))-N$8</f>
        <v>-18.09372607729274</v>
      </c>
      <c r="N37" s="2217">
        <f t="shared" si="9"/>
        <v>8659.7377802343144</v>
      </c>
      <c r="O37" s="2217">
        <f t="shared" si="19"/>
        <v>-5.5686279322071641</v>
      </c>
      <c r="P37" s="2212">
        <v>298</v>
      </c>
      <c r="Q37" s="2219"/>
      <c r="R37" s="2213" t="s">
        <v>1144</v>
      </c>
      <c r="S37" s="1848">
        <v>4.0000000000000001E-3</v>
      </c>
      <c r="T37" s="2218" t="s">
        <v>1149</v>
      </c>
      <c r="U37" s="2218"/>
      <c r="V37" s="2213" t="s">
        <v>1151</v>
      </c>
      <c r="W37" s="2218"/>
      <c r="X37" s="2213"/>
      <c r="Y37" s="2217">
        <f t="shared" ref="Y37:Y100" si="28">(AA37*(Z$7-Z$9))-Z$8</f>
        <v>-18.594902591191385</v>
      </c>
      <c r="Z37" s="2217">
        <f t="shared" si="10"/>
        <v>8659.7377802343144</v>
      </c>
      <c r="AA37" s="2217">
        <f t="shared" si="20"/>
        <v>-5.5686279322071641</v>
      </c>
      <c r="AB37" s="2212">
        <v>298</v>
      </c>
      <c r="AC37" s="2219"/>
      <c r="AD37" s="2213" t="s">
        <v>1144</v>
      </c>
      <c r="AE37" s="1848">
        <v>4.0000000000000001E-3</v>
      </c>
      <c r="AF37" s="2218" t="s">
        <v>1149</v>
      </c>
      <c r="AG37" s="2218"/>
      <c r="AH37" s="2213" t="s">
        <v>1150</v>
      </c>
      <c r="AI37" s="2218"/>
      <c r="AJ37" s="2213"/>
      <c r="AK37" s="2217">
        <f t="shared" ref="AK37:AK100" si="29">(AM37*(AL$7-AL$9))-AL$8</f>
        <v>-16.200392580342303</v>
      </c>
      <c r="AL37" s="2217">
        <f t="shared" si="11"/>
        <v>8659.7377802343144</v>
      </c>
      <c r="AM37" s="2217">
        <f t="shared" si="21"/>
        <v>-5.5686279322071641</v>
      </c>
      <c r="AN37" s="2212">
        <v>298</v>
      </c>
      <c r="AO37" s="2219"/>
      <c r="AP37" s="2213" t="s">
        <v>1144</v>
      </c>
      <c r="AQ37" s="1848">
        <v>1.0999999999999999E-2</v>
      </c>
      <c r="AR37" s="2218" t="s">
        <v>1149</v>
      </c>
      <c r="AS37" s="2218"/>
      <c r="AT37" s="2213" t="s">
        <v>1150</v>
      </c>
      <c r="AU37" s="2218"/>
      <c r="AV37" s="2213"/>
      <c r="AW37" s="2217">
        <f t="shared" ref="AW37:AW100" si="30">AY37*(AX$7-AX$9)-AX$8</f>
        <v>40.36323400006971</v>
      </c>
      <c r="AX37" s="2217">
        <f t="shared" ref="AX37:AX100" si="31">AX$27+(AX$26*AZ37)-(AX$25*(AZ37^2))+(AX$24*(AZ37^3))</f>
        <v>9844.9716000121825</v>
      </c>
      <c r="AY37" s="2217">
        <f t="shared" si="12"/>
        <v>48.738900000065769</v>
      </c>
      <c r="AZ37" s="2212">
        <v>298</v>
      </c>
      <c r="BA37" s="2208"/>
      <c r="BB37" s="2213" t="s">
        <v>1144</v>
      </c>
      <c r="BC37" s="1848">
        <v>1.2E-2</v>
      </c>
      <c r="BD37" s="2218" t="s">
        <v>1149</v>
      </c>
      <c r="BE37" s="2218"/>
      <c r="BF37" s="2213" t="s">
        <v>1150</v>
      </c>
      <c r="BG37" s="2218"/>
      <c r="BH37" s="2208"/>
      <c r="BI37" s="2217">
        <f t="shared" ref="BI37:BI100" si="32">BK37*(BJ$7-BJ$9)-BJ$8</f>
        <v>55.472293000090104</v>
      </c>
      <c r="BJ37" s="2217">
        <f t="shared" si="22"/>
        <v>9844.9716000121825</v>
      </c>
      <c r="BK37" s="2217">
        <f t="shared" si="13"/>
        <v>48.738900000065769</v>
      </c>
      <c r="BL37" s="2212">
        <v>298</v>
      </c>
      <c r="BM37" s="2208"/>
      <c r="BN37" s="2213" t="s">
        <v>1144</v>
      </c>
      <c r="BO37" s="1848">
        <v>1.2E-2</v>
      </c>
      <c r="BP37" s="2218" t="s">
        <v>1149</v>
      </c>
      <c r="BQ37" s="2218"/>
      <c r="BR37" s="2213" t="s">
        <v>1150</v>
      </c>
      <c r="BS37" s="2218"/>
      <c r="BT37" s="2208"/>
      <c r="BU37" s="2217">
        <f t="shared" ref="BU37:BU100" si="33">(BW37*(BV$7-BV$9))-BV$8</f>
        <v>-16.200392580342303</v>
      </c>
      <c r="BV37" s="2217">
        <f t="shared" si="14"/>
        <v>8659.7377802343144</v>
      </c>
      <c r="BW37" s="2217">
        <f t="shared" si="23"/>
        <v>-5.5686279322071641</v>
      </c>
      <c r="BX37" s="2212">
        <v>298</v>
      </c>
      <c r="BY37" s="2219"/>
      <c r="BZ37" s="2213" t="s">
        <v>1144</v>
      </c>
      <c r="CA37" s="1848">
        <v>1.0999999999999999E-2</v>
      </c>
      <c r="CB37" s="2218" t="s">
        <v>1149</v>
      </c>
      <c r="CC37" s="2218"/>
      <c r="CD37" s="2213" t="s">
        <v>1150</v>
      </c>
      <c r="CE37" s="2218"/>
      <c r="CF37" s="2213"/>
      <c r="CG37" s="2217">
        <f t="shared" ref="CG37:CG100" si="34">(CI37*(CH$7-CH$9))-CH$8</f>
        <v>-16.868627932207165</v>
      </c>
      <c r="CH37" s="2217">
        <f t="shared" si="15"/>
        <v>8659.7377802343144</v>
      </c>
      <c r="CI37" s="2217">
        <f t="shared" si="24"/>
        <v>-5.5686279322071641</v>
      </c>
      <c r="CJ37" s="2212">
        <v>298</v>
      </c>
      <c r="CK37" s="2219"/>
      <c r="CL37" s="2213" t="s">
        <v>1144</v>
      </c>
      <c r="CM37" s="1848">
        <v>1.0999999999999999E-2</v>
      </c>
      <c r="CN37" s="2218" t="s">
        <v>1149</v>
      </c>
      <c r="CO37" s="2218"/>
      <c r="CP37" s="2213" t="s">
        <v>1150</v>
      </c>
      <c r="CQ37" s="2218"/>
      <c r="CR37" s="2213"/>
      <c r="CS37" s="2217">
        <f t="shared" ref="CS37:CS100" si="35">CU37*(CT$7-CT$9)-CT$8</f>
        <v>54.497515000088796</v>
      </c>
      <c r="CT37" s="2217">
        <f t="shared" si="25"/>
        <v>9844.9716000121825</v>
      </c>
      <c r="CU37" s="2217">
        <f t="shared" si="16"/>
        <v>48.738900000065769</v>
      </c>
      <c r="CV37" s="2212">
        <v>298</v>
      </c>
      <c r="CW37" s="2208"/>
      <c r="CX37" s="2213" t="s">
        <v>1144</v>
      </c>
      <c r="CY37" s="1848">
        <v>1.2E-2</v>
      </c>
      <c r="CZ37" s="2218" t="s">
        <v>1149</v>
      </c>
      <c r="DA37" s="2218"/>
      <c r="DB37" s="2213" t="s">
        <v>1150</v>
      </c>
      <c r="DC37" s="2218"/>
      <c r="DD37" s="2208"/>
    </row>
    <row r="38" spans="1:108">
      <c r="A38" s="2217">
        <f t="shared" si="26"/>
        <v>-17.660803016688259</v>
      </c>
      <c r="B38" s="2217">
        <f t="shared" si="17"/>
        <v>8665.3064081665216</v>
      </c>
      <c r="C38" s="2217">
        <f t="shared" si="18"/>
        <v>-5.5311330579897913</v>
      </c>
      <c r="D38" s="2212">
        <v>297</v>
      </c>
      <c r="E38" s="2219"/>
      <c r="F38" s="2213" t="s">
        <v>952</v>
      </c>
      <c r="G38" s="1849">
        <f>IF(B10&lt;G35,(1+(G35-B10)*G37),IF(B10&gt;G35,(1+(G35-B10)*G36),0))</f>
        <v>1.001391304347826</v>
      </c>
      <c r="H38" s="2213"/>
      <c r="I38" s="2213"/>
      <c r="J38" s="2217">
        <f>J35*G38</f>
        <v>70.097391304347823</v>
      </c>
      <c r="K38" s="2213"/>
      <c r="L38" s="2213"/>
      <c r="M38" s="2217">
        <f t="shared" si="27"/>
        <v>-18.047982330747544</v>
      </c>
      <c r="N38" s="2217">
        <f t="shared" si="9"/>
        <v>8665.3064081665216</v>
      </c>
      <c r="O38" s="2217">
        <f t="shared" si="19"/>
        <v>-5.5311330579897913</v>
      </c>
      <c r="P38" s="2212">
        <v>297</v>
      </c>
      <c r="Q38" s="2219"/>
      <c r="R38" s="2213" t="s">
        <v>952</v>
      </c>
      <c r="S38" s="1849">
        <f>IF(N10&lt;S35,(1+(S35-N10)*S37),IF(N10&gt;S35,(1+(S35-N10)*S36),0))</f>
        <v>1.0189508196721311</v>
      </c>
      <c r="T38" s="2213"/>
      <c r="U38" s="2213"/>
      <c r="V38" s="2217">
        <f>S38*V35</f>
        <v>71.32655737704917</v>
      </c>
      <c r="W38" s="2213"/>
      <c r="X38" s="2213"/>
      <c r="Y38" s="2217">
        <f t="shared" si="28"/>
        <v>-18.545784305966627</v>
      </c>
      <c r="Z38" s="2217">
        <f t="shared" si="10"/>
        <v>8665.3064081665216</v>
      </c>
      <c r="AA38" s="2217">
        <f t="shared" si="20"/>
        <v>-5.5311330579897913</v>
      </c>
      <c r="AB38" s="2212">
        <v>297</v>
      </c>
      <c r="AC38" s="2219"/>
      <c r="AD38" s="2213" t="s">
        <v>952</v>
      </c>
      <c r="AE38" s="1849">
        <f>IF(Z10&lt;AE35,(1+(AE35-Z10)*AE37),IF(Z10&gt;AE35,(1+(AE35-Z10)*AE36),0))</f>
        <v>1.0134961832061069</v>
      </c>
      <c r="AF38" s="2213"/>
      <c r="AG38" s="2213"/>
      <c r="AH38" s="2217">
        <f>AH35*AE38</f>
        <v>60.809770992366417</v>
      </c>
      <c r="AI38" s="2213"/>
      <c r="AJ38" s="2213"/>
      <c r="AK38" s="2217">
        <f t="shared" si="29"/>
        <v>-16.167397091031017</v>
      </c>
      <c r="AL38" s="2217">
        <f t="shared" si="11"/>
        <v>8665.3064081665216</v>
      </c>
      <c r="AM38" s="2217">
        <f t="shared" si="21"/>
        <v>-5.5311330579897913</v>
      </c>
      <c r="AN38" s="2212">
        <v>297</v>
      </c>
      <c r="AO38" s="2219"/>
      <c r="AP38" s="2213" t="s">
        <v>952</v>
      </c>
      <c r="AQ38" s="1849">
        <f>IF(AL10&lt;AQ35,(1+(AQ35-AL10)*AQ37),IF(AL10&gt;AQ35,(1+(AQ35-AL10)*AQ36),0))</f>
        <v>1.01275</v>
      </c>
      <c r="AR38" s="2213"/>
      <c r="AS38" s="2213"/>
      <c r="AT38" s="2217">
        <f>AT35*AQ38</f>
        <v>70.892499999999998</v>
      </c>
      <c r="AU38" s="2213"/>
      <c r="AV38" s="2213"/>
      <c r="AW38" s="2217">
        <f t="shared" si="30"/>
        <v>39.785110000064932</v>
      </c>
      <c r="AX38" s="2217">
        <f t="shared" si="31"/>
        <v>9796.2327000121168</v>
      </c>
      <c r="AY38" s="2217">
        <f t="shared" si="12"/>
        <v>48.193500000061249</v>
      </c>
      <c r="AZ38" s="2212">
        <v>297</v>
      </c>
      <c r="BA38" s="2208"/>
      <c r="BB38" s="2213" t="s">
        <v>952</v>
      </c>
      <c r="BC38" s="1849">
        <f>IF(AX10&lt;BC35,(1+(BC35-AX10)*BC37),IF(AX10&gt;BC35,(1+(BC35-AX10)*BC36),0))</f>
        <v>1.0880754716981131</v>
      </c>
      <c r="BD38" s="2213"/>
      <c r="BE38" s="2213"/>
      <c r="BF38" s="2217">
        <f>BF35*BC38</f>
        <v>65.284528301886795</v>
      </c>
      <c r="BG38" s="2213"/>
      <c r="BH38" s="2208"/>
      <c r="BI38" s="2217">
        <f t="shared" si="32"/>
        <v>54.725095000083925</v>
      </c>
      <c r="BJ38" s="2217">
        <f t="shared" si="22"/>
        <v>9796.2327000121168</v>
      </c>
      <c r="BK38" s="2217">
        <f t="shared" si="13"/>
        <v>48.193500000061249</v>
      </c>
      <c r="BL38" s="2212">
        <v>297</v>
      </c>
      <c r="BM38" s="2208"/>
      <c r="BN38" s="2213" t="s">
        <v>952</v>
      </c>
      <c r="BO38" s="1849">
        <f>IF(BJ10&lt;BO35,(1+(BO35-BJ10)*BO37),IF(BJ10&gt;BO35,(1+(BO35-BJ10)*BO36),0))</f>
        <v>1.1170218978102189</v>
      </c>
      <c r="BP38" s="2213"/>
      <c r="BQ38" s="2213"/>
      <c r="BR38" s="2217">
        <f>BR35*BO38</f>
        <v>67.021313868613134</v>
      </c>
      <c r="BS38" s="2213"/>
      <c r="BT38" s="2208"/>
      <c r="BU38" s="2217">
        <f t="shared" si="33"/>
        <v>-16.167397091031017</v>
      </c>
      <c r="BV38" s="2217">
        <f t="shared" si="14"/>
        <v>8665.3064081665216</v>
      </c>
      <c r="BW38" s="2217">
        <f t="shared" si="23"/>
        <v>-5.5311330579897913</v>
      </c>
      <c r="BX38" s="2212">
        <v>297</v>
      </c>
      <c r="BY38" s="2219"/>
      <c r="BZ38" s="2213" t="s">
        <v>952</v>
      </c>
      <c r="CA38" s="1849">
        <f>IF(BV10&lt;CA35,(1+(CA35-BV10)*CA37),IF(BV10&gt;CA35,(1+(CA35-BV10)*CA36),0))</f>
        <v>1.01275</v>
      </c>
      <c r="CB38" s="2213"/>
      <c r="CC38" s="2213"/>
      <c r="CD38" s="2217">
        <f>CD35*CA38</f>
        <v>60.765000000000001</v>
      </c>
      <c r="CE38" s="2213"/>
      <c r="CF38" s="2213"/>
      <c r="CG38" s="2217">
        <f t="shared" si="34"/>
        <v>-16.831133057989792</v>
      </c>
      <c r="CH38" s="2217">
        <f t="shared" si="15"/>
        <v>8665.3064081665216</v>
      </c>
      <c r="CI38" s="2217">
        <f t="shared" si="24"/>
        <v>-5.5311330579897913</v>
      </c>
      <c r="CJ38" s="2212">
        <v>297</v>
      </c>
      <c r="CK38" s="2219"/>
      <c r="CL38" s="2213" t="s">
        <v>952</v>
      </c>
      <c r="CM38" s="1849">
        <f>IF(CH10&lt;CM35,(1+(CM35-CH10)*CM37),IF(CH10&gt;CM35,(1+(CM35-CH10)*CM36),0))</f>
        <v>1.0297000000000001</v>
      </c>
      <c r="CN38" s="2213"/>
      <c r="CO38" s="2213"/>
      <c r="CP38" s="2217">
        <f>CP35*CM38</f>
        <v>72.079000000000008</v>
      </c>
      <c r="CQ38" s="2213"/>
      <c r="CR38" s="2213"/>
      <c r="CS38" s="2217">
        <f t="shared" si="35"/>
        <v>53.761225000082689</v>
      </c>
      <c r="CT38" s="2217">
        <f t="shared" si="25"/>
        <v>9796.2327000121168</v>
      </c>
      <c r="CU38" s="2217">
        <f t="shared" si="16"/>
        <v>48.193500000061249</v>
      </c>
      <c r="CV38" s="2212">
        <v>297</v>
      </c>
      <c r="CW38" s="2208"/>
      <c r="CX38" s="2213" t="s">
        <v>952</v>
      </c>
      <c r="CY38" s="1849">
        <f>IF(CT10&lt;CY35,(1+(CY35-CT10)*CY37),IF(CT10&gt;CY35,(1+(CY35-CT10)*CY36),0))</f>
        <v>1.1155555555555556</v>
      </c>
      <c r="CZ38" s="2213"/>
      <c r="DA38" s="2213"/>
      <c r="DB38" s="2217">
        <f>DB35*CY38</f>
        <v>66.933333333333337</v>
      </c>
      <c r="DC38" s="2213"/>
      <c r="DD38" s="2208"/>
    </row>
    <row r="39" spans="1:108">
      <c r="A39" s="2217">
        <f t="shared" si="26"/>
        <v>-17.616371007246745</v>
      </c>
      <c r="B39" s="2217">
        <f t="shared" si="17"/>
        <v>8670.8375412245114</v>
      </c>
      <c r="C39" s="2217">
        <f t="shared" si="18"/>
        <v>-5.4924965280406468</v>
      </c>
      <c r="D39" s="2212">
        <v>296</v>
      </c>
      <c r="E39" s="2219"/>
      <c r="F39" s="2213"/>
      <c r="G39" s="2219"/>
      <c r="H39" s="2213"/>
      <c r="I39" s="2213"/>
      <c r="K39" s="2213"/>
      <c r="L39" s="2213"/>
      <c r="M39" s="2217">
        <f t="shared" si="27"/>
        <v>-18.00084576420959</v>
      </c>
      <c r="N39" s="2217">
        <f t="shared" si="9"/>
        <v>8670.8375412245114</v>
      </c>
      <c r="O39" s="2217">
        <f t="shared" si="19"/>
        <v>-5.4924965280406468</v>
      </c>
      <c r="P39" s="2212">
        <v>296</v>
      </c>
      <c r="Q39" s="2219"/>
      <c r="R39" s="2213"/>
      <c r="S39" s="2219"/>
      <c r="T39" s="2213"/>
      <c r="U39" s="2213"/>
      <c r="V39" s="2213"/>
      <c r="W39" s="2213"/>
      <c r="X39" s="2213"/>
      <c r="Y39" s="2217">
        <f t="shared" si="28"/>
        <v>-18.495170451733248</v>
      </c>
      <c r="Z39" s="2217">
        <f t="shared" si="10"/>
        <v>8670.8375412245114</v>
      </c>
      <c r="AA39" s="2217">
        <f t="shared" si="20"/>
        <v>-5.4924965280406468</v>
      </c>
      <c r="AB39" s="2212">
        <v>296</v>
      </c>
      <c r="AC39" s="2219"/>
      <c r="AD39" s="2213"/>
      <c r="AE39" s="2219"/>
      <c r="AF39" s="2213"/>
      <c r="AG39" s="2213"/>
      <c r="AI39" s="2213"/>
      <c r="AJ39" s="2213"/>
      <c r="AK39" s="2217">
        <f t="shared" si="29"/>
        <v>-16.13339694467577</v>
      </c>
      <c r="AL39" s="2217">
        <f t="shared" si="11"/>
        <v>8670.8375412245114</v>
      </c>
      <c r="AM39" s="2217">
        <f t="shared" si="21"/>
        <v>-5.4924965280406468</v>
      </c>
      <c r="AN39" s="2212">
        <v>296</v>
      </c>
      <c r="AO39" s="2219"/>
      <c r="AP39" s="2213"/>
      <c r="AQ39" s="2219"/>
      <c r="AR39" s="2213"/>
      <c r="AS39" s="2213"/>
      <c r="AT39" s="263"/>
      <c r="AU39" s="2213"/>
      <c r="AV39" s="2213"/>
      <c r="AW39" s="2217">
        <f t="shared" si="30"/>
        <v>39.210802000071709</v>
      </c>
      <c r="AX39" s="2217">
        <f t="shared" si="31"/>
        <v>9748.0392000120555</v>
      </c>
      <c r="AY39" s="2217">
        <f t="shared" si="12"/>
        <v>47.651700000067649</v>
      </c>
      <c r="AZ39" s="2212">
        <v>296</v>
      </c>
      <c r="BA39" s="2208"/>
      <c r="BB39" s="2213"/>
      <c r="BC39" s="2219"/>
      <c r="BD39" s="2213"/>
      <c r="BE39" s="2213"/>
      <c r="BG39" s="2213"/>
      <c r="BH39" s="2208"/>
      <c r="BI39" s="2217">
        <f t="shared" si="32"/>
        <v>53.982829000092693</v>
      </c>
      <c r="BJ39" s="2217">
        <f t="shared" si="22"/>
        <v>9748.0392000120555</v>
      </c>
      <c r="BK39" s="2217">
        <f t="shared" si="13"/>
        <v>47.651700000067649</v>
      </c>
      <c r="BL39" s="2212">
        <v>296</v>
      </c>
      <c r="BM39" s="2208"/>
      <c r="BN39" s="2213"/>
      <c r="BO39" s="2219"/>
      <c r="BP39" s="2213"/>
      <c r="BQ39" s="2213"/>
      <c r="BS39" s="2213"/>
      <c r="BT39" s="2208"/>
      <c r="BU39" s="2217">
        <f t="shared" si="33"/>
        <v>-16.13339694467577</v>
      </c>
      <c r="BV39" s="2217">
        <f t="shared" si="14"/>
        <v>8670.8375412245114</v>
      </c>
      <c r="BW39" s="2217">
        <f t="shared" si="23"/>
        <v>-5.4924965280406468</v>
      </c>
      <c r="BX39" s="2212">
        <v>296</v>
      </c>
      <c r="BY39" s="2219"/>
      <c r="BZ39" s="2213"/>
      <c r="CA39" s="2219"/>
      <c r="CB39" s="2213"/>
      <c r="CC39" s="2213"/>
      <c r="CD39" s="263"/>
      <c r="CE39" s="2213"/>
      <c r="CF39" s="2213"/>
      <c r="CG39" s="2217">
        <f t="shared" si="34"/>
        <v>-16.792496528040648</v>
      </c>
      <c r="CH39" s="2217">
        <f t="shared" si="15"/>
        <v>8670.8375412245114</v>
      </c>
      <c r="CI39" s="2217">
        <f t="shared" si="24"/>
        <v>-5.4924965280406468</v>
      </c>
      <c r="CJ39" s="2212">
        <v>296</v>
      </c>
      <c r="CK39" s="2219"/>
      <c r="CL39" s="2213"/>
      <c r="CM39" s="2219"/>
      <c r="CN39" s="2213"/>
      <c r="CO39" s="2213"/>
      <c r="CP39" s="263"/>
      <c r="CQ39" s="2213"/>
      <c r="CR39" s="2213"/>
      <c r="CS39" s="2217">
        <f t="shared" si="35"/>
        <v>53.029795000091326</v>
      </c>
      <c r="CT39" s="2217">
        <f t="shared" si="25"/>
        <v>9748.0392000120555</v>
      </c>
      <c r="CU39" s="2217">
        <f t="shared" si="16"/>
        <v>47.651700000067649</v>
      </c>
      <c r="CV39" s="2212">
        <v>296</v>
      </c>
      <c r="CW39" s="2208"/>
      <c r="CX39" s="2213"/>
      <c r="CY39" s="2219"/>
      <c r="CZ39" s="2213"/>
      <c r="DA39" s="2213"/>
      <c r="DC39" s="2213"/>
      <c r="DD39" s="2208"/>
    </row>
    <row r="40" spans="1:108">
      <c r="A40" s="2217">
        <f t="shared" si="26"/>
        <v>-17.570626093709507</v>
      </c>
      <c r="B40" s="2217">
        <f t="shared" si="17"/>
        <v>8676.330037752552</v>
      </c>
      <c r="C40" s="2217">
        <f t="shared" si="18"/>
        <v>-5.4527183423560928</v>
      </c>
      <c r="D40" s="2212">
        <v>295</v>
      </c>
      <c r="E40" s="263"/>
      <c r="F40" s="2220" t="s">
        <v>1152</v>
      </c>
      <c r="G40" s="181"/>
      <c r="H40" s="2221" t="s">
        <v>74</v>
      </c>
      <c r="I40" s="2222" t="s">
        <v>139</v>
      </c>
      <c r="J40" s="2222"/>
      <c r="K40" s="2223" t="s">
        <v>120</v>
      </c>
      <c r="L40" s="2213"/>
      <c r="M40" s="2217">
        <f t="shared" si="27"/>
        <v>-17.952316377674435</v>
      </c>
      <c r="N40" s="2217">
        <f t="shared" si="9"/>
        <v>8676.330037752552</v>
      </c>
      <c r="O40" s="2217">
        <f t="shared" si="19"/>
        <v>-5.4527183423560928</v>
      </c>
      <c r="P40" s="2212">
        <v>295</v>
      </c>
      <c r="Q40" s="2219"/>
      <c r="R40" s="2220" t="s">
        <v>1152</v>
      </c>
      <c r="S40" s="181"/>
      <c r="T40" s="2221" t="s">
        <v>74</v>
      </c>
      <c r="U40" s="2222" t="s">
        <v>139</v>
      </c>
      <c r="V40" s="2222"/>
      <c r="W40" s="2223" t="s">
        <v>120</v>
      </c>
      <c r="X40" s="2213"/>
      <c r="Y40" s="2217">
        <f t="shared" si="28"/>
        <v>-18.443061028486483</v>
      </c>
      <c r="Z40" s="2217">
        <f t="shared" si="10"/>
        <v>8676.330037752552</v>
      </c>
      <c r="AA40" s="2217">
        <f t="shared" si="20"/>
        <v>-5.4527183423560928</v>
      </c>
      <c r="AB40" s="2212">
        <v>295</v>
      </c>
      <c r="AC40" s="2219"/>
      <c r="AD40" s="2220" t="s">
        <v>1152</v>
      </c>
      <c r="AE40" s="181"/>
      <c r="AF40" s="2221" t="s">
        <v>74</v>
      </c>
      <c r="AG40" s="2222" t="s">
        <v>139</v>
      </c>
      <c r="AH40" s="2222"/>
      <c r="AI40" s="2223" t="s">
        <v>120</v>
      </c>
      <c r="AJ40" s="2213"/>
      <c r="AK40" s="2217">
        <f t="shared" si="29"/>
        <v>-16.098392141273361</v>
      </c>
      <c r="AL40" s="2217">
        <f t="shared" si="11"/>
        <v>8676.330037752552</v>
      </c>
      <c r="AM40" s="2217">
        <f t="shared" si="21"/>
        <v>-5.4527183423560928</v>
      </c>
      <c r="AN40" s="2212">
        <v>295</v>
      </c>
      <c r="AO40" s="2219"/>
      <c r="AP40" s="2220" t="s">
        <v>1152</v>
      </c>
      <c r="AQ40" s="2224"/>
      <c r="AR40" s="2221" t="s">
        <v>74</v>
      </c>
      <c r="AS40" s="2222" t="s">
        <v>139</v>
      </c>
      <c r="AT40" s="2222"/>
      <c r="AU40" s="2223" t="s">
        <v>120</v>
      </c>
      <c r="AV40" s="2213"/>
      <c r="AW40" s="2217">
        <f t="shared" si="30"/>
        <v>38.640310000070784</v>
      </c>
      <c r="AX40" s="2217">
        <f t="shared" si="31"/>
        <v>9700.3875000119879</v>
      </c>
      <c r="AY40" s="2217">
        <f t="shared" si="12"/>
        <v>47.113500000066779</v>
      </c>
      <c r="AZ40" s="2212">
        <v>295</v>
      </c>
      <c r="BA40" s="2208"/>
      <c r="BB40" s="2220" t="s">
        <v>1152</v>
      </c>
      <c r="BC40" s="181"/>
      <c r="BD40" s="2221" t="s">
        <v>74</v>
      </c>
      <c r="BE40" s="2222" t="s">
        <v>139</v>
      </c>
      <c r="BF40" s="2222"/>
      <c r="BG40" s="2223" t="s">
        <v>120</v>
      </c>
      <c r="BH40" s="2208"/>
      <c r="BI40" s="2217">
        <f t="shared" si="32"/>
        <v>53.245495000091495</v>
      </c>
      <c r="BJ40" s="2217">
        <f t="shared" si="22"/>
        <v>9700.3875000119879</v>
      </c>
      <c r="BK40" s="2217">
        <f t="shared" si="13"/>
        <v>47.113500000066779</v>
      </c>
      <c r="BL40" s="2212">
        <v>295</v>
      </c>
      <c r="BM40" s="2208"/>
      <c r="BN40" s="2220" t="s">
        <v>1152</v>
      </c>
      <c r="BO40" s="181"/>
      <c r="BP40" s="2221" t="s">
        <v>74</v>
      </c>
      <c r="BQ40" s="2222" t="s">
        <v>139</v>
      </c>
      <c r="BR40" s="2222"/>
      <c r="BS40" s="2223" t="s">
        <v>120</v>
      </c>
      <c r="BT40" s="2208"/>
      <c r="BU40" s="2217">
        <f t="shared" si="33"/>
        <v>-16.098392141273361</v>
      </c>
      <c r="BV40" s="2217">
        <f t="shared" si="14"/>
        <v>8676.330037752552</v>
      </c>
      <c r="BW40" s="2217">
        <f t="shared" si="23"/>
        <v>-5.4527183423560928</v>
      </c>
      <c r="BX40" s="2212">
        <v>295</v>
      </c>
      <c r="BY40" s="2219"/>
      <c r="BZ40" s="2220" t="s">
        <v>1152</v>
      </c>
      <c r="CA40" s="2224"/>
      <c r="CB40" s="2221" t="s">
        <v>74</v>
      </c>
      <c r="CC40" s="2222" t="s">
        <v>139</v>
      </c>
      <c r="CD40" s="2222"/>
      <c r="CE40" s="2223" t="s">
        <v>120</v>
      </c>
      <c r="CF40" s="2213"/>
      <c r="CG40" s="2217">
        <f t="shared" si="34"/>
        <v>-16.752718342356093</v>
      </c>
      <c r="CH40" s="2217">
        <f t="shared" si="15"/>
        <v>8676.330037752552</v>
      </c>
      <c r="CI40" s="2217">
        <f t="shared" si="24"/>
        <v>-5.4527183423560928</v>
      </c>
      <c r="CJ40" s="2212">
        <v>295</v>
      </c>
      <c r="CK40" s="2219"/>
      <c r="CL40" s="2220" t="s">
        <v>1152</v>
      </c>
      <c r="CM40" s="2224"/>
      <c r="CN40" s="2221" t="s">
        <v>74</v>
      </c>
      <c r="CO40" s="2222" t="s">
        <v>139</v>
      </c>
      <c r="CP40" s="2222"/>
      <c r="CQ40" s="2223" t="s">
        <v>120</v>
      </c>
      <c r="CR40" s="2213"/>
      <c r="CS40" s="2217">
        <f t="shared" si="35"/>
        <v>52.303225000090151</v>
      </c>
      <c r="CT40" s="2217">
        <f t="shared" si="25"/>
        <v>9700.3875000119879</v>
      </c>
      <c r="CU40" s="2217">
        <f t="shared" si="16"/>
        <v>47.113500000066779</v>
      </c>
      <c r="CV40" s="2212">
        <v>295</v>
      </c>
      <c r="CW40" s="2208"/>
      <c r="CX40" s="2220" t="s">
        <v>1152</v>
      </c>
      <c r="CY40" s="181"/>
      <c r="CZ40" s="2221" t="s">
        <v>74</v>
      </c>
      <c r="DA40" s="2222" t="s">
        <v>139</v>
      </c>
      <c r="DB40" s="2222"/>
      <c r="DC40" s="2223" t="s">
        <v>120</v>
      </c>
      <c r="DD40" s="2208"/>
    </row>
    <row r="41" spans="1:108">
      <c r="A41" s="2217">
        <f t="shared" si="26"/>
        <v>-17.523568276078642</v>
      </c>
      <c r="B41" s="2217">
        <f t="shared" si="17"/>
        <v>8681.7827560949081</v>
      </c>
      <c r="C41" s="2217">
        <f t="shared" si="18"/>
        <v>-5.4117985009379481</v>
      </c>
      <c r="D41" s="2212">
        <v>294</v>
      </c>
      <c r="E41" s="263"/>
      <c r="F41" s="2225"/>
      <c r="G41" s="2226" t="s">
        <v>1153</v>
      </c>
      <c r="H41" s="2225" t="s">
        <v>317</v>
      </c>
      <c r="I41" s="2227" t="s">
        <v>317</v>
      </c>
      <c r="J41" s="2220" t="s">
        <v>1153</v>
      </c>
      <c r="K41" s="2225" t="s">
        <v>1154</v>
      </c>
      <c r="L41" s="263"/>
      <c r="M41" s="2217">
        <f t="shared" si="27"/>
        <v>-17.902394171144298</v>
      </c>
      <c r="N41" s="2217">
        <f t="shared" si="9"/>
        <v>8681.7827560949081</v>
      </c>
      <c r="O41" s="2217">
        <f t="shared" si="19"/>
        <v>-5.4117985009379481</v>
      </c>
      <c r="P41" s="2212">
        <v>294</v>
      </c>
      <c r="Q41" s="2219"/>
      <c r="R41" s="2225"/>
      <c r="S41" s="2226" t="s">
        <v>1153</v>
      </c>
      <c r="T41" s="2225" t="s">
        <v>317</v>
      </c>
      <c r="U41" s="2227" t="s">
        <v>317</v>
      </c>
      <c r="V41" s="2220" t="s">
        <v>1153</v>
      </c>
      <c r="W41" s="2225" t="s">
        <v>1154</v>
      </c>
      <c r="X41" s="2213"/>
      <c r="Y41" s="2217">
        <f t="shared" si="28"/>
        <v>-18.389456036228715</v>
      </c>
      <c r="Z41" s="2217">
        <f t="shared" si="10"/>
        <v>8681.7827560949081</v>
      </c>
      <c r="AA41" s="2217">
        <f t="shared" si="20"/>
        <v>-5.4117985009379481</v>
      </c>
      <c r="AB41" s="2212">
        <v>294</v>
      </c>
      <c r="AC41" s="2219"/>
      <c r="AD41" s="2225"/>
      <c r="AE41" s="2226" t="s">
        <v>1153</v>
      </c>
      <c r="AF41" s="2225" t="s">
        <v>317</v>
      </c>
      <c r="AG41" s="2227" t="s">
        <v>317</v>
      </c>
      <c r="AH41" s="2220" t="s">
        <v>1153</v>
      </c>
      <c r="AI41" s="2225" t="s">
        <v>1154</v>
      </c>
      <c r="AJ41" s="2213"/>
      <c r="AK41" s="2217">
        <f t="shared" si="29"/>
        <v>-16.062382680825394</v>
      </c>
      <c r="AL41" s="2217">
        <f t="shared" si="11"/>
        <v>8681.7827560949081</v>
      </c>
      <c r="AM41" s="2217">
        <f t="shared" si="21"/>
        <v>-5.4117985009379481</v>
      </c>
      <c r="AN41" s="2212">
        <v>294</v>
      </c>
      <c r="AO41" s="2219"/>
      <c r="AP41" s="2225"/>
      <c r="AQ41" s="2226" t="s">
        <v>1153</v>
      </c>
      <c r="AR41" s="2225" t="s">
        <v>317</v>
      </c>
      <c r="AS41" s="2227" t="s">
        <v>317</v>
      </c>
      <c r="AT41" s="2220" t="s">
        <v>1153</v>
      </c>
      <c r="AU41" s="2225" t="s">
        <v>1154</v>
      </c>
      <c r="AV41" s="2213"/>
      <c r="AW41" s="2217">
        <f t="shared" si="30"/>
        <v>38.073634000069873</v>
      </c>
      <c r="AX41" s="2217">
        <f t="shared" si="31"/>
        <v>9653.2740000119211</v>
      </c>
      <c r="AY41" s="2217">
        <f t="shared" si="12"/>
        <v>46.578900000065914</v>
      </c>
      <c r="AZ41" s="2212">
        <v>294</v>
      </c>
      <c r="BA41" s="2208"/>
      <c r="BB41" s="2225"/>
      <c r="BC41" s="2226" t="s">
        <v>1153</v>
      </c>
      <c r="BD41" s="2225" t="s">
        <v>317</v>
      </c>
      <c r="BE41" s="2227" t="s">
        <v>317</v>
      </c>
      <c r="BF41" s="2220" t="s">
        <v>1153</v>
      </c>
      <c r="BG41" s="2225" t="s">
        <v>1154</v>
      </c>
      <c r="BH41" s="2208"/>
      <c r="BI41" s="2217">
        <f t="shared" si="32"/>
        <v>52.513093000090308</v>
      </c>
      <c r="BJ41" s="2217">
        <f t="shared" si="22"/>
        <v>9653.2740000119211</v>
      </c>
      <c r="BK41" s="2217">
        <f t="shared" si="13"/>
        <v>46.578900000065914</v>
      </c>
      <c r="BL41" s="2212">
        <v>294</v>
      </c>
      <c r="BM41" s="2208"/>
      <c r="BN41" s="2225"/>
      <c r="BO41" s="2226" t="s">
        <v>1153</v>
      </c>
      <c r="BP41" s="2225" t="s">
        <v>317</v>
      </c>
      <c r="BQ41" s="2227" t="s">
        <v>317</v>
      </c>
      <c r="BR41" s="2220" t="s">
        <v>1153</v>
      </c>
      <c r="BS41" s="2225" t="s">
        <v>1154</v>
      </c>
      <c r="BT41" s="2208"/>
      <c r="BU41" s="2217">
        <f t="shared" si="33"/>
        <v>-16.062382680825394</v>
      </c>
      <c r="BV41" s="2217">
        <f t="shared" si="14"/>
        <v>8681.7827560949081</v>
      </c>
      <c r="BW41" s="2217">
        <f t="shared" si="23"/>
        <v>-5.4117985009379481</v>
      </c>
      <c r="BX41" s="2212">
        <v>294</v>
      </c>
      <c r="BY41" s="2219"/>
      <c r="BZ41" s="2225"/>
      <c r="CA41" s="2226" t="s">
        <v>1153</v>
      </c>
      <c r="CB41" s="2225" t="s">
        <v>317</v>
      </c>
      <c r="CC41" s="2227" t="s">
        <v>317</v>
      </c>
      <c r="CD41" s="2220" t="s">
        <v>1153</v>
      </c>
      <c r="CE41" s="2225" t="s">
        <v>1154</v>
      </c>
      <c r="CF41" s="2213"/>
      <c r="CG41" s="2217">
        <f t="shared" si="34"/>
        <v>-16.711798500937949</v>
      </c>
      <c r="CH41" s="2217">
        <f t="shared" si="15"/>
        <v>8681.7827560949081</v>
      </c>
      <c r="CI41" s="2217">
        <f t="shared" si="24"/>
        <v>-5.4117985009379481</v>
      </c>
      <c r="CJ41" s="2212">
        <v>294</v>
      </c>
      <c r="CK41" s="2219"/>
      <c r="CL41" s="2225"/>
      <c r="CM41" s="2226" t="s">
        <v>1153</v>
      </c>
      <c r="CN41" s="2225" t="s">
        <v>317</v>
      </c>
      <c r="CO41" s="2227" t="s">
        <v>317</v>
      </c>
      <c r="CP41" s="2220" t="s">
        <v>1153</v>
      </c>
      <c r="CQ41" s="2225" t="s">
        <v>1154</v>
      </c>
      <c r="CR41" s="2213"/>
      <c r="CS41" s="2217">
        <f t="shared" si="35"/>
        <v>51.581515000088984</v>
      </c>
      <c r="CT41" s="2217">
        <f t="shared" si="25"/>
        <v>9653.2740000119211</v>
      </c>
      <c r="CU41" s="2217">
        <f t="shared" si="16"/>
        <v>46.578900000065914</v>
      </c>
      <c r="CV41" s="2212">
        <v>294</v>
      </c>
      <c r="CW41" s="2208"/>
      <c r="CX41" s="2225"/>
      <c r="CY41" s="2226" t="s">
        <v>1153</v>
      </c>
      <c r="CZ41" s="2225" t="s">
        <v>317</v>
      </c>
      <c r="DA41" s="2227" t="s">
        <v>317</v>
      </c>
      <c r="DB41" s="2220" t="s">
        <v>1153</v>
      </c>
      <c r="DC41" s="2225" t="s">
        <v>1154</v>
      </c>
      <c r="DD41" s="2208"/>
    </row>
    <row r="42" spans="1:108">
      <c r="A42" s="2217">
        <f t="shared" si="26"/>
        <v>-17.475197554354146</v>
      </c>
      <c r="B42" s="2217">
        <f t="shared" si="17"/>
        <v>8687.1945545958461</v>
      </c>
      <c r="C42" s="2217">
        <f t="shared" si="18"/>
        <v>-5.3697370037862129</v>
      </c>
      <c r="D42" s="2212">
        <v>293</v>
      </c>
      <c r="E42" s="263"/>
      <c r="F42" s="471">
        <v>6.3</v>
      </c>
      <c r="G42" s="2228">
        <f t="shared" ref="G42:G49" si="36">F43-F42</f>
        <v>2.1000000000000005</v>
      </c>
      <c r="H42" s="473"/>
      <c r="I42" s="473"/>
      <c r="J42" s="473"/>
      <c r="K42" s="473"/>
      <c r="L42" s="263"/>
      <c r="M42" s="2217">
        <f t="shared" si="27"/>
        <v>-17.851079144619181</v>
      </c>
      <c r="N42" s="2217">
        <f t="shared" si="9"/>
        <v>8687.1945545958461</v>
      </c>
      <c r="O42" s="2217">
        <f t="shared" si="19"/>
        <v>-5.3697370037862129</v>
      </c>
      <c r="P42" s="2212">
        <v>293</v>
      </c>
      <c r="Q42" s="2219"/>
      <c r="R42" s="2229">
        <v>10.5</v>
      </c>
      <c r="S42" s="2230">
        <f t="shared" ref="S42:S47" si="37">R43-R42</f>
        <v>2.0999999999999996</v>
      </c>
      <c r="T42" s="2225">
        <v>156</v>
      </c>
      <c r="U42" s="2212">
        <v>8351</v>
      </c>
      <c r="V42" s="2212">
        <f t="shared" ref="V42:V47" si="38">U42-U43</f>
        <v>136</v>
      </c>
      <c r="W42" s="1854">
        <f t="shared" ref="W42:W47" si="39">V42/U42/S42</f>
        <v>7.7549879968751966E-3</v>
      </c>
      <c r="X42" s="2213"/>
      <c r="Y42" s="2217">
        <f t="shared" si="28"/>
        <v>-18.334355474959942</v>
      </c>
      <c r="Z42" s="2217">
        <f t="shared" si="10"/>
        <v>8687.1945545958461</v>
      </c>
      <c r="AA42" s="2217">
        <f t="shared" si="20"/>
        <v>-5.3697370037862129</v>
      </c>
      <c r="AB42" s="2212">
        <v>293</v>
      </c>
      <c r="AC42" s="2219"/>
      <c r="AD42" s="2229">
        <v>10.5</v>
      </c>
      <c r="AE42" s="2230">
        <f t="shared" ref="AE42:AE47" si="40">AD43-AD42</f>
        <v>2.0999999999999996</v>
      </c>
      <c r="AF42" s="2225">
        <v>156</v>
      </c>
      <c r="AG42" s="2212">
        <v>8351</v>
      </c>
      <c r="AH42" s="2212">
        <f t="shared" ref="AH42:AH47" si="41">AG42-AG43</f>
        <v>136</v>
      </c>
      <c r="AI42" s="1854">
        <f t="shared" ref="AI42:AI47" si="42">AH42/AG42/AE42</f>
        <v>7.7549879968751966E-3</v>
      </c>
      <c r="AJ42" s="2213"/>
      <c r="AK42" s="2217">
        <f t="shared" si="29"/>
        <v>-16.025368563331867</v>
      </c>
      <c r="AL42" s="2217">
        <f t="shared" si="11"/>
        <v>8687.1945545958461</v>
      </c>
      <c r="AM42" s="2217">
        <f t="shared" si="21"/>
        <v>-5.3697370037862129</v>
      </c>
      <c r="AN42" s="2212">
        <v>293</v>
      </c>
      <c r="AO42" s="2219"/>
      <c r="AP42" s="2229">
        <v>10.4</v>
      </c>
      <c r="AQ42" s="2230">
        <f t="shared" ref="AQ42:AQ47" si="43">AP43-AP42</f>
        <v>1.7999999999999989</v>
      </c>
      <c r="AR42" s="2225">
        <v>156</v>
      </c>
      <c r="AS42" s="2212">
        <v>8351</v>
      </c>
      <c r="AT42" s="2212">
        <f t="shared" ref="AT42:AT47" si="44">AS42-AS43</f>
        <v>100</v>
      </c>
      <c r="AU42" s="1854">
        <f t="shared" ref="AU42:AU47" si="45">AT42/AS42/AQ42</f>
        <v>6.6525632326135302E-3</v>
      </c>
      <c r="AV42" s="2213"/>
      <c r="AW42" s="2217">
        <f t="shared" si="30"/>
        <v>37.510774000070896</v>
      </c>
      <c r="AX42" s="2217">
        <f t="shared" si="31"/>
        <v>9606.6951000118552</v>
      </c>
      <c r="AY42" s="2217">
        <f t="shared" si="12"/>
        <v>46.047900000066875</v>
      </c>
      <c r="AZ42" s="2212">
        <v>293</v>
      </c>
      <c r="BA42" s="2208"/>
      <c r="BB42" s="2229">
        <v>11.1</v>
      </c>
      <c r="BC42" s="2230">
        <f t="shared" ref="BC42:BC47" si="46">BB43-BB42</f>
        <v>2.2000000000000011</v>
      </c>
      <c r="BD42" s="2225">
        <v>96</v>
      </c>
      <c r="BE42" s="2212">
        <v>5697</v>
      </c>
      <c r="BF42" s="2212">
        <f t="shared" ref="BF42:BF47" si="47">BE42-BE43</f>
        <v>128</v>
      </c>
      <c r="BG42" s="1854">
        <f t="shared" ref="BG42:BG47" si="48">BF42/BE42/BC42</f>
        <v>1.0212711634512577E-2</v>
      </c>
      <c r="BH42" s="2208"/>
      <c r="BI42" s="2217">
        <f t="shared" si="32"/>
        <v>51.785623000091618</v>
      </c>
      <c r="BJ42" s="2217">
        <f t="shared" si="22"/>
        <v>9606.6951000118552</v>
      </c>
      <c r="BK42" s="2217">
        <f t="shared" si="13"/>
        <v>46.047900000066875</v>
      </c>
      <c r="BL42" s="2212">
        <v>293</v>
      </c>
      <c r="BM42" s="2208"/>
      <c r="BN42" s="2229">
        <v>11.1</v>
      </c>
      <c r="BO42" s="2230">
        <f t="shared" ref="BO42:BO47" si="49">BN43-BN42</f>
        <v>2.2000000000000011</v>
      </c>
      <c r="BP42" s="2225">
        <v>96</v>
      </c>
      <c r="BQ42" s="2212">
        <v>5697</v>
      </c>
      <c r="BR42" s="2212">
        <f t="shared" ref="BR42:BR47" si="50">BQ42-BQ43</f>
        <v>128</v>
      </c>
      <c r="BS42" s="1854">
        <f t="shared" ref="BS42:BS47" si="51">BR42/BQ42/BO42</f>
        <v>1.0212711634512577E-2</v>
      </c>
      <c r="BT42" s="2208"/>
      <c r="BU42" s="2217">
        <f t="shared" si="33"/>
        <v>-16.025368563331867</v>
      </c>
      <c r="BV42" s="2217">
        <f t="shared" si="14"/>
        <v>8687.1945545958461</v>
      </c>
      <c r="BW42" s="2217">
        <f t="shared" si="23"/>
        <v>-5.3697370037862129</v>
      </c>
      <c r="BX42" s="2212">
        <v>293</v>
      </c>
      <c r="BY42" s="2219"/>
      <c r="BZ42" s="2229">
        <v>10.4</v>
      </c>
      <c r="CA42" s="2230">
        <f t="shared" ref="CA42:CA47" si="52">BZ43-BZ42</f>
        <v>1.7999999999999989</v>
      </c>
      <c r="CB42" s="2225">
        <v>156</v>
      </c>
      <c r="CC42" s="2212">
        <v>8351</v>
      </c>
      <c r="CD42" s="2212">
        <f t="shared" ref="CD42:CD47" si="53">CC42-CC43</f>
        <v>100</v>
      </c>
      <c r="CE42" s="1854">
        <f t="shared" ref="CE42:CE47" si="54">CD42/CC42/CA42</f>
        <v>6.6525632326135302E-3</v>
      </c>
      <c r="CF42" s="2213"/>
      <c r="CG42" s="2217">
        <f t="shared" si="34"/>
        <v>-16.669737003786214</v>
      </c>
      <c r="CH42" s="2217">
        <f t="shared" si="15"/>
        <v>8687.1945545958461</v>
      </c>
      <c r="CI42" s="2217">
        <f t="shared" si="24"/>
        <v>-5.3697370037862129</v>
      </c>
      <c r="CJ42" s="2212">
        <v>293</v>
      </c>
      <c r="CK42" s="2219"/>
      <c r="CL42" s="2229">
        <v>10.4</v>
      </c>
      <c r="CM42" s="2230">
        <f t="shared" ref="CM42:CM47" si="55">CL43-CL42</f>
        <v>1.7999999999999989</v>
      </c>
      <c r="CN42" s="2225">
        <v>156</v>
      </c>
      <c r="CO42" s="2212">
        <v>8351</v>
      </c>
      <c r="CP42" s="2212">
        <f t="shared" ref="CP42:CP47" si="56">CO42-CO43</f>
        <v>100</v>
      </c>
      <c r="CQ42" s="1854">
        <f t="shared" ref="CQ42:CQ47" si="57">CP42/CO42/CM42</f>
        <v>6.6525632326135302E-3</v>
      </c>
      <c r="CR42" s="2213"/>
      <c r="CS42" s="2217">
        <f t="shared" si="35"/>
        <v>50.864665000090284</v>
      </c>
      <c r="CT42" s="2217">
        <f t="shared" si="25"/>
        <v>9606.6951000118552</v>
      </c>
      <c r="CU42" s="2217">
        <f t="shared" si="16"/>
        <v>46.047900000066875</v>
      </c>
      <c r="CV42" s="2212">
        <v>293</v>
      </c>
      <c r="CW42" s="2208"/>
      <c r="CX42" s="2229">
        <v>11.1</v>
      </c>
      <c r="CY42" s="2230">
        <f t="shared" ref="CY42:CY47" si="58">CX43-CX42</f>
        <v>2.2000000000000011</v>
      </c>
      <c r="CZ42" s="2225">
        <v>96</v>
      </c>
      <c r="DA42" s="2212">
        <v>5697</v>
      </c>
      <c r="DB42" s="2212">
        <f t="shared" ref="DB42:DB47" si="59">DA42-DA43</f>
        <v>128</v>
      </c>
      <c r="DC42" s="1854">
        <f t="shared" ref="DC42:DC47" si="60">DB42/DA42/CY42</f>
        <v>1.0212711634512577E-2</v>
      </c>
      <c r="DD42" s="2208"/>
    </row>
    <row r="43" spans="1:108">
      <c r="A43" s="2217">
        <f t="shared" si="26"/>
        <v>-17.425513928525561</v>
      </c>
      <c r="B43" s="2217">
        <f t="shared" si="17"/>
        <v>8692.5642915996323</v>
      </c>
      <c r="C43" s="2217">
        <f t="shared" si="18"/>
        <v>-5.3265338508917921</v>
      </c>
      <c r="D43" s="2212">
        <v>292</v>
      </c>
      <c r="E43" s="263"/>
      <c r="F43" s="471">
        <v>8.4</v>
      </c>
      <c r="G43" s="2228">
        <f t="shared" si="36"/>
        <v>2.0999999999999996</v>
      </c>
      <c r="H43" s="473"/>
      <c r="I43" s="473"/>
      <c r="J43" s="473"/>
      <c r="K43" s="473"/>
      <c r="L43" s="263"/>
      <c r="M43" s="2217">
        <f t="shared" si="27"/>
        <v>-17.798371298087986</v>
      </c>
      <c r="N43" s="2217">
        <f t="shared" si="9"/>
        <v>8692.5642915996323</v>
      </c>
      <c r="O43" s="2217">
        <f t="shared" si="19"/>
        <v>-5.3265338508917921</v>
      </c>
      <c r="P43" s="2212">
        <v>292</v>
      </c>
      <c r="Q43" s="2219"/>
      <c r="R43" s="2231">
        <v>12.6</v>
      </c>
      <c r="S43" s="2230">
        <f t="shared" si="37"/>
        <v>2.0999999999999996</v>
      </c>
      <c r="T43" s="2212">
        <v>144</v>
      </c>
      <c r="U43" s="2212">
        <v>8215</v>
      </c>
      <c r="V43" s="2212">
        <f t="shared" si="38"/>
        <v>135</v>
      </c>
      <c r="W43" s="1855">
        <f t="shared" si="39"/>
        <v>7.8254064863924888E-3</v>
      </c>
      <c r="X43" s="2213"/>
      <c r="Y43" s="2217">
        <f t="shared" si="28"/>
        <v>-18.277759344668247</v>
      </c>
      <c r="Z43" s="2217">
        <f t="shared" si="10"/>
        <v>8692.5642915996323</v>
      </c>
      <c r="AA43" s="2217">
        <f t="shared" si="20"/>
        <v>-5.3265338508917921</v>
      </c>
      <c r="AB43" s="2212">
        <v>292</v>
      </c>
      <c r="AC43" s="2219"/>
      <c r="AD43" s="2231">
        <v>12.6</v>
      </c>
      <c r="AE43" s="2230">
        <f t="shared" si="40"/>
        <v>2.0999999999999996</v>
      </c>
      <c r="AF43" s="2212">
        <v>144</v>
      </c>
      <c r="AG43" s="2212">
        <v>8215</v>
      </c>
      <c r="AH43" s="2212">
        <f t="shared" si="41"/>
        <v>135</v>
      </c>
      <c r="AI43" s="1855">
        <f t="shared" si="42"/>
        <v>7.8254064863924888E-3</v>
      </c>
      <c r="AJ43" s="2213"/>
      <c r="AK43" s="2217">
        <f t="shared" si="29"/>
        <v>-15.987349788784776</v>
      </c>
      <c r="AL43" s="2217">
        <f t="shared" si="11"/>
        <v>8692.5642915996323</v>
      </c>
      <c r="AM43" s="2217">
        <f t="shared" si="21"/>
        <v>-5.3265338508917921</v>
      </c>
      <c r="AN43" s="2212">
        <v>292</v>
      </c>
      <c r="AO43" s="2219"/>
      <c r="AP43" s="2231">
        <v>12.2</v>
      </c>
      <c r="AQ43" s="2230">
        <f t="shared" si="43"/>
        <v>1.7000000000000011</v>
      </c>
      <c r="AR43" s="2212">
        <v>147</v>
      </c>
      <c r="AS43" s="2212">
        <v>8251</v>
      </c>
      <c r="AT43" s="2212">
        <f t="shared" si="44"/>
        <v>115</v>
      </c>
      <c r="AU43" s="1855">
        <f t="shared" si="45"/>
        <v>8.1986497180377375E-3</v>
      </c>
      <c r="AV43" s="2213"/>
      <c r="AW43" s="2217">
        <f t="shared" si="30"/>
        <v>36.951730000073837</v>
      </c>
      <c r="AX43" s="2217">
        <f t="shared" si="31"/>
        <v>9560.6472000117883</v>
      </c>
      <c r="AY43" s="2217">
        <f t="shared" si="12"/>
        <v>45.52050000006966</v>
      </c>
      <c r="AZ43" s="2212">
        <v>292</v>
      </c>
      <c r="BA43" s="2208"/>
      <c r="BB43" s="2231">
        <v>13.3</v>
      </c>
      <c r="BC43" s="2230">
        <f t="shared" si="46"/>
        <v>2.2999999999999989</v>
      </c>
      <c r="BD43" s="2212">
        <v>86</v>
      </c>
      <c r="BE43" s="2212">
        <v>5569</v>
      </c>
      <c r="BF43" s="2212">
        <f t="shared" si="47"/>
        <v>136</v>
      </c>
      <c r="BG43" s="1855">
        <f t="shared" si="48"/>
        <v>1.0617783225463948E-2</v>
      </c>
      <c r="BH43" s="2208"/>
      <c r="BI43" s="2217">
        <f t="shared" si="32"/>
        <v>51.063085000095441</v>
      </c>
      <c r="BJ43" s="2217">
        <f t="shared" si="22"/>
        <v>9560.6472000117883</v>
      </c>
      <c r="BK43" s="2217">
        <f t="shared" si="13"/>
        <v>45.52050000006966</v>
      </c>
      <c r="BL43" s="2212">
        <v>292</v>
      </c>
      <c r="BM43" s="2208"/>
      <c r="BN43" s="2231">
        <v>13.3</v>
      </c>
      <c r="BO43" s="2230">
        <f t="shared" si="49"/>
        <v>2.2999999999999989</v>
      </c>
      <c r="BP43" s="2212">
        <v>86</v>
      </c>
      <c r="BQ43" s="2212">
        <v>5569</v>
      </c>
      <c r="BR43" s="2212">
        <f t="shared" si="50"/>
        <v>136</v>
      </c>
      <c r="BS43" s="1855">
        <f t="shared" si="51"/>
        <v>1.0617783225463948E-2</v>
      </c>
      <c r="BT43" s="2208"/>
      <c r="BU43" s="2217">
        <f t="shared" si="33"/>
        <v>-15.987349788784776</v>
      </c>
      <c r="BV43" s="2217">
        <f t="shared" si="14"/>
        <v>8692.5642915996323</v>
      </c>
      <c r="BW43" s="2217">
        <f t="shared" si="23"/>
        <v>-5.3265338508917921</v>
      </c>
      <c r="BX43" s="2212">
        <v>292</v>
      </c>
      <c r="BY43" s="2219"/>
      <c r="BZ43" s="2231">
        <v>12.2</v>
      </c>
      <c r="CA43" s="2230">
        <f t="shared" si="52"/>
        <v>1.7000000000000011</v>
      </c>
      <c r="CB43" s="2212">
        <v>147</v>
      </c>
      <c r="CC43" s="2212">
        <v>8251</v>
      </c>
      <c r="CD43" s="2212">
        <f t="shared" si="53"/>
        <v>115</v>
      </c>
      <c r="CE43" s="1855">
        <f t="shared" si="54"/>
        <v>8.1986497180377375E-3</v>
      </c>
      <c r="CF43" s="2213"/>
      <c r="CG43" s="2217">
        <f t="shared" si="34"/>
        <v>-16.626533850891793</v>
      </c>
      <c r="CH43" s="2217">
        <f t="shared" si="15"/>
        <v>8692.5642915996323</v>
      </c>
      <c r="CI43" s="2217">
        <f t="shared" si="24"/>
        <v>-5.3265338508917921</v>
      </c>
      <c r="CJ43" s="2212">
        <v>292</v>
      </c>
      <c r="CK43" s="2219"/>
      <c r="CL43" s="2231">
        <v>12.2</v>
      </c>
      <c r="CM43" s="2230">
        <f t="shared" si="55"/>
        <v>1.7000000000000011</v>
      </c>
      <c r="CN43" s="2212">
        <v>147</v>
      </c>
      <c r="CO43" s="2212">
        <v>8251</v>
      </c>
      <c r="CP43" s="2212">
        <f t="shared" si="56"/>
        <v>115</v>
      </c>
      <c r="CQ43" s="1855">
        <f t="shared" si="57"/>
        <v>8.1986497180377375E-3</v>
      </c>
      <c r="CR43" s="2213"/>
      <c r="CS43" s="2217">
        <f t="shared" si="35"/>
        <v>50.15267500009405</v>
      </c>
      <c r="CT43" s="2217">
        <f t="shared" si="25"/>
        <v>9560.6472000117883</v>
      </c>
      <c r="CU43" s="2217">
        <f t="shared" si="16"/>
        <v>45.52050000006966</v>
      </c>
      <c r="CV43" s="2212">
        <v>292</v>
      </c>
      <c r="CW43" s="2208"/>
      <c r="CX43" s="2231">
        <v>13.3</v>
      </c>
      <c r="CY43" s="2230">
        <f t="shared" si="58"/>
        <v>2.2999999999999989</v>
      </c>
      <c r="CZ43" s="2212">
        <v>86</v>
      </c>
      <c r="DA43" s="2212">
        <v>5569</v>
      </c>
      <c r="DB43" s="2212">
        <f t="shared" si="59"/>
        <v>136</v>
      </c>
      <c r="DC43" s="1855">
        <f t="shared" si="60"/>
        <v>1.0617783225463948E-2</v>
      </c>
      <c r="DD43" s="2208"/>
    </row>
    <row r="44" spans="1:108">
      <c r="A44" s="2217">
        <f t="shared" si="26"/>
        <v>-17.374517398613808</v>
      </c>
      <c r="B44" s="2217">
        <f t="shared" si="17"/>
        <v>8697.8908254505241</v>
      </c>
      <c r="C44" s="2217">
        <f t="shared" si="18"/>
        <v>-5.2821890422728757</v>
      </c>
      <c r="D44" s="2212">
        <v>291</v>
      </c>
      <c r="E44" s="263"/>
      <c r="F44" s="2229">
        <v>10.5</v>
      </c>
      <c r="G44" s="2228">
        <f t="shared" si="36"/>
        <v>2.0999999999999996</v>
      </c>
      <c r="H44" s="2225">
        <v>156</v>
      </c>
      <c r="I44" s="2225">
        <v>8351</v>
      </c>
      <c r="J44" s="2225">
        <f t="shared" ref="J44:J49" si="61">I44-I45</f>
        <v>136</v>
      </c>
      <c r="K44" s="1854">
        <f t="shared" ref="K44:K49" si="62">J44/I44/G44</f>
        <v>7.7549879968751966E-3</v>
      </c>
      <c r="L44" s="263"/>
      <c r="M44" s="2217">
        <f t="shared" si="27"/>
        <v>-17.74427063157291</v>
      </c>
      <c r="N44" s="2217">
        <f t="shared" si="9"/>
        <v>8697.8908254505241</v>
      </c>
      <c r="O44" s="2217">
        <f t="shared" si="19"/>
        <v>-5.2821890422728757</v>
      </c>
      <c r="P44" s="2212">
        <v>291</v>
      </c>
      <c r="Q44" s="2219"/>
      <c r="R44" s="2231">
        <v>14.7</v>
      </c>
      <c r="S44" s="2230">
        <f t="shared" si="37"/>
        <v>2.1000000000000014</v>
      </c>
      <c r="T44" s="2212">
        <v>134</v>
      </c>
      <c r="U44" s="2212">
        <v>8080</v>
      </c>
      <c r="V44" s="2212">
        <f t="shared" si="38"/>
        <v>156</v>
      </c>
      <c r="W44" s="1855">
        <f t="shared" si="39"/>
        <v>9.1937765205091868E-3</v>
      </c>
      <c r="X44" s="2213"/>
      <c r="Y44" s="2217">
        <f t="shared" si="28"/>
        <v>-18.21966764537747</v>
      </c>
      <c r="Z44" s="2217">
        <f t="shared" si="10"/>
        <v>8697.8908254505241</v>
      </c>
      <c r="AA44" s="2217">
        <f t="shared" si="20"/>
        <v>-5.2821890422728757</v>
      </c>
      <c r="AB44" s="2212">
        <v>291</v>
      </c>
      <c r="AC44" s="2219"/>
      <c r="AD44" s="2231">
        <v>14.7</v>
      </c>
      <c r="AE44" s="2230">
        <f t="shared" si="40"/>
        <v>2.1000000000000014</v>
      </c>
      <c r="AF44" s="2212">
        <v>134</v>
      </c>
      <c r="AG44" s="2212">
        <v>8080</v>
      </c>
      <c r="AH44" s="2212">
        <f t="shared" si="41"/>
        <v>156</v>
      </c>
      <c r="AI44" s="1855">
        <f t="shared" si="42"/>
        <v>9.1937765205091868E-3</v>
      </c>
      <c r="AJ44" s="2213"/>
      <c r="AK44" s="2217">
        <f t="shared" si="29"/>
        <v>-15.948326357200131</v>
      </c>
      <c r="AL44" s="2217">
        <f t="shared" si="11"/>
        <v>8697.8908254505241</v>
      </c>
      <c r="AM44" s="2217">
        <f t="shared" si="21"/>
        <v>-5.2821890422728757</v>
      </c>
      <c r="AN44" s="2212">
        <v>291</v>
      </c>
      <c r="AO44" s="2219"/>
      <c r="AP44" s="2231">
        <v>13.9</v>
      </c>
      <c r="AQ44" s="2230">
        <f t="shared" si="43"/>
        <v>1.7999999999999989</v>
      </c>
      <c r="AR44" s="2212">
        <v>138</v>
      </c>
      <c r="AS44" s="2212">
        <v>8136</v>
      </c>
      <c r="AT44" s="2212">
        <f t="shared" si="44"/>
        <v>131</v>
      </c>
      <c r="AU44" s="1855">
        <f t="shared" si="45"/>
        <v>8.9451545941221511E-3</v>
      </c>
      <c r="AV44" s="2213"/>
      <c r="AW44" s="2217">
        <f t="shared" si="30"/>
        <v>36.396502000067159</v>
      </c>
      <c r="AX44" s="2217">
        <f t="shared" si="31"/>
        <v>9515.1267000117186</v>
      </c>
      <c r="AY44" s="2217">
        <f t="shared" si="12"/>
        <v>44.996700000063356</v>
      </c>
      <c r="AZ44" s="2212">
        <v>291</v>
      </c>
      <c r="BA44" s="2208"/>
      <c r="BB44" s="2231">
        <v>15.6</v>
      </c>
      <c r="BC44" s="2230">
        <f t="shared" si="46"/>
        <v>2.2000000000000011</v>
      </c>
      <c r="BD44" s="2212">
        <v>77</v>
      </c>
      <c r="BE44" s="2212">
        <v>5433</v>
      </c>
      <c r="BF44" s="2212">
        <f t="shared" si="47"/>
        <v>157</v>
      </c>
      <c r="BG44" s="1855">
        <f t="shared" si="48"/>
        <v>1.3135217442230137E-2</v>
      </c>
      <c r="BH44" s="2208"/>
      <c r="BI44" s="2217">
        <f t="shared" si="32"/>
        <v>50.345479000086797</v>
      </c>
      <c r="BJ44" s="2217">
        <f t="shared" si="22"/>
        <v>9515.1267000117186</v>
      </c>
      <c r="BK44" s="2217">
        <f t="shared" si="13"/>
        <v>44.996700000063356</v>
      </c>
      <c r="BL44" s="2212">
        <v>291</v>
      </c>
      <c r="BM44" s="2208"/>
      <c r="BN44" s="2231">
        <v>15.6</v>
      </c>
      <c r="BO44" s="2230">
        <f t="shared" si="49"/>
        <v>2.2000000000000011</v>
      </c>
      <c r="BP44" s="2212">
        <v>77</v>
      </c>
      <c r="BQ44" s="2212">
        <v>5433</v>
      </c>
      <c r="BR44" s="2212">
        <f t="shared" si="50"/>
        <v>157</v>
      </c>
      <c r="BS44" s="1855">
        <f t="shared" si="51"/>
        <v>1.3135217442230137E-2</v>
      </c>
      <c r="BT44" s="2208"/>
      <c r="BU44" s="2217">
        <f t="shared" si="33"/>
        <v>-15.948326357200131</v>
      </c>
      <c r="BV44" s="2217">
        <f t="shared" si="14"/>
        <v>8697.8908254505241</v>
      </c>
      <c r="BW44" s="2217">
        <f t="shared" si="23"/>
        <v>-5.2821890422728757</v>
      </c>
      <c r="BX44" s="2212">
        <v>291</v>
      </c>
      <c r="BY44" s="2219"/>
      <c r="BZ44" s="2231">
        <v>13.9</v>
      </c>
      <c r="CA44" s="2230">
        <f t="shared" si="52"/>
        <v>1.7999999999999989</v>
      </c>
      <c r="CB44" s="2212">
        <v>138</v>
      </c>
      <c r="CC44" s="2212">
        <v>8136</v>
      </c>
      <c r="CD44" s="2212">
        <f t="shared" si="53"/>
        <v>131</v>
      </c>
      <c r="CE44" s="1855">
        <f t="shared" si="54"/>
        <v>8.9451545941221511E-3</v>
      </c>
      <c r="CF44" s="2213"/>
      <c r="CG44" s="2217">
        <f t="shared" si="34"/>
        <v>-16.582189042272876</v>
      </c>
      <c r="CH44" s="2217">
        <f t="shared" si="15"/>
        <v>8697.8908254505241</v>
      </c>
      <c r="CI44" s="2217">
        <f t="shared" si="24"/>
        <v>-5.2821890422728757</v>
      </c>
      <c r="CJ44" s="2212">
        <v>291</v>
      </c>
      <c r="CK44" s="2219"/>
      <c r="CL44" s="2231">
        <v>13.9</v>
      </c>
      <c r="CM44" s="2230">
        <f t="shared" si="55"/>
        <v>1.7999999999999989</v>
      </c>
      <c r="CN44" s="2212">
        <v>138</v>
      </c>
      <c r="CO44" s="2212">
        <v>8136</v>
      </c>
      <c r="CP44" s="2212">
        <f t="shared" si="56"/>
        <v>131</v>
      </c>
      <c r="CQ44" s="1855">
        <f t="shared" si="57"/>
        <v>8.9451545941221511E-3</v>
      </c>
      <c r="CR44" s="2213"/>
      <c r="CS44" s="2217">
        <f t="shared" si="35"/>
        <v>49.445545000085531</v>
      </c>
      <c r="CT44" s="2217">
        <f t="shared" si="25"/>
        <v>9515.1267000117186</v>
      </c>
      <c r="CU44" s="2217">
        <f t="shared" si="16"/>
        <v>44.996700000063356</v>
      </c>
      <c r="CV44" s="2212">
        <v>291</v>
      </c>
      <c r="CW44" s="2208"/>
      <c r="CX44" s="2231">
        <v>15.6</v>
      </c>
      <c r="CY44" s="2230">
        <f t="shared" si="58"/>
        <v>2.2000000000000011</v>
      </c>
      <c r="CZ44" s="2212">
        <v>77</v>
      </c>
      <c r="DA44" s="2212">
        <v>5433</v>
      </c>
      <c r="DB44" s="2212">
        <f t="shared" si="59"/>
        <v>157</v>
      </c>
      <c r="DC44" s="1855">
        <f t="shared" si="60"/>
        <v>1.3135217442230137E-2</v>
      </c>
      <c r="DD44" s="2208"/>
    </row>
    <row r="45" spans="1:108">
      <c r="A45" s="2217">
        <f t="shared" si="26"/>
        <v>-17.322207964600057</v>
      </c>
      <c r="B45" s="2217">
        <f t="shared" si="17"/>
        <v>8703.1730144927969</v>
      </c>
      <c r="C45" s="2217">
        <f t="shared" si="18"/>
        <v>-5.2367025779130927</v>
      </c>
      <c r="D45" s="2212">
        <v>290</v>
      </c>
      <c r="E45" s="263"/>
      <c r="F45" s="2231">
        <v>12.6</v>
      </c>
      <c r="G45" s="2230">
        <f t="shared" si="36"/>
        <v>2.0999999999999996</v>
      </c>
      <c r="H45" s="2212">
        <v>144</v>
      </c>
      <c r="I45" s="2212">
        <v>8215</v>
      </c>
      <c r="J45" s="2212">
        <f t="shared" si="61"/>
        <v>135</v>
      </c>
      <c r="K45" s="1855">
        <f t="shared" si="62"/>
        <v>7.8254064863924888E-3</v>
      </c>
      <c r="L45" s="263"/>
      <c r="M45" s="2217">
        <f t="shared" si="27"/>
        <v>-17.688777145053972</v>
      </c>
      <c r="N45" s="2217">
        <f t="shared" si="9"/>
        <v>8703.1730144927969</v>
      </c>
      <c r="O45" s="2217">
        <f t="shared" si="19"/>
        <v>-5.2367025779130927</v>
      </c>
      <c r="P45" s="2212">
        <v>290</v>
      </c>
      <c r="Q45" s="2219"/>
      <c r="R45" s="2231">
        <v>16.8</v>
      </c>
      <c r="S45" s="2230">
        <f t="shared" si="37"/>
        <v>2.0999999999999979</v>
      </c>
      <c r="T45" s="2212">
        <v>124</v>
      </c>
      <c r="U45" s="2212">
        <v>7924</v>
      </c>
      <c r="V45" s="2212">
        <f t="shared" si="38"/>
        <v>176</v>
      </c>
      <c r="W45" s="1855">
        <f t="shared" si="39"/>
        <v>1.057666883007621E-2</v>
      </c>
      <c r="X45" s="2213"/>
      <c r="Y45" s="2217">
        <f t="shared" si="28"/>
        <v>-18.160080377066151</v>
      </c>
      <c r="Z45" s="2217">
        <f t="shared" si="10"/>
        <v>8703.1730144927969</v>
      </c>
      <c r="AA45" s="2217">
        <f t="shared" si="20"/>
        <v>-5.2367025779130927</v>
      </c>
      <c r="AB45" s="2212">
        <v>290</v>
      </c>
      <c r="AC45" s="2219"/>
      <c r="AD45" s="2231">
        <v>16.8</v>
      </c>
      <c r="AE45" s="2230">
        <f t="shared" si="40"/>
        <v>2.0999999999999979</v>
      </c>
      <c r="AF45" s="2212">
        <v>124</v>
      </c>
      <c r="AG45" s="2212">
        <v>7924</v>
      </c>
      <c r="AH45" s="2212">
        <f t="shared" si="41"/>
        <v>176</v>
      </c>
      <c r="AI45" s="1855">
        <f t="shared" si="42"/>
        <v>1.057666883007621E-2</v>
      </c>
      <c r="AJ45" s="2213"/>
      <c r="AK45" s="2217">
        <f t="shared" si="29"/>
        <v>-15.908298268563522</v>
      </c>
      <c r="AL45" s="2217">
        <f t="shared" si="11"/>
        <v>8703.1730144927969</v>
      </c>
      <c r="AM45" s="2217">
        <f t="shared" si="21"/>
        <v>-5.2367025779130927</v>
      </c>
      <c r="AN45" s="2212">
        <v>290</v>
      </c>
      <c r="AO45" s="2219"/>
      <c r="AP45" s="2231">
        <v>15.7</v>
      </c>
      <c r="AQ45" s="2230">
        <f t="shared" si="43"/>
        <v>1.6999999999999993</v>
      </c>
      <c r="AR45" s="2212">
        <v>129</v>
      </c>
      <c r="AS45" s="2212">
        <v>8005</v>
      </c>
      <c r="AT45" s="2212">
        <f t="shared" si="44"/>
        <v>131</v>
      </c>
      <c r="AU45" s="1855">
        <f t="shared" si="45"/>
        <v>9.6263364808759268E-3</v>
      </c>
      <c r="AV45" s="2213"/>
      <c r="AW45" s="2217">
        <f t="shared" si="30"/>
        <v>35.845090000072048</v>
      </c>
      <c r="AX45" s="2217">
        <f t="shared" si="31"/>
        <v>9470.1300000116553</v>
      </c>
      <c r="AY45" s="2217">
        <f t="shared" si="12"/>
        <v>44.476500000067972</v>
      </c>
      <c r="AZ45" s="2212">
        <v>290</v>
      </c>
      <c r="BA45" s="2208"/>
      <c r="BB45" s="2231">
        <v>17.8</v>
      </c>
      <c r="BC45" s="2230">
        <f t="shared" si="46"/>
        <v>2.1999999999999993</v>
      </c>
      <c r="BD45" s="2212">
        <v>68</v>
      </c>
      <c r="BE45" s="2212">
        <v>5276</v>
      </c>
      <c r="BF45" s="2212">
        <f t="shared" si="47"/>
        <v>157</v>
      </c>
      <c r="BG45" s="1855">
        <f t="shared" si="48"/>
        <v>1.352608725618582E-2</v>
      </c>
      <c r="BH45" s="2208"/>
      <c r="BI45" s="2217">
        <f t="shared" si="32"/>
        <v>49.632805000093128</v>
      </c>
      <c r="BJ45" s="2217">
        <f t="shared" si="22"/>
        <v>9470.1300000116553</v>
      </c>
      <c r="BK45" s="2217">
        <f t="shared" si="13"/>
        <v>44.476500000067972</v>
      </c>
      <c r="BL45" s="2212">
        <v>290</v>
      </c>
      <c r="BM45" s="2208"/>
      <c r="BN45" s="2231">
        <v>17.8</v>
      </c>
      <c r="BO45" s="2230">
        <f t="shared" si="49"/>
        <v>2.1999999999999993</v>
      </c>
      <c r="BP45" s="2212">
        <v>68</v>
      </c>
      <c r="BQ45" s="2212">
        <v>5276</v>
      </c>
      <c r="BR45" s="2212">
        <f t="shared" si="50"/>
        <v>157</v>
      </c>
      <c r="BS45" s="1855">
        <f t="shared" si="51"/>
        <v>1.352608725618582E-2</v>
      </c>
      <c r="BT45" s="2208"/>
      <c r="BU45" s="2217">
        <f t="shared" si="33"/>
        <v>-15.908298268563522</v>
      </c>
      <c r="BV45" s="2217">
        <f t="shared" si="14"/>
        <v>8703.1730144927969</v>
      </c>
      <c r="BW45" s="2217">
        <f t="shared" si="23"/>
        <v>-5.2367025779130927</v>
      </c>
      <c r="BX45" s="2212">
        <v>290</v>
      </c>
      <c r="BY45" s="2219"/>
      <c r="BZ45" s="2231">
        <v>15.7</v>
      </c>
      <c r="CA45" s="2230">
        <f t="shared" si="52"/>
        <v>1.6999999999999993</v>
      </c>
      <c r="CB45" s="2212">
        <v>129</v>
      </c>
      <c r="CC45" s="2212">
        <v>8005</v>
      </c>
      <c r="CD45" s="2212">
        <f t="shared" si="53"/>
        <v>131</v>
      </c>
      <c r="CE45" s="1855">
        <f t="shared" si="54"/>
        <v>9.6263364808759268E-3</v>
      </c>
      <c r="CF45" s="2213"/>
      <c r="CG45" s="2217">
        <f t="shared" si="34"/>
        <v>-16.536702577913093</v>
      </c>
      <c r="CH45" s="2217">
        <f t="shared" si="15"/>
        <v>8703.1730144927969</v>
      </c>
      <c r="CI45" s="2217">
        <f t="shared" si="24"/>
        <v>-5.2367025779130927</v>
      </c>
      <c r="CJ45" s="2212">
        <v>290</v>
      </c>
      <c r="CK45" s="2219"/>
      <c r="CL45" s="2231">
        <v>15.7</v>
      </c>
      <c r="CM45" s="2230">
        <f t="shared" si="55"/>
        <v>1.6999999999999993</v>
      </c>
      <c r="CN45" s="2212">
        <v>129</v>
      </c>
      <c r="CO45" s="2212">
        <v>8005</v>
      </c>
      <c r="CP45" s="2212">
        <f t="shared" si="56"/>
        <v>131</v>
      </c>
      <c r="CQ45" s="1855">
        <f t="shared" si="57"/>
        <v>9.6263364808759268E-3</v>
      </c>
      <c r="CR45" s="2213"/>
      <c r="CS45" s="2217">
        <f t="shared" si="35"/>
        <v>48.743275000091771</v>
      </c>
      <c r="CT45" s="2217">
        <f t="shared" si="25"/>
        <v>9470.1300000116553</v>
      </c>
      <c r="CU45" s="2217">
        <f t="shared" si="16"/>
        <v>44.476500000067972</v>
      </c>
      <c r="CV45" s="2212">
        <v>290</v>
      </c>
      <c r="CW45" s="2208"/>
      <c r="CX45" s="2231">
        <v>17.8</v>
      </c>
      <c r="CY45" s="2230">
        <f t="shared" si="58"/>
        <v>2.1999999999999993</v>
      </c>
      <c r="CZ45" s="2212">
        <v>68</v>
      </c>
      <c r="DA45" s="2212">
        <v>5276</v>
      </c>
      <c r="DB45" s="2212">
        <f t="shared" si="59"/>
        <v>157</v>
      </c>
      <c r="DC45" s="1855">
        <f t="shared" si="60"/>
        <v>1.352608725618582E-2</v>
      </c>
      <c r="DD45" s="2208"/>
    </row>
    <row r="46" spans="1:108">
      <c r="A46" s="2217">
        <f t="shared" si="26"/>
        <v>-17.268585626496861</v>
      </c>
      <c r="B46" s="2217">
        <f t="shared" si="17"/>
        <v>8708.40971707071</v>
      </c>
      <c r="C46" s="2217">
        <f t="shared" si="18"/>
        <v>-5.1900744578233571</v>
      </c>
      <c r="D46" s="2212">
        <v>289</v>
      </c>
      <c r="E46" s="263"/>
      <c r="F46" s="2231">
        <v>14.7</v>
      </c>
      <c r="G46" s="2230">
        <f t="shared" si="36"/>
        <v>2.1000000000000014</v>
      </c>
      <c r="H46" s="2212">
        <v>134</v>
      </c>
      <c r="I46" s="2212">
        <v>8080</v>
      </c>
      <c r="J46" s="2212">
        <f t="shared" si="61"/>
        <v>156</v>
      </c>
      <c r="K46" s="1855">
        <f t="shared" si="62"/>
        <v>9.1937765205091868E-3</v>
      </c>
      <c r="L46" s="263"/>
      <c r="M46" s="2217">
        <f t="shared" si="27"/>
        <v>-17.631890838544496</v>
      </c>
      <c r="N46" s="2217">
        <f t="shared" si="9"/>
        <v>8708.40971707071</v>
      </c>
      <c r="O46" s="2217">
        <f t="shared" si="19"/>
        <v>-5.1900744578233571</v>
      </c>
      <c r="P46" s="2212">
        <v>289</v>
      </c>
      <c r="Q46" s="2219"/>
      <c r="R46" s="2231">
        <v>18.899999999999999</v>
      </c>
      <c r="S46" s="2230">
        <f t="shared" si="37"/>
        <v>2.2000000000000028</v>
      </c>
      <c r="T46" s="2212">
        <v>114</v>
      </c>
      <c r="U46" s="2212">
        <v>7748</v>
      </c>
      <c r="V46" s="2212">
        <f t="shared" si="38"/>
        <v>178</v>
      </c>
      <c r="W46" s="1855">
        <f t="shared" si="39"/>
        <v>1.0442577556671502E-2</v>
      </c>
      <c r="X46" s="2213"/>
      <c r="Y46" s="2217">
        <f t="shared" si="28"/>
        <v>-18.098997539748598</v>
      </c>
      <c r="Z46" s="2217">
        <f t="shared" si="10"/>
        <v>8708.40971707071</v>
      </c>
      <c r="AA46" s="2217">
        <f t="shared" si="20"/>
        <v>-5.1900744578233571</v>
      </c>
      <c r="AB46" s="2212">
        <v>289</v>
      </c>
      <c r="AC46" s="2219"/>
      <c r="AD46" s="2231">
        <v>18.899999999999999</v>
      </c>
      <c r="AE46" s="2230">
        <f t="shared" si="40"/>
        <v>2.2000000000000028</v>
      </c>
      <c r="AF46" s="2212">
        <v>114</v>
      </c>
      <c r="AG46" s="2212">
        <v>7748</v>
      </c>
      <c r="AH46" s="2212">
        <f t="shared" si="41"/>
        <v>178</v>
      </c>
      <c r="AI46" s="1855">
        <f t="shared" si="42"/>
        <v>1.0442577556671502E-2</v>
      </c>
      <c r="AJ46" s="2213"/>
      <c r="AK46" s="2217">
        <f t="shared" si="29"/>
        <v>-15.867265522884555</v>
      </c>
      <c r="AL46" s="2217">
        <f t="shared" si="11"/>
        <v>8708.40971707071</v>
      </c>
      <c r="AM46" s="2217">
        <f t="shared" si="21"/>
        <v>-5.1900744578233571</v>
      </c>
      <c r="AN46" s="2212">
        <v>289</v>
      </c>
      <c r="AO46" s="2219"/>
      <c r="AP46" s="2231">
        <v>17.399999999999999</v>
      </c>
      <c r="AQ46" s="2230">
        <f t="shared" si="43"/>
        <v>1.7000000000000028</v>
      </c>
      <c r="AR46" s="2212">
        <v>121</v>
      </c>
      <c r="AS46" s="2212">
        <v>7874</v>
      </c>
      <c r="AT46" s="2212">
        <f t="shared" si="44"/>
        <v>145</v>
      </c>
      <c r="AU46" s="1855">
        <f t="shared" si="45"/>
        <v>1.0832374605925666E-2</v>
      </c>
      <c r="AV46" s="2213"/>
      <c r="AW46" s="2217">
        <f t="shared" si="30"/>
        <v>35.297494000069236</v>
      </c>
      <c r="AX46" s="2217">
        <f t="shared" si="31"/>
        <v>9425.6535000115873</v>
      </c>
      <c r="AY46" s="2217">
        <f t="shared" si="12"/>
        <v>43.959900000065318</v>
      </c>
      <c r="AZ46" s="2212">
        <v>289</v>
      </c>
      <c r="BA46" s="2208"/>
      <c r="BB46" s="2231">
        <v>20</v>
      </c>
      <c r="BC46" s="2230">
        <f t="shared" si="46"/>
        <v>2.1999999999999993</v>
      </c>
      <c r="BD46" s="2212">
        <v>60</v>
      </c>
      <c r="BE46" s="2212">
        <v>5119</v>
      </c>
      <c r="BF46" s="2212">
        <f t="shared" si="47"/>
        <v>176</v>
      </c>
      <c r="BG46" s="1855">
        <f t="shared" si="48"/>
        <v>1.5628052353975391E-2</v>
      </c>
      <c r="BH46" s="2208"/>
      <c r="BI46" s="2217">
        <f t="shared" si="32"/>
        <v>48.925063000089494</v>
      </c>
      <c r="BJ46" s="2217">
        <f t="shared" si="22"/>
        <v>9425.6535000115873</v>
      </c>
      <c r="BK46" s="2217">
        <f t="shared" si="13"/>
        <v>43.959900000065318</v>
      </c>
      <c r="BL46" s="2212">
        <v>289</v>
      </c>
      <c r="BM46" s="2208"/>
      <c r="BN46" s="2231">
        <v>20</v>
      </c>
      <c r="BO46" s="2230">
        <f t="shared" si="49"/>
        <v>2.1999999999999993</v>
      </c>
      <c r="BP46" s="2212">
        <v>60</v>
      </c>
      <c r="BQ46" s="2212">
        <v>5119</v>
      </c>
      <c r="BR46" s="2212">
        <f t="shared" si="50"/>
        <v>176</v>
      </c>
      <c r="BS46" s="1855">
        <f t="shared" si="51"/>
        <v>1.5628052353975391E-2</v>
      </c>
      <c r="BT46" s="2208"/>
      <c r="BU46" s="2217">
        <f t="shared" si="33"/>
        <v>-15.867265522884555</v>
      </c>
      <c r="BV46" s="2217">
        <f t="shared" si="14"/>
        <v>8708.40971707071</v>
      </c>
      <c r="BW46" s="2217">
        <f t="shared" si="23"/>
        <v>-5.1900744578233571</v>
      </c>
      <c r="BX46" s="2212">
        <v>289</v>
      </c>
      <c r="BY46" s="2219"/>
      <c r="BZ46" s="2231">
        <v>17.399999999999999</v>
      </c>
      <c r="CA46" s="2230">
        <f t="shared" si="52"/>
        <v>1.7000000000000028</v>
      </c>
      <c r="CB46" s="2212">
        <v>121</v>
      </c>
      <c r="CC46" s="2212">
        <v>7874</v>
      </c>
      <c r="CD46" s="2212">
        <f t="shared" si="53"/>
        <v>145</v>
      </c>
      <c r="CE46" s="1855">
        <f t="shared" si="54"/>
        <v>1.0832374605925666E-2</v>
      </c>
      <c r="CF46" s="2213"/>
      <c r="CG46" s="2217">
        <f t="shared" si="34"/>
        <v>-16.490074457823358</v>
      </c>
      <c r="CH46" s="2217">
        <f t="shared" si="15"/>
        <v>8708.40971707071</v>
      </c>
      <c r="CI46" s="2217">
        <f t="shared" si="24"/>
        <v>-5.1900744578233571</v>
      </c>
      <c r="CJ46" s="2212">
        <v>289</v>
      </c>
      <c r="CK46" s="2219"/>
      <c r="CL46" s="2231">
        <v>17.399999999999999</v>
      </c>
      <c r="CM46" s="2230">
        <f t="shared" si="55"/>
        <v>1.7000000000000028</v>
      </c>
      <c r="CN46" s="2212">
        <v>121</v>
      </c>
      <c r="CO46" s="2212">
        <v>7874</v>
      </c>
      <c r="CP46" s="2212">
        <f t="shared" si="56"/>
        <v>145</v>
      </c>
      <c r="CQ46" s="1855">
        <f t="shared" si="57"/>
        <v>1.0832374605925666E-2</v>
      </c>
      <c r="CR46" s="2213"/>
      <c r="CS46" s="2217">
        <f t="shared" si="35"/>
        <v>48.045865000088185</v>
      </c>
      <c r="CT46" s="2217">
        <f t="shared" si="25"/>
        <v>9425.6535000115873</v>
      </c>
      <c r="CU46" s="2217">
        <f t="shared" si="16"/>
        <v>43.959900000065318</v>
      </c>
      <c r="CV46" s="2212">
        <v>289</v>
      </c>
      <c r="CW46" s="2208"/>
      <c r="CX46" s="2231">
        <v>20</v>
      </c>
      <c r="CY46" s="2230">
        <f t="shared" si="58"/>
        <v>2.1999999999999993</v>
      </c>
      <c r="CZ46" s="2212">
        <v>60</v>
      </c>
      <c r="DA46" s="2212">
        <v>5119</v>
      </c>
      <c r="DB46" s="2212">
        <f t="shared" si="59"/>
        <v>176</v>
      </c>
      <c r="DC46" s="1855">
        <f t="shared" si="60"/>
        <v>1.5628052353975391E-2</v>
      </c>
      <c r="DD46" s="2208"/>
    </row>
    <row r="47" spans="1:108">
      <c r="A47" s="2217">
        <f t="shared" si="26"/>
        <v>-17.213650384293761</v>
      </c>
      <c r="B47" s="2217">
        <f t="shared" si="17"/>
        <v>8713.5997915285334</v>
      </c>
      <c r="C47" s="2217">
        <f t="shared" si="18"/>
        <v>-5.1423046819945739</v>
      </c>
      <c r="D47" s="2212">
        <v>288</v>
      </c>
      <c r="E47" s="263"/>
      <c r="F47" s="2231">
        <v>16.8</v>
      </c>
      <c r="G47" s="2230">
        <f t="shared" si="36"/>
        <v>2.0999999999999979</v>
      </c>
      <c r="H47" s="2212">
        <v>124</v>
      </c>
      <c r="I47" s="2212">
        <v>7924</v>
      </c>
      <c r="J47" s="2212">
        <f t="shared" si="61"/>
        <v>176</v>
      </c>
      <c r="K47" s="1855">
        <f t="shared" si="62"/>
        <v>1.057666883007621E-2</v>
      </c>
      <c r="L47" s="263"/>
      <c r="M47" s="2217">
        <f t="shared" si="27"/>
        <v>-17.573611712033379</v>
      </c>
      <c r="N47" s="2217">
        <f t="shared" si="9"/>
        <v>8713.5997915285334</v>
      </c>
      <c r="O47" s="2217">
        <f t="shared" si="19"/>
        <v>-5.1423046819945739</v>
      </c>
      <c r="P47" s="2212">
        <v>288</v>
      </c>
      <c r="Q47" s="2219"/>
      <c r="R47" s="2231">
        <v>21.1</v>
      </c>
      <c r="S47" s="2230">
        <f t="shared" si="37"/>
        <v>2.0999999999999979</v>
      </c>
      <c r="T47" s="2212">
        <v>105</v>
      </c>
      <c r="U47" s="2212">
        <v>7570</v>
      </c>
      <c r="V47" s="2212">
        <f t="shared" si="38"/>
        <v>197</v>
      </c>
      <c r="W47" s="1855">
        <f t="shared" si="39"/>
        <v>1.2392275272063925E-2</v>
      </c>
      <c r="X47" s="2213"/>
      <c r="Y47" s="2217">
        <f t="shared" si="28"/>
        <v>-18.036419133412892</v>
      </c>
      <c r="Z47" s="2217">
        <f t="shared" si="10"/>
        <v>8713.5997915285334</v>
      </c>
      <c r="AA47" s="2217">
        <f t="shared" si="20"/>
        <v>-5.1423046819945739</v>
      </c>
      <c r="AB47" s="2212">
        <v>288</v>
      </c>
      <c r="AC47" s="2219"/>
      <c r="AD47" s="2231">
        <v>21.1</v>
      </c>
      <c r="AE47" s="2230">
        <f t="shared" si="40"/>
        <v>2.0999999999999979</v>
      </c>
      <c r="AF47" s="2212">
        <v>105</v>
      </c>
      <c r="AG47" s="2212">
        <v>7570</v>
      </c>
      <c r="AH47" s="2212">
        <f t="shared" si="41"/>
        <v>197</v>
      </c>
      <c r="AI47" s="1855">
        <f t="shared" si="42"/>
        <v>1.2392275272063925E-2</v>
      </c>
      <c r="AJ47" s="2213"/>
      <c r="AK47" s="2217">
        <f t="shared" si="29"/>
        <v>-15.825228120155225</v>
      </c>
      <c r="AL47" s="2217">
        <f t="shared" si="11"/>
        <v>8713.5997915285334</v>
      </c>
      <c r="AM47" s="2217">
        <f t="shared" si="21"/>
        <v>-5.1423046819945739</v>
      </c>
      <c r="AN47" s="2212">
        <v>288</v>
      </c>
      <c r="AO47" s="2219"/>
      <c r="AP47" s="2231">
        <v>19.100000000000001</v>
      </c>
      <c r="AQ47" s="2230">
        <f t="shared" si="43"/>
        <v>1.7999999999999972</v>
      </c>
      <c r="AR47" s="2212">
        <v>113</v>
      </c>
      <c r="AS47" s="2212">
        <v>7729</v>
      </c>
      <c r="AT47" s="2212">
        <f t="shared" si="44"/>
        <v>138</v>
      </c>
      <c r="AU47" s="1855">
        <f t="shared" si="45"/>
        <v>9.9193513606762561E-3</v>
      </c>
      <c r="AV47" s="2213"/>
      <c r="AW47" s="2217">
        <f t="shared" si="30"/>
        <v>34.75371400007414</v>
      </c>
      <c r="AX47" s="2217">
        <f t="shared" si="31"/>
        <v>9381.693600011522</v>
      </c>
      <c r="AY47" s="2217">
        <f t="shared" si="12"/>
        <v>43.446900000069945</v>
      </c>
      <c r="AZ47" s="2212">
        <v>288</v>
      </c>
      <c r="BA47" s="2208"/>
      <c r="BB47" s="2231">
        <v>22.2</v>
      </c>
      <c r="BC47" s="2230">
        <f t="shared" si="46"/>
        <v>2.1999999999999993</v>
      </c>
      <c r="BD47" s="2212">
        <v>52</v>
      </c>
      <c r="BE47" s="2212">
        <v>4943</v>
      </c>
      <c r="BF47" s="2212">
        <f t="shared" si="47"/>
        <v>194</v>
      </c>
      <c r="BG47" s="1855">
        <f t="shared" si="48"/>
        <v>1.7839736633991143E-2</v>
      </c>
      <c r="BH47" s="2208"/>
      <c r="BI47" s="2217">
        <f t="shared" si="32"/>
        <v>48.222253000095833</v>
      </c>
      <c r="BJ47" s="2217">
        <f t="shared" si="22"/>
        <v>9381.693600011522</v>
      </c>
      <c r="BK47" s="2217">
        <f t="shared" si="13"/>
        <v>43.446900000069945</v>
      </c>
      <c r="BL47" s="2212">
        <v>288</v>
      </c>
      <c r="BM47" s="2208"/>
      <c r="BN47" s="2231">
        <v>22.2</v>
      </c>
      <c r="BO47" s="2230">
        <f t="shared" si="49"/>
        <v>2.1999999999999993</v>
      </c>
      <c r="BP47" s="2212">
        <v>52</v>
      </c>
      <c r="BQ47" s="2212">
        <v>4943</v>
      </c>
      <c r="BR47" s="2212">
        <f t="shared" si="50"/>
        <v>194</v>
      </c>
      <c r="BS47" s="1855">
        <f t="shared" si="51"/>
        <v>1.7839736633991143E-2</v>
      </c>
      <c r="BT47" s="2208"/>
      <c r="BU47" s="2217">
        <f t="shared" si="33"/>
        <v>-15.825228120155225</v>
      </c>
      <c r="BV47" s="2217">
        <f t="shared" si="14"/>
        <v>8713.5997915285334</v>
      </c>
      <c r="BW47" s="2217">
        <f t="shared" si="23"/>
        <v>-5.1423046819945739</v>
      </c>
      <c r="BX47" s="2212">
        <v>288</v>
      </c>
      <c r="BY47" s="2219"/>
      <c r="BZ47" s="2231">
        <v>19.100000000000001</v>
      </c>
      <c r="CA47" s="2230">
        <f t="shared" si="52"/>
        <v>1.7999999999999972</v>
      </c>
      <c r="CB47" s="2212">
        <v>113</v>
      </c>
      <c r="CC47" s="2212">
        <v>7729</v>
      </c>
      <c r="CD47" s="2212">
        <f t="shared" si="53"/>
        <v>138</v>
      </c>
      <c r="CE47" s="1855">
        <f t="shared" si="54"/>
        <v>9.9193513606762561E-3</v>
      </c>
      <c r="CF47" s="2213"/>
      <c r="CG47" s="2217">
        <f t="shared" si="34"/>
        <v>-16.442304681994575</v>
      </c>
      <c r="CH47" s="2217">
        <f t="shared" si="15"/>
        <v>8713.5997915285334</v>
      </c>
      <c r="CI47" s="2217">
        <f t="shared" si="24"/>
        <v>-5.1423046819945739</v>
      </c>
      <c r="CJ47" s="2212">
        <v>288</v>
      </c>
      <c r="CK47" s="2219"/>
      <c r="CL47" s="2231">
        <v>19.100000000000001</v>
      </c>
      <c r="CM47" s="2230">
        <f t="shared" si="55"/>
        <v>1.7999999999999972</v>
      </c>
      <c r="CN47" s="2212">
        <v>113</v>
      </c>
      <c r="CO47" s="2212">
        <v>7729</v>
      </c>
      <c r="CP47" s="2212">
        <f t="shared" si="56"/>
        <v>138</v>
      </c>
      <c r="CQ47" s="1855">
        <f t="shared" si="57"/>
        <v>9.9193513606762561E-3</v>
      </c>
      <c r="CR47" s="2213"/>
      <c r="CS47" s="2217">
        <f t="shared" si="35"/>
        <v>47.353315000094426</v>
      </c>
      <c r="CT47" s="2217">
        <f t="shared" si="25"/>
        <v>9381.693600011522</v>
      </c>
      <c r="CU47" s="2217">
        <f t="shared" si="16"/>
        <v>43.446900000069945</v>
      </c>
      <c r="CV47" s="2212">
        <v>288</v>
      </c>
      <c r="CW47" s="2208"/>
      <c r="CX47" s="2231">
        <v>22.2</v>
      </c>
      <c r="CY47" s="2230">
        <f t="shared" si="58"/>
        <v>2.1999999999999993</v>
      </c>
      <c r="CZ47" s="2212">
        <v>52</v>
      </c>
      <c r="DA47" s="2212">
        <v>4943</v>
      </c>
      <c r="DB47" s="2212">
        <f t="shared" si="59"/>
        <v>194</v>
      </c>
      <c r="DC47" s="1855">
        <f t="shared" si="60"/>
        <v>1.7839736633991143E-2</v>
      </c>
      <c r="DD47" s="2208"/>
    </row>
    <row r="48" spans="1:108">
      <c r="A48" s="2217">
        <f t="shared" si="26"/>
        <v>-17.157402237999122</v>
      </c>
      <c r="B48" s="2217">
        <f t="shared" si="17"/>
        <v>8718.742096210528</v>
      </c>
      <c r="C48" s="2217">
        <f t="shared" si="18"/>
        <v>-5.0933932504340191</v>
      </c>
      <c r="D48" s="2212">
        <v>287</v>
      </c>
      <c r="E48" s="263"/>
      <c r="F48" s="2231">
        <v>18.899999999999999</v>
      </c>
      <c r="G48" s="2230">
        <f t="shared" si="36"/>
        <v>2.2000000000000028</v>
      </c>
      <c r="H48" s="2212">
        <v>114</v>
      </c>
      <c r="I48" s="2212">
        <v>7748</v>
      </c>
      <c r="J48" s="2212">
        <f t="shared" si="61"/>
        <v>178</v>
      </c>
      <c r="K48" s="1855">
        <f t="shared" si="62"/>
        <v>1.0442577556671502E-2</v>
      </c>
      <c r="L48" s="2213"/>
      <c r="M48" s="2217">
        <f t="shared" si="27"/>
        <v>-17.513939765529503</v>
      </c>
      <c r="N48" s="2217">
        <f t="shared" si="9"/>
        <v>8718.742096210528</v>
      </c>
      <c r="O48" s="2217">
        <f t="shared" si="19"/>
        <v>-5.0933932504340191</v>
      </c>
      <c r="P48" s="2212">
        <v>287</v>
      </c>
      <c r="Q48" s="2219"/>
      <c r="R48" s="2231">
        <v>23.2</v>
      </c>
      <c r="S48" s="2217" t="e">
        <f>#REF!-R48</f>
        <v>#REF!</v>
      </c>
      <c r="T48" s="2212">
        <v>96</v>
      </c>
      <c r="U48" s="2212">
        <v>7373</v>
      </c>
      <c r="V48" s="2212" t="e">
        <f>U48-#REF!</f>
        <v>#REF!</v>
      </c>
      <c r="W48" s="1848"/>
      <c r="X48" s="2213"/>
      <c r="Y48" s="2217">
        <f t="shared" si="28"/>
        <v>-17.972345158068567</v>
      </c>
      <c r="Z48" s="2217">
        <f t="shared" si="10"/>
        <v>8718.742096210528</v>
      </c>
      <c r="AA48" s="2217">
        <f t="shared" si="20"/>
        <v>-5.0933932504340191</v>
      </c>
      <c r="AB48" s="2212">
        <v>287</v>
      </c>
      <c r="AC48" s="2219"/>
      <c r="AD48" s="2231">
        <v>23.2</v>
      </c>
      <c r="AE48" s="2217" t="e">
        <f>#REF!-AD48</f>
        <v>#REF!</v>
      </c>
      <c r="AF48" s="2212">
        <v>96</v>
      </c>
      <c r="AG48" s="2212">
        <v>7373</v>
      </c>
      <c r="AH48" s="2212" t="e">
        <f>AG48-#REF!</f>
        <v>#REF!</v>
      </c>
      <c r="AI48" s="1848"/>
      <c r="AJ48" s="2213"/>
      <c r="AK48" s="2217">
        <f t="shared" si="29"/>
        <v>-15.782186060381937</v>
      </c>
      <c r="AL48" s="2217">
        <f t="shared" si="11"/>
        <v>8718.742096210528</v>
      </c>
      <c r="AM48" s="2217">
        <f t="shared" si="21"/>
        <v>-5.0933932504340191</v>
      </c>
      <c r="AN48" s="2212">
        <v>287</v>
      </c>
      <c r="AO48" s="2219"/>
      <c r="AP48" s="2231">
        <v>20.9</v>
      </c>
      <c r="AQ48" s="2217" t="e">
        <f>#REF!-AP48</f>
        <v>#REF!</v>
      </c>
      <c r="AR48" s="2212">
        <v>106</v>
      </c>
      <c r="AS48" s="2212">
        <v>7591</v>
      </c>
      <c r="AT48" s="2212" t="e">
        <f>AS48-#REF!</f>
        <v>#REF!</v>
      </c>
      <c r="AU48" s="1848"/>
      <c r="AV48" s="2213"/>
      <c r="AW48" s="2217">
        <f t="shared" si="30"/>
        <v>34.213750000075194</v>
      </c>
      <c r="AX48" s="2217">
        <f t="shared" si="31"/>
        <v>9338.246700011452</v>
      </c>
      <c r="AY48" s="2217">
        <f t="shared" si="12"/>
        <v>42.937500000070941</v>
      </c>
      <c r="AZ48" s="2212">
        <v>287</v>
      </c>
      <c r="BA48" s="2208"/>
      <c r="BB48" s="2231">
        <v>24.4</v>
      </c>
      <c r="BC48" s="2217" t="e">
        <f>#REF!-BB48</f>
        <v>#REF!</v>
      </c>
      <c r="BD48" s="2212">
        <v>44</v>
      </c>
      <c r="BE48" s="2212">
        <v>4749</v>
      </c>
      <c r="BF48" s="2212" t="e">
        <f>BE48-#REF!</f>
        <v>#REF!</v>
      </c>
      <c r="BG48" s="1848"/>
      <c r="BH48" s="2208"/>
      <c r="BI48" s="2217">
        <f t="shared" si="32"/>
        <v>47.524375000097194</v>
      </c>
      <c r="BJ48" s="2217">
        <f t="shared" si="22"/>
        <v>9338.246700011452</v>
      </c>
      <c r="BK48" s="2217">
        <f t="shared" si="13"/>
        <v>42.937500000070941</v>
      </c>
      <c r="BL48" s="2212">
        <v>287</v>
      </c>
      <c r="BM48" s="2208"/>
      <c r="BN48" s="2231">
        <v>24.4</v>
      </c>
      <c r="BO48" s="2217" t="e">
        <f>#REF!-BN48</f>
        <v>#REF!</v>
      </c>
      <c r="BP48" s="2212">
        <v>44</v>
      </c>
      <c r="BQ48" s="2212">
        <v>4749</v>
      </c>
      <c r="BR48" s="2212" t="e">
        <f>BQ48-#REF!</f>
        <v>#REF!</v>
      </c>
      <c r="BS48" s="1848"/>
      <c r="BT48" s="2208"/>
      <c r="BU48" s="2217">
        <f t="shared" si="33"/>
        <v>-15.782186060381937</v>
      </c>
      <c r="BV48" s="2217">
        <f t="shared" si="14"/>
        <v>8718.742096210528</v>
      </c>
      <c r="BW48" s="2217">
        <f t="shared" si="23"/>
        <v>-5.0933932504340191</v>
      </c>
      <c r="BX48" s="2212">
        <v>287</v>
      </c>
      <c r="BY48" s="2219"/>
      <c r="BZ48" s="2231">
        <v>20.9</v>
      </c>
      <c r="CA48" s="2217" t="e">
        <f>#REF!-BZ48</f>
        <v>#REF!</v>
      </c>
      <c r="CB48" s="2212">
        <v>106</v>
      </c>
      <c r="CC48" s="2212">
        <v>7591</v>
      </c>
      <c r="CD48" s="2212" t="e">
        <f>CC48-#REF!</f>
        <v>#REF!</v>
      </c>
      <c r="CE48" s="1848"/>
      <c r="CF48" s="2213"/>
      <c r="CG48" s="2217">
        <f t="shared" si="34"/>
        <v>-16.39339325043402</v>
      </c>
      <c r="CH48" s="2217">
        <f t="shared" si="15"/>
        <v>8718.742096210528</v>
      </c>
      <c r="CI48" s="2217">
        <f t="shared" si="24"/>
        <v>-5.0933932504340191</v>
      </c>
      <c r="CJ48" s="2212">
        <v>287</v>
      </c>
      <c r="CK48" s="2219"/>
      <c r="CL48" s="2231">
        <v>20.9</v>
      </c>
      <c r="CM48" s="2217" t="e">
        <f>#REF!-CL48</f>
        <v>#REF!</v>
      </c>
      <c r="CN48" s="2212">
        <v>106</v>
      </c>
      <c r="CO48" s="2212">
        <v>7591</v>
      </c>
      <c r="CP48" s="2212" t="e">
        <f>CO48-#REF!</f>
        <v>#REF!</v>
      </c>
      <c r="CQ48" s="1848"/>
      <c r="CR48" s="2213"/>
      <c r="CS48" s="2217">
        <f t="shared" si="35"/>
        <v>46.665625000095773</v>
      </c>
      <c r="CT48" s="2217">
        <f t="shared" si="25"/>
        <v>9338.246700011452</v>
      </c>
      <c r="CU48" s="2217">
        <f t="shared" si="16"/>
        <v>42.937500000070941</v>
      </c>
      <c r="CV48" s="2212">
        <v>287</v>
      </c>
      <c r="CW48" s="2208"/>
      <c r="CX48" s="2231">
        <v>24.4</v>
      </c>
      <c r="CY48" s="2217" t="e">
        <f>#REF!-CX48</f>
        <v>#REF!</v>
      </c>
      <c r="CZ48" s="2212">
        <v>44</v>
      </c>
      <c r="DA48" s="2212">
        <v>4749</v>
      </c>
      <c r="DB48" s="2212" t="e">
        <f>DA48-#REF!</f>
        <v>#REF!</v>
      </c>
      <c r="DC48" s="1848"/>
      <c r="DD48" s="2208"/>
    </row>
    <row r="49" spans="1:108">
      <c r="A49" s="2217">
        <f t="shared" si="26"/>
        <v>-17.099841187604579</v>
      </c>
      <c r="B49" s="2217">
        <f t="shared" si="17"/>
        <v>8723.835489460962</v>
      </c>
      <c r="C49" s="2217">
        <f t="shared" si="18"/>
        <v>-5.0433401631344168</v>
      </c>
      <c r="D49" s="2212">
        <v>286</v>
      </c>
      <c r="E49" s="263"/>
      <c r="F49" s="2231">
        <v>21.1</v>
      </c>
      <c r="G49" s="2230">
        <f t="shared" si="36"/>
        <v>2.0999999999999979</v>
      </c>
      <c r="H49" s="2212">
        <v>105</v>
      </c>
      <c r="I49" s="2212">
        <v>7570</v>
      </c>
      <c r="J49" s="2212">
        <f t="shared" si="61"/>
        <v>197</v>
      </c>
      <c r="K49" s="1855">
        <f t="shared" si="62"/>
        <v>1.2392275272063925E-2</v>
      </c>
      <c r="L49" s="2213"/>
      <c r="M49" s="2217">
        <f t="shared" si="27"/>
        <v>-17.45287499902399</v>
      </c>
      <c r="N49" s="2217">
        <f t="shared" si="9"/>
        <v>8723.835489460962</v>
      </c>
      <c r="O49" s="2217">
        <f t="shared" si="19"/>
        <v>-5.0433401631344168</v>
      </c>
      <c r="P49" s="2212">
        <v>286</v>
      </c>
      <c r="Q49" s="2219"/>
      <c r="R49" s="2213"/>
      <c r="S49" s="2219"/>
      <c r="T49" s="2213"/>
      <c r="U49" s="2213"/>
      <c r="V49" s="2213"/>
      <c r="W49" s="2213"/>
      <c r="X49" s="2213"/>
      <c r="Y49" s="2217">
        <f t="shared" si="28"/>
        <v>-17.906775613706088</v>
      </c>
      <c r="Z49" s="2217">
        <f t="shared" si="10"/>
        <v>8723.835489460962</v>
      </c>
      <c r="AA49" s="2217">
        <f t="shared" si="20"/>
        <v>-5.0433401631344168</v>
      </c>
      <c r="AB49" s="2212">
        <v>286</v>
      </c>
      <c r="AC49" s="2219"/>
      <c r="AD49" s="2213"/>
      <c r="AE49" s="2219"/>
      <c r="AF49" s="2213"/>
      <c r="AG49" s="2213"/>
      <c r="AH49" s="2213"/>
      <c r="AI49" s="2213"/>
      <c r="AJ49" s="2213"/>
      <c r="AK49" s="2217">
        <f t="shared" si="29"/>
        <v>-15.738139343558288</v>
      </c>
      <c r="AL49" s="2217">
        <f t="shared" si="11"/>
        <v>8723.835489460962</v>
      </c>
      <c r="AM49" s="2217">
        <f t="shared" si="21"/>
        <v>-5.0433401631344168</v>
      </c>
      <c r="AN49" s="2212">
        <v>286</v>
      </c>
      <c r="AO49" s="2219"/>
      <c r="AP49" s="2213"/>
      <c r="AQ49" s="2219"/>
      <c r="AR49" s="2213"/>
      <c r="AS49" s="2213"/>
      <c r="AT49" s="2213"/>
      <c r="AU49" s="2213"/>
      <c r="AV49" s="2213"/>
      <c r="AW49" s="2217">
        <f t="shared" si="30"/>
        <v>33.677602000070479</v>
      </c>
      <c r="AX49" s="2217">
        <f t="shared" si="31"/>
        <v>9295.3092000113811</v>
      </c>
      <c r="AY49" s="2217">
        <f t="shared" si="12"/>
        <v>42.431700000066485</v>
      </c>
      <c r="AZ49" s="2212">
        <v>286</v>
      </c>
      <c r="BA49" s="2208"/>
      <c r="BB49" s="263"/>
      <c r="BC49" s="2208"/>
      <c r="BD49" s="263"/>
      <c r="BE49" s="263"/>
      <c r="BF49" s="263"/>
      <c r="BG49" s="263"/>
      <c r="BH49" s="2208"/>
      <c r="BI49" s="2217">
        <f t="shared" si="32"/>
        <v>46.831429000091092</v>
      </c>
      <c r="BJ49" s="2217">
        <f t="shared" si="22"/>
        <v>9295.3092000113811</v>
      </c>
      <c r="BK49" s="2217">
        <f t="shared" si="13"/>
        <v>42.431700000066485</v>
      </c>
      <c r="BL49" s="2212">
        <v>286</v>
      </c>
      <c r="BM49" s="2208"/>
      <c r="BN49" s="263"/>
      <c r="BO49" s="2208"/>
      <c r="BP49" s="263"/>
      <c r="BQ49" s="263"/>
      <c r="BR49" s="263"/>
      <c r="BS49" s="263"/>
      <c r="BT49" s="2208"/>
      <c r="BU49" s="2217">
        <f t="shared" si="33"/>
        <v>-15.738139343558288</v>
      </c>
      <c r="BV49" s="2217">
        <f t="shared" si="14"/>
        <v>8723.835489460962</v>
      </c>
      <c r="BW49" s="2217">
        <f t="shared" si="23"/>
        <v>-5.0433401631344168</v>
      </c>
      <c r="BX49" s="2212">
        <v>286</v>
      </c>
      <c r="BY49" s="2219"/>
      <c r="BZ49" s="2213"/>
      <c r="CA49" s="2219"/>
      <c r="CB49" s="2213"/>
      <c r="CC49" s="2213"/>
      <c r="CD49" s="2213"/>
      <c r="CE49" s="2213"/>
      <c r="CF49" s="2208"/>
      <c r="CG49" s="2217">
        <f t="shared" si="34"/>
        <v>-16.343340163134418</v>
      </c>
      <c r="CH49" s="2217">
        <f t="shared" si="15"/>
        <v>8723.835489460962</v>
      </c>
      <c r="CI49" s="2217">
        <f t="shared" si="24"/>
        <v>-5.0433401631344168</v>
      </c>
      <c r="CJ49" s="2212">
        <v>286</v>
      </c>
      <c r="CK49" s="2219"/>
      <c r="CL49" s="2213"/>
      <c r="CM49" s="2219"/>
      <c r="CN49" s="2213"/>
      <c r="CO49" s="2213"/>
      <c r="CP49" s="2213"/>
      <c r="CQ49" s="2213"/>
      <c r="CR49" s="2208"/>
      <c r="CS49" s="2217">
        <f t="shared" si="35"/>
        <v>45.982795000089752</v>
      </c>
      <c r="CT49" s="2217">
        <f t="shared" si="25"/>
        <v>9295.3092000113811</v>
      </c>
      <c r="CU49" s="2217">
        <f t="shared" si="16"/>
        <v>42.431700000066485</v>
      </c>
      <c r="CV49" s="2212">
        <v>286</v>
      </c>
      <c r="CW49" s="2208"/>
      <c r="CX49" s="263"/>
      <c r="CY49" s="2208"/>
      <c r="CZ49" s="263"/>
      <c r="DA49" s="263"/>
      <c r="DB49" s="263"/>
      <c r="DC49" s="263"/>
      <c r="DD49" s="2208"/>
    </row>
    <row r="50" spans="1:108">
      <c r="A50" s="2217">
        <f t="shared" si="26"/>
        <v>-17.040967233122682</v>
      </c>
      <c r="B50" s="2217">
        <f t="shared" si="17"/>
        <v>8728.8788296240964</v>
      </c>
      <c r="C50" s="2217">
        <f t="shared" si="18"/>
        <v>-4.9921454201066808</v>
      </c>
      <c r="D50" s="2212">
        <v>285</v>
      </c>
      <c r="E50" s="2219"/>
      <c r="F50" s="2231">
        <v>23.2</v>
      </c>
      <c r="G50" s="2217" t="e">
        <f>#REF!-F50</f>
        <v>#REF!</v>
      </c>
      <c r="H50" s="2212">
        <v>96</v>
      </c>
      <c r="I50" s="2212">
        <v>7373</v>
      </c>
      <c r="J50" s="2212" t="e">
        <f>I50-#REF!</f>
        <v>#REF!</v>
      </c>
      <c r="K50" s="1848"/>
      <c r="L50" s="2213"/>
      <c r="M50" s="2217">
        <f t="shared" si="27"/>
        <v>-17.390417412530152</v>
      </c>
      <c r="N50" s="2217">
        <f t="shared" si="9"/>
        <v>8728.8788296240964</v>
      </c>
      <c r="O50" s="2217">
        <f t="shared" si="19"/>
        <v>-4.9921454201066808</v>
      </c>
      <c r="P50" s="2212">
        <v>285</v>
      </c>
      <c r="Q50" s="2219"/>
      <c r="R50" s="2213"/>
      <c r="S50" s="2219"/>
      <c r="T50" s="2213"/>
      <c r="U50" s="2213"/>
      <c r="V50" s="2213"/>
      <c r="W50" s="2213"/>
      <c r="X50" s="2213"/>
      <c r="Y50" s="2217">
        <f t="shared" si="28"/>
        <v>-17.839710500339752</v>
      </c>
      <c r="Z50" s="2217">
        <f t="shared" si="10"/>
        <v>8728.8788296240964</v>
      </c>
      <c r="AA50" s="2217">
        <f t="shared" si="20"/>
        <v>-4.9921454201066808</v>
      </c>
      <c r="AB50" s="2212">
        <v>285</v>
      </c>
      <c r="AC50" s="2219"/>
      <c r="AD50" s="2213"/>
      <c r="AE50" s="2219"/>
      <c r="AF50" s="2213"/>
      <c r="AG50" s="2213"/>
      <c r="AH50" s="2213"/>
      <c r="AI50" s="2213"/>
      <c r="AJ50" s="2213"/>
      <c r="AK50" s="2217">
        <f t="shared" si="29"/>
        <v>-15.693087969693879</v>
      </c>
      <c r="AL50" s="2217">
        <f t="shared" si="11"/>
        <v>8728.8788296240964</v>
      </c>
      <c r="AM50" s="2217">
        <f t="shared" si="21"/>
        <v>-4.9921454201066808</v>
      </c>
      <c r="AN50" s="2212">
        <v>285</v>
      </c>
      <c r="AO50" s="2219"/>
      <c r="AP50" s="2213"/>
      <c r="AQ50" s="2219"/>
      <c r="AR50" s="2213"/>
      <c r="AS50" s="2213"/>
      <c r="AT50" s="2213"/>
      <c r="AU50" s="2213"/>
      <c r="AV50" s="2213"/>
      <c r="AW50" s="2217">
        <f t="shared" si="30"/>
        <v>33.145270000075399</v>
      </c>
      <c r="AX50" s="2217">
        <f t="shared" si="31"/>
        <v>9252.8775000113146</v>
      </c>
      <c r="AY50" s="2217">
        <f t="shared" si="12"/>
        <v>41.92950000007113</v>
      </c>
      <c r="AZ50" s="2212">
        <v>285</v>
      </c>
      <c r="BA50" s="2208"/>
      <c r="BB50" s="263"/>
      <c r="BC50" s="2208"/>
      <c r="BD50" s="263"/>
      <c r="BE50" s="263"/>
      <c r="BF50" s="263"/>
      <c r="BG50" s="263"/>
      <c r="BH50" s="2208"/>
      <c r="BI50" s="2217">
        <f t="shared" si="32"/>
        <v>46.143415000097448</v>
      </c>
      <c r="BJ50" s="2217">
        <f t="shared" si="22"/>
        <v>9252.8775000113146</v>
      </c>
      <c r="BK50" s="2217">
        <f t="shared" si="13"/>
        <v>41.92950000007113</v>
      </c>
      <c r="BL50" s="2212">
        <v>285</v>
      </c>
      <c r="BM50" s="2208"/>
      <c r="BN50" s="263"/>
      <c r="BO50" s="2208"/>
      <c r="BP50" s="263"/>
      <c r="BQ50" s="263"/>
      <c r="BR50" s="263"/>
      <c r="BS50" s="263"/>
      <c r="BT50" s="2208"/>
      <c r="BU50" s="2217">
        <f t="shared" si="33"/>
        <v>-15.693087969693879</v>
      </c>
      <c r="BV50" s="2217">
        <f t="shared" si="14"/>
        <v>8728.8788296240964</v>
      </c>
      <c r="BW50" s="2217">
        <f t="shared" si="23"/>
        <v>-4.9921454201066808</v>
      </c>
      <c r="BX50" s="2212">
        <v>285</v>
      </c>
      <c r="BY50" s="2219"/>
      <c r="BZ50" s="2213"/>
      <c r="CA50" s="2219"/>
      <c r="CB50" s="2213"/>
      <c r="CC50" s="2213"/>
      <c r="CD50" s="2213"/>
      <c r="CE50" s="2213"/>
      <c r="CF50" s="2208"/>
      <c r="CG50" s="2217">
        <f t="shared" si="34"/>
        <v>-16.292145420106682</v>
      </c>
      <c r="CH50" s="2217">
        <f t="shared" si="15"/>
        <v>8728.8788296240964</v>
      </c>
      <c r="CI50" s="2217">
        <f t="shared" si="24"/>
        <v>-4.9921454201066808</v>
      </c>
      <c r="CJ50" s="2212">
        <v>285</v>
      </c>
      <c r="CK50" s="2219"/>
      <c r="CL50" s="2213"/>
      <c r="CM50" s="2219"/>
      <c r="CN50" s="2213"/>
      <c r="CO50" s="2213"/>
      <c r="CP50" s="2213"/>
      <c r="CQ50" s="2213"/>
      <c r="CR50" s="2208"/>
      <c r="CS50" s="2217">
        <f t="shared" si="35"/>
        <v>45.304825000096031</v>
      </c>
      <c r="CT50" s="2217">
        <f t="shared" si="25"/>
        <v>9252.8775000113146</v>
      </c>
      <c r="CU50" s="2217">
        <f t="shared" si="16"/>
        <v>41.92950000007113</v>
      </c>
      <c r="CV50" s="2212">
        <v>285</v>
      </c>
      <c r="CW50" s="2208"/>
      <c r="CX50" s="263"/>
      <c r="CY50" s="2208"/>
      <c r="CZ50" s="263"/>
      <c r="DA50" s="263"/>
      <c r="DB50" s="263"/>
      <c r="DC50" s="263"/>
      <c r="DD50" s="2208"/>
    </row>
    <row r="51" spans="1:108">
      <c r="A51" s="2217">
        <f t="shared" si="26"/>
        <v>-16.980780374540881</v>
      </c>
      <c r="B51" s="2217">
        <f t="shared" si="17"/>
        <v>8733.8709750442031</v>
      </c>
      <c r="C51" s="2217">
        <f t="shared" si="18"/>
        <v>-4.9398090213398973</v>
      </c>
      <c r="D51" s="2212">
        <v>284</v>
      </c>
      <c r="E51" s="2219"/>
      <c r="F51" s="2213"/>
      <c r="G51" s="2219"/>
      <c r="H51" s="2213"/>
      <c r="I51" s="2213"/>
      <c r="J51" s="2213"/>
      <c r="K51" s="2213"/>
      <c r="L51" s="2213"/>
      <c r="M51" s="2217">
        <f t="shared" si="27"/>
        <v>-17.326567006034676</v>
      </c>
      <c r="N51" s="2217">
        <f t="shared" si="9"/>
        <v>8733.8709750442031</v>
      </c>
      <c r="O51" s="2217">
        <f t="shared" si="19"/>
        <v>-4.9398090213398973</v>
      </c>
      <c r="P51" s="2212">
        <v>284</v>
      </c>
      <c r="Q51" s="2219"/>
      <c r="R51" s="2213"/>
      <c r="S51" s="2219"/>
      <c r="T51" s="2213"/>
      <c r="U51" s="2213"/>
      <c r="V51" s="2213"/>
      <c r="W51" s="2213"/>
      <c r="X51" s="2213"/>
      <c r="Y51" s="2217">
        <f t="shared" si="28"/>
        <v>-17.771149817955266</v>
      </c>
      <c r="Z51" s="2217">
        <f t="shared" si="10"/>
        <v>8733.8709750442031</v>
      </c>
      <c r="AA51" s="2217">
        <f t="shared" si="20"/>
        <v>-4.9398090213398973</v>
      </c>
      <c r="AB51" s="2212">
        <v>284</v>
      </c>
      <c r="AC51" s="2219"/>
      <c r="AD51" s="2213"/>
      <c r="AE51" s="2219"/>
      <c r="AF51" s="2213"/>
      <c r="AG51" s="2213"/>
      <c r="AH51" s="2213"/>
      <c r="AI51" s="2213"/>
      <c r="AJ51" s="2213"/>
      <c r="AK51" s="2217">
        <f t="shared" si="29"/>
        <v>-15.64703193877911</v>
      </c>
      <c r="AL51" s="2217">
        <f t="shared" si="11"/>
        <v>8733.8709750442031</v>
      </c>
      <c r="AM51" s="2217">
        <f t="shared" si="21"/>
        <v>-4.9398090213398973</v>
      </c>
      <c r="AN51" s="2212">
        <v>284</v>
      </c>
      <c r="AO51" s="2219"/>
      <c r="AP51" s="2213"/>
      <c r="AQ51" s="2219"/>
      <c r="AR51" s="2213"/>
      <c r="AS51" s="2213"/>
      <c r="AT51" s="2213"/>
      <c r="AU51" s="2213"/>
      <c r="AV51" s="2213"/>
      <c r="AW51" s="2217">
        <f t="shared" si="30"/>
        <v>32.616754000072618</v>
      </c>
      <c r="AX51" s="2217">
        <f t="shared" si="31"/>
        <v>9210.9480000112435</v>
      </c>
      <c r="AY51" s="2217">
        <f t="shared" si="12"/>
        <v>41.430900000068505</v>
      </c>
      <c r="AZ51" s="2212">
        <v>284</v>
      </c>
      <c r="BA51" s="2208"/>
      <c r="BB51" s="263"/>
      <c r="BC51" s="2208"/>
      <c r="BD51" s="263"/>
      <c r="BE51" s="263"/>
      <c r="BF51" s="263"/>
      <c r="BG51" s="263"/>
      <c r="BH51" s="2208"/>
      <c r="BI51" s="2217">
        <f t="shared" si="32"/>
        <v>45.460333000093854</v>
      </c>
      <c r="BJ51" s="2217">
        <f t="shared" si="22"/>
        <v>9210.9480000112435</v>
      </c>
      <c r="BK51" s="2217">
        <f t="shared" si="13"/>
        <v>41.430900000068505</v>
      </c>
      <c r="BL51" s="2212">
        <v>284</v>
      </c>
      <c r="BM51" s="2208"/>
      <c r="BN51" s="263"/>
      <c r="BO51" s="2208"/>
      <c r="BP51" s="263"/>
      <c r="BQ51" s="263"/>
      <c r="BR51" s="263"/>
      <c r="BS51" s="263"/>
      <c r="BT51" s="2208"/>
      <c r="BU51" s="2217">
        <f t="shared" si="33"/>
        <v>-15.64703193877911</v>
      </c>
      <c r="BV51" s="2217">
        <f t="shared" si="14"/>
        <v>8733.8709750442031</v>
      </c>
      <c r="BW51" s="2217">
        <f t="shared" si="23"/>
        <v>-4.9398090213398973</v>
      </c>
      <c r="BX51" s="2212">
        <v>284</v>
      </c>
      <c r="BY51" s="2219"/>
      <c r="BZ51" s="2213"/>
      <c r="CA51" s="2219"/>
      <c r="CB51" s="2213"/>
      <c r="CC51" s="2213"/>
      <c r="CD51" s="2213"/>
      <c r="CE51" s="2213"/>
      <c r="CF51" s="2208"/>
      <c r="CG51" s="2217">
        <f t="shared" si="34"/>
        <v>-16.239809021339898</v>
      </c>
      <c r="CH51" s="2217">
        <f t="shared" si="15"/>
        <v>8733.8709750442031</v>
      </c>
      <c r="CI51" s="2217">
        <f t="shared" si="24"/>
        <v>-4.9398090213398973</v>
      </c>
      <c r="CJ51" s="2212">
        <v>284</v>
      </c>
      <c r="CK51" s="2219"/>
      <c r="CL51" s="2213"/>
      <c r="CM51" s="2219"/>
      <c r="CN51" s="2213"/>
      <c r="CO51" s="2213"/>
      <c r="CP51" s="2213"/>
      <c r="CQ51" s="2213"/>
      <c r="CR51" s="2208"/>
      <c r="CS51" s="2217">
        <f t="shared" si="35"/>
        <v>44.631715000092484</v>
      </c>
      <c r="CT51" s="2217">
        <f t="shared" si="25"/>
        <v>9210.9480000112435</v>
      </c>
      <c r="CU51" s="2217">
        <f t="shared" si="16"/>
        <v>41.430900000068505</v>
      </c>
      <c r="CV51" s="2212">
        <v>284</v>
      </c>
      <c r="CW51" s="2208"/>
      <c r="CX51" s="263"/>
      <c r="CY51" s="2208"/>
      <c r="CZ51" s="263"/>
      <c r="DA51" s="263"/>
      <c r="DB51" s="263"/>
      <c r="DC51" s="263"/>
      <c r="DD51" s="2208"/>
    </row>
    <row r="52" spans="1:108">
      <c r="A52" s="2217">
        <f t="shared" si="26"/>
        <v>-16.919280611869635</v>
      </c>
      <c r="B52" s="2217">
        <f t="shared" si="17"/>
        <v>8738.810784065543</v>
      </c>
      <c r="C52" s="2217">
        <f t="shared" si="18"/>
        <v>-4.8863309668431611</v>
      </c>
      <c r="D52" s="2212">
        <v>283</v>
      </c>
      <c r="E52" s="2219"/>
      <c r="F52" s="2213"/>
      <c r="G52" s="2219"/>
      <c r="H52" s="263"/>
      <c r="I52" s="2213"/>
      <c r="J52" s="2213"/>
      <c r="K52" s="2213"/>
      <c r="L52" s="2213"/>
      <c r="M52" s="2217">
        <f t="shared" si="27"/>
        <v>-17.261323779548658</v>
      </c>
      <c r="N52" s="2217">
        <f t="shared" si="9"/>
        <v>8738.810784065543</v>
      </c>
      <c r="O52" s="2217">
        <f t="shared" si="19"/>
        <v>-4.8863309668431611</v>
      </c>
      <c r="P52" s="2212">
        <v>283</v>
      </c>
      <c r="Q52" s="2219"/>
      <c r="R52" s="2213"/>
      <c r="S52" s="2219"/>
      <c r="T52" s="2213"/>
      <c r="U52" s="2213"/>
      <c r="V52" s="2213"/>
      <c r="W52" s="2213"/>
      <c r="X52" s="2213"/>
      <c r="Y52" s="2217">
        <f t="shared" si="28"/>
        <v>-17.701093566564541</v>
      </c>
      <c r="Z52" s="2217">
        <f t="shared" si="10"/>
        <v>8738.810784065543</v>
      </c>
      <c r="AA52" s="2217">
        <f t="shared" si="20"/>
        <v>-4.8863309668431611</v>
      </c>
      <c r="AB52" s="2212">
        <v>283</v>
      </c>
      <c r="AC52" s="2219"/>
      <c r="AD52" s="2213"/>
      <c r="AE52" s="2219"/>
      <c r="AF52" s="2213"/>
      <c r="AG52" s="2213"/>
      <c r="AH52" s="2213"/>
      <c r="AI52" s="2213"/>
      <c r="AJ52" s="2213"/>
      <c r="AK52" s="2217">
        <f t="shared" si="29"/>
        <v>-15.599971250821982</v>
      </c>
      <c r="AL52" s="2217">
        <f t="shared" si="11"/>
        <v>8738.810784065543</v>
      </c>
      <c r="AM52" s="2217">
        <f t="shared" si="21"/>
        <v>-4.8863309668431611</v>
      </c>
      <c r="AN52" s="2212">
        <v>283</v>
      </c>
      <c r="AO52" s="2219"/>
      <c r="AP52" s="2213"/>
      <c r="AQ52" s="2219"/>
      <c r="AR52" s="2213"/>
      <c r="AS52" s="2213"/>
      <c r="AT52" s="2213"/>
      <c r="AU52" s="2213"/>
      <c r="AV52" s="2213"/>
      <c r="AW52" s="2217">
        <f t="shared" si="30"/>
        <v>32.092054000073702</v>
      </c>
      <c r="AX52" s="2217">
        <f t="shared" si="31"/>
        <v>9169.517100011175</v>
      </c>
      <c r="AY52" s="2217">
        <f t="shared" si="12"/>
        <v>40.935900000069523</v>
      </c>
      <c r="AZ52" s="2212">
        <v>283</v>
      </c>
      <c r="BA52" s="2208"/>
      <c r="BB52" s="263"/>
      <c r="BC52" s="2208"/>
      <c r="BD52" s="263"/>
      <c r="BE52" s="263"/>
      <c r="BF52" s="263"/>
      <c r="BG52" s="263"/>
      <c r="BH52" s="2208"/>
      <c r="BI52" s="2217">
        <f t="shared" si="32"/>
        <v>44.782183000095245</v>
      </c>
      <c r="BJ52" s="2217">
        <f t="shared" si="22"/>
        <v>9169.517100011175</v>
      </c>
      <c r="BK52" s="2217">
        <f t="shared" si="13"/>
        <v>40.935900000069523</v>
      </c>
      <c r="BL52" s="2212">
        <v>283</v>
      </c>
      <c r="BM52" s="2208"/>
      <c r="BN52" s="263"/>
      <c r="BO52" s="2208"/>
      <c r="BP52" s="263"/>
      <c r="BQ52" s="263"/>
      <c r="BR52" s="263"/>
      <c r="BS52" s="263"/>
      <c r="BT52" s="2208"/>
      <c r="BU52" s="2217">
        <f t="shared" si="33"/>
        <v>-15.599971250821982</v>
      </c>
      <c r="BV52" s="2217">
        <f t="shared" si="14"/>
        <v>8738.810784065543</v>
      </c>
      <c r="BW52" s="2217">
        <f t="shared" si="23"/>
        <v>-4.8863309668431611</v>
      </c>
      <c r="BX52" s="2212">
        <v>283</v>
      </c>
      <c r="BY52" s="2219"/>
      <c r="BZ52" s="2213"/>
      <c r="CA52" s="2219"/>
      <c r="CB52" s="2213"/>
      <c r="CC52" s="2213"/>
      <c r="CD52" s="2213"/>
      <c r="CE52" s="2213"/>
      <c r="CF52" s="2208"/>
      <c r="CG52" s="2217">
        <f t="shared" si="34"/>
        <v>-16.186330966843162</v>
      </c>
      <c r="CH52" s="2217">
        <f t="shared" si="15"/>
        <v>8738.810784065543</v>
      </c>
      <c r="CI52" s="2217">
        <f t="shared" si="24"/>
        <v>-4.8863309668431611</v>
      </c>
      <c r="CJ52" s="2212">
        <v>283</v>
      </c>
      <c r="CK52" s="2219"/>
      <c r="CL52" s="2213"/>
      <c r="CM52" s="2219"/>
      <c r="CN52" s="2213"/>
      <c r="CO52" s="2213"/>
      <c r="CP52" s="2213"/>
      <c r="CQ52" s="2213"/>
      <c r="CR52" s="2208"/>
      <c r="CS52" s="2217">
        <f t="shared" si="35"/>
        <v>43.963465000093862</v>
      </c>
      <c r="CT52" s="2217">
        <f t="shared" si="25"/>
        <v>9169.517100011175</v>
      </c>
      <c r="CU52" s="2217">
        <f t="shared" si="16"/>
        <v>40.935900000069523</v>
      </c>
      <c r="CV52" s="2212">
        <v>283</v>
      </c>
      <c r="CW52" s="2208"/>
      <c r="CX52" s="263"/>
      <c r="CY52" s="2208"/>
      <c r="CZ52" s="263"/>
      <c r="DA52" s="263"/>
      <c r="DB52" s="263"/>
      <c r="DC52" s="263"/>
      <c r="DD52" s="2208"/>
    </row>
    <row r="53" spans="1:108">
      <c r="A53" s="2217">
        <f t="shared" si="26"/>
        <v>-16.856467945094302</v>
      </c>
      <c r="B53" s="2217">
        <f t="shared" si="17"/>
        <v>8743.6971150323861</v>
      </c>
      <c r="C53" s="2217">
        <f t="shared" si="18"/>
        <v>-4.8317112566037395</v>
      </c>
      <c r="D53" s="2212">
        <v>282</v>
      </c>
      <c r="E53" s="2219"/>
      <c r="F53" s="2213"/>
      <c r="G53" s="2219"/>
      <c r="H53" s="263"/>
      <c r="I53" s="2213"/>
      <c r="J53" s="2213"/>
      <c r="K53" s="2213"/>
      <c r="L53" s="2213"/>
      <c r="M53" s="2217">
        <f t="shared" si="27"/>
        <v>-17.194687733056561</v>
      </c>
      <c r="N53" s="2217">
        <f t="shared" si="9"/>
        <v>8743.6971150323861</v>
      </c>
      <c r="O53" s="2217">
        <f t="shared" si="19"/>
        <v>-4.8317112566037395</v>
      </c>
      <c r="P53" s="2212">
        <v>282</v>
      </c>
      <c r="Q53" s="2219"/>
      <c r="R53" s="2213"/>
      <c r="S53" s="2219"/>
      <c r="T53" s="2213"/>
      <c r="U53" s="2213"/>
      <c r="V53" s="2213"/>
      <c r="W53" s="2213"/>
      <c r="X53" s="2213"/>
      <c r="Y53" s="2217">
        <f t="shared" si="28"/>
        <v>-17.629541746150899</v>
      </c>
      <c r="Z53" s="2217">
        <f t="shared" si="10"/>
        <v>8743.6971150323861</v>
      </c>
      <c r="AA53" s="2217">
        <f t="shared" si="20"/>
        <v>-4.8317112566037395</v>
      </c>
      <c r="AB53" s="2212">
        <v>282</v>
      </c>
      <c r="AC53" s="2219"/>
      <c r="AD53" s="2213"/>
      <c r="AE53" s="2219"/>
      <c r="AF53" s="2213"/>
      <c r="AG53" s="2213"/>
      <c r="AH53" s="2213"/>
      <c r="AI53" s="2213"/>
      <c r="AJ53" s="2213"/>
      <c r="AK53" s="2217">
        <f t="shared" si="29"/>
        <v>-15.551905905811291</v>
      </c>
      <c r="AL53" s="2217">
        <f t="shared" si="11"/>
        <v>8743.6971150323861</v>
      </c>
      <c r="AM53" s="2217">
        <f t="shared" si="21"/>
        <v>-4.8317112566037395</v>
      </c>
      <c r="AN53" s="2212">
        <v>282</v>
      </c>
      <c r="AO53" s="2219"/>
      <c r="AP53" s="2213"/>
      <c r="AQ53" s="2219"/>
      <c r="AR53" s="2213"/>
      <c r="AS53" s="2213"/>
      <c r="AT53" s="2213"/>
      <c r="AU53" s="2213"/>
      <c r="AV53" s="2213"/>
      <c r="AW53" s="2217">
        <f t="shared" si="30"/>
        <v>31.571170000078641</v>
      </c>
      <c r="AX53" s="2217">
        <f t="shared" si="31"/>
        <v>9128.5812000111055</v>
      </c>
      <c r="AY53" s="2217">
        <f t="shared" si="12"/>
        <v>40.444500000074186</v>
      </c>
      <c r="AZ53" s="2212">
        <v>282</v>
      </c>
      <c r="BA53" s="2208"/>
      <c r="BB53" s="263"/>
      <c r="BC53" s="2208"/>
      <c r="BD53" s="263"/>
      <c r="BE53" s="263"/>
      <c r="BF53" s="263"/>
      <c r="BG53" s="263"/>
      <c r="BH53" s="2208"/>
      <c r="BI53" s="2217">
        <f t="shared" si="32"/>
        <v>44.108965000101634</v>
      </c>
      <c r="BJ53" s="2217">
        <f t="shared" si="22"/>
        <v>9128.5812000111055</v>
      </c>
      <c r="BK53" s="2217">
        <f t="shared" si="13"/>
        <v>40.444500000074186</v>
      </c>
      <c r="BL53" s="2212">
        <v>282</v>
      </c>
      <c r="BM53" s="2208"/>
      <c r="BN53" s="263"/>
      <c r="BO53" s="2208"/>
      <c r="BP53" s="263"/>
      <c r="BQ53" s="263"/>
      <c r="BR53" s="263"/>
      <c r="BS53" s="263"/>
      <c r="BT53" s="2208"/>
      <c r="BU53" s="2217">
        <f t="shared" si="33"/>
        <v>-15.551905905811291</v>
      </c>
      <c r="BV53" s="2217">
        <f t="shared" si="14"/>
        <v>8743.6971150323861</v>
      </c>
      <c r="BW53" s="2217">
        <f t="shared" si="23"/>
        <v>-4.8317112566037395</v>
      </c>
      <c r="BX53" s="2212">
        <v>282</v>
      </c>
      <c r="BY53" s="2219"/>
      <c r="BZ53" s="2213"/>
      <c r="CA53" s="2219"/>
      <c r="CB53" s="2213"/>
      <c r="CC53" s="2213"/>
      <c r="CD53" s="2213"/>
      <c r="CE53" s="2213"/>
      <c r="CF53" s="2208"/>
      <c r="CG53" s="2217">
        <f t="shared" si="34"/>
        <v>-16.13171125660374</v>
      </c>
      <c r="CH53" s="2217">
        <f t="shared" si="15"/>
        <v>8743.6971150323861</v>
      </c>
      <c r="CI53" s="2217">
        <f t="shared" si="24"/>
        <v>-4.8317112566037395</v>
      </c>
      <c r="CJ53" s="2212">
        <v>282</v>
      </c>
      <c r="CK53" s="2219"/>
      <c r="CL53" s="2213"/>
      <c r="CM53" s="2219"/>
      <c r="CN53" s="2213"/>
      <c r="CO53" s="2213"/>
      <c r="CP53" s="2213"/>
      <c r="CQ53" s="2213"/>
      <c r="CR53" s="2208"/>
      <c r="CS53" s="2217">
        <f t="shared" si="35"/>
        <v>43.300075000100151</v>
      </c>
      <c r="CT53" s="2217">
        <f t="shared" si="25"/>
        <v>9128.5812000111055</v>
      </c>
      <c r="CU53" s="2217">
        <f t="shared" si="16"/>
        <v>40.444500000074186</v>
      </c>
      <c r="CV53" s="2212">
        <v>282</v>
      </c>
      <c r="CW53" s="2208"/>
      <c r="CX53" s="263"/>
      <c r="CY53" s="2208"/>
      <c r="CZ53" s="263"/>
      <c r="DA53" s="263"/>
      <c r="DB53" s="263"/>
      <c r="DC53" s="263"/>
      <c r="DD53" s="2208"/>
    </row>
    <row r="54" spans="1:108">
      <c r="A54" s="2217">
        <f t="shared" si="26"/>
        <v>-16.792342374233705</v>
      </c>
      <c r="B54" s="2217">
        <f t="shared" si="17"/>
        <v>8748.5288262889899</v>
      </c>
      <c r="C54" s="2217">
        <f t="shared" si="18"/>
        <v>-4.7759498906380031</v>
      </c>
      <c r="D54" s="2212">
        <v>281</v>
      </c>
      <c r="E54" s="2219"/>
      <c r="F54" s="2213"/>
      <c r="G54" s="2219"/>
      <c r="H54" s="263"/>
      <c r="I54" s="2213"/>
      <c r="J54" s="2213"/>
      <c r="K54" s="2213"/>
      <c r="L54" s="2213"/>
      <c r="M54" s="2217">
        <f t="shared" si="27"/>
        <v>-17.126658866578364</v>
      </c>
      <c r="N54" s="2217">
        <f t="shared" si="9"/>
        <v>8748.5288262889899</v>
      </c>
      <c r="O54" s="2217">
        <f t="shared" si="19"/>
        <v>-4.7759498906380031</v>
      </c>
      <c r="P54" s="2212">
        <v>281</v>
      </c>
      <c r="Q54" s="2219"/>
      <c r="R54" s="2213"/>
      <c r="S54" s="2219"/>
      <c r="T54" s="2213"/>
      <c r="U54" s="2213"/>
      <c r="V54" s="2213"/>
      <c r="W54" s="2213"/>
      <c r="X54" s="2213"/>
      <c r="Y54" s="2217">
        <f t="shared" si="28"/>
        <v>-17.556494356735783</v>
      </c>
      <c r="Z54" s="2217">
        <f t="shared" si="10"/>
        <v>8748.5288262889899</v>
      </c>
      <c r="AA54" s="2217">
        <f t="shared" si="20"/>
        <v>-4.7759498906380031</v>
      </c>
      <c r="AB54" s="2212">
        <v>281</v>
      </c>
      <c r="AC54" s="2219"/>
      <c r="AD54" s="2213"/>
      <c r="AE54" s="2219"/>
      <c r="AF54" s="2213"/>
      <c r="AG54" s="2213"/>
      <c r="AH54" s="2213"/>
      <c r="AI54" s="2213"/>
      <c r="AJ54" s="2213"/>
      <c r="AK54" s="2217">
        <f t="shared" si="29"/>
        <v>-15.502835903761444</v>
      </c>
      <c r="AL54" s="2217">
        <f t="shared" si="11"/>
        <v>8748.5288262889899</v>
      </c>
      <c r="AM54" s="2217">
        <f t="shared" si="21"/>
        <v>-4.7759498906380031</v>
      </c>
      <c r="AN54" s="2212">
        <v>281</v>
      </c>
      <c r="AO54" s="2219"/>
      <c r="AP54" s="2213"/>
      <c r="AQ54" s="2219"/>
      <c r="AR54" s="2213"/>
      <c r="AS54" s="2213"/>
      <c r="AT54" s="2213"/>
      <c r="AU54" s="2213"/>
      <c r="AV54" s="2213"/>
      <c r="AW54" s="2217">
        <f t="shared" si="30"/>
        <v>31.054102000070092</v>
      </c>
      <c r="AX54" s="2217">
        <f t="shared" si="31"/>
        <v>9088.1367000110313</v>
      </c>
      <c r="AY54" s="2217">
        <f t="shared" si="12"/>
        <v>39.956700000066121</v>
      </c>
      <c r="AZ54" s="2212">
        <v>281</v>
      </c>
      <c r="BA54" s="2208"/>
      <c r="BB54" s="263"/>
      <c r="BC54" s="2208"/>
      <c r="BD54" s="263"/>
      <c r="BE54" s="263"/>
      <c r="BF54" s="263"/>
      <c r="BG54" s="263"/>
      <c r="BH54" s="2208"/>
      <c r="BI54" s="2217">
        <f t="shared" si="32"/>
        <v>43.440679000090583</v>
      </c>
      <c r="BJ54" s="2217">
        <f t="shared" si="22"/>
        <v>9088.1367000110313</v>
      </c>
      <c r="BK54" s="2217">
        <f t="shared" si="13"/>
        <v>39.956700000066121</v>
      </c>
      <c r="BL54" s="2212">
        <v>281</v>
      </c>
      <c r="BM54" s="2208"/>
      <c r="BN54" s="263"/>
      <c r="BO54" s="2208"/>
      <c r="BP54" s="263"/>
      <c r="BQ54" s="263"/>
      <c r="BR54" s="263"/>
      <c r="BS54" s="263"/>
      <c r="BT54" s="2208"/>
      <c r="BU54" s="2217">
        <f t="shared" si="33"/>
        <v>-15.502835903761444</v>
      </c>
      <c r="BV54" s="2217">
        <f t="shared" si="14"/>
        <v>8748.5288262889899</v>
      </c>
      <c r="BW54" s="2217">
        <f t="shared" si="23"/>
        <v>-4.7759498906380031</v>
      </c>
      <c r="BX54" s="2212">
        <v>281</v>
      </c>
      <c r="BY54" s="2219"/>
      <c r="BZ54" s="2213"/>
      <c r="CA54" s="2219"/>
      <c r="CB54" s="2213"/>
      <c r="CC54" s="2213"/>
      <c r="CD54" s="2213"/>
      <c r="CE54" s="2213"/>
      <c r="CF54" s="2208"/>
      <c r="CG54" s="2217">
        <f t="shared" si="34"/>
        <v>-16.075949890638004</v>
      </c>
      <c r="CH54" s="2217">
        <f t="shared" si="15"/>
        <v>8748.5288262889899</v>
      </c>
      <c r="CI54" s="2217">
        <f t="shared" si="24"/>
        <v>-4.7759498906380031</v>
      </c>
      <c r="CJ54" s="2212">
        <v>281</v>
      </c>
      <c r="CK54" s="2219"/>
      <c r="CL54" s="2213"/>
      <c r="CM54" s="2219"/>
      <c r="CN54" s="2213"/>
      <c r="CO54" s="2213"/>
      <c r="CP54" s="2213"/>
      <c r="CQ54" s="2213"/>
      <c r="CR54" s="2208"/>
      <c r="CS54" s="2217">
        <f t="shared" si="35"/>
        <v>42.641545000089266</v>
      </c>
      <c r="CT54" s="2217">
        <f t="shared" si="25"/>
        <v>9088.1367000110313</v>
      </c>
      <c r="CU54" s="2217">
        <f t="shared" si="16"/>
        <v>39.956700000066121</v>
      </c>
      <c r="CV54" s="2212">
        <v>281</v>
      </c>
      <c r="CW54" s="2208"/>
      <c r="CX54" s="263"/>
      <c r="CY54" s="2208"/>
      <c r="CZ54" s="263"/>
      <c r="DA54" s="263"/>
      <c r="DB54" s="263"/>
      <c r="DC54" s="263"/>
      <c r="DD54" s="2208"/>
    </row>
    <row r="55" spans="1:108">
      <c r="A55" s="2217">
        <f t="shared" si="26"/>
        <v>-16.726903899271111</v>
      </c>
      <c r="B55" s="2217">
        <f t="shared" si="17"/>
        <v>8753.3047761796279</v>
      </c>
      <c r="C55" s="2217">
        <f t="shared" si="18"/>
        <v>-4.7190468689314002</v>
      </c>
      <c r="D55" s="2212">
        <v>280</v>
      </c>
      <c r="E55" s="2219"/>
      <c r="F55" s="2213"/>
      <c r="G55" s="2219"/>
      <c r="H55" s="263"/>
      <c r="I55" s="2213"/>
      <c r="J55" s="2213"/>
      <c r="K55" s="2213"/>
      <c r="L55" s="2213"/>
      <c r="M55" s="2217">
        <f t="shared" si="27"/>
        <v>-17.057237180096308</v>
      </c>
      <c r="N55" s="2217">
        <f t="shared" si="9"/>
        <v>8753.3047761796279</v>
      </c>
      <c r="O55" s="2217">
        <f t="shared" si="19"/>
        <v>-4.7190468689314002</v>
      </c>
      <c r="P55" s="2212">
        <v>280</v>
      </c>
      <c r="Q55" s="2219"/>
      <c r="R55" s="2213"/>
      <c r="S55" s="2219"/>
      <c r="T55" s="2213"/>
      <c r="U55" s="2213"/>
      <c r="V55" s="2213"/>
      <c r="W55" s="2213"/>
      <c r="X55" s="2213"/>
      <c r="Y55" s="2217">
        <f t="shared" si="28"/>
        <v>-17.481951398300136</v>
      </c>
      <c r="Z55" s="2217">
        <f t="shared" si="10"/>
        <v>8753.3047761796279</v>
      </c>
      <c r="AA55" s="2217">
        <f t="shared" si="20"/>
        <v>-4.7190468689314002</v>
      </c>
      <c r="AB55" s="2212">
        <v>280</v>
      </c>
      <c r="AC55" s="2219"/>
      <c r="AD55" s="2213"/>
      <c r="AE55" s="2219"/>
      <c r="AF55" s="2213"/>
      <c r="AG55" s="2213"/>
      <c r="AH55" s="2213"/>
      <c r="AI55" s="2213"/>
      <c r="AJ55" s="2213"/>
      <c r="AK55" s="2217">
        <f t="shared" si="29"/>
        <v>-15.452761244659634</v>
      </c>
      <c r="AL55" s="2217">
        <f t="shared" si="11"/>
        <v>8753.3047761796279</v>
      </c>
      <c r="AM55" s="2217">
        <f t="shared" si="21"/>
        <v>-4.7190468689314002</v>
      </c>
      <c r="AN55" s="2212">
        <v>280</v>
      </c>
      <c r="AO55" s="2219"/>
      <c r="AP55" s="2213"/>
      <c r="AQ55" s="2219"/>
      <c r="AR55" s="2213"/>
      <c r="AS55" s="2213"/>
      <c r="AT55" s="2213"/>
      <c r="AU55" s="2213"/>
      <c r="AV55" s="2213"/>
      <c r="AW55" s="2217">
        <f t="shared" si="30"/>
        <v>30.540850000073117</v>
      </c>
      <c r="AX55" s="2217">
        <f t="shared" si="31"/>
        <v>9048.1800000109652</v>
      </c>
      <c r="AY55" s="2217">
        <f t="shared" si="12"/>
        <v>39.472500000068976</v>
      </c>
      <c r="AZ55" s="2212">
        <v>280</v>
      </c>
      <c r="BA55" s="2208"/>
      <c r="BB55" s="263"/>
      <c r="BC55" s="2208"/>
      <c r="BD55" s="263"/>
      <c r="BE55" s="263"/>
      <c r="BF55" s="263"/>
      <c r="BG55" s="263"/>
      <c r="BH55" s="2208"/>
      <c r="BI55" s="2217">
        <f t="shared" si="32"/>
        <v>42.777325000094507</v>
      </c>
      <c r="BJ55" s="2217">
        <f t="shared" si="22"/>
        <v>9048.1800000109652</v>
      </c>
      <c r="BK55" s="2217">
        <f t="shared" si="13"/>
        <v>39.472500000068976</v>
      </c>
      <c r="BL55" s="2212">
        <v>280</v>
      </c>
      <c r="BM55" s="2208"/>
      <c r="BN55" s="263"/>
      <c r="BO55" s="2208"/>
      <c r="BP55" s="263"/>
      <c r="BQ55" s="263"/>
      <c r="BR55" s="263"/>
      <c r="BS55" s="263"/>
      <c r="BT55" s="2208"/>
      <c r="BU55" s="2217">
        <f t="shared" si="33"/>
        <v>-15.452761244659634</v>
      </c>
      <c r="BV55" s="2217">
        <f t="shared" si="14"/>
        <v>8753.3047761796279</v>
      </c>
      <c r="BW55" s="2217">
        <f t="shared" si="23"/>
        <v>-4.7190468689314002</v>
      </c>
      <c r="BX55" s="2212">
        <v>280</v>
      </c>
      <c r="BY55" s="2219"/>
      <c r="BZ55" s="2213"/>
      <c r="CA55" s="2219"/>
      <c r="CB55" s="2213"/>
      <c r="CC55" s="2213"/>
      <c r="CD55" s="2213"/>
      <c r="CE55" s="2213"/>
      <c r="CF55" s="2208"/>
      <c r="CG55" s="2217">
        <f t="shared" si="34"/>
        <v>-16.019046868931401</v>
      </c>
      <c r="CH55" s="2217">
        <f t="shared" si="15"/>
        <v>8753.3047761796279</v>
      </c>
      <c r="CI55" s="2217">
        <f t="shared" si="24"/>
        <v>-4.7190468689314002</v>
      </c>
      <c r="CJ55" s="2212">
        <v>280</v>
      </c>
      <c r="CK55" s="2219"/>
      <c r="CL55" s="2213"/>
      <c r="CM55" s="2219"/>
      <c r="CN55" s="2213"/>
      <c r="CO55" s="2213"/>
      <c r="CP55" s="2213"/>
      <c r="CQ55" s="2213"/>
      <c r="CR55" s="2208"/>
      <c r="CS55" s="2217">
        <f t="shared" si="35"/>
        <v>41.987875000093126</v>
      </c>
      <c r="CT55" s="2217">
        <f t="shared" si="25"/>
        <v>9048.1800000109652</v>
      </c>
      <c r="CU55" s="2217">
        <f t="shared" si="16"/>
        <v>39.472500000068976</v>
      </c>
      <c r="CV55" s="2212">
        <v>280</v>
      </c>
      <c r="CW55" s="2208"/>
      <c r="CX55" s="263"/>
      <c r="CY55" s="2208"/>
      <c r="CZ55" s="263"/>
      <c r="DA55" s="263"/>
      <c r="DB55" s="263"/>
      <c r="DC55" s="263"/>
      <c r="DD55" s="2208"/>
    </row>
    <row r="56" spans="1:108">
      <c r="A56" s="2217">
        <f t="shared" si="26"/>
        <v>-16.660152520219071</v>
      </c>
      <c r="B56" s="2217">
        <f t="shared" si="17"/>
        <v>8758.0238230485593</v>
      </c>
      <c r="C56" s="2217">
        <f t="shared" si="18"/>
        <v>-4.6610021914948447</v>
      </c>
      <c r="D56" s="2212">
        <v>279</v>
      </c>
      <c r="E56" s="2219"/>
      <c r="F56" s="2213"/>
      <c r="G56" s="2219"/>
      <c r="H56" s="263"/>
      <c r="I56" s="2213"/>
      <c r="J56" s="2213"/>
      <c r="K56" s="2213"/>
      <c r="L56" s="2213"/>
      <c r="M56" s="2217">
        <f t="shared" si="27"/>
        <v>-16.986422673623711</v>
      </c>
      <c r="N56" s="2217">
        <f t="shared" si="9"/>
        <v>8758.0238230485593</v>
      </c>
      <c r="O56" s="2217">
        <f t="shared" si="19"/>
        <v>-4.6610021914948447</v>
      </c>
      <c r="P56" s="2212">
        <v>279</v>
      </c>
      <c r="Q56" s="2219"/>
      <c r="R56" s="2213"/>
      <c r="S56" s="2219"/>
      <c r="T56" s="2213"/>
      <c r="U56" s="2213"/>
      <c r="V56" s="2213"/>
      <c r="W56" s="2213"/>
      <c r="X56" s="2213"/>
      <c r="Y56" s="2217">
        <f t="shared" si="28"/>
        <v>-17.405912870858248</v>
      </c>
      <c r="Z56" s="2217">
        <f t="shared" si="10"/>
        <v>8758.0238230485593</v>
      </c>
      <c r="AA56" s="2217">
        <f t="shared" si="20"/>
        <v>-4.6610021914948447</v>
      </c>
      <c r="AB56" s="2212">
        <v>279</v>
      </c>
      <c r="AC56" s="2219"/>
      <c r="AD56" s="2213"/>
      <c r="AE56" s="2219"/>
      <c r="AF56" s="2213"/>
      <c r="AG56" s="2213"/>
      <c r="AH56" s="2213"/>
      <c r="AI56" s="2213"/>
      <c r="AJ56" s="2213"/>
      <c r="AK56" s="2217">
        <f t="shared" si="29"/>
        <v>-15.401681928515464</v>
      </c>
      <c r="AL56" s="2217">
        <f t="shared" si="11"/>
        <v>8758.0238230485593</v>
      </c>
      <c r="AM56" s="2217">
        <f t="shared" si="21"/>
        <v>-4.6610021914948447</v>
      </c>
      <c r="AN56" s="2212">
        <v>279</v>
      </c>
      <c r="AO56" s="2219"/>
      <c r="AP56" s="2213"/>
      <c r="AQ56" s="2219"/>
      <c r="AR56" s="2213"/>
      <c r="AS56" s="2213"/>
      <c r="AT56" s="2213"/>
      <c r="AU56" s="2213"/>
      <c r="AV56" s="2213"/>
      <c r="AW56" s="2217">
        <f t="shared" si="30"/>
        <v>30.031414000080002</v>
      </c>
      <c r="AX56" s="2217">
        <f t="shared" si="31"/>
        <v>9008.7075000108962</v>
      </c>
      <c r="AY56" s="2217">
        <f t="shared" si="12"/>
        <v>38.991900000075475</v>
      </c>
      <c r="AZ56" s="2212">
        <v>279</v>
      </c>
      <c r="BA56" s="2208"/>
      <c r="BB56" s="263"/>
      <c r="BC56" s="2208"/>
      <c r="BD56" s="263"/>
      <c r="BE56" s="263"/>
      <c r="BF56" s="263"/>
      <c r="BG56" s="263"/>
      <c r="BH56" s="2208"/>
      <c r="BI56" s="2217">
        <f t="shared" si="32"/>
        <v>42.118903000103401</v>
      </c>
      <c r="BJ56" s="2217">
        <f t="shared" si="22"/>
        <v>9008.7075000108962</v>
      </c>
      <c r="BK56" s="2217">
        <f t="shared" si="13"/>
        <v>38.991900000075475</v>
      </c>
      <c r="BL56" s="2212">
        <v>279</v>
      </c>
      <c r="BM56" s="2208"/>
      <c r="BN56" s="263"/>
      <c r="BO56" s="2208"/>
      <c r="BP56" s="263"/>
      <c r="BQ56" s="263"/>
      <c r="BR56" s="263"/>
      <c r="BS56" s="263"/>
      <c r="BT56" s="2208"/>
      <c r="BU56" s="2217">
        <f t="shared" si="33"/>
        <v>-15.401681928515464</v>
      </c>
      <c r="BV56" s="2217">
        <f t="shared" si="14"/>
        <v>8758.0238230485593</v>
      </c>
      <c r="BW56" s="2217">
        <f t="shared" si="23"/>
        <v>-4.6610021914948447</v>
      </c>
      <c r="BX56" s="2212">
        <v>279</v>
      </c>
      <c r="BY56" s="2219"/>
      <c r="BZ56" s="2213"/>
      <c r="CA56" s="2219"/>
      <c r="CB56" s="2213"/>
      <c r="CC56" s="2213"/>
      <c r="CD56" s="2213"/>
      <c r="CE56" s="2213"/>
      <c r="CF56" s="2208"/>
      <c r="CG56" s="2217">
        <f t="shared" si="34"/>
        <v>-15.961002191494845</v>
      </c>
      <c r="CH56" s="2217">
        <f t="shared" si="15"/>
        <v>8758.0238230485593</v>
      </c>
      <c r="CI56" s="2217">
        <f t="shared" si="24"/>
        <v>-4.6610021914948447</v>
      </c>
      <c r="CJ56" s="2212">
        <v>279</v>
      </c>
      <c r="CK56" s="2219"/>
      <c r="CL56" s="2213"/>
      <c r="CM56" s="2219"/>
      <c r="CN56" s="2213"/>
      <c r="CO56" s="2213"/>
      <c r="CP56" s="2213"/>
      <c r="CQ56" s="2213"/>
      <c r="CR56" s="2208"/>
      <c r="CS56" s="2217">
        <f t="shared" si="35"/>
        <v>41.339065000101897</v>
      </c>
      <c r="CT56" s="2217">
        <f t="shared" si="25"/>
        <v>9008.7075000108962</v>
      </c>
      <c r="CU56" s="2217">
        <f t="shared" si="16"/>
        <v>38.991900000075475</v>
      </c>
      <c r="CV56" s="2212">
        <v>279</v>
      </c>
      <c r="CW56" s="2208"/>
      <c r="CX56" s="263"/>
      <c r="CY56" s="2208"/>
      <c r="CZ56" s="263"/>
      <c r="DA56" s="263"/>
      <c r="DB56" s="263"/>
      <c r="DC56" s="263"/>
      <c r="DD56" s="2208"/>
    </row>
    <row r="57" spans="1:108">
      <c r="A57" s="2217">
        <f t="shared" si="26"/>
        <v>-16.592088237067127</v>
      </c>
      <c r="B57" s="2217">
        <f t="shared" si="17"/>
        <v>8762.6848252400541</v>
      </c>
      <c r="C57" s="2217">
        <f t="shared" si="18"/>
        <v>-4.6018158583192417</v>
      </c>
      <c r="D57" s="2212">
        <v>278</v>
      </c>
      <c r="E57" s="2219"/>
      <c r="F57" s="2213"/>
      <c r="G57" s="2219"/>
      <c r="H57" s="263"/>
      <c r="I57" s="2213"/>
      <c r="J57" s="2213"/>
      <c r="K57" s="2213"/>
      <c r="L57" s="2213"/>
      <c r="M57" s="2217">
        <f t="shared" si="27"/>
        <v>-16.914215347149476</v>
      </c>
      <c r="N57" s="2217">
        <f t="shared" si="9"/>
        <v>8762.6848252400541</v>
      </c>
      <c r="O57" s="2217">
        <f t="shared" si="19"/>
        <v>-4.6018158583192417</v>
      </c>
      <c r="P57" s="2212">
        <v>278</v>
      </c>
      <c r="Q57" s="2219"/>
      <c r="R57" s="2213"/>
      <c r="S57" s="2219"/>
      <c r="T57" s="2213"/>
      <c r="U57" s="2213"/>
      <c r="V57" s="2213"/>
      <c r="W57" s="2213"/>
      <c r="X57" s="2213"/>
      <c r="Y57" s="2217">
        <f t="shared" si="28"/>
        <v>-17.328378774398207</v>
      </c>
      <c r="Z57" s="2217">
        <f t="shared" si="10"/>
        <v>8762.6848252400541</v>
      </c>
      <c r="AA57" s="2217">
        <f t="shared" si="20"/>
        <v>-4.6018158583192417</v>
      </c>
      <c r="AB57" s="2212">
        <v>278</v>
      </c>
      <c r="AC57" s="2219"/>
      <c r="AD57" s="2213"/>
      <c r="AE57" s="2219"/>
      <c r="AF57" s="2213"/>
      <c r="AG57" s="2213"/>
      <c r="AH57" s="2213"/>
      <c r="AI57" s="2213"/>
      <c r="AJ57" s="2213"/>
      <c r="AK57" s="2217">
        <f t="shared" si="29"/>
        <v>-15.349597955320933</v>
      </c>
      <c r="AL57" s="2217">
        <f t="shared" si="11"/>
        <v>8762.6848252400541</v>
      </c>
      <c r="AM57" s="2217">
        <f t="shared" si="21"/>
        <v>-4.6018158583192417</v>
      </c>
      <c r="AN57" s="2212">
        <v>278</v>
      </c>
      <c r="AO57" s="2219"/>
      <c r="AP57" s="2213"/>
      <c r="AQ57" s="2219"/>
      <c r="AR57" s="2213"/>
      <c r="AS57" s="2213"/>
      <c r="AT57" s="2213"/>
      <c r="AU57" s="2213"/>
      <c r="AV57" s="2213"/>
      <c r="AW57" s="2217">
        <f t="shared" si="30"/>
        <v>29.525794000075333</v>
      </c>
      <c r="AX57" s="2217">
        <f t="shared" si="31"/>
        <v>8969.7156000108207</v>
      </c>
      <c r="AY57" s="2217">
        <f t="shared" si="12"/>
        <v>38.514900000071066</v>
      </c>
      <c r="AZ57" s="2212">
        <v>278</v>
      </c>
      <c r="BA57" s="2208"/>
      <c r="BB57" s="263"/>
      <c r="BC57" s="2208"/>
      <c r="BD57" s="263"/>
      <c r="BE57" s="263"/>
      <c r="BF57" s="263"/>
      <c r="BG57" s="263"/>
      <c r="BH57" s="2208"/>
      <c r="BI57" s="2217">
        <f t="shared" si="32"/>
        <v>41.465413000097357</v>
      </c>
      <c r="BJ57" s="2217">
        <f t="shared" si="22"/>
        <v>8969.7156000108207</v>
      </c>
      <c r="BK57" s="2217">
        <f t="shared" si="13"/>
        <v>38.514900000071066</v>
      </c>
      <c r="BL57" s="2212">
        <v>278</v>
      </c>
      <c r="BM57" s="2208"/>
      <c r="BN57" s="263"/>
      <c r="BO57" s="2208"/>
      <c r="BP57" s="263"/>
      <c r="BQ57" s="263"/>
      <c r="BR57" s="263"/>
      <c r="BS57" s="263"/>
      <c r="BT57" s="2208"/>
      <c r="BU57" s="2217">
        <f t="shared" si="33"/>
        <v>-15.349597955320933</v>
      </c>
      <c r="BV57" s="2217">
        <f t="shared" si="14"/>
        <v>8762.6848252400541</v>
      </c>
      <c r="BW57" s="2217">
        <f t="shared" si="23"/>
        <v>-4.6018158583192417</v>
      </c>
      <c r="BX57" s="2212">
        <v>278</v>
      </c>
      <c r="BY57" s="2219"/>
      <c r="BZ57" s="2213"/>
      <c r="CA57" s="2219"/>
      <c r="CB57" s="2213"/>
      <c r="CC57" s="2213"/>
      <c r="CD57" s="2213"/>
      <c r="CE57" s="2213"/>
      <c r="CF57" s="2208"/>
      <c r="CG57" s="2217">
        <f t="shared" si="34"/>
        <v>-15.901815858319242</v>
      </c>
      <c r="CH57" s="2217">
        <f t="shared" si="15"/>
        <v>8762.6848252400541</v>
      </c>
      <c r="CI57" s="2217">
        <f t="shared" si="24"/>
        <v>-4.6018158583192417</v>
      </c>
      <c r="CJ57" s="2212">
        <v>278</v>
      </c>
      <c r="CK57" s="2219"/>
      <c r="CL57" s="2213"/>
      <c r="CM57" s="2219"/>
      <c r="CN57" s="2213"/>
      <c r="CO57" s="2213"/>
      <c r="CP57" s="2213"/>
      <c r="CQ57" s="2213"/>
      <c r="CR57" s="2208"/>
      <c r="CS57" s="2217">
        <f t="shared" si="35"/>
        <v>40.695115000095939</v>
      </c>
      <c r="CT57" s="2217">
        <f t="shared" si="25"/>
        <v>8969.7156000108207</v>
      </c>
      <c r="CU57" s="2217">
        <f t="shared" si="16"/>
        <v>38.514900000071066</v>
      </c>
      <c r="CV57" s="2212">
        <v>278</v>
      </c>
      <c r="CW57" s="2208"/>
      <c r="CX57" s="263"/>
      <c r="CY57" s="2208"/>
      <c r="CZ57" s="263"/>
      <c r="DA57" s="263"/>
      <c r="DB57" s="263"/>
      <c r="DC57" s="263"/>
      <c r="DD57" s="2208"/>
    </row>
    <row r="58" spans="1:108">
      <c r="A58" s="2217">
        <f t="shared" si="26"/>
        <v>-16.522711049823648</v>
      </c>
      <c r="B58" s="2217">
        <f t="shared" si="17"/>
        <v>8767.2866410983734</v>
      </c>
      <c r="C58" s="2217">
        <f t="shared" si="18"/>
        <v>-4.541487869411867</v>
      </c>
      <c r="D58" s="2212">
        <v>277</v>
      </c>
      <c r="E58" s="2219"/>
      <c r="F58" s="2213"/>
      <c r="G58" s="2219"/>
      <c r="H58" s="2213"/>
      <c r="I58" s="2213"/>
      <c r="J58" s="2213"/>
      <c r="K58" s="2213"/>
      <c r="L58" s="2213"/>
      <c r="M58" s="2217">
        <f t="shared" si="27"/>
        <v>-16.840615200682478</v>
      </c>
      <c r="N58" s="2217">
        <f t="shared" si="9"/>
        <v>8767.2866410983734</v>
      </c>
      <c r="O58" s="2217">
        <f t="shared" si="19"/>
        <v>-4.541487869411867</v>
      </c>
      <c r="P58" s="2212">
        <v>277</v>
      </c>
      <c r="Q58" s="2219"/>
      <c r="R58" s="2213"/>
      <c r="S58" s="2219"/>
      <c r="T58" s="2213"/>
      <c r="U58" s="2213"/>
      <c r="V58" s="2213"/>
      <c r="W58" s="2213"/>
      <c r="X58" s="2213"/>
      <c r="Y58" s="2217">
        <f t="shared" si="28"/>
        <v>-17.249349108929547</v>
      </c>
      <c r="Z58" s="2217">
        <f t="shared" si="10"/>
        <v>8767.2866410983734</v>
      </c>
      <c r="AA58" s="2217">
        <f t="shared" si="20"/>
        <v>-4.541487869411867</v>
      </c>
      <c r="AB58" s="2212">
        <v>277</v>
      </c>
      <c r="AC58" s="2219"/>
      <c r="AD58" s="2213"/>
      <c r="AE58" s="2219"/>
      <c r="AF58" s="2213"/>
      <c r="AG58" s="2213"/>
      <c r="AH58" s="2213"/>
      <c r="AI58" s="2213"/>
      <c r="AJ58" s="2213"/>
      <c r="AK58" s="2217">
        <f t="shared" si="29"/>
        <v>-15.296509325082443</v>
      </c>
      <c r="AL58" s="2217">
        <f t="shared" si="11"/>
        <v>8767.2866410983734</v>
      </c>
      <c r="AM58" s="2217">
        <f t="shared" si="21"/>
        <v>-4.541487869411867</v>
      </c>
      <c r="AN58" s="2212">
        <v>277</v>
      </c>
      <c r="AO58" s="2219"/>
      <c r="AP58" s="2213"/>
      <c r="AQ58" s="2219"/>
      <c r="AR58" s="2213"/>
      <c r="AS58" s="2213"/>
      <c r="AT58" s="2213"/>
      <c r="AU58" s="2213"/>
      <c r="AV58" s="2213"/>
      <c r="AW58" s="2217">
        <f t="shared" si="30"/>
        <v>29.023990000074523</v>
      </c>
      <c r="AX58" s="2217">
        <f t="shared" si="31"/>
        <v>8931.2007000107496</v>
      </c>
      <c r="AY58" s="2217">
        <f t="shared" si="12"/>
        <v>38.0415000000703</v>
      </c>
      <c r="AZ58" s="2212">
        <v>277</v>
      </c>
      <c r="BA58" s="2208"/>
      <c r="BB58" s="263"/>
      <c r="BC58" s="2208"/>
      <c r="BD58" s="263"/>
      <c r="BE58" s="263"/>
      <c r="BF58" s="263"/>
      <c r="BG58" s="263"/>
      <c r="BH58" s="2208"/>
      <c r="BI58" s="2217">
        <f t="shared" si="32"/>
        <v>40.816855000096311</v>
      </c>
      <c r="BJ58" s="2217">
        <f t="shared" si="22"/>
        <v>8931.2007000107496</v>
      </c>
      <c r="BK58" s="2217">
        <f t="shared" si="13"/>
        <v>38.0415000000703</v>
      </c>
      <c r="BL58" s="2212">
        <v>277</v>
      </c>
      <c r="BM58" s="2208"/>
      <c r="BN58" s="263"/>
      <c r="BO58" s="2208"/>
      <c r="BP58" s="263"/>
      <c r="BQ58" s="263"/>
      <c r="BR58" s="263"/>
      <c r="BS58" s="263"/>
      <c r="BT58" s="2208"/>
      <c r="BU58" s="2217">
        <f t="shared" si="33"/>
        <v>-15.296509325082443</v>
      </c>
      <c r="BV58" s="2217">
        <f t="shared" si="14"/>
        <v>8767.2866410983734</v>
      </c>
      <c r="BW58" s="2217">
        <f t="shared" si="23"/>
        <v>-4.541487869411867</v>
      </c>
      <c r="BX58" s="2212">
        <v>277</v>
      </c>
      <c r="BY58" s="2219"/>
      <c r="BZ58" s="2213"/>
      <c r="CA58" s="2219"/>
      <c r="CB58" s="2213"/>
      <c r="CC58" s="2213"/>
      <c r="CD58" s="2213"/>
      <c r="CE58" s="2213"/>
      <c r="CF58" s="2208"/>
      <c r="CG58" s="2217">
        <f t="shared" si="34"/>
        <v>-15.841487869411868</v>
      </c>
      <c r="CH58" s="2217">
        <f t="shared" si="15"/>
        <v>8767.2866410983734</v>
      </c>
      <c r="CI58" s="2217">
        <f t="shared" si="24"/>
        <v>-4.541487869411867</v>
      </c>
      <c r="CJ58" s="2212">
        <v>277</v>
      </c>
      <c r="CK58" s="2219"/>
      <c r="CL58" s="2213"/>
      <c r="CM58" s="2219"/>
      <c r="CN58" s="2213"/>
      <c r="CO58" s="2213"/>
      <c r="CP58" s="2213"/>
      <c r="CQ58" s="2213"/>
      <c r="CR58" s="2208"/>
      <c r="CS58" s="2217">
        <f t="shared" si="35"/>
        <v>40.056025000094905</v>
      </c>
      <c r="CT58" s="2217">
        <f t="shared" si="25"/>
        <v>8931.2007000107496</v>
      </c>
      <c r="CU58" s="2217">
        <f t="shared" si="16"/>
        <v>38.0415000000703</v>
      </c>
      <c r="CV58" s="2212">
        <v>277</v>
      </c>
      <c r="CW58" s="2208"/>
      <c r="CX58" s="263"/>
      <c r="CY58" s="2208"/>
      <c r="CZ58" s="263"/>
      <c r="DA58" s="263"/>
      <c r="DB58" s="263"/>
      <c r="DC58" s="263"/>
      <c r="DD58" s="2208"/>
    </row>
    <row r="59" spans="1:108">
      <c r="A59" s="2217">
        <f t="shared" si="26"/>
        <v>-16.452020958486536</v>
      </c>
      <c r="B59" s="2217">
        <f t="shared" si="17"/>
        <v>8771.8281289677852</v>
      </c>
      <c r="C59" s="2217">
        <f t="shared" si="18"/>
        <v>-4.4800182247709017</v>
      </c>
      <c r="D59" s="2212">
        <v>276</v>
      </c>
      <c r="E59" s="2219"/>
      <c r="F59" s="2213"/>
      <c r="G59" s="2219"/>
      <c r="H59" s="2213"/>
      <c r="I59" s="2213"/>
      <c r="J59" s="2213"/>
      <c r="K59" s="2213"/>
      <c r="L59" s="2213"/>
      <c r="M59" s="2217">
        <f t="shared" si="27"/>
        <v>-16.765622234220501</v>
      </c>
      <c r="N59" s="2217">
        <f t="shared" si="9"/>
        <v>8771.8281289677852</v>
      </c>
      <c r="O59" s="2217">
        <f t="shared" si="19"/>
        <v>-4.4800182247709017</v>
      </c>
      <c r="P59" s="2212">
        <v>276</v>
      </c>
      <c r="Q59" s="2219"/>
      <c r="R59" s="2213"/>
      <c r="S59" s="2219"/>
      <c r="T59" s="2213"/>
      <c r="U59" s="2213"/>
      <c r="V59" s="2213"/>
      <c r="W59" s="2213"/>
      <c r="X59" s="2213"/>
      <c r="Y59" s="2217">
        <f t="shared" si="28"/>
        <v>-17.168823874449881</v>
      </c>
      <c r="Z59" s="2217">
        <f t="shared" si="10"/>
        <v>8771.8281289677852</v>
      </c>
      <c r="AA59" s="2217">
        <f t="shared" si="20"/>
        <v>-4.4800182247709017</v>
      </c>
      <c r="AB59" s="2212">
        <v>276</v>
      </c>
      <c r="AC59" s="2219"/>
      <c r="AD59" s="2213"/>
      <c r="AE59" s="2219"/>
      <c r="AF59" s="2213"/>
      <c r="AG59" s="2213"/>
      <c r="AH59" s="2213"/>
      <c r="AI59" s="2213"/>
      <c r="AJ59" s="2213"/>
      <c r="AK59" s="2217">
        <f t="shared" si="29"/>
        <v>-15.242416037798394</v>
      </c>
      <c r="AL59" s="2217">
        <f t="shared" si="11"/>
        <v>8771.8281289677852</v>
      </c>
      <c r="AM59" s="2217">
        <f t="shared" si="21"/>
        <v>-4.4800182247709017</v>
      </c>
      <c r="AN59" s="2212">
        <v>276</v>
      </c>
      <c r="AO59" s="2219"/>
      <c r="AP59" s="2213"/>
      <c r="AQ59" s="2219"/>
      <c r="AR59" s="2213"/>
      <c r="AS59" s="2213"/>
      <c r="AT59" s="2213"/>
      <c r="AU59" s="2213"/>
      <c r="AV59" s="2213"/>
      <c r="AW59" s="2217">
        <f t="shared" si="30"/>
        <v>28.526002000075639</v>
      </c>
      <c r="AX59" s="2217">
        <f t="shared" si="31"/>
        <v>8893.1592000106793</v>
      </c>
      <c r="AY59" s="2217">
        <f t="shared" si="12"/>
        <v>37.57170000007136</v>
      </c>
      <c r="AZ59" s="2212">
        <v>276</v>
      </c>
      <c r="BA59" s="2208"/>
      <c r="BB59" s="263"/>
      <c r="BC59" s="2208"/>
      <c r="BD59" s="263"/>
      <c r="BE59" s="263"/>
      <c r="BF59" s="263"/>
      <c r="BG59" s="263"/>
      <c r="BH59" s="2208"/>
      <c r="BI59" s="2217">
        <f t="shared" si="32"/>
        <v>40.173229000097763</v>
      </c>
      <c r="BJ59" s="2217">
        <f t="shared" si="22"/>
        <v>8893.1592000106793</v>
      </c>
      <c r="BK59" s="2217">
        <f t="shared" si="13"/>
        <v>37.57170000007136</v>
      </c>
      <c r="BL59" s="2212">
        <v>276</v>
      </c>
      <c r="BM59" s="2208"/>
      <c r="BN59" s="263"/>
      <c r="BO59" s="2208"/>
      <c r="BP59" s="263"/>
      <c r="BQ59" s="263"/>
      <c r="BR59" s="263"/>
      <c r="BS59" s="263"/>
      <c r="BT59" s="2208"/>
      <c r="BU59" s="2217">
        <f t="shared" si="33"/>
        <v>-15.242416037798394</v>
      </c>
      <c r="BV59" s="2217">
        <f t="shared" si="14"/>
        <v>8771.8281289677852</v>
      </c>
      <c r="BW59" s="2217">
        <f t="shared" si="23"/>
        <v>-4.4800182247709017</v>
      </c>
      <c r="BX59" s="2212">
        <v>276</v>
      </c>
      <c r="BY59" s="2219"/>
      <c r="BZ59" s="2213"/>
      <c r="CA59" s="2219"/>
      <c r="CB59" s="2213"/>
      <c r="CC59" s="2213"/>
      <c r="CD59" s="2213"/>
      <c r="CE59" s="2213"/>
      <c r="CF59" s="2208"/>
      <c r="CG59" s="2217">
        <f t="shared" si="34"/>
        <v>-15.780018224770902</v>
      </c>
      <c r="CH59" s="2217">
        <f t="shared" si="15"/>
        <v>8771.8281289677852</v>
      </c>
      <c r="CI59" s="2217">
        <f t="shared" si="24"/>
        <v>-4.4800182247709017</v>
      </c>
      <c r="CJ59" s="2212">
        <v>276</v>
      </c>
      <c r="CK59" s="2219"/>
      <c r="CL59" s="2213"/>
      <c r="CM59" s="2219"/>
      <c r="CN59" s="2213"/>
      <c r="CO59" s="2213"/>
      <c r="CP59" s="2213"/>
      <c r="CQ59" s="2213"/>
      <c r="CR59" s="2208"/>
      <c r="CS59" s="2217">
        <f t="shared" si="35"/>
        <v>39.421795000096338</v>
      </c>
      <c r="CT59" s="2217">
        <f t="shared" si="25"/>
        <v>8893.1592000106793</v>
      </c>
      <c r="CU59" s="2217">
        <f t="shared" si="16"/>
        <v>37.57170000007136</v>
      </c>
      <c r="CV59" s="2212">
        <v>276</v>
      </c>
      <c r="CW59" s="2208"/>
      <c r="CX59" s="263"/>
      <c r="CY59" s="2208"/>
      <c r="CZ59" s="263"/>
      <c r="DA59" s="263"/>
      <c r="DB59" s="263"/>
      <c r="DC59" s="263"/>
      <c r="DD59" s="2208"/>
    </row>
    <row r="60" spans="1:108">
      <c r="A60" s="2217">
        <f t="shared" si="26"/>
        <v>-16.380017963049522</v>
      </c>
      <c r="B60" s="2217">
        <f t="shared" si="17"/>
        <v>8776.3081471925561</v>
      </c>
      <c r="C60" s="2217">
        <f t="shared" si="18"/>
        <v>-4.4174069243908889</v>
      </c>
      <c r="D60" s="2212">
        <v>275</v>
      </c>
      <c r="E60" s="2219"/>
      <c r="F60" s="2213"/>
      <c r="G60" s="2219"/>
      <c r="H60" s="2213"/>
      <c r="I60" s="2213"/>
      <c r="J60" s="2213"/>
      <c r="K60" s="2213"/>
      <c r="L60" s="2213"/>
      <c r="M60" s="2217">
        <f t="shared" si="27"/>
        <v>-16.689236447756883</v>
      </c>
      <c r="N60" s="2217">
        <f t="shared" si="9"/>
        <v>8776.3081471925561</v>
      </c>
      <c r="O60" s="2217">
        <f t="shared" si="19"/>
        <v>-4.4174069243908889</v>
      </c>
      <c r="P60" s="2212">
        <v>275</v>
      </c>
      <c r="Q60" s="2219"/>
      <c r="R60" s="2213"/>
      <c r="S60" s="2219"/>
      <c r="T60" s="2213"/>
      <c r="U60" s="2213"/>
      <c r="V60" s="2213"/>
      <c r="W60" s="2213"/>
      <c r="X60" s="2213"/>
      <c r="Y60" s="2217">
        <f t="shared" si="28"/>
        <v>-17.086803070952065</v>
      </c>
      <c r="Z60" s="2217">
        <f t="shared" si="10"/>
        <v>8776.3081471925561</v>
      </c>
      <c r="AA60" s="2217">
        <f t="shared" si="20"/>
        <v>-4.4174069243908889</v>
      </c>
      <c r="AB60" s="2212">
        <v>275</v>
      </c>
      <c r="AC60" s="2219"/>
      <c r="AD60" s="2213"/>
      <c r="AE60" s="2219"/>
      <c r="AF60" s="2213"/>
      <c r="AG60" s="2213"/>
      <c r="AH60" s="2213"/>
      <c r="AI60" s="2213"/>
      <c r="AJ60" s="2213"/>
      <c r="AK60" s="2217">
        <f t="shared" si="29"/>
        <v>-15.187318093463983</v>
      </c>
      <c r="AL60" s="2217">
        <f t="shared" si="11"/>
        <v>8776.3081471925561</v>
      </c>
      <c r="AM60" s="2217">
        <f t="shared" si="21"/>
        <v>-4.4174069243908889</v>
      </c>
      <c r="AN60" s="2212">
        <v>275</v>
      </c>
      <c r="AO60" s="2219"/>
      <c r="AP60" s="2213"/>
      <c r="AQ60" s="2219"/>
      <c r="AR60" s="2213"/>
      <c r="AS60" s="2213"/>
      <c r="AT60" s="2213"/>
      <c r="AU60" s="2213"/>
      <c r="AV60" s="2213"/>
      <c r="AW60" s="2217">
        <f t="shared" si="30"/>
        <v>28.031830000078703</v>
      </c>
      <c r="AX60" s="2217">
        <f t="shared" si="31"/>
        <v>8855.587500010608</v>
      </c>
      <c r="AY60" s="2217">
        <f t="shared" si="12"/>
        <v>37.105500000074244</v>
      </c>
      <c r="AZ60" s="2212">
        <v>275</v>
      </c>
      <c r="BA60" s="2208"/>
      <c r="BB60" s="263"/>
      <c r="BC60" s="2208"/>
      <c r="BD60" s="263"/>
      <c r="BE60" s="263"/>
      <c r="BF60" s="263"/>
      <c r="BG60" s="263"/>
      <c r="BH60" s="2208"/>
      <c r="BI60" s="2217">
        <f t="shared" si="32"/>
        <v>39.534535000101712</v>
      </c>
      <c r="BJ60" s="2217">
        <f t="shared" si="22"/>
        <v>8855.587500010608</v>
      </c>
      <c r="BK60" s="2217">
        <f t="shared" si="13"/>
        <v>37.105500000074244</v>
      </c>
      <c r="BL60" s="2212">
        <v>275</v>
      </c>
      <c r="BM60" s="2208"/>
      <c r="BN60" s="263"/>
      <c r="BO60" s="2208"/>
      <c r="BP60" s="263"/>
      <c r="BQ60" s="263"/>
      <c r="BR60" s="263"/>
      <c r="BS60" s="263"/>
      <c r="BT60" s="2208"/>
      <c r="BU60" s="2217">
        <f t="shared" si="33"/>
        <v>-15.187318093463983</v>
      </c>
      <c r="BV60" s="2217">
        <f t="shared" si="14"/>
        <v>8776.3081471925561</v>
      </c>
      <c r="BW60" s="2217">
        <f t="shared" si="23"/>
        <v>-4.4174069243908889</v>
      </c>
      <c r="BX60" s="2212">
        <v>275</v>
      </c>
      <c r="BY60" s="2219"/>
      <c r="BZ60" s="2213"/>
      <c r="CA60" s="2219"/>
      <c r="CB60" s="2213"/>
      <c r="CC60" s="2213"/>
      <c r="CD60" s="2213"/>
      <c r="CE60" s="2213"/>
      <c r="CF60" s="2208"/>
      <c r="CG60" s="2217">
        <f t="shared" si="34"/>
        <v>-15.71740692439089</v>
      </c>
      <c r="CH60" s="2217">
        <f t="shared" si="15"/>
        <v>8776.3081471925561</v>
      </c>
      <c r="CI60" s="2217">
        <f t="shared" si="24"/>
        <v>-4.4174069243908889</v>
      </c>
      <c r="CJ60" s="2212">
        <v>275</v>
      </c>
      <c r="CK60" s="2219"/>
      <c r="CL60" s="2213"/>
      <c r="CM60" s="2219"/>
      <c r="CN60" s="2213"/>
      <c r="CO60" s="2213"/>
      <c r="CP60" s="2213"/>
      <c r="CQ60" s="2213"/>
      <c r="CR60" s="2208"/>
      <c r="CS60" s="2217">
        <f t="shared" si="35"/>
        <v>38.792425000100238</v>
      </c>
      <c r="CT60" s="2217">
        <f t="shared" si="25"/>
        <v>8855.587500010608</v>
      </c>
      <c r="CU60" s="2217">
        <f t="shared" si="16"/>
        <v>37.105500000074244</v>
      </c>
      <c r="CV60" s="2212">
        <v>275</v>
      </c>
      <c r="CW60" s="2208"/>
      <c r="CX60" s="263"/>
      <c r="CY60" s="2208"/>
      <c r="CZ60" s="263"/>
      <c r="DA60" s="263"/>
      <c r="DB60" s="263"/>
      <c r="DC60" s="263"/>
      <c r="DD60" s="2208"/>
    </row>
    <row r="61" spans="1:108">
      <c r="A61" s="2217">
        <f t="shared" si="26"/>
        <v>-16.306702063525155</v>
      </c>
      <c r="B61" s="2217">
        <f t="shared" si="17"/>
        <v>8780.725554116947</v>
      </c>
      <c r="C61" s="2217">
        <f t="shared" si="18"/>
        <v>-4.3536539682827424</v>
      </c>
      <c r="D61" s="2212">
        <v>274</v>
      </c>
      <c r="E61" s="2219"/>
      <c r="F61" s="2213"/>
      <c r="G61" s="2219"/>
      <c r="H61" s="2213"/>
      <c r="I61" s="2213"/>
      <c r="J61" s="2213"/>
      <c r="K61" s="2213"/>
      <c r="L61" s="2213"/>
      <c r="M61" s="2217">
        <f t="shared" si="27"/>
        <v>-16.611457841304947</v>
      </c>
      <c r="N61" s="2217">
        <f t="shared" si="9"/>
        <v>8780.725554116947</v>
      </c>
      <c r="O61" s="2217">
        <f t="shared" si="19"/>
        <v>-4.3536539682827424</v>
      </c>
      <c r="P61" s="2212">
        <v>274</v>
      </c>
      <c r="Q61" s="2219"/>
      <c r="R61" s="2213"/>
      <c r="S61" s="2219"/>
      <c r="T61" s="2213"/>
      <c r="U61" s="2213"/>
      <c r="V61" s="2213"/>
      <c r="W61" s="2213"/>
      <c r="X61" s="2213"/>
      <c r="Y61" s="2217">
        <f t="shared" si="28"/>
        <v>-17.003286698450395</v>
      </c>
      <c r="Z61" s="2217">
        <f t="shared" si="10"/>
        <v>8780.725554116947</v>
      </c>
      <c r="AA61" s="2217">
        <f t="shared" si="20"/>
        <v>-4.3536539682827424</v>
      </c>
      <c r="AB61" s="2212">
        <v>274</v>
      </c>
      <c r="AC61" s="2219"/>
      <c r="AD61" s="2213"/>
      <c r="AE61" s="2219"/>
      <c r="AF61" s="2213"/>
      <c r="AG61" s="2213"/>
      <c r="AH61" s="2213"/>
      <c r="AI61" s="2213"/>
      <c r="AJ61" s="2213"/>
      <c r="AK61" s="2217">
        <f t="shared" si="29"/>
        <v>-15.131215492088813</v>
      </c>
      <c r="AL61" s="2217">
        <f t="shared" si="11"/>
        <v>8780.725554116947</v>
      </c>
      <c r="AM61" s="2217">
        <f t="shared" si="21"/>
        <v>-4.3536539682827424</v>
      </c>
      <c r="AN61" s="2212">
        <v>274</v>
      </c>
      <c r="AO61" s="2219"/>
      <c r="AP61" s="2213"/>
      <c r="AQ61" s="2219"/>
      <c r="AR61" s="2213"/>
      <c r="AS61" s="2213"/>
      <c r="AT61" s="2213"/>
      <c r="AU61" s="2213"/>
      <c r="AV61" s="2213"/>
      <c r="AW61" s="2217">
        <f t="shared" si="30"/>
        <v>27.541474000072125</v>
      </c>
      <c r="AX61" s="2217">
        <f t="shared" si="31"/>
        <v>8818.4820000105337</v>
      </c>
      <c r="AY61" s="2217">
        <f t="shared" si="12"/>
        <v>36.642900000068039</v>
      </c>
      <c r="AZ61" s="2212">
        <v>274</v>
      </c>
      <c r="BA61" s="2208"/>
      <c r="BB61" s="263"/>
      <c r="BC61" s="2208"/>
      <c r="BD61" s="263"/>
      <c r="BE61" s="263"/>
      <c r="BF61" s="263"/>
      <c r="BG61" s="263"/>
      <c r="BH61" s="2208"/>
      <c r="BI61" s="2217">
        <f t="shared" si="32"/>
        <v>38.90077300009321</v>
      </c>
      <c r="BJ61" s="2217">
        <f t="shared" si="22"/>
        <v>8818.4820000105337</v>
      </c>
      <c r="BK61" s="2217">
        <f t="shared" si="13"/>
        <v>36.642900000068039</v>
      </c>
      <c r="BL61" s="2212">
        <v>274</v>
      </c>
      <c r="BM61" s="2208"/>
      <c r="BN61" s="263"/>
      <c r="BO61" s="2208"/>
      <c r="BP61" s="263"/>
      <c r="BQ61" s="263"/>
      <c r="BR61" s="263"/>
      <c r="BS61" s="263"/>
      <c r="BT61" s="2208"/>
      <c r="BU61" s="2217">
        <f t="shared" si="33"/>
        <v>-15.131215492088813</v>
      </c>
      <c r="BV61" s="2217">
        <f t="shared" si="14"/>
        <v>8780.725554116947</v>
      </c>
      <c r="BW61" s="2217">
        <f t="shared" si="23"/>
        <v>-4.3536539682827424</v>
      </c>
      <c r="BX61" s="2212">
        <v>274</v>
      </c>
      <c r="BY61" s="2219"/>
      <c r="BZ61" s="2213"/>
      <c r="CA61" s="2219"/>
      <c r="CB61" s="2213"/>
      <c r="CC61" s="2213"/>
      <c r="CD61" s="2213"/>
      <c r="CE61" s="2213"/>
      <c r="CF61" s="2208"/>
      <c r="CG61" s="2217">
        <f t="shared" si="34"/>
        <v>-15.653653968282743</v>
      </c>
      <c r="CH61" s="2217">
        <f t="shared" si="15"/>
        <v>8780.725554116947</v>
      </c>
      <c r="CI61" s="2217">
        <f t="shared" si="24"/>
        <v>-4.3536539682827424</v>
      </c>
      <c r="CJ61" s="2212">
        <v>274</v>
      </c>
      <c r="CK61" s="2219"/>
      <c r="CL61" s="2213"/>
      <c r="CM61" s="2219"/>
      <c r="CN61" s="2213"/>
      <c r="CO61" s="2213"/>
      <c r="CP61" s="2213"/>
      <c r="CQ61" s="2213"/>
      <c r="CR61" s="2208"/>
      <c r="CS61" s="2217">
        <f t="shared" si="35"/>
        <v>38.167915000091853</v>
      </c>
      <c r="CT61" s="2217">
        <f t="shared" si="25"/>
        <v>8818.4820000105337</v>
      </c>
      <c r="CU61" s="2217">
        <f t="shared" si="16"/>
        <v>36.642900000068039</v>
      </c>
      <c r="CV61" s="2212">
        <v>274</v>
      </c>
      <c r="CW61" s="2208"/>
      <c r="CX61" s="263"/>
      <c r="CY61" s="2208"/>
      <c r="CZ61" s="263"/>
      <c r="DA61" s="263"/>
      <c r="DB61" s="263"/>
      <c r="DC61" s="263"/>
      <c r="DD61" s="2208"/>
    </row>
    <row r="62" spans="1:108">
      <c r="A62" s="2217">
        <f t="shared" si="26"/>
        <v>-16.23207325989879</v>
      </c>
      <c r="B62" s="2217">
        <f t="shared" si="17"/>
        <v>8785.0792080852298</v>
      </c>
      <c r="C62" s="2217">
        <f t="shared" si="18"/>
        <v>-4.2887593564337294</v>
      </c>
      <c r="D62" s="2212">
        <v>273</v>
      </c>
      <c r="E62" s="2219"/>
      <c r="F62" s="2213"/>
      <c r="G62" s="2219"/>
      <c r="H62" s="2213"/>
      <c r="I62" s="2213"/>
      <c r="J62" s="2213"/>
      <c r="K62" s="2213"/>
      <c r="L62" s="2213"/>
      <c r="M62" s="2217">
        <f t="shared" si="27"/>
        <v>-16.53228641484915</v>
      </c>
      <c r="N62" s="2217">
        <f t="shared" si="9"/>
        <v>8785.0792080852298</v>
      </c>
      <c r="O62" s="2217">
        <f t="shared" si="19"/>
        <v>-4.2887593564337294</v>
      </c>
      <c r="P62" s="2212">
        <v>273</v>
      </c>
      <c r="Q62" s="2219"/>
      <c r="R62" s="2213"/>
      <c r="S62" s="2219"/>
      <c r="T62" s="2213"/>
      <c r="U62" s="2213"/>
      <c r="V62" s="2213"/>
      <c r="W62" s="2213"/>
      <c r="X62" s="2213"/>
      <c r="Y62" s="2217">
        <f t="shared" si="28"/>
        <v>-16.918274756928184</v>
      </c>
      <c r="Z62" s="2217">
        <f t="shared" si="10"/>
        <v>8785.0792080852298</v>
      </c>
      <c r="AA62" s="2217">
        <f t="shared" si="20"/>
        <v>-4.2887593564337294</v>
      </c>
      <c r="AB62" s="2212">
        <v>273</v>
      </c>
      <c r="AC62" s="2219"/>
      <c r="AD62" s="2213"/>
      <c r="AE62" s="2219"/>
      <c r="AF62" s="2213"/>
      <c r="AG62" s="2213"/>
      <c r="AH62" s="2213"/>
      <c r="AI62" s="2213"/>
      <c r="AJ62" s="2213"/>
      <c r="AK62" s="2217">
        <f t="shared" si="29"/>
        <v>-15.074108233661683</v>
      </c>
      <c r="AL62" s="2217">
        <f t="shared" si="11"/>
        <v>8785.0792080852298</v>
      </c>
      <c r="AM62" s="2217">
        <f t="shared" si="21"/>
        <v>-4.2887593564337294</v>
      </c>
      <c r="AN62" s="2212">
        <v>273</v>
      </c>
      <c r="AO62" s="2219"/>
      <c r="AP62" s="2213"/>
      <c r="AQ62" s="2219"/>
      <c r="AR62" s="2213"/>
      <c r="AS62" s="2213"/>
      <c r="AT62" s="2213"/>
      <c r="AU62" s="2213"/>
      <c r="AV62" s="2213"/>
      <c r="AW62" s="2217">
        <f t="shared" si="30"/>
        <v>27.054934000079047</v>
      </c>
      <c r="AX62" s="2217">
        <f t="shared" si="31"/>
        <v>8781.8391000104657</v>
      </c>
      <c r="AY62" s="2217">
        <f t="shared" si="12"/>
        <v>36.183900000074573</v>
      </c>
      <c r="AZ62" s="2212">
        <v>273</v>
      </c>
      <c r="BA62" s="2208"/>
      <c r="BB62" s="263"/>
      <c r="BC62" s="2208"/>
      <c r="BD62" s="263"/>
      <c r="BE62" s="263"/>
      <c r="BF62" s="263"/>
      <c r="BG62" s="263"/>
      <c r="BH62" s="2208"/>
      <c r="BI62" s="2217">
        <f t="shared" si="32"/>
        <v>38.271943000102169</v>
      </c>
      <c r="BJ62" s="2217">
        <f t="shared" si="22"/>
        <v>8781.8391000104657</v>
      </c>
      <c r="BK62" s="2217">
        <f t="shared" si="13"/>
        <v>36.183900000074573</v>
      </c>
      <c r="BL62" s="2212">
        <v>273</v>
      </c>
      <c r="BM62" s="2208"/>
      <c r="BN62" s="263"/>
      <c r="BO62" s="2208"/>
      <c r="BP62" s="263"/>
      <c r="BQ62" s="263"/>
      <c r="BR62" s="263"/>
      <c r="BS62" s="263"/>
      <c r="BT62" s="2208"/>
      <c r="BU62" s="2217">
        <f t="shared" si="33"/>
        <v>-15.074108233661683</v>
      </c>
      <c r="BV62" s="2217">
        <f t="shared" si="14"/>
        <v>8785.0792080852298</v>
      </c>
      <c r="BW62" s="2217">
        <f t="shared" si="23"/>
        <v>-4.2887593564337294</v>
      </c>
      <c r="BX62" s="2212">
        <v>273</v>
      </c>
      <c r="BY62" s="2219"/>
      <c r="BZ62" s="2213"/>
      <c r="CA62" s="2219"/>
      <c r="CB62" s="2213"/>
      <c r="CC62" s="2213"/>
      <c r="CD62" s="2213"/>
      <c r="CE62" s="2213"/>
      <c r="CF62" s="2208"/>
      <c r="CG62" s="2217">
        <f t="shared" si="34"/>
        <v>-15.58875935643373</v>
      </c>
      <c r="CH62" s="2217">
        <f t="shared" si="15"/>
        <v>8785.0792080852298</v>
      </c>
      <c r="CI62" s="2217">
        <f t="shared" si="24"/>
        <v>-4.2887593564337294</v>
      </c>
      <c r="CJ62" s="2212">
        <v>273</v>
      </c>
      <c r="CK62" s="2219"/>
      <c r="CL62" s="2213"/>
      <c r="CM62" s="2219"/>
      <c r="CN62" s="2213"/>
      <c r="CO62" s="2213"/>
      <c r="CP62" s="2213"/>
      <c r="CQ62" s="2213"/>
      <c r="CR62" s="2208"/>
      <c r="CS62" s="2217">
        <f t="shared" si="35"/>
        <v>37.54826500010067</v>
      </c>
      <c r="CT62" s="2217">
        <f t="shared" si="25"/>
        <v>8781.8391000104657</v>
      </c>
      <c r="CU62" s="2217">
        <f t="shared" si="16"/>
        <v>36.183900000074573</v>
      </c>
      <c r="CV62" s="2212">
        <v>273</v>
      </c>
      <c r="CW62" s="2208"/>
      <c r="CX62" s="263"/>
      <c r="CY62" s="2208"/>
      <c r="CZ62" s="263"/>
      <c r="DA62" s="263"/>
      <c r="DB62" s="263"/>
      <c r="DC62" s="263"/>
      <c r="DD62" s="2208"/>
    </row>
    <row r="63" spans="1:108">
      <c r="A63" s="2217">
        <f t="shared" si="26"/>
        <v>-16.156131552185069</v>
      </c>
      <c r="B63" s="2217">
        <f t="shared" si="17"/>
        <v>8789.3679674416635</v>
      </c>
      <c r="C63" s="2217">
        <f t="shared" si="18"/>
        <v>-4.2227230888565828</v>
      </c>
      <c r="D63" s="2212">
        <v>272</v>
      </c>
      <c r="E63" s="2219"/>
      <c r="F63" s="2213"/>
      <c r="G63" s="2219"/>
      <c r="H63" s="2213"/>
      <c r="I63" s="2213"/>
      <c r="J63" s="2213"/>
      <c r="K63" s="2213"/>
      <c r="L63" s="2213"/>
      <c r="M63" s="2217">
        <f t="shared" si="27"/>
        <v>-16.451722168405031</v>
      </c>
      <c r="N63" s="2217">
        <f t="shared" si="9"/>
        <v>8789.3679674416635</v>
      </c>
      <c r="O63" s="2217">
        <f t="shared" si="19"/>
        <v>-4.2227230888565828</v>
      </c>
      <c r="P63" s="2212">
        <v>272</v>
      </c>
      <c r="Q63" s="2219"/>
      <c r="R63" s="2213"/>
      <c r="S63" s="2219"/>
      <c r="T63" s="2213"/>
      <c r="U63" s="2213"/>
      <c r="V63" s="2213"/>
      <c r="W63" s="2213"/>
      <c r="X63" s="2213"/>
      <c r="Y63" s="2217">
        <f t="shared" si="28"/>
        <v>-16.831767246402123</v>
      </c>
      <c r="Z63" s="2217">
        <f t="shared" si="10"/>
        <v>8789.3679674416635</v>
      </c>
      <c r="AA63" s="2217">
        <f t="shared" si="20"/>
        <v>-4.2227230888565828</v>
      </c>
      <c r="AB63" s="2212">
        <v>272</v>
      </c>
      <c r="AC63" s="2219"/>
      <c r="AD63" s="2213"/>
      <c r="AE63" s="2219"/>
      <c r="AF63" s="2213"/>
      <c r="AG63" s="2213"/>
      <c r="AH63" s="2213"/>
      <c r="AI63" s="2213"/>
      <c r="AJ63" s="2213"/>
      <c r="AK63" s="2217">
        <f t="shared" si="29"/>
        <v>-15.015996318193793</v>
      </c>
      <c r="AL63" s="2217">
        <f t="shared" si="11"/>
        <v>8789.3679674416635</v>
      </c>
      <c r="AM63" s="2217">
        <f t="shared" si="21"/>
        <v>-4.2227230888565828</v>
      </c>
      <c r="AN63" s="2212">
        <v>272</v>
      </c>
      <c r="AO63" s="2219"/>
      <c r="AP63" s="2213"/>
      <c r="AQ63" s="2219"/>
      <c r="AR63" s="2213"/>
      <c r="AS63" s="2213"/>
      <c r="AT63" s="2213"/>
      <c r="AU63" s="2213"/>
      <c r="AV63" s="2213"/>
      <c r="AW63" s="2217">
        <f t="shared" si="30"/>
        <v>26.572210000078268</v>
      </c>
      <c r="AX63" s="2217">
        <f t="shared" si="31"/>
        <v>8745.6552000103911</v>
      </c>
      <c r="AY63" s="2217">
        <f t="shared" si="12"/>
        <v>35.728500000073836</v>
      </c>
      <c r="AZ63" s="2212">
        <v>272</v>
      </c>
      <c r="BA63" s="2208"/>
      <c r="BB63" s="263"/>
      <c r="BC63" s="2208"/>
      <c r="BD63" s="263"/>
      <c r="BE63" s="263"/>
      <c r="BF63" s="263"/>
      <c r="BG63" s="263"/>
      <c r="BH63" s="2208"/>
      <c r="BI63" s="2217">
        <f t="shared" si="32"/>
        <v>37.648045000101163</v>
      </c>
      <c r="BJ63" s="2217">
        <f t="shared" si="22"/>
        <v>8745.6552000103911</v>
      </c>
      <c r="BK63" s="2217">
        <f t="shared" si="13"/>
        <v>35.728500000073836</v>
      </c>
      <c r="BL63" s="2212">
        <v>272</v>
      </c>
      <c r="BM63" s="2208"/>
      <c r="BN63" s="263"/>
      <c r="BO63" s="2208"/>
      <c r="BP63" s="263"/>
      <c r="BQ63" s="263"/>
      <c r="BR63" s="263"/>
      <c r="BS63" s="263"/>
      <c r="BT63" s="2208"/>
      <c r="BU63" s="2217">
        <f t="shared" si="33"/>
        <v>-15.015996318193793</v>
      </c>
      <c r="BV63" s="2217">
        <f t="shared" si="14"/>
        <v>8789.3679674416635</v>
      </c>
      <c r="BW63" s="2217">
        <f t="shared" si="23"/>
        <v>-4.2227230888565828</v>
      </c>
      <c r="BX63" s="2212">
        <v>272</v>
      </c>
      <c r="BY63" s="2219"/>
      <c r="BZ63" s="2213"/>
      <c r="CA63" s="2219"/>
      <c r="CB63" s="2213"/>
      <c r="CC63" s="2213"/>
      <c r="CD63" s="2213"/>
      <c r="CE63" s="2213"/>
      <c r="CF63" s="2208"/>
      <c r="CG63" s="2217">
        <f t="shared" si="34"/>
        <v>-15.522723088856583</v>
      </c>
      <c r="CH63" s="2217">
        <f t="shared" si="15"/>
        <v>8789.3679674416635</v>
      </c>
      <c r="CI63" s="2217">
        <f t="shared" si="24"/>
        <v>-4.2227230888565828</v>
      </c>
      <c r="CJ63" s="2212">
        <v>272</v>
      </c>
      <c r="CK63" s="2219"/>
      <c r="CL63" s="2213"/>
      <c r="CM63" s="2219"/>
      <c r="CN63" s="2213"/>
      <c r="CO63" s="2213"/>
      <c r="CP63" s="2213"/>
      <c r="CQ63" s="2213"/>
      <c r="CR63" s="2208"/>
      <c r="CS63" s="2217">
        <f t="shared" si="35"/>
        <v>36.933475000099676</v>
      </c>
      <c r="CT63" s="2217">
        <f t="shared" si="25"/>
        <v>8745.6552000103911</v>
      </c>
      <c r="CU63" s="2217">
        <f t="shared" si="16"/>
        <v>35.728500000073836</v>
      </c>
      <c r="CV63" s="2212">
        <v>272</v>
      </c>
      <c r="CW63" s="2208"/>
      <c r="CX63" s="263"/>
      <c r="CY63" s="2208"/>
      <c r="CZ63" s="263"/>
      <c r="DA63" s="263"/>
      <c r="DB63" s="263"/>
      <c r="DC63" s="263"/>
      <c r="DD63" s="2208"/>
    </row>
    <row r="64" spans="1:108">
      <c r="A64" s="2217">
        <f t="shared" si="26"/>
        <v>-16.07887694036517</v>
      </c>
      <c r="B64" s="2217">
        <f t="shared" si="17"/>
        <v>8793.5906905305201</v>
      </c>
      <c r="C64" s="2217">
        <f t="shared" si="18"/>
        <v>-4.1555451655349316</v>
      </c>
      <c r="D64" s="2212">
        <v>271</v>
      </c>
      <c r="E64" s="2219"/>
      <c r="F64" s="2213"/>
      <c r="G64" s="2219"/>
      <c r="H64" s="2213"/>
      <c r="I64" s="2213"/>
      <c r="J64" s="2213"/>
      <c r="K64" s="2213"/>
      <c r="L64" s="2213"/>
      <c r="M64" s="2217">
        <f t="shared" si="27"/>
        <v>-16.369765101952616</v>
      </c>
      <c r="N64" s="2217">
        <f t="shared" si="9"/>
        <v>8793.5906905305201</v>
      </c>
      <c r="O64" s="2217">
        <f t="shared" si="19"/>
        <v>-4.1555451655349316</v>
      </c>
      <c r="P64" s="2212">
        <v>271</v>
      </c>
      <c r="Q64" s="2219"/>
      <c r="R64" s="2213"/>
      <c r="S64" s="2219"/>
      <c r="T64" s="2213"/>
      <c r="U64" s="2213"/>
      <c r="V64" s="2213"/>
      <c r="W64" s="2213"/>
      <c r="X64" s="2213"/>
      <c r="Y64" s="2217">
        <f t="shared" si="28"/>
        <v>-16.74376416685076</v>
      </c>
      <c r="Z64" s="2217">
        <f t="shared" si="10"/>
        <v>8793.5906905305201</v>
      </c>
      <c r="AA64" s="2217">
        <f t="shared" si="20"/>
        <v>-4.1555451655349316</v>
      </c>
      <c r="AB64" s="2212">
        <v>271</v>
      </c>
      <c r="AC64" s="2219"/>
      <c r="AD64" s="2213"/>
      <c r="AE64" s="2219"/>
      <c r="AF64" s="2213"/>
      <c r="AG64" s="2213"/>
      <c r="AH64" s="2213"/>
      <c r="AI64" s="2213"/>
      <c r="AJ64" s="2213"/>
      <c r="AK64" s="2217">
        <f t="shared" si="29"/>
        <v>-14.95687974567074</v>
      </c>
      <c r="AL64" s="2217">
        <f t="shared" si="11"/>
        <v>8793.5906905305201</v>
      </c>
      <c r="AM64" s="2217">
        <f t="shared" si="21"/>
        <v>-4.1555451655349316</v>
      </c>
      <c r="AN64" s="2212">
        <v>271</v>
      </c>
      <c r="AO64" s="2219"/>
      <c r="AP64" s="2213"/>
      <c r="AQ64" s="2219"/>
      <c r="AR64" s="2213"/>
      <c r="AS64" s="2213"/>
      <c r="AT64" s="2213"/>
      <c r="AU64" s="2213"/>
      <c r="AV64" s="2213"/>
      <c r="AW64" s="2217">
        <f t="shared" si="30"/>
        <v>26.093302000077497</v>
      </c>
      <c r="AX64" s="2217">
        <f t="shared" si="31"/>
        <v>8709.9267000103173</v>
      </c>
      <c r="AY64" s="2217">
        <f t="shared" si="12"/>
        <v>35.276700000073106</v>
      </c>
      <c r="AZ64" s="2212">
        <v>271</v>
      </c>
      <c r="BA64" s="2208"/>
      <c r="BB64" s="263"/>
      <c r="BC64" s="2208"/>
      <c r="BD64" s="263"/>
      <c r="BE64" s="263"/>
      <c r="BF64" s="263"/>
      <c r="BG64" s="263"/>
      <c r="BH64" s="2208"/>
      <c r="BI64" s="2217">
        <f t="shared" si="32"/>
        <v>37.029079000100154</v>
      </c>
      <c r="BJ64" s="2217">
        <f t="shared" si="22"/>
        <v>8709.9267000103173</v>
      </c>
      <c r="BK64" s="2217">
        <f t="shared" si="13"/>
        <v>35.276700000073106</v>
      </c>
      <c r="BL64" s="2212">
        <v>271</v>
      </c>
      <c r="BM64" s="2208"/>
      <c r="BN64" s="263"/>
      <c r="BO64" s="2208"/>
      <c r="BP64" s="263"/>
      <c r="BQ64" s="263"/>
      <c r="BR64" s="263"/>
      <c r="BS64" s="263"/>
      <c r="BT64" s="2208"/>
      <c r="BU64" s="2217">
        <f t="shared" si="33"/>
        <v>-14.95687974567074</v>
      </c>
      <c r="BV64" s="2217">
        <f t="shared" si="14"/>
        <v>8793.5906905305201</v>
      </c>
      <c r="BW64" s="2217">
        <f t="shared" si="23"/>
        <v>-4.1555451655349316</v>
      </c>
      <c r="BX64" s="2212">
        <v>271</v>
      </c>
      <c r="BY64" s="2219"/>
      <c r="BZ64" s="2213"/>
      <c r="CA64" s="2219"/>
      <c r="CB64" s="2213"/>
      <c r="CC64" s="2213"/>
      <c r="CD64" s="2213"/>
      <c r="CE64" s="2213"/>
      <c r="CF64" s="2208"/>
      <c r="CG64" s="2217">
        <f t="shared" si="34"/>
        <v>-15.455545165534932</v>
      </c>
      <c r="CH64" s="2217">
        <f t="shared" si="15"/>
        <v>8793.5906905305201</v>
      </c>
      <c r="CI64" s="2217">
        <f t="shared" si="24"/>
        <v>-4.1555451655349316</v>
      </c>
      <c r="CJ64" s="2212">
        <v>271</v>
      </c>
      <c r="CK64" s="2219"/>
      <c r="CL64" s="2213"/>
      <c r="CM64" s="2219"/>
      <c r="CN64" s="2213"/>
      <c r="CO64" s="2213"/>
      <c r="CP64" s="2213"/>
      <c r="CQ64" s="2213"/>
      <c r="CR64" s="2208"/>
      <c r="CS64" s="2217">
        <f t="shared" si="35"/>
        <v>36.32354500009869</v>
      </c>
      <c r="CT64" s="2217">
        <f t="shared" si="25"/>
        <v>8709.9267000103173</v>
      </c>
      <c r="CU64" s="2217">
        <f t="shared" si="16"/>
        <v>35.276700000073106</v>
      </c>
      <c r="CV64" s="2212">
        <v>271</v>
      </c>
      <c r="CW64" s="2208"/>
      <c r="CX64" s="263"/>
      <c r="CY64" s="2208"/>
      <c r="CZ64" s="263"/>
      <c r="DA64" s="263"/>
      <c r="DB64" s="263"/>
      <c r="DC64" s="263"/>
      <c r="DD64" s="2208"/>
    </row>
    <row r="65" spans="1:108">
      <c r="A65" s="2217">
        <f t="shared" si="26"/>
        <v>-16.000309424464195</v>
      </c>
      <c r="B65" s="2217">
        <f t="shared" si="17"/>
        <v>8797.746235696055</v>
      </c>
      <c r="C65" s="2217">
        <f t="shared" si="18"/>
        <v>-4.0872255864906037</v>
      </c>
      <c r="D65" s="2212">
        <v>270</v>
      </c>
      <c r="E65" s="2219"/>
      <c r="F65" s="2213"/>
      <c r="G65" s="2219"/>
      <c r="H65" s="2213"/>
      <c r="I65" s="2213"/>
      <c r="J65" s="2213"/>
      <c r="K65" s="2213"/>
      <c r="L65" s="2213"/>
      <c r="M65" s="2217">
        <f t="shared" si="27"/>
        <v>-16.286415215518538</v>
      </c>
      <c r="N65" s="2217">
        <f t="shared" si="9"/>
        <v>8797.746235696055</v>
      </c>
      <c r="O65" s="2217">
        <f t="shared" si="19"/>
        <v>-4.0872255864906037</v>
      </c>
      <c r="P65" s="2212">
        <v>270</v>
      </c>
      <c r="Q65" s="2219"/>
      <c r="R65" s="2213"/>
      <c r="S65" s="2219"/>
      <c r="T65" s="2213"/>
      <c r="U65" s="2213"/>
      <c r="V65" s="2213"/>
      <c r="W65" s="2213"/>
      <c r="X65" s="2213"/>
      <c r="Y65" s="2217">
        <f t="shared" si="28"/>
        <v>-16.654265518302694</v>
      </c>
      <c r="Z65" s="2217">
        <f t="shared" si="10"/>
        <v>8797.746235696055</v>
      </c>
      <c r="AA65" s="2217">
        <f t="shared" si="20"/>
        <v>-4.0872255864906037</v>
      </c>
      <c r="AB65" s="2212">
        <v>270</v>
      </c>
      <c r="AC65" s="2219"/>
      <c r="AD65" s="2213"/>
      <c r="AE65" s="2219"/>
      <c r="AF65" s="2213"/>
      <c r="AG65" s="2213"/>
      <c r="AH65" s="2213"/>
      <c r="AI65" s="2213"/>
      <c r="AJ65" s="2213"/>
      <c r="AK65" s="2217">
        <f t="shared" si="29"/>
        <v>-14.896758516111731</v>
      </c>
      <c r="AL65" s="2217">
        <f t="shared" si="11"/>
        <v>8797.746235696055</v>
      </c>
      <c r="AM65" s="2217">
        <f t="shared" si="21"/>
        <v>-4.0872255864906037</v>
      </c>
      <c r="AN65" s="2212">
        <v>270</v>
      </c>
      <c r="AO65" s="2219"/>
      <c r="AP65" s="2213"/>
      <c r="AQ65" s="2219"/>
      <c r="AR65" s="2213"/>
      <c r="AS65" s="2213"/>
      <c r="AT65" s="2213"/>
      <c r="AU65" s="2213"/>
      <c r="AV65" s="2213"/>
      <c r="AW65" s="2217">
        <f t="shared" si="30"/>
        <v>25.6182100000748</v>
      </c>
      <c r="AX65" s="2217">
        <f t="shared" si="31"/>
        <v>8674.6500000102442</v>
      </c>
      <c r="AY65" s="2217">
        <f t="shared" si="12"/>
        <v>34.828500000070562</v>
      </c>
      <c r="AZ65" s="2212">
        <v>270</v>
      </c>
      <c r="BA65" s="2208"/>
      <c r="BB65" s="263"/>
      <c r="BC65" s="2208"/>
      <c r="BD65" s="263"/>
      <c r="BE65" s="263"/>
      <c r="BF65" s="263"/>
      <c r="BG65" s="263"/>
      <c r="BH65" s="2208"/>
      <c r="BI65" s="2217">
        <f t="shared" si="32"/>
        <v>36.415045000096669</v>
      </c>
      <c r="BJ65" s="2217">
        <f t="shared" si="22"/>
        <v>8674.6500000102442</v>
      </c>
      <c r="BK65" s="2217">
        <f t="shared" si="13"/>
        <v>34.828500000070562</v>
      </c>
      <c r="BL65" s="2212">
        <v>270</v>
      </c>
      <c r="BM65" s="2208"/>
      <c r="BN65" s="263"/>
      <c r="BO65" s="2208"/>
      <c r="BP65" s="263"/>
      <c r="BQ65" s="263"/>
      <c r="BR65" s="263"/>
      <c r="BS65" s="263"/>
      <c r="BT65" s="2208"/>
      <c r="BU65" s="2217">
        <f t="shared" si="33"/>
        <v>-14.896758516111731</v>
      </c>
      <c r="BV65" s="2217">
        <f t="shared" si="14"/>
        <v>8797.746235696055</v>
      </c>
      <c r="BW65" s="2217">
        <f t="shared" si="23"/>
        <v>-4.0872255864906037</v>
      </c>
      <c r="BX65" s="2212">
        <v>270</v>
      </c>
      <c r="BY65" s="2219"/>
      <c r="BZ65" s="2213"/>
      <c r="CA65" s="2219"/>
      <c r="CB65" s="2213"/>
      <c r="CC65" s="2213"/>
      <c r="CD65" s="2213"/>
      <c r="CE65" s="2213"/>
      <c r="CF65" s="2208"/>
      <c r="CG65" s="2217">
        <f t="shared" si="34"/>
        <v>-15.387225586490604</v>
      </c>
      <c r="CH65" s="2217">
        <f t="shared" si="15"/>
        <v>8797.746235696055</v>
      </c>
      <c r="CI65" s="2217">
        <f t="shared" si="24"/>
        <v>-4.0872255864906037</v>
      </c>
      <c r="CJ65" s="2212">
        <v>270</v>
      </c>
      <c r="CK65" s="2219"/>
      <c r="CL65" s="2213"/>
      <c r="CM65" s="2219"/>
      <c r="CN65" s="2213"/>
      <c r="CO65" s="2213"/>
      <c r="CP65" s="2213"/>
      <c r="CQ65" s="2213"/>
      <c r="CR65" s="2208"/>
      <c r="CS65" s="2217">
        <f t="shared" si="35"/>
        <v>35.718475000095268</v>
      </c>
      <c r="CT65" s="2217">
        <f t="shared" si="25"/>
        <v>8674.6500000102442</v>
      </c>
      <c r="CU65" s="2217">
        <f t="shared" si="16"/>
        <v>34.828500000070562</v>
      </c>
      <c r="CV65" s="2212">
        <v>270</v>
      </c>
      <c r="CW65" s="2208"/>
      <c r="CX65" s="263"/>
      <c r="CY65" s="2208"/>
      <c r="CZ65" s="263"/>
      <c r="DA65" s="263"/>
      <c r="DB65" s="263"/>
      <c r="DC65" s="263"/>
      <c r="DD65" s="2208"/>
    </row>
    <row r="66" spans="1:108">
      <c r="A66" s="2217">
        <f t="shared" si="26"/>
        <v>-15.920429004457038</v>
      </c>
      <c r="B66" s="2217">
        <f t="shared" si="17"/>
        <v>8801.8334612825456</v>
      </c>
      <c r="C66" s="2217">
        <f t="shared" si="18"/>
        <v>-4.0177643517017714</v>
      </c>
      <c r="D66" s="2212">
        <v>269</v>
      </c>
      <c r="E66" s="2219"/>
      <c r="F66" s="2213"/>
      <c r="G66" s="2219"/>
      <c r="H66" s="2213"/>
      <c r="I66" s="2213"/>
      <c r="J66" s="2213"/>
      <c r="K66" s="2213"/>
      <c r="L66" s="2213"/>
      <c r="M66" s="2217">
        <f t="shared" si="27"/>
        <v>-16.201672509076161</v>
      </c>
      <c r="N66" s="2217">
        <f t="shared" si="9"/>
        <v>8801.8334612825456</v>
      </c>
      <c r="O66" s="2217">
        <f t="shared" si="19"/>
        <v>-4.0177643517017714</v>
      </c>
      <c r="P66" s="2212">
        <v>269</v>
      </c>
      <c r="Q66" s="2219"/>
      <c r="R66" s="2213"/>
      <c r="S66" s="2219"/>
      <c r="T66" s="2213"/>
      <c r="U66" s="2213"/>
      <c r="V66" s="2213"/>
      <c r="W66" s="2213"/>
      <c r="X66" s="2213"/>
      <c r="Y66" s="2217">
        <f t="shared" si="28"/>
        <v>-16.563271300729323</v>
      </c>
      <c r="Z66" s="2217">
        <f t="shared" si="10"/>
        <v>8801.8334612825456</v>
      </c>
      <c r="AA66" s="2217">
        <f t="shared" si="20"/>
        <v>-4.0177643517017714</v>
      </c>
      <c r="AB66" s="2212">
        <v>269</v>
      </c>
      <c r="AC66" s="2219"/>
      <c r="AD66" s="2213"/>
      <c r="AE66" s="2219"/>
      <c r="AF66" s="2213"/>
      <c r="AG66" s="2213"/>
      <c r="AH66" s="2213"/>
      <c r="AI66" s="2213"/>
      <c r="AJ66" s="2213"/>
      <c r="AK66" s="2217">
        <f t="shared" si="29"/>
        <v>-14.835632629497558</v>
      </c>
      <c r="AL66" s="2217">
        <f t="shared" si="11"/>
        <v>8801.8334612825456</v>
      </c>
      <c r="AM66" s="2217">
        <f t="shared" si="21"/>
        <v>-4.0177643517017714</v>
      </c>
      <c r="AN66" s="2212">
        <v>269</v>
      </c>
      <c r="AO66" s="2219"/>
      <c r="AP66" s="2213"/>
      <c r="AQ66" s="2219"/>
      <c r="AR66" s="2213"/>
      <c r="AS66" s="2213"/>
      <c r="AT66" s="2213"/>
      <c r="AU66" s="2213"/>
      <c r="AV66" s="2213"/>
      <c r="AW66" s="2217">
        <f t="shared" si="30"/>
        <v>25.14693400007982</v>
      </c>
      <c r="AX66" s="2217">
        <f t="shared" si="31"/>
        <v>8639.8215000101736</v>
      </c>
      <c r="AY66" s="2217">
        <f t="shared" si="12"/>
        <v>34.3839000000753</v>
      </c>
      <c r="AZ66" s="2212">
        <v>269</v>
      </c>
      <c r="BA66" s="2208"/>
      <c r="BB66" s="263"/>
      <c r="BC66" s="2208"/>
      <c r="BD66" s="263"/>
      <c r="BE66" s="263"/>
      <c r="BF66" s="263"/>
      <c r="BG66" s="263"/>
      <c r="BH66" s="2208"/>
      <c r="BI66" s="2217">
        <f t="shared" si="32"/>
        <v>35.80594300010317</v>
      </c>
      <c r="BJ66" s="2217">
        <f t="shared" si="22"/>
        <v>8639.8215000101736</v>
      </c>
      <c r="BK66" s="2217">
        <f t="shared" si="13"/>
        <v>34.3839000000753</v>
      </c>
      <c r="BL66" s="2212">
        <v>269</v>
      </c>
      <c r="BM66" s="2208"/>
      <c r="BN66" s="263"/>
      <c r="BO66" s="2208"/>
      <c r="BP66" s="263"/>
      <c r="BQ66" s="263"/>
      <c r="BR66" s="263"/>
      <c r="BS66" s="263"/>
      <c r="BT66" s="2208"/>
      <c r="BU66" s="2217">
        <f t="shared" si="33"/>
        <v>-14.835632629497558</v>
      </c>
      <c r="BV66" s="2217">
        <f t="shared" si="14"/>
        <v>8801.8334612825456</v>
      </c>
      <c r="BW66" s="2217">
        <f t="shared" si="23"/>
        <v>-4.0177643517017714</v>
      </c>
      <c r="BX66" s="2212">
        <v>269</v>
      </c>
      <c r="BY66" s="2219"/>
      <c r="BZ66" s="2213"/>
      <c r="CA66" s="2219"/>
      <c r="CB66" s="2213"/>
      <c r="CC66" s="2213"/>
      <c r="CD66" s="2213"/>
      <c r="CE66" s="2213"/>
      <c r="CF66" s="2208"/>
      <c r="CG66" s="2217">
        <f t="shared" si="34"/>
        <v>-15.317764351701772</v>
      </c>
      <c r="CH66" s="2217">
        <f t="shared" si="15"/>
        <v>8801.8334612825456</v>
      </c>
      <c r="CI66" s="2217">
        <f t="shared" si="24"/>
        <v>-4.0177643517017714</v>
      </c>
      <c r="CJ66" s="2212">
        <v>269</v>
      </c>
      <c r="CK66" s="2219"/>
      <c r="CL66" s="2213"/>
      <c r="CM66" s="2219"/>
      <c r="CN66" s="2213"/>
      <c r="CO66" s="2213"/>
      <c r="CP66" s="2213"/>
      <c r="CQ66" s="2213"/>
      <c r="CR66" s="2208"/>
      <c r="CS66" s="2217">
        <f t="shared" si="35"/>
        <v>35.118265000101658</v>
      </c>
      <c r="CT66" s="2217">
        <f t="shared" si="25"/>
        <v>8639.8215000101736</v>
      </c>
      <c r="CU66" s="2217">
        <f t="shared" si="16"/>
        <v>34.3839000000753</v>
      </c>
      <c r="CV66" s="2212">
        <v>269</v>
      </c>
      <c r="CW66" s="2208"/>
      <c r="CX66" s="263"/>
      <c r="CY66" s="2208"/>
      <c r="CZ66" s="263"/>
      <c r="DA66" s="263"/>
      <c r="DB66" s="263"/>
      <c r="DC66" s="263"/>
      <c r="DD66" s="2208"/>
    </row>
    <row r="67" spans="1:108">
      <c r="A67" s="2217">
        <f t="shared" si="26"/>
        <v>-15.839235680364618</v>
      </c>
      <c r="B67" s="2217">
        <f t="shared" si="17"/>
        <v>8805.8512256342474</v>
      </c>
      <c r="C67" s="2217">
        <f t="shared" si="18"/>
        <v>-3.9471614611866244</v>
      </c>
      <c r="D67" s="2212">
        <v>268</v>
      </c>
      <c r="E67" s="2219"/>
      <c r="F67" s="2213"/>
      <c r="G67" s="2219"/>
      <c r="H67" s="2213"/>
      <c r="I67" s="2213"/>
      <c r="J67" s="2213"/>
      <c r="K67" s="2213"/>
      <c r="L67" s="2213"/>
      <c r="M67" s="2217">
        <f t="shared" si="27"/>
        <v>-16.115536982647683</v>
      </c>
      <c r="N67" s="2217">
        <f t="shared" si="9"/>
        <v>8805.8512256342474</v>
      </c>
      <c r="O67" s="2217">
        <f t="shared" si="19"/>
        <v>-3.9471614611866244</v>
      </c>
      <c r="P67" s="2212">
        <v>268</v>
      </c>
      <c r="Q67" s="2219"/>
      <c r="R67" s="2213"/>
      <c r="S67" s="2219"/>
      <c r="T67" s="2213"/>
      <c r="U67" s="2213"/>
      <c r="V67" s="2213"/>
      <c r="W67" s="2213"/>
      <c r="X67" s="2213"/>
      <c r="Y67" s="2217">
        <f t="shared" si="28"/>
        <v>-16.470781514154478</v>
      </c>
      <c r="Z67" s="2217">
        <f t="shared" si="10"/>
        <v>8805.8512256342474</v>
      </c>
      <c r="AA67" s="2217">
        <f t="shared" si="20"/>
        <v>-3.9471614611866244</v>
      </c>
      <c r="AB67" s="2212">
        <v>268</v>
      </c>
      <c r="AC67" s="2219"/>
      <c r="AD67" s="2213"/>
      <c r="AE67" s="2219"/>
      <c r="AF67" s="2213"/>
      <c r="AG67" s="2213"/>
      <c r="AH67" s="2213"/>
      <c r="AI67" s="2213"/>
      <c r="AJ67" s="2213"/>
      <c r="AK67" s="2217">
        <f t="shared" si="29"/>
        <v>-14.77350208584423</v>
      </c>
      <c r="AL67" s="2217">
        <f t="shared" si="11"/>
        <v>8805.8512256342474</v>
      </c>
      <c r="AM67" s="2217">
        <f t="shared" si="21"/>
        <v>-3.9471614611866244</v>
      </c>
      <c r="AN67" s="2212">
        <v>268</v>
      </c>
      <c r="AO67" s="2219"/>
      <c r="AP67" s="2213"/>
      <c r="AQ67" s="2219"/>
      <c r="AR67" s="2213"/>
      <c r="AS67" s="2213"/>
      <c r="AT67" s="2213"/>
      <c r="AU67" s="2213"/>
      <c r="AV67" s="2213"/>
      <c r="AW67" s="2217">
        <f t="shared" si="30"/>
        <v>24.679474000077132</v>
      </c>
      <c r="AX67" s="2217">
        <f t="shared" si="31"/>
        <v>8605.4376000100983</v>
      </c>
      <c r="AY67" s="2217">
        <f t="shared" si="12"/>
        <v>33.942900000072768</v>
      </c>
      <c r="AZ67" s="2212">
        <v>268</v>
      </c>
      <c r="BA67" s="2208"/>
      <c r="BB67" s="263"/>
      <c r="BC67" s="2208"/>
      <c r="BD67" s="263"/>
      <c r="BE67" s="263"/>
      <c r="BF67" s="263"/>
      <c r="BG67" s="263"/>
      <c r="BH67" s="2208"/>
      <c r="BI67" s="2217">
        <f t="shared" si="32"/>
        <v>35.201773000099692</v>
      </c>
      <c r="BJ67" s="2217">
        <f t="shared" si="22"/>
        <v>8605.4376000100983</v>
      </c>
      <c r="BK67" s="2217">
        <f t="shared" si="13"/>
        <v>33.942900000072768</v>
      </c>
      <c r="BL67" s="2212">
        <v>268</v>
      </c>
      <c r="BM67" s="2208"/>
      <c r="BN67" s="263"/>
      <c r="BO67" s="2208"/>
      <c r="BP67" s="263"/>
      <c r="BQ67" s="263"/>
      <c r="BR67" s="263"/>
      <c r="BS67" s="263"/>
      <c r="BT67" s="2208"/>
      <c r="BU67" s="2217">
        <f t="shared" si="33"/>
        <v>-14.77350208584423</v>
      </c>
      <c r="BV67" s="2217">
        <f t="shared" si="14"/>
        <v>8805.8512256342474</v>
      </c>
      <c r="BW67" s="2217">
        <f t="shared" si="23"/>
        <v>-3.9471614611866244</v>
      </c>
      <c r="BX67" s="2212">
        <v>268</v>
      </c>
      <c r="BY67" s="2219"/>
      <c r="BZ67" s="2213"/>
      <c r="CA67" s="2219"/>
      <c r="CB67" s="2213"/>
      <c r="CC67" s="2213"/>
      <c r="CD67" s="2213"/>
      <c r="CE67" s="2213"/>
      <c r="CF67" s="2208"/>
      <c r="CG67" s="2217">
        <f t="shared" si="34"/>
        <v>-15.247161461186625</v>
      </c>
      <c r="CH67" s="2217">
        <f t="shared" si="15"/>
        <v>8805.8512256342474</v>
      </c>
      <c r="CI67" s="2217">
        <f t="shared" si="24"/>
        <v>-3.9471614611866244</v>
      </c>
      <c r="CJ67" s="2212">
        <v>268</v>
      </c>
      <c r="CK67" s="2219"/>
      <c r="CL67" s="2213"/>
      <c r="CM67" s="2219"/>
      <c r="CN67" s="2213"/>
      <c r="CO67" s="2213"/>
      <c r="CP67" s="2213"/>
      <c r="CQ67" s="2213"/>
      <c r="CR67" s="2208"/>
      <c r="CS67" s="2217">
        <f t="shared" si="35"/>
        <v>34.522915000098237</v>
      </c>
      <c r="CT67" s="2217">
        <f t="shared" si="25"/>
        <v>8605.4376000100983</v>
      </c>
      <c r="CU67" s="2217">
        <f t="shared" si="16"/>
        <v>33.942900000072768</v>
      </c>
      <c r="CV67" s="2212">
        <v>268</v>
      </c>
      <c r="CW67" s="2208"/>
      <c r="CX67" s="263"/>
      <c r="CY67" s="2208"/>
      <c r="CZ67" s="263"/>
      <c r="DA67" s="263"/>
      <c r="DB67" s="263"/>
      <c r="DC67" s="263"/>
      <c r="DD67" s="2208"/>
    </row>
    <row r="68" spans="1:108">
      <c r="A68" s="2217">
        <f t="shared" si="26"/>
        <v>-15.756729452163928</v>
      </c>
      <c r="B68" s="2217">
        <f t="shared" si="17"/>
        <v>8809.798387095434</v>
      </c>
      <c r="C68" s="2217">
        <f t="shared" si="18"/>
        <v>-3.8754169149251538</v>
      </c>
      <c r="D68" s="2212">
        <v>267</v>
      </c>
      <c r="E68" s="2219"/>
      <c r="F68" s="2213"/>
      <c r="G68" s="2219"/>
      <c r="H68" s="2213"/>
      <c r="I68" s="2213"/>
      <c r="J68" s="2213"/>
      <c r="K68" s="2213"/>
      <c r="L68" s="2213"/>
      <c r="M68" s="2217">
        <f t="shared" si="27"/>
        <v>-16.028008636208689</v>
      </c>
      <c r="N68" s="2217">
        <f t="shared" si="9"/>
        <v>8809.798387095434</v>
      </c>
      <c r="O68" s="2217">
        <f t="shared" si="19"/>
        <v>-3.8754169149251538</v>
      </c>
      <c r="P68" s="2212">
        <v>267</v>
      </c>
      <c r="Q68" s="2219"/>
      <c r="R68" s="2213"/>
      <c r="S68" s="2219"/>
      <c r="T68" s="2213"/>
      <c r="U68" s="2213"/>
      <c r="V68" s="2213"/>
      <c r="W68" s="2213"/>
      <c r="X68" s="2213"/>
      <c r="Y68" s="2217">
        <f t="shared" si="28"/>
        <v>-16.376796158551954</v>
      </c>
      <c r="Z68" s="2217">
        <f t="shared" si="10"/>
        <v>8809.798387095434</v>
      </c>
      <c r="AA68" s="2217">
        <f t="shared" si="20"/>
        <v>-3.8754169149251538</v>
      </c>
      <c r="AB68" s="2212">
        <v>267</v>
      </c>
      <c r="AC68" s="2219"/>
      <c r="AD68" s="2213"/>
      <c r="AE68" s="2219"/>
      <c r="AF68" s="2213"/>
      <c r="AG68" s="2213"/>
      <c r="AH68" s="2213"/>
      <c r="AI68" s="2213"/>
      <c r="AJ68" s="2213"/>
      <c r="AK68" s="2217">
        <f t="shared" si="29"/>
        <v>-14.710366885134135</v>
      </c>
      <c r="AL68" s="2217">
        <f t="shared" si="11"/>
        <v>8809.798387095434</v>
      </c>
      <c r="AM68" s="2217">
        <f t="shared" si="21"/>
        <v>-3.8754169149251538</v>
      </c>
      <c r="AN68" s="2212">
        <v>267</v>
      </c>
      <c r="AO68" s="2219"/>
      <c r="AP68" s="2213"/>
      <c r="AQ68" s="2219"/>
      <c r="AR68" s="2213"/>
      <c r="AS68" s="2213"/>
      <c r="AT68" s="2213"/>
      <c r="AU68" s="2213"/>
      <c r="AV68" s="2213"/>
      <c r="AW68" s="2217">
        <f t="shared" si="30"/>
        <v>24.215830000080242</v>
      </c>
      <c r="AX68" s="2217">
        <f t="shared" si="31"/>
        <v>8571.4947000100256</v>
      </c>
      <c r="AY68" s="2217">
        <f t="shared" si="12"/>
        <v>33.505500000075699</v>
      </c>
      <c r="AZ68" s="2212">
        <v>267</v>
      </c>
      <c r="BA68" s="2208"/>
      <c r="BB68" s="263"/>
      <c r="BC68" s="2208"/>
      <c r="BD68" s="263"/>
      <c r="BE68" s="263"/>
      <c r="BF68" s="263"/>
      <c r="BG68" s="263"/>
      <c r="BH68" s="2208"/>
      <c r="BI68" s="2217">
        <f t="shared" si="32"/>
        <v>34.602535000103714</v>
      </c>
      <c r="BJ68" s="2217">
        <f t="shared" si="22"/>
        <v>8571.4947000100256</v>
      </c>
      <c r="BK68" s="2217">
        <f t="shared" si="13"/>
        <v>33.505500000075699</v>
      </c>
      <c r="BL68" s="2212">
        <v>267</v>
      </c>
      <c r="BM68" s="2208"/>
      <c r="BN68" s="263"/>
      <c r="BO68" s="2208"/>
      <c r="BP68" s="263"/>
      <c r="BQ68" s="263"/>
      <c r="BR68" s="263"/>
      <c r="BS68" s="263"/>
      <c r="BT68" s="2208"/>
      <c r="BU68" s="2217">
        <f t="shared" si="33"/>
        <v>-14.710366885134135</v>
      </c>
      <c r="BV68" s="2217">
        <f t="shared" si="14"/>
        <v>8809.798387095434</v>
      </c>
      <c r="BW68" s="2217">
        <f t="shared" si="23"/>
        <v>-3.8754169149251538</v>
      </c>
      <c r="BX68" s="2212">
        <v>267</v>
      </c>
      <c r="BY68" s="2219"/>
      <c r="BZ68" s="2213"/>
      <c r="CA68" s="2219"/>
      <c r="CB68" s="2213"/>
      <c r="CC68" s="2213"/>
      <c r="CD68" s="2213"/>
      <c r="CE68" s="2213"/>
      <c r="CF68" s="2208"/>
      <c r="CG68" s="2217">
        <f t="shared" si="34"/>
        <v>-15.175416914925155</v>
      </c>
      <c r="CH68" s="2217">
        <f t="shared" si="15"/>
        <v>8809.798387095434</v>
      </c>
      <c r="CI68" s="2217">
        <f t="shared" si="24"/>
        <v>-3.8754169149251538</v>
      </c>
      <c r="CJ68" s="2212">
        <v>267</v>
      </c>
      <c r="CK68" s="2219"/>
      <c r="CL68" s="2213"/>
      <c r="CM68" s="2219"/>
      <c r="CN68" s="2213"/>
      <c r="CO68" s="2213"/>
      <c r="CP68" s="2213"/>
      <c r="CQ68" s="2213"/>
      <c r="CR68" s="2208"/>
      <c r="CS68" s="2217">
        <f t="shared" si="35"/>
        <v>33.932425000102199</v>
      </c>
      <c r="CT68" s="2217">
        <f t="shared" si="25"/>
        <v>8571.4947000100256</v>
      </c>
      <c r="CU68" s="2217">
        <f t="shared" si="16"/>
        <v>33.505500000075699</v>
      </c>
      <c r="CV68" s="2212">
        <v>267</v>
      </c>
      <c r="CW68" s="2208"/>
      <c r="CX68" s="263"/>
      <c r="CY68" s="2208"/>
      <c r="CZ68" s="263"/>
      <c r="DA68" s="263"/>
      <c r="DB68" s="263"/>
      <c r="DC68" s="263"/>
      <c r="DD68" s="2208"/>
    </row>
    <row r="69" spans="1:108">
      <c r="A69" s="2217">
        <f t="shared" si="26"/>
        <v>-15.672910319884249</v>
      </c>
      <c r="B69" s="2217">
        <f t="shared" si="17"/>
        <v>8813.6738040103592</v>
      </c>
      <c r="C69" s="2217">
        <f t="shared" si="18"/>
        <v>-3.8025307129428256</v>
      </c>
      <c r="D69" s="2212">
        <v>266</v>
      </c>
      <c r="E69" s="2219"/>
      <c r="F69" s="2213"/>
      <c r="G69" s="2219"/>
      <c r="H69" s="2213"/>
      <c r="I69" s="2213"/>
      <c r="J69" s="2213"/>
      <c r="K69" s="2213"/>
      <c r="L69" s="2213"/>
      <c r="M69" s="2217">
        <f t="shared" si="27"/>
        <v>-15.939087469790248</v>
      </c>
      <c r="N69" s="2217">
        <f t="shared" si="9"/>
        <v>8813.6738040103592</v>
      </c>
      <c r="O69" s="2217">
        <f t="shared" si="19"/>
        <v>-3.8025307129428256</v>
      </c>
      <c r="P69" s="2212">
        <v>266</v>
      </c>
      <c r="Q69" s="2219"/>
      <c r="R69" s="2213"/>
      <c r="S69" s="2219"/>
      <c r="T69" s="2213"/>
      <c r="U69" s="2213"/>
      <c r="V69" s="2213"/>
      <c r="W69" s="2213"/>
      <c r="X69" s="2213"/>
      <c r="Y69" s="2217">
        <f t="shared" si="28"/>
        <v>-16.281315233955102</v>
      </c>
      <c r="Z69" s="2217">
        <f t="shared" si="10"/>
        <v>8813.6738040103592</v>
      </c>
      <c r="AA69" s="2217">
        <f t="shared" si="20"/>
        <v>-3.8025307129428256</v>
      </c>
      <c r="AB69" s="2212">
        <v>266</v>
      </c>
      <c r="AC69" s="2219"/>
      <c r="AD69" s="2213"/>
      <c r="AE69" s="2219"/>
      <c r="AF69" s="2213"/>
      <c r="AG69" s="2213"/>
      <c r="AH69" s="2213"/>
      <c r="AI69" s="2213"/>
      <c r="AJ69" s="2213"/>
      <c r="AK69" s="2217">
        <f t="shared" si="29"/>
        <v>-14.646227027389687</v>
      </c>
      <c r="AL69" s="2217">
        <f t="shared" si="11"/>
        <v>8813.6738040103592</v>
      </c>
      <c r="AM69" s="2217">
        <f t="shared" si="21"/>
        <v>-3.8025307129428256</v>
      </c>
      <c r="AN69" s="2212">
        <v>266</v>
      </c>
      <c r="AO69" s="2219"/>
      <c r="AP69" s="2213"/>
      <c r="AQ69" s="2219"/>
      <c r="AR69" s="2213"/>
      <c r="AS69" s="2213"/>
      <c r="AT69" s="2213"/>
      <c r="AU69" s="2213"/>
      <c r="AV69" s="2213"/>
      <c r="AW69" s="2217">
        <f t="shared" si="30"/>
        <v>23.756002000077569</v>
      </c>
      <c r="AX69" s="2217">
        <f t="shared" si="31"/>
        <v>8537.9892000099499</v>
      </c>
      <c r="AY69" s="2217">
        <f t="shared" si="12"/>
        <v>33.071700000073179</v>
      </c>
      <c r="AZ69" s="2212">
        <v>266</v>
      </c>
      <c r="BA69" s="2208"/>
      <c r="BB69" s="263"/>
      <c r="BC69" s="2208"/>
      <c r="BD69" s="263"/>
      <c r="BE69" s="263"/>
      <c r="BF69" s="263"/>
      <c r="BG69" s="263"/>
      <c r="BH69" s="2208"/>
      <c r="BI69" s="2217">
        <f t="shared" si="32"/>
        <v>34.008229000100258</v>
      </c>
      <c r="BJ69" s="2217">
        <f t="shared" si="22"/>
        <v>8537.9892000099499</v>
      </c>
      <c r="BK69" s="2217">
        <f t="shared" si="13"/>
        <v>33.071700000073179</v>
      </c>
      <c r="BL69" s="2212">
        <v>266</v>
      </c>
      <c r="BM69" s="2208"/>
      <c r="BN69" s="263"/>
      <c r="BO69" s="2208"/>
      <c r="BP69" s="263"/>
      <c r="BQ69" s="263"/>
      <c r="BR69" s="263"/>
      <c r="BS69" s="263"/>
      <c r="BT69" s="2208"/>
      <c r="BU69" s="2217">
        <f t="shared" si="33"/>
        <v>-14.646227027389687</v>
      </c>
      <c r="BV69" s="2217">
        <f t="shared" si="14"/>
        <v>8813.6738040103592</v>
      </c>
      <c r="BW69" s="2217">
        <f t="shared" si="23"/>
        <v>-3.8025307129428256</v>
      </c>
      <c r="BX69" s="2212">
        <v>266</v>
      </c>
      <c r="BY69" s="2219"/>
      <c r="BZ69" s="2213"/>
      <c r="CA69" s="2219"/>
      <c r="CB69" s="2213"/>
      <c r="CC69" s="2213"/>
      <c r="CD69" s="2213"/>
      <c r="CE69" s="2213"/>
      <c r="CF69" s="2208"/>
      <c r="CG69" s="2217">
        <f t="shared" si="34"/>
        <v>-15.102530712942826</v>
      </c>
      <c r="CH69" s="2217">
        <f t="shared" si="15"/>
        <v>8813.6738040103592</v>
      </c>
      <c r="CI69" s="2217">
        <f t="shared" si="24"/>
        <v>-3.8025307129428256</v>
      </c>
      <c r="CJ69" s="2212">
        <v>266</v>
      </c>
      <c r="CK69" s="2219"/>
      <c r="CL69" s="2213"/>
      <c r="CM69" s="2219"/>
      <c r="CN69" s="2213"/>
      <c r="CO69" s="2213"/>
      <c r="CP69" s="2213"/>
      <c r="CQ69" s="2213"/>
      <c r="CR69" s="2208"/>
      <c r="CS69" s="2217">
        <f t="shared" si="35"/>
        <v>33.346795000098794</v>
      </c>
      <c r="CT69" s="2217">
        <f t="shared" si="25"/>
        <v>8537.9892000099499</v>
      </c>
      <c r="CU69" s="2217">
        <f t="shared" si="16"/>
        <v>33.071700000073179</v>
      </c>
      <c r="CV69" s="2212">
        <v>266</v>
      </c>
      <c r="CW69" s="2208"/>
      <c r="CX69" s="263"/>
      <c r="CY69" s="2208"/>
      <c r="CZ69" s="263"/>
      <c r="DA69" s="263"/>
      <c r="DB69" s="263"/>
      <c r="DC69" s="263"/>
      <c r="DD69" s="2208"/>
    </row>
    <row r="70" spans="1:108">
      <c r="A70" s="2217">
        <f t="shared" si="26"/>
        <v>-15.5877782834963</v>
      </c>
      <c r="B70" s="2217">
        <f t="shared" si="17"/>
        <v>8817.476334723302</v>
      </c>
      <c r="C70" s="2217">
        <f t="shared" si="18"/>
        <v>-3.7285028552141739</v>
      </c>
      <c r="D70" s="2212">
        <v>265</v>
      </c>
      <c r="E70" s="2219"/>
      <c r="F70" s="2213"/>
      <c r="G70" s="2219"/>
      <c r="H70" s="2213"/>
      <c r="I70" s="2213"/>
      <c r="J70" s="2213"/>
      <c r="K70" s="2213"/>
      <c r="L70" s="2213"/>
      <c r="M70" s="2217">
        <f t="shared" si="27"/>
        <v>-15.848773483361292</v>
      </c>
      <c r="N70" s="2217">
        <f t="shared" si="9"/>
        <v>8817.476334723302</v>
      </c>
      <c r="O70" s="2217">
        <f t="shared" si="19"/>
        <v>-3.7285028552141739</v>
      </c>
      <c r="P70" s="2212">
        <v>265</v>
      </c>
      <c r="Q70" s="2219"/>
      <c r="R70" s="2213"/>
      <c r="S70" s="2219"/>
      <c r="T70" s="2213"/>
      <c r="U70" s="2213"/>
      <c r="V70" s="2213"/>
      <c r="W70" s="2213"/>
      <c r="X70" s="2213"/>
      <c r="Y70" s="2217">
        <f t="shared" si="28"/>
        <v>-16.184338740330567</v>
      </c>
      <c r="Z70" s="2217">
        <f t="shared" si="10"/>
        <v>8817.476334723302</v>
      </c>
      <c r="AA70" s="2217">
        <f t="shared" si="20"/>
        <v>-3.7285028552141739</v>
      </c>
      <c r="AB70" s="2212">
        <v>265</v>
      </c>
      <c r="AC70" s="2219"/>
      <c r="AD70" s="2213"/>
      <c r="AE70" s="2219"/>
      <c r="AF70" s="2213"/>
      <c r="AG70" s="2213"/>
      <c r="AH70" s="2213"/>
      <c r="AI70" s="2213"/>
      <c r="AJ70" s="2213"/>
      <c r="AK70" s="2217">
        <f t="shared" si="29"/>
        <v>-14.581082512588473</v>
      </c>
      <c r="AL70" s="2217">
        <f t="shared" si="11"/>
        <v>8817.476334723302</v>
      </c>
      <c r="AM70" s="2217">
        <f t="shared" si="21"/>
        <v>-3.7285028552141739</v>
      </c>
      <c r="AN70" s="2212">
        <v>265</v>
      </c>
      <c r="AO70" s="2219"/>
      <c r="AP70" s="2213"/>
      <c r="AQ70" s="2219"/>
      <c r="AR70" s="2213"/>
      <c r="AS70" s="2213"/>
      <c r="AT70" s="2213"/>
      <c r="AU70" s="2213"/>
      <c r="AV70" s="2213"/>
      <c r="AW70" s="2217">
        <f t="shared" si="30"/>
        <v>23.299990000078761</v>
      </c>
      <c r="AX70" s="2217">
        <f t="shared" si="31"/>
        <v>8504.9175000098767</v>
      </c>
      <c r="AY70" s="2217">
        <f t="shared" si="12"/>
        <v>32.641500000074302</v>
      </c>
      <c r="AZ70" s="2212">
        <v>265</v>
      </c>
      <c r="BA70" s="2208"/>
      <c r="BB70" s="263"/>
      <c r="BC70" s="2208"/>
      <c r="BD70" s="263"/>
      <c r="BE70" s="263"/>
      <c r="BF70" s="263"/>
      <c r="BG70" s="263"/>
      <c r="BH70" s="2208"/>
      <c r="BI70" s="2217">
        <f t="shared" si="32"/>
        <v>33.4188550001018</v>
      </c>
      <c r="BJ70" s="2217">
        <f t="shared" si="22"/>
        <v>8504.9175000098767</v>
      </c>
      <c r="BK70" s="2217">
        <f t="shared" si="13"/>
        <v>32.641500000074302</v>
      </c>
      <c r="BL70" s="2212">
        <v>265</v>
      </c>
      <c r="BM70" s="2208"/>
      <c r="BN70" s="263"/>
      <c r="BO70" s="2208"/>
      <c r="BP70" s="263"/>
      <c r="BQ70" s="263"/>
      <c r="BR70" s="263"/>
      <c r="BS70" s="263"/>
      <c r="BT70" s="2208"/>
      <c r="BU70" s="2217">
        <f t="shared" si="33"/>
        <v>-14.581082512588473</v>
      </c>
      <c r="BV70" s="2217">
        <f t="shared" si="14"/>
        <v>8817.476334723302</v>
      </c>
      <c r="BW70" s="2217">
        <f t="shared" si="23"/>
        <v>-3.7285028552141739</v>
      </c>
      <c r="BX70" s="2212">
        <v>265</v>
      </c>
      <c r="BY70" s="2219"/>
      <c r="BZ70" s="2213"/>
      <c r="CA70" s="2219"/>
      <c r="CB70" s="2213"/>
      <c r="CC70" s="2213"/>
      <c r="CD70" s="2213"/>
      <c r="CE70" s="2213"/>
      <c r="CF70" s="2208"/>
      <c r="CG70" s="2217">
        <f t="shared" si="34"/>
        <v>-15.028502855214175</v>
      </c>
      <c r="CH70" s="2217">
        <f t="shared" si="15"/>
        <v>8817.476334723302</v>
      </c>
      <c r="CI70" s="2217">
        <f t="shared" si="24"/>
        <v>-3.7285028552141739</v>
      </c>
      <c r="CJ70" s="2212">
        <v>265</v>
      </c>
      <c r="CK70" s="2219"/>
      <c r="CL70" s="2213"/>
      <c r="CM70" s="2219"/>
      <c r="CN70" s="2213"/>
      <c r="CO70" s="2213"/>
      <c r="CP70" s="2213"/>
      <c r="CQ70" s="2213"/>
      <c r="CR70" s="2208"/>
      <c r="CS70" s="2217">
        <f t="shared" si="35"/>
        <v>32.766025000100313</v>
      </c>
      <c r="CT70" s="2217">
        <f t="shared" si="25"/>
        <v>8504.9175000098767</v>
      </c>
      <c r="CU70" s="2217">
        <f t="shared" si="16"/>
        <v>32.641500000074302</v>
      </c>
      <c r="CV70" s="2212">
        <v>265</v>
      </c>
      <c r="CW70" s="2208"/>
      <c r="CX70" s="263"/>
      <c r="CY70" s="2208"/>
      <c r="CZ70" s="263"/>
      <c r="DA70" s="263"/>
      <c r="DB70" s="263"/>
      <c r="DC70" s="263"/>
      <c r="DD70" s="2208"/>
    </row>
    <row r="71" spans="1:108">
      <c r="A71" s="2217">
        <f t="shared" si="26"/>
        <v>-15.501333343025181</v>
      </c>
      <c r="B71" s="2217">
        <f t="shared" si="17"/>
        <v>8821.2048375785162</v>
      </c>
      <c r="C71" s="2217">
        <f t="shared" si="18"/>
        <v>-3.6533333417610265</v>
      </c>
      <c r="D71" s="2212">
        <v>264</v>
      </c>
      <c r="E71" s="2219"/>
      <c r="F71" s="2213"/>
      <c r="G71" s="2219"/>
      <c r="H71" s="2213"/>
      <c r="I71" s="2213"/>
      <c r="J71" s="2213"/>
      <c r="K71" s="2213"/>
      <c r="L71" s="2213"/>
      <c r="M71" s="2217">
        <f t="shared" si="27"/>
        <v>-15.757066676948453</v>
      </c>
      <c r="N71" s="2217">
        <f t="shared" si="9"/>
        <v>8821.2048375785162</v>
      </c>
      <c r="O71" s="2217">
        <f t="shared" si="19"/>
        <v>-3.6533333417610265</v>
      </c>
      <c r="P71" s="2212">
        <v>264</v>
      </c>
      <c r="Q71" s="2219"/>
      <c r="R71" s="2213"/>
      <c r="S71" s="2219"/>
      <c r="T71" s="2213"/>
      <c r="U71" s="2213"/>
      <c r="V71" s="2213"/>
      <c r="W71" s="2213"/>
      <c r="X71" s="2213"/>
      <c r="Y71" s="2217">
        <f t="shared" si="28"/>
        <v>-16.085866677706946</v>
      </c>
      <c r="Z71" s="2217">
        <f t="shared" si="10"/>
        <v>8821.2048375785162</v>
      </c>
      <c r="AA71" s="2217">
        <f t="shared" si="20"/>
        <v>-3.6533333417610265</v>
      </c>
      <c r="AB71" s="2212">
        <v>264</v>
      </c>
      <c r="AC71" s="2219"/>
      <c r="AD71" s="2213"/>
      <c r="AE71" s="2219"/>
      <c r="AF71" s="2213"/>
      <c r="AG71" s="2213"/>
      <c r="AH71" s="2213"/>
      <c r="AI71" s="2213"/>
      <c r="AJ71" s="2213"/>
      <c r="AK71" s="2217">
        <f t="shared" si="29"/>
        <v>-14.514933340749703</v>
      </c>
      <c r="AL71" s="2217">
        <f t="shared" si="11"/>
        <v>8821.2048375785162</v>
      </c>
      <c r="AM71" s="2217">
        <f t="shared" si="21"/>
        <v>-3.6533333417610265</v>
      </c>
      <c r="AN71" s="2212">
        <v>264</v>
      </c>
      <c r="AO71" s="2219"/>
      <c r="AP71" s="2213"/>
      <c r="AQ71" s="2219"/>
      <c r="AR71" s="2213"/>
      <c r="AS71" s="2213"/>
      <c r="AT71" s="2213"/>
      <c r="AU71" s="2213"/>
      <c r="AV71" s="2213"/>
      <c r="AW71" s="2217">
        <f t="shared" si="30"/>
        <v>22.847794000079961</v>
      </c>
      <c r="AX71" s="2217">
        <f t="shared" si="31"/>
        <v>8472.2760000098024</v>
      </c>
      <c r="AY71" s="2217">
        <f t="shared" si="12"/>
        <v>32.214900000075431</v>
      </c>
      <c r="AZ71" s="2212">
        <v>264</v>
      </c>
      <c r="BA71" s="2208"/>
      <c r="BB71" s="263"/>
      <c r="BC71" s="2208"/>
      <c r="BD71" s="263"/>
      <c r="BE71" s="263"/>
      <c r="BF71" s="263"/>
      <c r="BG71" s="263"/>
      <c r="BH71" s="2208"/>
      <c r="BI71" s="2217">
        <f t="shared" si="32"/>
        <v>32.834413000103339</v>
      </c>
      <c r="BJ71" s="2217">
        <f t="shared" si="22"/>
        <v>8472.2760000098024</v>
      </c>
      <c r="BK71" s="2217">
        <f t="shared" si="13"/>
        <v>32.214900000075431</v>
      </c>
      <c r="BL71" s="2212">
        <v>264</v>
      </c>
      <c r="BM71" s="2208"/>
      <c r="BN71" s="263"/>
      <c r="BO71" s="2208"/>
      <c r="BP71" s="263"/>
      <c r="BQ71" s="263"/>
      <c r="BR71" s="263"/>
      <c r="BS71" s="263"/>
      <c r="BT71" s="2208"/>
      <c r="BU71" s="2217">
        <f t="shared" si="33"/>
        <v>-14.514933340749703</v>
      </c>
      <c r="BV71" s="2217">
        <f t="shared" si="14"/>
        <v>8821.2048375785162</v>
      </c>
      <c r="BW71" s="2217">
        <f t="shared" si="23"/>
        <v>-3.6533333417610265</v>
      </c>
      <c r="BX71" s="2212">
        <v>264</v>
      </c>
      <c r="BY71" s="2219"/>
      <c r="BZ71" s="2213"/>
      <c r="CA71" s="2219"/>
      <c r="CB71" s="2213"/>
      <c r="CC71" s="2213"/>
      <c r="CD71" s="2213"/>
      <c r="CE71" s="2213"/>
      <c r="CF71" s="2208"/>
      <c r="CG71" s="2217">
        <f t="shared" si="34"/>
        <v>-14.953333341761027</v>
      </c>
      <c r="CH71" s="2217">
        <f t="shared" si="15"/>
        <v>8821.2048375785162</v>
      </c>
      <c r="CI71" s="2217">
        <f t="shared" si="24"/>
        <v>-3.6533333417610265</v>
      </c>
      <c r="CJ71" s="2212">
        <v>264</v>
      </c>
      <c r="CK71" s="2219"/>
      <c r="CL71" s="2213"/>
      <c r="CM71" s="2219"/>
      <c r="CN71" s="2213"/>
      <c r="CO71" s="2213"/>
      <c r="CP71" s="2213"/>
      <c r="CQ71" s="2213"/>
      <c r="CR71" s="2208"/>
      <c r="CS71" s="2217">
        <f t="shared" si="35"/>
        <v>32.190115000101841</v>
      </c>
      <c r="CT71" s="2217">
        <f t="shared" si="25"/>
        <v>8472.2760000098024</v>
      </c>
      <c r="CU71" s="2217">
        <f t="shared" si="16"/>
        <v>32.214900000075431</v>
      </c>
      <c r="CV71" s="2212">
        <v>264</v>
      </c>
      <c r="CW71" s="2208"/>
      <c r="CX71" s="263"/>
      <c r="CY71" s="2208"/>
      <c r="CZ71" s="263"/>
      <c r="DA71" s="263"/>
      <c r="DB71" s="263"/>
      <c r="DC71" s="263"/>
      <c r="DD71" s="2208"/>
    </row>
    <row r="72" spans="1:108">
      <c r="A72" s="2217">
        <f t="shared" si="26"/>
        <v>-15.41357549844788</v>
      </c>
      <c r="B72" s="2217">
        <f t="shared" si="17"/>
        <v>8824.8581709202772</v>
      </c>
      <c r="C72" s="2217">
        <f t="shared" si="18"/>
        <v>-3.5770221725633746</v>
      </c>
      <c r="D72" s="2212">
        <v>263</v>
      </c>
      <c r="E72" s="2219"/>
      <c r="F72" s="2213"/>
      <c r="G72" s="2219"/>
      <c r="H72" s="2213"/>
      <c r="I72" s="2213"/>
      <c r="J72" s="2213"/>
      <c r="K72" s="2213"/>
      <c r="L72" s="2213"/>
      <c r="M72" s="2217">
        <f t="shared" si="27"/>
        <v>-15.663967050527319</v>
      </c>
      <c r="N72" s="2217">
        <f t="shared" si="9"/>
        <v>8824.8581709202772</v>
      </c>
      <c r="O72" s="2217">
        <f t="shared" si="19"/>
        <v>-3.5770221725633746</v>
      </c>
      <c r="P72" s="2212">
        <v>263</v>
      </c>
      <c r="Q72" s="2219"/>
      <c r="R72" s="2213"/>
      <c r="S72" s="2219"/>
      <c r="T72" s="2213"/>
      <c r="U72" s="2213"/>
      <c r="V72" s="2213"/>
      <c r="W72" s="2213"/>
      <c r="X72" s="2213"/>
      <c r="Y72" s="2217">
        <f t="shared" si="28"/>
        <v>-15.985899046058021</v>
      </c>
      <c r="Z72" s="2217">
        <f t="shared" si="10"/>
        <v>8824.8581709202772</v>
      </c>
      <c r="AA72" s="2217">
        <f t="shared" si="20"/>
        <v>-3.5770221725633746</v>
      </c>
      <c r="AB72" s="2212">
        <v>263</v>
      </c>
      <c r="AC72" s="2219"/>
      <c r="AD72" s="2213"/>
      <c r="AE72" s="2219"/>
      <c r="AF72" s="2213"/>
      <c r="AG72" s="2213"/>
      <c r="AH72" s="2213"/>
      <c r="AI72" s="2213"/>
      <c r="AJ72" s="2213"/>
      <c r="AK72" s="2217">
        <f t="shared" si="29"/>
        <v>-14.447779511855771</v>
      </c>
      <c r="AL72" s="2217">
        <f t="shared" si="11"/>
        <v>8824.8581709202772</v>
      </c>
      <c r="AM72" s="2217">
        <f t="shared" si="21"/>
        <v>-3.5770221725633746</v>
      </c>
      <c r="AN72" s="2212">
        <v>263</v>
      </c>
      <c r="AO72" s="2219"/>
      <c r="AP72" s="2213"/>
      <c r="AQ72" s="2219"/>
      <c r="AR72" s="2213"/>
      <c r="AS72" s="2213"/>
      <c r="AT72" s="2213"/>
      <c r="AU72" s="2213"/>
      <c r="AV72" s="2213"/>
      <c r="AW72" s="2217">
        <f t="shared" si="30"/>
        <v>22.399414000077304</v>
      </c>
      <c r="AX72" s="2217">
        <f t="shared" si="31"/>
        <v>8440.0611000097269</v>
      </c>
      <c r="AY72" s="2217">
        <f t="shared" si="12"/>
        <v>31.791900000072928</v>
      </c>
      <c r="AZ72" s="2212">
        <v>263</v>
      </c>
      <c r="BA72" s="2208"/>
      <c r="BB72" s="263"/>
      <c r="BC72" s="2208"/>
      <c r="BD72" s="263"/>
      <c r="BE72" s="263"/>
      <c r="BF72" s="263"/>
      <c r="BG72" s="263"/>
      <c r="BH72" s="2208"/>
      <c r="BI72" s="2217">
        <f t="shared" si="32"/>
        <v>32.254903000099915</v>
      </c>
      <c r="BJ72" s="2217">
        <f t="shared" si="22"/>
        <v>8440.0611000097269</v>
      </c>
      <c r="BK72" s="2217">
        <f t="shared" si="13"/>
        <v>31.791900000072928</v>
      </c>
      <c r="BL72" s="2212">
        <v>263</v>
      </c>
      <c r="BM72" s="2208"/>
      <c r="BN72" s="263"/>
      <c r="BO72" s="2208"/>
      <c r="BP72" s="263"/>
      <c r="BQ72" s="263"/>
      <c r="BR72" s="263"/>
      <c r="BS72" s="263"/>
      <c r="BT72" s="2208"/>
      <c r="BU72" s="2217">
        <f t="shared" si="33"/>
        <v>-14.447779511855771</v>
      </c>
      <c r="BV72" s="2217">
        <f t="shared" si="14"/>
        <v>8824.8581709202772</v>
      </c>
      <c r="BW72" s="2217">
        <f t="shared" si="23"/>
        <v>-3.5770221725633746</v>
      </c>
      <c r="BX72" s="2212">
        <v>263</v>
      </c>
      <c r="BY72" s="2219"/>
      <c r="BZ72" s="2213"/>
      <c r="CA72" s="2219"/>
      <c r="CB72" s="2213"/>
      <c r="CC72" s="2213"/>
      <c r="CD72" s="2213"/>
      <c r="CE72" s="2213"/>
      <c r="CF72" s="2208"/>
      <c r="CG72" s="2217">
        <f t="shared" si="34"/>
        <v>-14.877022172563375</v>
      </c>
      <c r="CH72" s="2217">
        <f t="shared" si="15"/>
        <v>8824.8581709202772</v>
      </c>
      <c r="CI72" s="2217">
        <f t="shared" si="24"/>
        <v>-3.5770221725633746</v>
      </c>
      <c r="CJ72" s="2212">
        <v>263</v>
      </c>
      <c r="CK72" s="2219"/>
      <c r="CL72" s="2213"/>
      <c r="CM72" s="2219"/>
      <c r="CN72" s="2213"/>
      <c r="CO72" s="2213"/>
      <c r="CP72" s="2213"/>
      <c r="CQ72" s="2213"/>
      <c r="CR72" s="2208"/>
      <c r="CS72" s="2217">
        <f t="shared" si="35"/>
        <v>31.619065000098455</v>
      </c>
      <c r="CT72" s="2217">
        <f t="shared" si="25"/>
        <v>8440.0611000097269</v>
      </c>
      <c r="CU72" s="2217">
        <f t="shared" si="16"/>
        <v>31.791900000072928</v>
      </c>
      <c r="CV72" s="2212">
        <v>263</v>
      </c>
      <c r="CW72" s="2208"/>
      <c r="CX72" s="263"/>
      <c r="CY72" s="2208"/>
      <c r="CZ72" s="263"/>
      <c r="DA72" s="263"/>
      <c r="DB72" s="263"/>
      <c r="DC72" s="263"/>
      <c r="DD72" s="2208"/>
    </row>
    <row r="73" spans="1:108">
      <c r="A73" s="2217">
        <f t="shared" si="26"/>
        <v>-15.324504749789504</v>
      </c>
      <c r="B73" s="2217">
        <f t="shared" si="17"/>
        <v>8828.4351930928406</v>
      </c>
      <c r="C73" s="2217">
        <f t="shared" si="18"/>
        <v>-3.4995693476430461</v>
      </c>
      <c r="D73" s="2212">
        <v>262</v>
      </c>
      <c r="E73" s="2219"/>
      <c r="F73" s="2213"/>
      <c r="G73" s="2219"/>
      <c r="H73" s="2213"/>
      <c r="I73" s="2213"/>
      <c r="J73" s="2213"/>
      <c r="K73" s="2213"/>
      <c r="L73" s="2213"/>
      <c r="M73" s="2217">
        <f t="shared" si="27"/>
        <v>-15.569474604124517</v>
      </c>
      <c r="N73" s="2217">
        <f t="shared" si="9"/>
        <v>8828.4351930928406</v>
      </c>
      <c r="O73" s="2217">
        <f t="shared" si="19"/>
        <v>-3.4995693476430461</v>
      </c>
      <c r="P73" s="2212">
        <v>262</v>
      </c>
      <c r="Q73" s="2219"/>
      <c r="R73" s="2213"/>
      <c r="S73" s="2219"/>
      <c r="T73" s="2213"/>
      <c r="U73" s="2213"/>
      <c r="V73" s="2213"/>
      <c r="W73" s="2213"/>
      <c r="X73" s="2213"/>
      <c r="Y73" s="2217">
        <f t="shared" si="28"/>
        <v>-15.884435845412391</v>
      </c>
      <c r="Z73" s="2217">
        <f t="shared" si="10"/>
        <v>8828.4351930928406</v>
      </c>
      <c r="AA73" s="2217">
        <f t="shared" si="20"/>
        <v>-3.4995693476430461</v>
      </c>
      <c r="AB73" s="2212">
        <v>262</v>
      </c>
      <c r="AC73" s="2219"/>
      <c r="AD73" s="2213"/>
      <c r="AE73" s="2219"/>
      <c r="AF73" s="2213"/>
      <c r="AG73" s="2213"/>
      <c r="AH73" s="2213"/>
      <c r="AI73" s="2213"/>
      <c r="AJ73" s="2213"/>
      <c r="AK73" s="2217">
        <f t="shared" si="29"/>
        <v>-14.37962102592588</v>
      </c>
      <c r="AL73" s="2217">
        <f t="shared" si="11"/>
        <v>8828.4351930928406</v>
      </c>
      <c r="AM73" s="2217">
        <f t="shared" si="21"/>
        <v>-3.4995693476430461</v>
      </c>
      <c r="AN73" s="2212">
        <v>262</v>
      </c>
      <c r="AO73" s="2219"/>
      <c r="AP73" s="2213"/>
      <c r="AQ73" s="2219"/>
      <c r="AR73" s="2213"/>
      <c r="AS73" s="2213"/>
      <c r="AT73" s="2213"/>
      <c r="AU73" s="2213"/>
      <c r="AV73" s="2213"/>
      <c r="AW73" s="2217">
        <f t="shared" si="30"/>
        <v>21.954850000080445</v>
      </c>
      <c r="AX73" s="2217">
        <f t="shared" si="31"/>
        <v>8408.269200009654</v>
      </c>
      <c r="AY73" s="2217">
        <f t="shared" si="12"/>
        <v>31.372500000075888</v>
      </c>
      <c r="AZ73" s="2212">
        <v>262</v>
      </c>
      <c r="BA73" s="2208"/>
      <c r="BB73" s="263"/>
      <c r="BC73" s="2208"/>
      <c r="BD73" s="263"/>
      <c r="BE73" s="263"/>
      <c r="BF73" s="263"/>
      <c r="BG73" s="263"/>
      <c r="BH73" s="2208"/>
      <c r="BI73" s="2217">
        <f t="shared" si="32"/>
        <v>31.680325000103966</v>
      </c>
      <c r="BJ73" s="2217">
        <f t="shared" si="22"/>
        <v>8408.269200009654</v>
      </c>
      <c r="BK73" s="2217">
        <f t="shared" si="13"/>
        <v>31.372500000075888</v>
      </c>
      <c r="BL73" s="2212">
        <v>262</v>
      </c>
      <c r="BM73" s="2208"/>
      <c r="BN73" s="263"/>
      <c r="BO73" s="2208"/>
      <c r="BP73" s="263"/>
      <c r="BQ73" s="263"/>
      <c r="BR73" s="263"/>
      <c r="BS73" s="263"/>
      <c r="BT73" s="2208"/>
      <c r="BU73" s="2217">
        <f t="shared" si="33"/>
        <v>-14.37962102592588</v>
      </c>
      <c r="BV73" s="2217">
        <f t="shared" si="14"/>
        <v>8828.4351930928406</v>
      </c>
      <c r="BW73" s="2217">
        <f t="shared" si="23"/>
        <v>-3.4995693476430461</v>
      </c>
      <c r="BX73" s="2212">
        <v>262</v>
      </c>
      <c r="BY73" s="2219"/>
      <c r="BZ73" s="2213"/>
      <c r="CA73" s="2219"/>
      <c r="CB73" s="2213"/>
      <c r="CC73" s="2213"/>
      <c r="CD73" s="2213"/>
      <c r="CE73" s="2213"/>
      <c r="CF73" s="2208"/>
      <c r="CG73" s="2217">
        <f t="shared" si="34"/>
        <v>-14.799569347643047</v>
      </c>
      <c r="CH73" s="2217">
        <f t="shared" si="15"/>
        <v>8828.4351930928406</v>
      </c>
      <c r="CI73" s="2217">
        <f t="shared" si="24"/>
        <v>-3.4995693476430461</v>
      </c>
      <c r="CJ73" s="2212">
        <v>262</v>
      </c>
      <c r="CK73" s="2219"/>
      <c r="CL73" s="2213"/>
      <c r="CM73" s="2219"/>
      <c r="CN73" s="2213"/>
      <c r="CO73" s="2213"/>
      <c r="CP73" s="2213"/>
      <c r="CQ73" s="2213"/>
      <c r="CR73" s="2208"/>
      <c r="CS73" s="2217">
        <f t="shared" si="35"/>
        <v>31.05287500010245</v>
      </c>
      <c r="CT73" s="2217">
        <f t="shared" si="25"/>
        <v>8408.269200009654</v>
      </c>
      <c r="CU73" s="2217">
        <f t="shared" si="16"/>
        <v>31.372500000075888</v>
      </c>
      <c r="CV73" s="2212">
        <v>262</v>
      </c>
      <c r="CW73" s="2208"/>
      <c r="CX73" s="263"/>
      <c r="CY73" s="2208"/>
      <c r="CZ73" s="263"/>
      <c r="DA73" s="263"/>
      <c r="DB73" s="263"/>
      <c r="DC73" s="263"/>
      <c r="DD73" s="2208"/>
    </row>
    <row r="74" spans="1:108">
      <c r="A74" s="2217">
        <f t="shared" si="26"/>
        <v>-15.23412109701867</v>
      </c>
      <c r="B74" s="2217">
        <f t="shared" si="17"/>
        <v>8831.9347624404836</v>
      </c>
      <c r="C74" s="2217">
        <f t="shared" si="18"/>
        <v>-3.420974866972756</v>
      </c>
      <c r="D74" s="2212">
        <v>261</v>
      </c>
      <c r="E74" s="2219"/>
      <c r="F74" s="2213"/>
      <c r="G74" s="2219"/>
      <c r="H74" s="2213"/>
      <c r="I74" s="2213"/>
      <c r="J74" s="2213"/>
      <c r="K74" s="2213"/>
      <c r="L74" s="2213"/>
      <c r="M74" s="2217">
        <f t="shared" si="27"/>
        <v>-15.473589337706763</v>
      </c>
      <c r="N74" s="2217">
        <f t="shared" si="9"/>
        <v>8831.9347624404836</v>
      </c>
      <c r="O74" s="2217">
        <f t="shared" si="19"/>
        <v>-3.420974866972756</v>
      </c>
      <c r="P74" s="2212">
        <v>261</v>
      </c>
      <c r="Q74" s="2219"/>
      <c r="R74" s="2213"/>
      <c r="S74" s="2219"/>
      <c r="T74" s="2213"/>
      <c r="U74" s="2213"/>
      <c r="V74" s="2213"/>
      <c r="W74" s="2213"/>
      <c r="X74" s="2213"/>
      <c r="Y74" s="2217">
        <f t="shared" si="28"/>
        <v>-15.781477075734312</v>
      </c>
      <c r="Z74" s="2217">
        <f t="shared" si="10"/>
        <v>8831.9347624404836</v>
      </c>
      <c r="AA74" s="2217">
        <f t="shared" si="20"/>
        <v>-3.420974866972756</v>
      </c>
      <c r="AB74" s="2212">
        <v>261</v>
      </c>
      <c r="AC74" s="2219"/>
      <c r="AD74" s="2213"/>
      <c r="AE74" s="2219"/>
      <c r="AF74" s="2213"/>
      <c r="AG74" s="2213"/>
      <c r="AH74" s="2213"/>
      <c r="AI74" s="2213"/>
      <c r="AJ74" s="2213"/>
      <c r="AK74" s="2217">
        <f t="shared" si="29"/>
        <v>-14.310457882936026</v>
      </c>
      <c r="AL74" s="2217">
        <f t="shared" si="11"/>
        <v>8831.9347624404836</v>
      </c>
      <c r="AM74" s="2217">
        <f t="shared" si="21"/>
        <v>-3.420974866972756</v>
      </c>
      <c r="AN74" s="2212">
        <v>261</v>
      </c>
      <c r="AO74" s="2219"/>
      <c r="AP74" s="2213"/>
      <c r="AQ74" s="2219"/>
      <c r="AR74" s="2213"/>
      <c r="AS74" s="2213"/>
      <c r="AT74" s="2213"/>
      <c r="AU74" s="2213"/>
      <c r="AV74" s="2213"/>
      <c r="AW74" s="2217">
        <f t="shared" si="30"/>
        <v>21.514102000079728</v>
      </c>
      <c r="AX74" s="2217">
        <f t="shared" si="31"/>
        <v>8376.8967000095781</v>
      </c>
      <c r="AY74" s="2217">
        <f t="shared" si="12"/>
        <v>30.956700000075216</v>
      </c>
      <c r="AZ74" s="2212">
        <v>261</v>
      </c>
      <c r="BA74" s="2208"/>
      <c r="BB74" s="263"/>
      <c r="BC74" s="2208"/>
      <c r="BD74" s="263"/>
      <c r="BE74" s="263"/>
      <c r="BF74" s="263"/>
      <c r="BG74" s="263"/>
      <c r="BH74" s="2208"/>
      <c r="BI74" s="2217">
        <f t="shared" si="32"/>
        <v>31.110679000103051</v>
      </c>
      <c r="BJ74" s="2217">
        <f t="shared" si="22"/>
        <v>8376.8967000095781</v>
      </c>
      <c r="BK74" s="2217">
        <f t="shared" si="13"/>
        <v>30.956700000075216</v>
      </c>
      <c r="BL74" s="2212">
        <v>261</v>
      </c>
      <c r="BM74" s="2208"/>
      <c r="BN74" s="263"/>
      <c r="BO74" s="2208"/>
      <c r="BP74" s="263"/>
      <c r="BQ74" s="263"/>
      <c r="BR74" s="263"/>
      <c r="BS74" s="263"/>
      <c r="BT74" s="2208"/>
      <c r="BU74" s="2217">
        <f t="shared" si="33"/>
        <v>-14.310457882936026</v>
      </c>
      <c r="BV74" s="2217">
        <f t="shared" si="14"/>
        <v>8831.9347624404836</v>
      </c>
      <c r="BW74" s="2217">
        <f t="shared" si="23"/>
        <v>-3.420974866972756</v>
      </c>
      <c r="BX74" s="2212">
        <v>261</v>
      </c>
      <c r="BY74" s="2219"/>
      <c r="BZ74" s="2213"/>
      <c r="CA74" s="2219"/>
      <c r="CB74" s="2213"/>
      <c r="CC74" s="2213"/>
      <c r="CD74" s="2213"/>
      <c r="CE74" s="2213"/>
      <c r="CF74" s="2208"/>
      <c r="CG74" s="2217">
        <f t="shared" si="34"/>
        <v>-14.720974866972757</v>
      </c>
      <c r="CH74" s="2217">
        <f t="shared" si="15"/>
        <v>8831.9347624404836</v>
      </c>
      <c r="CI74" s="2217">
        <f t="shared" si="24"/>
        <v>-3.420974866972756</v>
      </c>
      <c r="CJ74" s="2212">
        <v>261</v>
      </c>
      <c r="CK74" s="2219"/>
      <c r="CL74" s="2213"/>
      <c r="CM74" s="2219"/>
      <c r="CN74" s="2213"/>
      <c r="CO74" s="2213"/>
      <c r="CP74" s="2213"/>
      <c r="CQ74" s="2213"/>
      <c r="CR74" s="2208"/>
      <c r="CS74" s="2217">
        <f t="shared" si="35"/>
        <v>30.491545000101542</v>
      </c>
      <c r="CT74" s="2217">
        <f t="shared" si="25"/>
        <v>8376.8967000095781</v>
      </c>
      <c r="CU74" s="2217">
        <f t="shared" si="16"/>
        <v>30.956700000075216</v>
      </c>
      <c r="CV74" s="2212">
        <v>261</v>
      </c>
      <c r="CW74" s="2208"/>
      <c r="CX74" s="263"/>
      <c r="CY74" s="2208"/>
      <c r="CZ74" s="263"/>
      <c r="DA74" s="263"/>
      <c r="DB74" s="263"/>
      <c r="DC74" s="263"/>
      <c r="DD74" s="2208"/>
    </row>
    <row r="75" spans="1:108">
      <c r="A75" s="2217">
        <f t="shared" si="26"/>
        <v>-15.142424540170943</v>
      </c>
      <c r="B75" s="2217">
        <f t="shared" si="17"/>
        <v>8835.3557373074564</v>
      </c>
      <c r="C75" s="2217">
        <f t="shared" si="18"/>
        <v>-3.3412387305834272</v>
      </c>
      <c r="D75" s="2212">
        <v>260</v>
      </c>
      <c r="E75" s="2219"/>
      <c r="F75" s="2213"/>
      <c r="G75" s="2219"/>
      <c r="H75" s="2213"/>
      <c r="I75" s="2213"/>
      <c r="J75" s="2213"/>
      <c r="K75" s="2213"/>
      <c r="L75" s="2213"/>
      <c r="M75" s="2217">
        <f t="shared" si="27"/>
        <v>-15.376311251311781</v>
      </c>
      <c r="N75" s="2217">
        <f t="shared" si="9"/>
        <v>8835.3557373074564</v>
      </c>
      <c r="O75" s="2217">
        <f t="shared" si="19"/>
        <v>-3.3412387305834272</v>
      </c>
      <c r="P75" s="2212">
        <v>260</v>
      </c>
      <c r="Q75" s="2219"/>
      <c r="R75" s="2213"/>
      <c r="S75" s="2219"/>
      <c r="T75" s="2213"/>
      <c r="U75" s="2213"/>
      <c r="V75" s="2213"/>
      <c r="W75" s="2213"/>
      <c r="X75" s="2213"/>
      <c r="Y75" s="2217">
        <f t="shared" si="28"/>
        <v>-15.677022737064291</v>
      </c>
      <c r="Z75" s="2217">
        <f t="shared" si="10"/>
        <v>8835.3557373074564</v>
      </c>
      <c r="AA75" s="2217">
        <f t="shared" si="20"/>
        <v>-3.3412387305834272</v>
      </c>
      <c r="AB75" s="2212">
        <v>260</v>
      </c>
      <c r="AC75" s="2219"/>
      <c r="AD75" s="2213"/>
      <c r="AE75" s="2219"/>
      <c r="AF75" s="2213"/>
      <c r="AG75" s="2213"/>
      <c r="AH75" s="2213"/>
      <c r="AI75" s="2213"/>
      <c r="AJ75" s="2213"/>
      <c r="AK75" s="2217">
        <f t="shared" si="29"/>
        <v>-14.240290082913416</v>
      </c>
      <c r="AL75" s="2217">
        <f t="shared" si="11"/>
        <v>8835.3557373074564</v>
      </c>
      <c r="AM75" s="2217">
        <f t="shared" si="21"/>
        <v>-3.3412387305834272</v>
      </c>
      <c r="AN75" s="2212">
        <v>260</v>
      </c>
      <c r="AO75" s="2219"/>
      <c r="AP75" s="2213"/>
      <c r="AQ75" s="2219"/>
      <c r="AR75" s="2213"/>
      <c r="AS75" s="2213"/>
      <c r="AT75" s="2213"/>
      <c r="AU75" s="2213"/>
      <c r="AV75" s="2213"/>
      <c r="AW75" s="2217">
        <f t="shared" si="30"/>
        <v>21.077170000079025</v>
      </c>
      <c r="AX75" s="2217">
        <f t="shared" si="31"/>
        <v>8345.9400000095029</v>
      </c>
      <c r="AY75" s="2217">
        <f t="shared" si="12"/>
        <v>30.544500000074549</v>
      </c>
      <c r="AZ75" s="2212">
        <v>260</v>
      </c>
      <c r="BA75" s="2208"/>
      <c r="BB75" s="263"/>
      <c r="BC75" s="2208"/>
      <c r="BD75" s="263"/>
      <c r="BE75" s="263"/>
      <c r="BF75" s="263"/>
      <c r="BG75" s="263"/>
      <c r="BH75" s="2208"/>
      <c r="BI75" s="2217">
        <f t="shared" si="32"/>
        <v>30.545965000102132</v>
      </c>
      <c r="BJ75" s="2217">
        <f t="shared" si="22"/>
        <v>8345.9400000095029</v>
      </c>
      <c r="BK75" s="2217">
        <f t="shared" si="13"/>
        <v>30.544500000074549</v>
      </c>
      <c r="BL75" s="2212">
        <v>260</v>
      </c>
      <c r="BM75" s="2208"/>
      <c r="BN75" s="263"/>
      <c r="BO75" s="2208"/>
      <c r="BP75" s="263"/>
      <c r="BQ75" s="263"/>
      <c r="BR75" s="263"/>
      <c r="BS75" s="263"/>
      <c r="BT75" s="2208"/>
      <c r="BU75" s="2217">
        <f t="shared" si="33"/>
        <v>-14.240290082913416</v>
      </c>
      <c r="BV75" s="2217">
        <f t="shared" si="14"/>
        <v>8835.3557373074564</v>
      </c>
      <c r="BW75" s="2217">
        <f t="shared" si="23"/>
        <v>-3.3412387305834272</v>
      </c>
      <c r="BX75" s="2212">
        <v>260</v>
      </c>
      <c r="BY75" s="2219"/>
      <c r="BZ75" s="2213"/>
      <c r="CA75" s="2219"/>
      <c r="CB75" s="2213"/>
      <c r="CC75" s="2213"/>
      <c r="CD75" s="2213"/>
      <c r="CE75" s="2213"/>
      <c r="CF75" s="2208"/>
      <c r="CG75" s="2217">
        <f t="shared" si="34"/>
        <v>-14.641238730583428</v>
      </c>
      <c r="CH75" s="2217">
        <f t="shared" si="15"/>
        <v>8835.3557373074564</v>
      </c>
      <c r="CI75" s="2217">
        <f t="shared" si="24"/>
        <v>-3.3412387305834272</v>
      </c>
      <c r="CJ75" s="2212">
        <v>260</v>
      </c>
      <c r="CK75" s="2219"/>
      <c r="CL75" s="2213"/>
      <c r="CM75" s="2219"/>
      <c r="CN75" s="2213"/>
      <c r="CO75" s="2213"/>
      <c r="CP75" s="2213"/>
      <c r="CQ75" s="2213"/>
      <c r="CR75" s="2208"/>
      <c r="CS75" s="2217">
        <f t="shared" si="35"/>
        <v>29.935075000100642</v>
      </c>
      <c r="CT75" s="2217">
        <f t="shared" si="25"/>
        <v>8345.9400000095029</v>
      </c>
      <c r="CU75" s="2217">
        <f t="shared" si="16"/>
        <v>30.544500000074549</v>
      </c>
      <c r="CV75" s="2212">
        <v>260</v>
      </c>
      <c r="CW75" s="2208"/>
      <c r="CX75" s="263"/>
      <c r="CY75" s="2208"/>
      <c r="CZ75" s="263"/>
      <c r="DA75" s="263"/>
      <c r="DB75" s="263"/>
      <c r="DC75" s="263"/>
      <c r="DD75" s="2208"/>
    </row>
    <row r="76" spans="1:108">
      <c r="A76" s="2217">
        <f t="shared" si="26"/>
        <v>-15.049415079210759</v>
      </c>
      <c r="B76" s="2217">
        <f t="shared" si="17"/>
        <v>8838.6969760380398</v>
      </c>
      <c r="C76" s="2217">
        <f t="shared" si="18"/>
        <v>-3.260360938444137</v>
      </c>
      <c r="D76" s="2212">
        <v>259</v>
      </c>
      <c r="E76" s="2219"/>
      <c r="F76" s="2213"/>
      <c r="G76" s="2219"/>
      <c r="H76" s="2213"/>
      <c r="I76" s="2213"/>
      <c r="J76" s="2213"/>
      <c r="K76" s="2213"/>
      <c r="L76" s="2213"/>
      <c r="M76" s="2217">
        <f t="shared" si="27"/>
        <v>-15.277640344901847</v>
      </c>
      <c r="N76" s="2217">
        <f t="shared" si="9"/>
        <v>8838.6969760380398</v>
      </c>
      <c r="O76" s="2217">
        <f t="shared" si="19"/>
        <v>-3.260360938444137</v>
      </c>
      <c r="P76" s="2212">
        <v>259</v>
      </c>
      <c r="Q76" s="2219"/>
      <c r="R76" s="2213"/>
      <c r="S76" s="2219"/>
      <c r="T76" s="2213"/>
      <c r="U76" s="2213"/>
      <c r="V76" s="2213"/>
      <c r="W76" s="2213"/>
      <c r="X76" s="2213"/>
      <c r="Y76" s="2217">
        <f t="shared" si="28"/>
        <v>-15.571072829361821</v>
      </c>
      <c r="Z76" s="2217">
        <f t="shared" si="10"/>
        <v>8838.6969760380398</v>
      </c>
      <c r="AA76" s="2217">
        <f t="shared" si="20"/>
        <v>-3.260360938444137</v>
      </c>
      <c r="AB76" s="2212">
        <v>259</v>
      </c>
      <c r="AC76" s="2219"/>
      <c r="AD76" s="2213"/>
      <c r="AE76" s="2219"/>
      <c r="AF76" s="2213"/>
      <c r="AG76" s="2213"/>
      <c r="AH76" s="2213"/>
      <c r="AI76" s="2213"/>
      <c r="AJ76" s="2213"/>
      <c r="AK76" s="2217">
        <f t="shared" si="29"/>
        <v>-14.169117625830841</v>
      </c>
      <c r="AL76" s="2217">
        <f t="shared" si="11"/>
        <v>8838.6969760380398</v>
      </c>
      <c r="AM76" s="2217">
        <f t="shared" si="21"/>
        <v>-3.260360938444137</v>
      </c>
      <c r="AN76" s="2212">
        <v>259</v>
      </c>
      <c r="AO76" s="2219"/>
      <c r="AP76" s="2213"/>
      <c r="AQ76" s="2219"/>
      <c r="AR76" s="2213"/>
      <c r="AS76" s="2213"/>
      <c r="AT76" s="2213"/>
      <c r="AU76" s="2213"/>
      <c r="AV76" s="2213"/>
      <c r="AW76" s="2217">
        <f t="shared" si="30"/>
        <v>20.644054000082178</v>
      </c>
      <c r="AX76" s="2217">
        <f t="shared" si="31"/>
        <v>8315.3955000094284</v>
      </c>
      <c r="AY76" s="2217">
        <f t="shared" si="12"/>
        <v>30.135900000077527</v>
      </c>
      <c r="AZ76" s="2212">
        <v>259</v>
      </c>
      <c r="BA76" s="2208"/>
      <c r="BB76" s="263"/>
      <c r="BC76" s="2208"/>
      <c r="BD76" s="263"/>
      <c r="BE76" s="263"/>
      <c r="BF76" s="263"/>
      <c r="BG76" s="263"/>
      <c r="BH76" s="2208"/>
      <c r="BI76" s="2217">
        <f t="shared" si="32"/>
        <v>29.986183000106212</v>
      </c>
      <c r="BJ76" s="2217">
        <f t="shared" si="22"/>
        <v>8315.3955000094284</v>
      </c>
      <c r="BK76" s="2217">
        <f t="shared" si="13"/>
        <v>30.135900000077527</v>
      </c>
      <c r="BL76" s="2212">
        <v>259</v>
      </c>
      <c r="BM76" s="2208"/>
      <c r="BN76" s="263"/>
      <c r="BO76" s="2208"/>
      <c r="BP76" s="263"/>
      <c r="BQ76" s="263"/>
      <c r="BR76" s="263"/>
      <c r="BS76" s="263"/>
      <c r="BT76" s="2208"/>
      <c r="BU76" s="2217">
        <f t="shared" si="33"/>
        <v>-14.169117625830841</v>
      </c>
      <c r="BV76" s="2217">
        <f t="shared" si="14"/>
        <v>8838.6969760380398</v>
      </c>
      <c r="BW76" s="2217">
        <f t="shared" si="23"/>
        <v>-3.260360938444137</v>
      </c>
      <c r="BX76" s="2212">
        <v>259</v>
      </c>
      <c r="BY76" s="2219"/>
      <c r="BZ76" s="2213"/>
      <c r="CA76" s="2219"/>
      <c r="CB76" s="2213"/>
      <c r="CC76" s="2213"/>
      <c r="CD76" s="2213"/>
      <c r="CE76" s="2213"/>
      <c r="CF76" s="2208"/>
      <c r="CG76" s="2217">
        <f t="shared" si="34"/>
        <v>-14.560360938444138</v>
      </c>
      <c r="CH76" s="2217">
        <f t="shared" si="15"/>
        <v>8838.6969760380398</v>
      </c>
      <c r="CI76" s="2217">
        <f t="shared" si="24"/>
        <v>-3.260360938444137</v>
      </c>
      <c r="CJ76" s="2212">
        <v>259</v>
      </c>
      <c r="CK76" s="2219"/>
      <c r="CL76" s="2213"/>
      <c r="CM76" s="2219"/>
      <c r="CN76" s="2213"/>
      <c r="CO76" s="2213"/>
      <c r="CP76" s="2213"/>
      <c r="CQ76" s="2213"/>
      <c r="CR76" s="2208"/>
      <c r="CS76" s="2217">
        <f t="shared" si="35"/>
        <v>29.38346500010466</v>
      </c>
      <c r="CT76" s="2217">
        <f t="shared" si="25"/>
        <v>8315.3955000094284</v>
      </c>
      <c r="CU76" s="2217">
        <f t="shared" si="16"/>
        <v>30.135900000077527</v>
      </c>
      <c r="CV76" s="2212">
        <v>259</v>
      </c>
      <c r="CW76" s="2208"/>
      <c r="CX76" s="263"/>
      <c r="CY76" s="2208"/>
      <c r="CZ76" s="263"/>
      <c r="DA76" s="263"/>
      <c r="DB76" s="263"/>
      <c r="DC76" s="263"/>
      <c r="DD76" s="2208"/>
    </row>
    <row r="77" spans="1:108">
      <c r="A77" s="2217">
        <f t="shared" si="26"/>
        <v>-14.955092714175771</v>
      </c>
      <c r="B77" s="2217">
        <f t="shared" si="17"/>
        <v>8841.9573369764839</v>
      </c>
      <c r="C77" s="2217">
        <f t="shared" si="18"/>
        <v>-3.178341490587627</v>
      </c>
      <c r="D77" s="2212">
        <v>258</v>
      </c>
      <c r="E77" s="2219"/>
      <c r="F77" s="2213"/>
      <c r="G77" s="2219"/>
      <c r="H77" s="2213"/>
      <c r="I77" s="2213"/>
      <c r="J77" s="2213"/>
      <c r="K77" s="2213"/>
      <c r="L77" s="2213"/>
      <c r="M77" s="2217">
        <f t="shared" si="27"/>
        <v>-15.177576618516905</v>
      </c>
      <c r="N77" s="2217">
        <f t="shared" si="9"/>
        <v>8841.9573369764839</v>
      </c>
      <c r="O77" s="2217">
        <f t="shared" si="19"/>
        <v>-3.178341490587627</v>
      </c>
      <c r="P77" s="2212">
        <v>258</v>
      </c>
      <c r="Q77" s="2219"/>
      <c r="R77" s="2213"/>
      <c r="S77" s="2219"/>
      <c r="T77" s="2213"/>
      <c r="U77" s="2213"/>
      <c r="V77" s="2213"/>
      <c r="W77" s="2213"/>
      <c r="X77" s="2213"/>
      <c r="Y77" s="2217">
        <f t="shared" si="28"/>
        <v>-15.463627352669793</v>
      </c>
      <c r="Z77" s="2217">
        <f t="shared" si="10"/>
        <v>8841.9573369764839</v>
      </c>
      <c r="AA77" s="2217">
        <f t="shared" si="20"/>
        <v>-3.178341490587627</v>
      </c>
      <c r="AB77" s="2212">
        <v>258</v>
      </c>
      <c r="AC77" s="2219"/>
      <c r="AD77" s="2213"/>
      <c r="AE77" s="2219"/>
      <c r="AF77" s="2213"/>
      <c r="AG77" s="2213"/>
      <c r="AH77" s="2213"/>
      <c r="AI77" s="2213"/>
      <c r="AJ77" s="2213"/>
      <c r="AK77" s="2217">
        <f t="shared" si="29"/>
        <v>-14.096940511717111</v>
      </c>
      <c r="AL77" s="2217">
        <f t="shared" si="11"/>
        <v>8841.9573369764839</v>
      </c>
      <c r="AM77" s="2217">
        <f t="shared" si="21"/>
        <v>-3.178341490587627</v>
      </c>
      <c r="AN77" s="2212">
        <v>258</v>
      </c>
      <c r="AO77" s="2219"/>
      <c r="AP77" s="2213"/>
      <c r="AQ77" s="2219"/>
      <c r="AR77" s="2213"/>
      <c r="AS77" s="2213"/>
      <c r="AT77" s="2213"/>
      <c r="AU77" s="2213"/>
      <c r="AV77" s="2213"/>
      <c r="AW77" s="2217">
        <f t="shared" si="30"/>
        <v>20.214754000079559</v>
      </c>
      <c r="AX77" s="2217">
        <f t="shared" si="31"/>
        <v>8285.2596000093508</v>
      </c>
      <c r="AY77" s="2217">
        <f t="shared" si="12"/>
        <v>29.730900000075053</v>
      </c>
      <c r="AZ77" s="2212">
        <v>258</v>
      </c>
      <c r="BA77" s="2208"/>
      <c r="BB77" s="263"/>
      <c r="BC77" s="2208"/>
      <c r="BD77" s="263"/>
      <c r="BE77" s="263"/>
      <c r="BF77" s="263"/>
      <c r="BG77" s="263"/>
      <c r="BH77" s="2208"/>
      <c r="BI77" s="2217">
        <f t="shared" si="32"/>
        <v>29.431333000102828</v>
      </c>
      <c r="BJ77" s="2217">
        <f t="shared" si="22"/>
        <v>8285.2596000093508</v>
      </c>
      <c r="BK77" s="2217">
        <f t="shared" si="13"/>
        <v>29.730900000075053</v>
      </c>
      <c r="BL77" s="2212">
        <v>258</v>
      </c>
      <c r="BM77" s="2208"/>
      <c r="BN77" s="263"/>
      <c r="BO77" s="2208"/>
      <c r="BP77" s="263"/>
      <c r="BQ77" s="263"/>
      <c r="BR77" s="263"/>
      <c r="BS77" s="263"/>
      <c r="BT77" s="2208"/>
      <c r="BU77" s="2217">
        <f t="shared" si="33"/>
        <v>-14.096940511717111</v>
      </c>
      <c r="BV77" s="2217">
        <f t="shared" si="14"/>
        <v>8841.9573369764839</v>
      </c>
      <c r="BW77" s="2217">
        <f t="shared" si="23"/>
        <v>-3.178341490587627</v>
      </c>
      <c r="BX77" s="2212">
        <v>258</v>
      </c>
      <c r="BY77" s="2219"/>
      <c r="BZ77" s="2213"/>
      <c r="CA77" s="2219"/>
      <c r="CB77" s="2213"/>
      <c r="CC77" s="2213"/>
      <c r="CD77" s="2213"/>
      <c r="CE77" s="2213"/>
      <c r="CF77" s="2208"/>
      <c r="CG77" s="2217">
        <f t="shared" si="34"/>
        <v>-14.478341490587628</v>
      </c>
      <c r="CH77" s="2217">
        <f t="shared" si="15"/>
        <v>8841.9573369764839</v>
      </c>
      <c r="CI77" s="2217">
        <f t="shared" si="24"/>
        <v>-3.178341490587627</v>
      </c>
      <c r="CJ77" s="2212">
        <v>258</v>
      </c>
      <c r="CK77" s="2219"/>
      <c r="CL77" s="2213"/>
      <c r="CM77" s="2219"/>
      <c r="CN77" s="2213"/>
      <c r="CO77" s="2213"/>
      <c r="CP77" s="2213"/>
      <c r="CQ77" s="2213"/>
      <c r="CR77" s="2208"/>
      <c r="CS77" s="2217">
        <f t="shared" si="35"/>
        <v>28.836715000101325</v>
      </c>
      <c r="CT77" s="2217">
        <f t="shared" si="25"/>
        <v>8285.2596000093508</v>
      </c>
      <c r="CU77" s="2217">
        <f t="shared" si="16"/>
        <v>29.730900000075053</v>
      </c>
      <c r="CV77" s="2212">
        <v>258</v>
      </c>
      <c r="CW77" s="2208"/>
      <c r="CX77" s="263"/>
      <c r="CY77" s="2208"/>
      <c r="CZ77" s="263"/>
      <c r="DA77" s="263"/>
      <c r="DB77" s="263"/>
      <c r="DC77" s="263"/>
      <c r="DD77" s="2208"/>
    </row>
    <row r="78" spans="1:108">
      <c r="A78" s="2217">
        <f t="shared" si="26"/>
        <v>-14.859457445026237</v>
      </c>
      <c r="B78" s="2217">
        <f t="shared" si="17"/>
        <v>8845.1356784670716</v>
      </c>
      <c r="C78" s="2217">
        <f t="shared" si="18"/>
        <v>-3.0951803869793366</v>
      </c>
      <c r="D78" s="2212">
        <v>257</v>
      </c>
      <c r="E78" s="2219"/>
      <c r="F78" s="2213"/>
      <c r="G78" s="2219"/>
      <c r="H78" s="2213"/>
      <c r="I78" s="2213"/>
      <c r="J78" s="2213"/>
      <c r="K78" s="2213"/>
      <c r="L78" s="2213"/>
      <c r="M78" s="2217">
        <f t="shared" si="27"/>
        <v>-15.076120072114792</v>
      </c>
      <c r="N78" s="2217">
        <f t="shared" si="9"/>
        <v>8845.1356784670716</v>
      </c>
      <c r="O78" s="2217">
        <f t="shared" si="19"/>
        <v>-3.0951803869793366</v>
      </c>
      <c r="P78" s="2212">
        <v>257</v>
      </c>
      <c r="Q78" s="2219"/>
      <c r="R78" s="2213"/>
      <c r="S78" s="2219"/>
      <c r="T78" s="2213"/>
      <c r="U78" s="2213"/>
      <c r="V78" s="2213"/>
      <c r="W78" s="2213"/>
      <c r="X78" s="2213"/>
      <c r="Y78" s="2217">
        <f t="shared" si="28"/>
        <v>-15.354686306942931</v>
      </c>
      <c r="Z78" s="2217">
        <f t="shared" si="10"/>
        <v>8845.1356784670716</v>
      </c>
      <c r="AA78" s="2217">
        <f t="shared" si="20"/>
        <v>-3.0951803869793366</v>
      </c>
      <c r="AB78" s="2212">
        <v>257</v>
      </c>
      <c r="AC78" s="2219"/>
      <c r="AD78" s="2213"/>
      <c r="AE78" s="2219"/>
      <c r="AF78" s="2213"/>
      <c r="AG78" s="2213"/>
      <c r="AH78" s="2213"/>
      <c r="AI78" s="2213"/>
      <c r="AJ78" s="2213"/>
      <c r="AK78" s="2217">
        <f t="shared" si="29"/>
        <v>-14.023758740541817</v>
      </c>
      <c r="AL78" s="2217">
        <f t="shared" si="11"/>
        <v>8845.1356784670716</v>
      </c>
      <c r="AM78" s="2217">
        <f t="shared" si="21"/>
        <v>-3.0951803869793366</v>
      </c>
      <c r="AN78" s="2212">
        <v>257</v>
      </c>
      <c r="AO78" s="2219"/>
      <c r="AP78" s="2213"/>
      <c r="AQ78" s="2219"/>
      <c r="AR78" s="2213"/>
      <c r="AS78" s="2213"/>
      <c r="AT78" s="2213"/>
      <c r="AU78" s="2213"/>
      <c r="AV78" s="2213"/>
      <c r="AW78" s="2217">
        <f t="shared" si="30"/>
        <v>19.789270000078869</v>
      </c>
      <c r="AX78" s="2217">
        <f t="shared" si="31"/>
        <v>8255.5287000092758</v>
      </c>
      <c r="AY78" s="2217">
        <f t="shared" si="12"/>
        <v>29.329500000074404</v>
      </c>
      <c r="AZ78" s="2212">
        <v>257</v>
      </c>
      <c r="BA78" s="2208"/>
      <c r="BB78" s="263"/>
      <c r="BC78" s="2208"/>
      <c r="BD78" s="263"/>
      <c r="BE78" s="263"/>
      <c r="BF78" s="263"/>
      <c r="BG78" s="263"/>
      <c r="BH78" s="2208"/>
      <c r="BI78" s="2217">
        <f t="shared" si="32"/>
        <v>28.881415000101935</v>
      </c>
      <c r="BJ78" s="2217">
        <f t="shared" si="22"/>
        <v>8255.5287000092758</v>
      </c>
      <c r="BK78" s="2217">
        <f t="shared" si="13"/>
        <v>29.329500000074404</v>
      </c>
      <c r="BL78" s="2212">
        <v>257</v>
      </c>
      <c r="BM78" s="2208"/>
      <c r="BN78" s="263"/>
      <c r="BO78" s="2208"/>
      <c r="BP78" s="263"/>
      <c r="BQ78" s="263"/>
      <c r="BR78" s="263"/>
      <c r="BS78" s="263"/>
      <c r="BT78" s="2208"/>
      <c r="BU78" s="2217">
        <f t="shared" si="33"/>
        <v>-14.023758740541817</v>
      </c>
      <c r="BV78" s="2217">
        <f t="shared" si="14"/>
        <v>8845.1356784670716</v>
      </c>
      <c r="BW78" s="2217">
        <f t="shared" si="23"/>
        <v>-3.0951803869793366</v>
      </c>
      <c r="BX78" s="2212">
        <v>257</v>
      </c>
      <c r="BY78" s="2219"/>
      <c r="BZ78" s="2213"/>
      <c r="CA78" s="2219"/>
      <c r="CB78" s="2213"/>
      <c r="CC78" s="2213"/>
      <c r="CD78" s="2213"/>
      <c r="CE78" s="2213"/>
      <c r="CF78" s="2208"/>
      <c r="CG78" s="2217">
        <f t="shared" si="34"/>
        <v>-14.395180386979337</v>
      </c>
      <c r="CH78" s="2217">
        <f t="shared" si="15"/>
        <v>8845.1356784670716</v>
      </c>
      <c r="CI78" s="2217">
        <f t="shared" si="24"/>
        <v>-3.0951803869793366</v>
      </c>
      <c r="CJ78" s="2212">
        <v>257</v>
      </c>
      <c r="CK78" s="2219"/>
      <c r="CL78" s="2213"/>
      <c r="CM78" s="2219"/>
      <c r="CN78" s="2213"/>
      <c r="CO78" s="2213"/>
      <c r="CP78" s="2213"/>
      <c r="CQ78" s="2213"/>
      <c r="CR78" s="2208"/>
      <c r="CS78" s="2217">
        <f t="shared" si="35"/>
        <v>28.294825000100449</v>
      </c>
      <c r="CT78" s="2217">
        <f t="shared" si="25"/>
        <v>8255.5287000092758</v>
      </c>
      <c r="CU78" s="2217">
        <f t="shared" si="16"/>
        <v>29.329500000074404</v>
      </c>
      <c r="CV78" s="2212">
        <v>257</v>
      </c>
      <c r="CW78" s="2208"/>
      <c r="CX78" s="263"/>
      <c r="CY78" s="2208"/>
      <c r="CZ78" s="263"/>
      <c r="DA78" s="263"/>
      <c r="DB78" s="263"/>
      <c r="DC78" s="263"/>
      <c r="DD78" s="2208"/>
    </row>
    <row r="79" spans="1:108">
      <c r="A79" s="2217">
        <f t="shared" si="26"/>
        <v>-14.762509271797718</v>
      </c>
      <c r="B79" s="2217">
        <f t="shared" si="17"/>
        <v>8848.2308588540509</v>
      </c>
      <c r="C79" s="2217">
        <f t="shared" si="18"/>
        <v>-3.0108776276501885</v>
      </c>
      <c r="D79" s="2212">
        <v>256</v>
      </c>
      <c r="E79" s="2219"/>
      <c r="F79" s="2213"/>
      <c r="G79" s="2219"/>
      <c r="H79" s="2213"/>
      <c r="I79" s="2213"/>
      <c r="J79" s="2213"/>
      <c r="K79" s="2213"/>
      <c r="L79" s="2213"/>
      <c r="M79" s="2217">
        <f t="shared" si="27"/>
        <v>-14.973270705733231</v>
      </c>
      <c r="N79" s="2217">
        <f t="shared" si="9"/>
        <v>8848.2308588540509</v>
      </c>
      <c r="O79" s="2217">
        <f t="shared" si="19"/>
        <v>-3.0108776276501885</v>
      </c>
      <c r="P79" s="2212">
        <v>256</v>
      </c>
      <c r="Q79" s="2219"/>
      <c r="R79" s="2213"/>
      <c r="S79" s="2219"/>
      <c r="T79" s="2213"/>
      <c r="U79" s="2213"/>
      <c r="V79" s="2213"/>
      <c r="W79" s="2213"/>
      <c r="X79" s="2213"/>
      <c r="Y79" s="2217">
        <f t="shared" si="28"/>
        <v>-15.244249692221748</v>
      </c>
      <c r="Z79" s="2217">
        <f t="shared" si="10"/>
        <v>8848.2308588540509</v>
      </c>
      <c r="AA79" s="2217">
        <f t="shared" si="20"/>
        <v>-3.0108776276501885</v>
      </c>
      <c r="AB79" s="2212">
        <v>256</v>
      </c>
      <c r="AC79" s="2219"/>
      <c r="AD79" s="2213"/>
      <c r="AE79" s="2219"/>
      <c r="AF79" s="2213"/>
      <c r="AG79" s="2213"/>
      <c r="AH79" s="2213"/>
      <c r="AI79" s="2213"/>
      <c r="AJ79" s="2213"/>
      <c r="AK79" s="2217">
        <f t="shared" si="29"/>
        <v>-13.949572312332165</v>
      </c>
      <c r="AL79" s="2217">
        <f t="shared" si="11"/>
        <v>8848.2308588540509</v>
      </c>
      <c r="AM79" s="2217">
        <f t="shared" si="21"/>
        <v>-3.0108776276501885</v>
      </c>
      <c r="AN79" s="2212">
        <v>256</v>
      </c>
      <c r="AO79" s="2219"/>
      <c r="AP79" s="2213"/>
      <c r="AQ79" s="2219"/>
      <c r="AR79" s="2213"/>
      <c r="AS79" s="2213"/>
      <c r="AT79" s="2213"/>
      <c r="AU79" s="2213"/>
      <c r="AV79" s="2213"/>
      <c r="AW79" s="2217">
        <f t="shared" si="30"/>
        <v>19.367602000080115</v>
      </c>
      <c r="AX79" s="2217">
        <f t="shared" si="31"/>
        <v>8226.1992000092014</v>
      </c>
      <c r="AY79" s="2217">
        <f t="shared" si="12"/>
        <v>28.93170000007558</v>
      </c>
      <c r="AZ79" s="2212">
        <v>256</v>
      </c>
      <c r="BA79" s="2208"/>
      <c r="BB79" s="263"/>
      <c r="BC79" s="2208"/>
      <c r="BD79" s="263"/>
      <c r="BE79" s="263"/>
      <c r="BF79" s="263"/>
      <c r="BG79" s="263"/>
      <c r="BH79" s="2208"/>
      <c r="BI79" s="2217">
        <f t="shared" si="32"/>
        <v>28.336429000103546</v>
      </c>
      <c r="BJ79" s="2217">
        <f t="shared" si="22"/>
        <v>8226.1992000092014</v>
      </c>
      <c r="BK79" s="2217">
        <f t="shared" si="13"/>
        <v>28.93170000007558</v>
      </c>
      <c r="BL79" s="2212">
        <v>256</v>
      </c>
      <c r="BM79" s="2208"/>
      <c r="BN79" s="263"/>
      <c r="BO79" s="2208"/>
      <c r="BP79" s="263"/>
      <c r="BQ79" s="263"/>
      <c r="BR79" s="263"/>
      <c r="BS79" s="263"/>
      <c r="BT79" s="2208"/>
      <c r="BU79" s="2217">
        <f t="shared" si="33"/>
        <v>-13.949572312332165</v>
      </c>
      <c r="BV79" s="2217">
        <f t="shared" si="14"/>
        <v>8848.2308588540509</v>
      </c>
      <c r="BW79" s="2217">
        <f t="shared" si="23"/>
        <v>-3.0108776276501885</v>
      </c>
      <c r="BX79" s="2212">
        <v>256</v>
      </c>
      <c r="BY79" s="2219"/>
      <c r="BZ79" s="2213"/>
      <c r="CA79" s="2219"/>
      <c r="CB79" s="2213"/>
      <c r="CC79" s="2213"/>
      <c r="CD79" s="2213"/>
      <c r="CE79" s="2213"/>
      <c r="CF79" s="2208"/>
      <c r="CG79" s="2217">
        <f t="shared" si="34"/>
        <v>-14.310877627650189</v>
      </c>
      <c r="CH79" s="2217">
        <f t="shared" si="15"/>
        <v>8848.2308588540509</v>
      </c>
      <c r="CI79" s="2217">
        <f t="shared" si="24"/>
        <v>-3.0108776276501885</v>
      </c>
      <c r="CJ79" s="2212">
        <v>256</v>
      </c>
      <c r="CK79" s="2219"/>
      <c r="CL79" s="2213"/>
      <c r="CM79" s="2219"/>
      <c r="CN79" s="2213"/>
      <c r="CO79" s="2213"/>
      <c r="CP79" s="2213"/>
      <c r="CQ79" s="2213"/>
      <c r="CR79" s="2208"/>
      <c r="CS79" s="2217">
        <f t="shared" si="35"/>
        <v>27.757795000102032</v>
      </c>
      <c r="CT79" s="2217">
        <f t="shared" si="25"/>
        <v>8226.1992000092014</v>
      </c>
      <c r="CU79" s="2217">
        <f t="shared" si="16"/>
        <v>28.93170000007558</v>
      </c>
      <c r="CV79" s="2212">
        <v>256</v>
      </c>
      <c r="CW79" s="2208"/>
      <c r="CX79" s="263"/>
      <c r="CY79" s="2208"/>
      <c r="CZ79" s="263"/>
      <c r="DA79" s="263"/>
      <c r="DB79" s="263"/>
      <c r="DC79" s="263"/>
      <c r="DD79" s="2208"/>
    </row>
    <row r="80" spans="1:108">
      <c r="A80" s="2217">
        <f t="shared" si="26"/>
        <v>-14.664248194460924</v>
      </c>
      <c r="B80" s="2217">
        <f t="shared" si="17"/>
        <v>8851.2417364817011</v>
      </c>
      <c r="C80" s="2217">
        <f t="shared" si="18"/>
        <v>-2.9254332125747169</v>
      </c>
      <c r="D80" s="2212">
        <v>255</v>
      </c>
      <c r="E80" s="2219"/>
      <c r="F80" s="2213"/>
      <c r="G80" s="2219"/>
      <c r="H80" s="2213"/>
      <c r="I80" s="2213"/>
      <c r="J80" s="2213"/>
      <c r="K80" s="2213"/>
      <c r="L80" s="2213"/>
      <c r="M80" s="2217">
        <f t="shared" si="27"/>
        <v>-14.869028519341155</v>
      </c>
      <c r="N80" s="2217">
        <f t="shared" si="9"/>
        <v>8851.2417364817011</v>
      </c>
      <c r="O80" s="2217">
        <f t="shared" si="19"/>
        <v>-2.9254332125747169</v>
      </c>
      <c r="P80" s="2212">
        <v>255</v>
      </c>
      <c r="Q80" s="2219"/>
      <c r="R80" s="2213"/>
      <c r="S80" s="2219"/>
      <c r="T80" s="2213"/>
      <c r="U80" s="2213"/>
      <c r="V80" s="2213"/>
      <c r="W80" s="2213"/>
      <c r="X80" s="2213"/>
      <c r="Y80" s="2217">
        <f t="shared" si="28"/>
        <v>-15.13231750847288</v>
      </c>
      <c r="Z80" s="2217">
        <f t="shared" si="10"/>
        <v>8851.2417364817011</v>
      </c>
      <c r="AA80" s="2217">
        <f t="shared" si="20"/>
        <v>-2.9254332125747169</v>
      </c>
      <c r="AB80" s="2212">
        <v>255</v>
      </c>
      <c r="AC80" s="2219"/>
      <c r="AD80" s="2213"/>
      <c r="AE80" s="2219"/>
      <c r="AF80" s="2213"/>
      <c r="AG80" s="2213"/>
      <c r="AH80" s="2213"/>
      <c r="AI80" s="2213"/>
      <c r="AJ80" s="2213"/>
      <c r="AK80" s="2217">
        <f t="shared" si="29"/>
        <v>-13.874381227065751</v>
      </c>
      <c r="AL80" s="2217">
        <f t="shared" si="11"/>
        <v>8851.2417364817011</v>
      </c>
      <c r="AM80" s="2217">
        <f t="shared" si="21"/>
        <v>-2.9254332125747169</v>
      </c>
      <c r="AN80" s="2212">
        <v>255</v>
      </c>
      <c r="AO80" s="2219"/>
      <c r="AP80" s="2213"/>
      <c r="AQ80" s="2219"/>
      <c r="AR80" s="2213"/>
      <c r="AS80" s="2213"/>
      <c r="AT80" s="2213"/>
      <c r="AU80" s="2213"/>
      <c r="AV80" s="2213"/>
      <c r="AW80" s="2217">
        <f t="shared" si="30"/>
        <v>18.94975000007944</v>
      </c>
      <c r="AX80" s="2217">
        <f t="shared" si="31"/>
        <v>8197.2675000091258</v>
      </c>
      <c r="AY80" s="2217">
        <f t="shared" si="12"/>
        <v>28.537500000074942</v>
      </c>
      <c r="AZ80" s="2212">
        <v>255</v>
      </c>
      <c r="BA80" s="2208"/>
      <c r="BB80" s="263"/>
      <c r="BC80" s="2208"/>
      <c r="BD80" s="263"/>
      <c r="BE80" s="263"/>
      <c r="BF80" s="263"/>
      <c r="BG80" s="263"/>
      <c r="BH80" s="2208"/>
      <c r="BI80" s="2217">
        <f t="shared" si="32"/>
        <v>27.796375000102675</v>
      </c>
      <c r="BJ80" s="2217">
        <f t="shared" si="22"/>
        <v>8197.2675000091258</v>
      </c>
      <c r="BK80" s="2217">
        <f t="shared" si="13"/>
        <v>28.537500000074942</v>
      </c>
      <c r="BL80" s="2212">
        <v>255</v>
      </c>
      <c r="BM80" s="2208"/>
      <c r="BN80" s="263"/>
      <c r="BO80" s="2208"/>
      <c r="BP80" s="263"/>
      <c r="BQ80" s="263"/>
      <c r="BR80" s="263"/>
      <c r="BS80" s="263"/>
      <c r="BT80" s="2208"/>
      <c r="BU80" s="2217">
        <f t="shared" si="33"/>
        <v>-13.874381227065751</v>
      </c>
      <c r="BV80" s="2217">
        <f t="shared" si="14"/>
        <v>8851.2417364817011</v>
      </c>
      <c r="BW80" s="2217">
        <f t="shared" si="23"/>
        <v>-2.9254332125747169</v>
      </c>
      <c r="BX80" s="2212">
        <v>255</v>
      </c>
      <c r="BY80" s="2219"/>
      <c r="BZ80" s="2213"/>
      <c r="CA80" s="2219"/>
      <c r="CB80" s="2213"/>
      <c r="CC80" s="2213"/>
      <c r="CD80" s="2213"/>
      <c r="CE80" s="2213"/>
      <c r="CF80" s="2208"/>
      <c r="CG80" s="2217">
        <f t="shared" si="34"/>
        <v>-14.225433212574718</v>
      </c>
      <c r="CH80" s="2217">
        <f t="shared" si="15"/>
        <v>8851.2417364817011</v>
      </c>
      <c r="CI80" s="2217">
        <f t="shared" si="24"/>
        <v>-2.9254332125747169</v>
      </c>
      <c r="CJ80" s="2212">
        <v>255</v>
      </c>
      <c r="CK80" s="2219"/>
      <c r="CL80" s="2213"/>
      <c r="CM80" s="2219"/>
      <c r="CN80" s="2213"/>
      <c r="CO80" s="2213"/>
      <c r="CP80" s="2213"/>
      <c r="CQ80" s="2213"/>
      <c r="CR80" s="2208"/>
      <c r="CS80" s="2217">
        <f t="shared" si="35"/>
        <v>27.225625000101171</v>
      </c>
      <c r="CT80" s="2217">
        <f t="shared" si="25"/>
        <v>8197.2675000091258</v>
      </c>
      <c r="CU80" s="2217">
        <f t="shared" si="16"/>
        <v>28.537500000074942</v>
      </c>
      <c r="CV80" s="2212">
        <v>255</v>
      </c>
      <c r="CW80" s="2208"/>
      <c r="CX80" s="263"/>
      <c r="CY80" s="2208"/>
      <c r="CZ80" s="263"/>
      <c r="DA80" s="263"/>
      <c r="DB80" s="263"/>
      <c r="DC80" s="263"/>
      <c r="DD80" s="2208"/>
    </row>
    <row r="81" spans="1:108">
      <c r="A81" s="2217">
        <f t="shared" si="26"/>
        <v>-14.564674213043055</v>
      </c>
      <c r="B81" s="2217">
        <f t="shared" si="17"/>
        <v>8854.1671696942758</v>
      </c>
      <c r="C81" s="2217">
        <f t="shared" si="18"/>
        <v>-2.8388471417765686</v>
      </c>
      <c r="D81" s="2212">
        <v>254</v>
      </c>
      <c r="E81" s="2219"/>
      <c r="F81" s="2213"/>
      <c r="G81" s="2219"/>
      <c r="H81" s="2213"/>
      <c r="I81" s="2213"/>
      <c r="J81" s="2213"/>
      <c r="K81" s="2213"/>
      <c r="L81" s="2213"/>
      <c r="M81" s="2217">
        <f t="shared" si="27"/>
        <v>-14.763393512967415</v>
      </c>
      <c r="N81" s="2217">
        <f t="shared" si="9"/>
        <v>8854.1671696942758</v>
      </c>
      <c r="O81" s="2217">
        <f t="shared" si="19"/>
        <v>-2.8388471417765686</v>
      </c>
      <c r="P81" s="2212">
        <v>254</v>
      </c>
      <c r="Q81" s="2219"/>
      <c r="R81" s="2213"/>
      <c r="S81" s="2219"/>
      <c r="T81" s="2213"/>
      <c r="U81" s="2213"/>
      <c r="V81" s="2213"/>
      <c r="W81" s="2213"/>
      <c r="X81" s="2213"/>
      <c r="Y81" s="2217">
        <f t="shared" si="28"/>
        <v>-15.018889755727306</v>
      </c>
      <c r="Z81" s="2217">
        <f t="shared" si="10"/>
        <v>8854.1671696942758</v>
      </c>
      <c r="AA81" s="2217">
        <f t="shared" si="20"/>
        <v>-2.8388471417765686</v>
      </c>
      <c r="AB81" s="2212">
        <v>254</v>
      </c>
      <c r="AC81" s="2219"/>
      <c r="AD81" s="2213"/>
      <c r="AE81" s="2219"/>
      <c r="AF81" s="2213"/>
      <c r="AG81" s="2213"/>
      <c r="AH81" s="2213"/>
      <c r="AI81" s="2213"/>
      <c r="AJ81" s="2213"/>
      <c r="AK81" s="2217">
        <f t="shared" si="29"/>
        <v>-13.79818548476338</v>
      </c>
      <c r="AL81" s="2217">
        <f t="shared" si="11"/>
        <v>8854.1671696942758</v>
      </c>
      <c r="AM81" s="2217">
        <f t="shared" si="21"/>
        <v>-2.8388471417765686</v>
      </c>
      <c r="AN81" s="2212">
        <v>254</v>
      </c>
      <c r="AO81" s="2219"/>
      <c r="AP81" s="2213"/>
      <c r="AQ81" s="2219"/>
      <c r="AR81" s="2213"/>
      <c r="AS81" s="2213"/>
      <c r="AT81" s="2213"/>
      <c r="AU81" s="2213"/>
      <c r="AV81" s="2213"/>
      <c r="AW81" s="2217">
        <f t="shared" si="30"/>
        <v>18.535714000082628</v>
      </c>
      <c r="AX81" s="2217">
        <f t="shared" si="31"/>
        <v>8168.7300000090509</v>
      </c>
      <c r="AY81" s="2217">
        <f t="shared" si="12"/>
        <v>28.146900000077949</v>
      </c>
      <c r="AZ81" s="2212">
        <v>254</v>
      </c>
      <c r="BA81" s="2208"/>
      <c r="BB81" s="263"/>
      <c r="BC81" s="2208"/>
      <c r="BD81" s="263"/>
      <c r="BE81" s="263"/>
      <c r="BF81" s="263"/>
      <c r="BG81" s="263"/>
      <c r="BH81" s="2208"/>
      <c r="BI81" s="2217">
        <f t="shared" si="32"/>
        <v>27.261253000106795</v>
      </c>
      <c r="BJ81" s="2217">
        <f t="shared" si="22"/>
        <v>8168.7300000090509</v>
      </c>
      <c r="BK81" s="2217">
        <f t="shared" si="13"/>
        <v>28.146900000077949</v>
      </c>
      <c r="BL81" s="2212">
        <v>254</v>
      </c>
      <c r="BM81" s="2208"/>
      <c r="BN81" s="263"/>
      <c r="BO81" s="2208"/>
      <c r="BP81" s="263"/>
      <c r="BQ81" s="263"/>
      <c r="BR81" s="263"/>
      <c r="BS81" s="263"/>
      <c r="BT81" s="2208"/>
      <c r="BU81" s="2217">
        <f t="shared" si="33"/>
        <v>-13.79818548476338</v>
      </c>
      <c r="BV81" s="2217">
        <f t="shared" si="14"/>
        <v>8854.1671696942758</v>
      </c>
      <c r="BW81" s="2217">
        <f t="shared" si="23"/>
        <v>-2.8388471417765686</v>
      </c>
      <c r="BX81" s="2212">
        <v>254</v>
      </c>
      <c r="BY81" s="2219"/>
      <c r="BZ81" s="2213"/>
      <c r="CA81" s="2219"/>
      <c r="CB81" s="2213"/>
      <c r="CC81" s="2213"/>
      <c r="CD81" s="2213"/>
      <c r="CE81" s="2213"/>
      <c r="CF81" s="2208"/>
      <c r="CG81" s="2217">
        <f t="shared" si="34"/>
        <v>-14.138847141776569</v>
      </c>
      <c r="CH81" s="2217">
        <f t="shared" si="15"/>
        <v>8854.1671696942758</v>
      </c>
      <c r="CI81" s="2217">
        <f t="shared" si="24"/>
        <v>-2.8388471417765686</v>
      </c>
      <c r="CJ81" s="2212">
        <v>254</v>
      </c>
      <c r="CK81" s="2219"/>
      <c r="CL81" s="2213"/>
      <c r="CM81" s="2219"/>
      <c r="CN81" s="2213"/>
      <c r="CO81" s="2213"/>
      <c r="CP81" s="2213"/>
      <c r="CQ81" s="2213"/>
      <c r="CR81" s="2208"/>
      <c r="CS81" s="2217">
        <f t="shared" si="35"/>
        <v>26.698315000105236</v>
      </c>
      <c r="CT81" s="2217">
        <f t="shared" si="25"/>
        <v>8168.7300000090509</v>
      </c>
      <c r="CU81" s="2217">
        <f t="shared" si="16"/>
        <v>28.146900000077949</v>
      </c>
      <c r="CV81" s="2212">
        <v>254</v>
      </c>
      <c r="CW81" s="2208"/>
      <c r="CX81" s="263"/>
      <c r="CY81" s="2208"/>
      <c r="CZ81" s="263"/>
      <c r="DA81" s="263"/>
      <c r="DB81" s="263"/>
      <c r="DC81" s="263"/>
      <c r="DD81" s="2208"/>
    </row>
    <row r="82" spans="1:108">
      <c r="A82" s="2217">
        <f t="shared" si="26"/>
        <v>-14.463787327514821</v>
      </c>
      <c r="B82" s="2217">
        <f t="shared" si="17"/>
        <v>8857.0060168360524</v>
      </c>
      <c r="C82" s="2217">
        <f t="shared" si="18"/>
        <v>-2.7511194152302778</v>
      </c>
      <c r="D82" s="2212">
        <v>253</v>
      </c>
      <c r="E82" s="2219"/>
      <c r="F82" s="2213"/>
      <c r="G82" s="2219"/>
      <c r="H82" s="2213"/>
      <c r="I82" s="2213"/>
      <c r="J82" s="2213"/>
      <c r="K82" s="2213"/>
      <c r="L82" s="2213"/>
      <c r="M82" s="2217">
        <f t="shared" si="27"/>
        <v>-14.656365686580941</v>
      </c>
      <c r="N82" s="2217">
        <f t="shared" si="9"/>
        <v>8857.0060168360524</v>
      </c>
      <c r="O82" s="2217">
        <f t="shared" si="19"/>
        <v>-2.7511194152302778</v>
      </c>
      <c r="P82" s="2212">
        <v>253</v>
      </c>
      <c r="Q82" s="2219"/>
      <c r="R82" s="2213"/>
      <c r="S82" s="2219"/>
      <c r="T82" s="2213"/>
      <c r="U82" s="2213"/>
      <c r="V82" s="2213"/>
      <c r="W82" s="2213"/>
      <c r="X82" s="2213"/>
      <c r="Y82" s="2217">
        <f t="shared" si="28"/>
        <v>-14.903966433951664</v>
      </c>
      <c r="Z82" s="2217">
        <f t="shared" si="10"/>
        <v>8857.0060168360524</v>
      </c>
      <c r="AA82" s="2217">
        <f t="shared" si="20"/>
        <v>-2.7511194152302778</v>
      </c>
      <c r="AB82" s="2212">
        <v>253</v>
      </c>
      <c r="AC82" s="2219"/>
      <c r="AD82" s="2213"/>
      <c r="AE82" s="2219"/>
      <c r="AF82" s="2213"/>
      <c r="AG82" s="2213"/>
      <c r="AH82" s="2213"/>
      <c r="AI82" s="2213"/>
      <c r="AJ82" s="2213"/>
      <c r="AK82" s="2217">
        <f t="shared" si="29"/>
        <v>-13.720985085402646</v>
      </c>
      <c r="AL82" s="2217">
        <f t="shared" si="11"/>
        <v>8857.0060168360524</v>
      </c>
      <c r="AM82" s="2217">
        <f t="shared" si="21"/>
        <v>-2.7511194152302778</v>
      </c>
      <c r="AN82" s="2212">
        <v>253</v>
      </c>
      <c r="AO82" s="2219"/>
      <c r="AP82" s="2213"/>
      <c r="AQ82" s="2219"/>
      <c r="AR82" s="2213"/>
      <c r="AS82" s="2213"/>
      <c r="AT82" s="2213"/>
      <c r="AU82" s="2213"/>
      <c r="AV82" s="2213"/>
      <c r="AW82" s="2217">
        <f t="shared" si="30"/>
        <v>18.125494000081964</v>
      </c>
      <c r="AX82" s="2217">
        <f t="shared" si="31"/>
        <v>8140.5831000089729</v>
      </c>
      <c r="AY82" s="2217">
        <f t="shared" si="12"/>
        <v>27.759900000077323</v>
      </c>
      <c r="AZ82" s="2212">
        <v>253</v>
      </c>
      <c r="BA82" s="2208"/>
      <c r="BB82" s="263"/>
      <c r="BC82" s="2208"/>
      <c r="BD82" s="263"/>
      <c r="BE82" s="263"/>
      <c r="BF82" s="263"/>
      <c r="BG82" s="263"/>
      <c r="BH82" s="2208"/>
      <c r="BI82" s="2217">
        <f t="shared" si="32"/>
        <v>26.731063000105937</v>
      </c>
      <c r="BJ82" s="2217">
        <f t="shared" si="22"/>
        <v>8140.5831000089729</v>
      </c>
      <c r="BK82" s="2217">
        <f t="shared" si="13"/>
        <v>27.759900000077323</v>
      </c>
      <c r="BL82" s="2212">
        <v>253</v>
      </c>
      <c r="BM82" s="2208"/>
      <c r="BN82" s="263"/>
      <c r="BO82" s="2208"/>
      <c r="BP82" s="263"/>
      <c r="BQ82" s="263"/>
      <c r="BR82" s="263"/>
      <c r="BS82" s="263"/>
      <c r="BT82" s="2208"/>
      <c r="BU82" s="2217">
        <f t="shared" si="33"/>
        <v>-13.720985085402646</v>
      </c>
      <c r="BV82" s="2217">
        <f t="shared" si="14"/>
        <v>8857.0060168360524</v>
      </c>
      <c r="BW82" s="2217">
        <f t="shared" si="23"/>
        <v>-2.7511194152302778</v>
      </c>
      <c r="BX82" s="2212">
        <v>253</v>
      </c>
      <c r="BY82" s="2219"/>
      <c r="BZ82" s="2213"/>
      <c r="CA82" s="2219"/>
      <c r="CB82" s="2213"/>
      <c r="CC82" s="2213"/>
      <c r="CD82" s="2213"/>
      <c r="CE82" s="2213"/>
      <c r="CF82" s="2208"/>
      <c r="CG82" s="2217">
        <f t="shared" si="34"/>
        <v>-14.051119415230279</v>
      </c>
      <c r="CH82" s="2217">
        <f t="shared" si="15"/>
        <v>8857.0060168360524</v>
      </c>
      <c r="CI82" s="2217">
        <f t="shared" si="24"/>
        <v>-2.7511194152302778</v>
      </c>
      <c r="CJ82" s="2212">
        <v>253</v>
      </c>
      <c r="CK82" s="2219"/>
      <c r="CL82" s="2213"/>
      <c r="CM82" s="2219"/>
      <c r="CN82" s="2213"/>
      <c r="CO82" s="2213"/>
      <c r="CP82" s="2213"/>
      <c r="CQ82" s="2213"/>
      <c r="CR82" s="2208"/>
      <c r="CS82" s="2217">
        <f t="shared" si="35"/>
        <v>26.175865000104391</v>
      </c>
      <c r="CT82" s="2217">
        <f t="shared" si="25"/>
        <v>8140.5831000089729</v>
      </c>
      <c r="CU82" s="2217">
        <f t="shared" si="16"/>
        <v>27.759900000077323</v>
      </c>
      <c r="CV82" s="2212">
        <v>253</v>
      </c>
      <c r="CW82" s="2208"/>
      <c r="CX82" s="263"/>
      <c r="CY82" s="2208"/>
      <c r="CZ82" s="263"/>
      <c r="DA82" s="263"/>
      <c r="DB82" s="263"/>
      <c r="DC82" s="263"/>
      <c r="DD82" s="2208"/>
    </row>
    <row r="83" spans="1:108">
      <c r="A83" s="2217">
        <f t="shared" si="26"/>
        <v>-14.361587537909692</v>
      </c>
      <c r="B83" s="2217">
        <f t="shared" si="17"/>
        <v>8859.7571362512826</v>
      </c>
      <c r="C83" s="2217">
        <f t="shared" si="18"/>
        <v>-2.6622500329649483</v>
      </c>
      <c r="D83" s="2212">
        <v>252</v>
      </c>
      <c r="E83" s="2219"/>
      <c r="F83" s="2213"/>
      <c r="G83" s="2219"/>
      <c r="H83" s="2213"/>
      <c r="I83" s="2213"/>
      <c r="J83" s="2213"/>
      <c r="K83" s="2213"/>
      <c r="L83" s="2213"/>
      <c r="M83" s="2217">
        <f t="shared" si="27"/>
        <v>-14.547945040217238</v>
      </c>
      <c r="N83" s="2217">
        <f t="shared" si="9"/>
        <v>8859.7571362512826</v>
      </c>
      <c r="O83" s="2217">
        <f t="shared" si="19"/>
        <v>-2.6622500329649483</v>
      </c>
      <c r="P83" s="2212">
        <v>252</v>
      </c>
      <c r="Q83" s="2219"/>
      <c r="R83" s="2213"/>
      <c r="S83" s="2219"/>
      <c r="T83" s="2213"/>
      <c r="U83" s="2213"/>
      <c r="V83" s="2213"/>
      <c r="W83" s="2213"/>
      <c r="X83" s="2213"/>
      <c r="Y83" s="2217">
        <f t="shared" si="28"/>
        <v>-14.787547543184083</v>
      </c>
      <c r="Z83" s="2217">
        <f t="shared" si="10"/>
        <v>8859.7571362512826</v>
      </c>
      <c r="AA83" s="2217">
        <f t="shared" si="20"/>
        <v>-2.6622500329649483</v>
      </c>
      <c r="AB83" s="2212">
        <v>252</v>
      </c>
      <c r="AC83" s="2219"/>
      <c r="AD83" s="2213"/>
      <c r="AE83" s="2219"/>
      <c r="AF83" s="2213"/>
      <c r="AG83" s="2213"/>
      <c r="AH83" s="2213"/>
      <c r="AI83" s="2213"/>
      <c r="AJ83" s="2213"/>
      <c r="AK83" s="2217">
        <f t="shared" si="29"/>
        <v>-13.642780029009154</v>
      </c>
      <c r="AL83" s="2217">
        <f t="shared" si="11"/>
        <v>8859.7571362512826</v>
      </c>
      <c r="AM83" s="2217">
        <f t="shared" si="21"/>
        <v>-2.6622500329649483</v>
      </c>
      <c r="AN83" s="2212">
        <v>252</v>
      </c>
      <c r="AO83" s="2219"/>
      <c r="AP83" s="2213"/>
      <c r="AQ83" s="2219"/>
      <c r="AR83" s="2213"/>
      <c r="AS83" s="2213"/>
      <c r="AT83" s="2213"/>
      <c r="AU83" s="2213"/>
      <c r="AV83" s="2213"/>
      <c r="AW83" s="2217">
        <f t="shared" si="30"/>
        <v>17.719090000081305</v>
      </c>
      <c r="AX83" s="2217">
        <f t="shared" si="31"/>
        <v>8112.8232000088956</v>
      </c>
      <c r="AY83" s="2217">
        <f t="shared" si="12"/>
        <v>27.376500000076703</v>
      </c>
      <c r="AZ83" s="2212">
        <v>252</v>
      </c>
      <c r="BA83" s="2208"/>
      <c r="BB83" s="263"/>
      <c r="BC83" s="2208"/>
      <c r="BD83" s="263"/>
      <c r="BE83" s="263"/>
      <c r="BF83" s="263"/>
      <c r="BG83" s="263"/>
      <c r="BH83" s="2208"/>
      <c r="BI83" s="2217">
        <f t="shared" si="32"/>
        <v>26.205805000105084</v>
      </c>
      <c r="BJ83" s="2217">
        <f t="shared" si="22"/>
        <v>8112.8232000088956</v>
      </c>
      <c r="BK83" s="2217">
        <f t="shared" si="13"/>
        <v>27.376500000076703</v>
      </c>
      <c r="BL83" s="2212">
        <v>252</v>
      </c>
      <c r="BM83" s="2208"/>
      <c r="BN83" s="263"/>
      <c r="BO83" s="2208"/>
      <c r="BP83" s="263"/>
      <c r="BQ83" s="263"/>
      <c r="BR83" s="263"/>
      <c r="BS83" s="263"/>
      <c r="BT83" s="2208"/>
      <c r="BU83" s="2217">
        <f t="shared" si="33"/>
        <v>-13.642780029009154</v>
      </c>
      <c r="BV83" s="2217">
        <f t="shared" si="14"/>
        <v>8859.7571362512826</v>
      </c>
      <c r="BW83" s="2217">
        <f t="shared" si="23"/>
        <v>-2.6622500329649483</v>
      </c>
      <c r="BX83" s="2212">
        <v>252</v>
      </c>
      <c r="BY83" s="2219"/>
      <c r="BZ83" s="2213"/>
      <c r="CA83" s="2219"/>
      <c r="CB83" s="2213"/>
      <c r="CC83" s="2213"/>
      <c r="CD83" s="2213"/>
      <c r="CE83" s="2213"/>
      <c r="CF83" s="2208"/>
      <c r="CG83" s="2217">
        <f t="shared" si="34"/>
        <v>-13.962250032964949</v>
      </c>
      <c r="CH83" s="2217">
        <f t="shared" si="15"/>
        <v>8859.7571362512826</v>
      </c>
      <c r="CI83" s="2217">
        <f t="shared" si="24"/>
        <v>-2.6622500329649483</v>
      </c>
      <c r="CJ83" s="2212">
        <v>252</v>
      </c>
      <c r="CK83" s="2219"/>
      <c r="CL83" s="2213"/>
      <c r="CM83" s="2219"/>
      <c r="CN83" s="2213"/>
      <c r="CO83" s="2213"/>
      <c r="CP83" s="2213"/>
      <c r="CQ83" s="2213"/>
      <c r="CR83" s="2208"/>
      <c r="CS83" s="2217">
        <f t="shared" si="35"/>
        <v>25.658275000103554</v>
      </c>
      <c r="CT83" s="2217">
        <f t="shared" si="25"/>
        <v>8112.8232000088956</v>
      </c>
      <c r="CU83" s="2217">
        <f t="shared" si="16"/>
        <v>27.376500000076703</v>
      </c>
      <c r="CV83" s="2212">
        <v>252</v>
      </c>
      <c r="CW83" s="2208"/>
      <c r="CX83" s="263"/>
      <c r="CY83" s="2208"/>
      <c r="CZ83" s="263"/>
      <c r="DA83" s="263"/>
      <c r="DB83" s="263"/>
      <c r="DC83" s="263"/>
      <c r="DD83" s="2208"/>
    </row>
    <row r="84" spans="1:108">
      <c r="A84" s="2217">
        <f t="shared" si="26"/>
        <v>-14.258074844190014</v>
      </c>
      <c r="B84" s="2217">
        <f t="shared" si="17"/>
        <v>8862.4193862842476</v>
      </c>
      <c r="C84" s="2217">
        <f t="shared" si="18"/>
        <v>-2.5722389949478384</v>
      </c>
      <c r="D84" s="2212">
        <v>251</v>
      </c>
      <c r="E84" s="2219"/>
      <c r="F84" s="2213"/>
      <c r="G84" s="2219"/>
      <c r="H84" s="2213"/>
      <c r="I84" s="2213"/>
      <c r="J84" s="2213"/>
      <c r="K84" s="2213"/>
      <c r="L84" s="2213"/>
      <c r="M84" s="2217">
        <f t="shared" si="27"/>
        <v>-14.438131573836364</v>
      </c>
      <c r="N84" s="2217">
        <f t="shared" si="9"/>
        <v>8862.4193862842476</v>
      </c>
      <c r="O84" s="2217">
        <f t="shared" si="19"/>
        <v>-2.5722389949478384</v>
      </c>
      <c r="P84" s="2212">
        <v>251</v>
      </c>
      <c r="Q84" s="2219"/>
      <c r="R84" s="2213"/>
      <c r="S84" s="2219"/>
      <c r="T84" s="2213"/>
      <c r="U84" s="2213"/>
      <c r="V84" s="2213"/>
      <c r="W84" s="2213"/>
      <c r="X84" s="2213"/>
      <c r="Y84" s="2217">
        <f t="shared" si="28"/>
        <v>-14.669633083381669</v>
      </c>
      <c r="Z84" s="2217">
        <f t="shared" si="10"/>
        <v>8862.4193862842476</v>
      </c>
      <c r="AA84" s="2217">
        <f t="shared" si="20"/>
        <v>-2.5722389949478384</v>
      </c>
      <c r="AB84" s="2212">
        <v>251</v>
      </c>
      <c r="AC84" s="2219"/>
      <c r="AD84" s="2213"/>
      <c r="AE84" s="2219"/>
      <c r="AF84" s="2213"/>
      <c r="AG84" s="2213"/>
      <c r="AH84" s="2213"/>
      <c r="AI84" s="2213"/>
      <c r="AJ84" s="2213"/>
      <c r="AK84" s="2217">
        <f t="shared" si="29"/>
        <v>-13.563570315554099</v>
      </c>
      <c r="AL84" s="2217">
        <f t="shared" si="11"/>
        <v>8862.4193862842476</v>
      </c>
      <c r="AM84" s="2217">
        <f t="shared" si="21"/>
        <v>-2.5722389949478384</v>
      </c>
      <c r="AN84" s="2212">
        <v>251</v>
      </c>
      <c r="AO84" s="2219"/>
      <c r="AP84" s="2213"/>
      <c r="AQ84" s="2219"/>
      <c r="AR84" s="2213"/>
      <c r="AS84" s="2213"/>
      <c r="AT84" s="2213"/>
      <c r="AU84" s="2213"/>
      <c r="AV84" s="2213"/>
      <c r="AW84" s="2217">
        <f t="shared" si="30"/>
        <v>17.316502000078728</v>
      </c>
      <c r="AX84" s="2217">
        <f t="shared" si="31"/>
        <v>8085.4467000088189</v>
      </c>
      <c r="AY84" s="2217">
        <f t="shared" si="12"/>
        <v>26.99670000007427</v>
      </c>
      <c r="AZ84" s="2212">
        <v>251</v>
      </c>
      <c r="BA84" s="2208"/>
      <c r="BB84" s="263"/>
      <c r="BC84" s="2208"/>
      <c r="BD84" s="263"/>
      <c r="BE84" s="263"/>
      <c r="BF84" s="263"/>
      <c r="BG84" s="263"/>
      <c r="BH84" s="2208"/>
      <c r="BI84" s="2217">
        <f t="shared" si="32"/>
        <v>25.685479000101754</v>
      </c>
      <c r="BJ84" s="2217">
        <f t="shared" si="22"/>
        <v>8085.4467000088189</v>
      </c>
      <c r="BK84" s="2217">
        <f t="shared" si="13"/>
        <v>26.99670000007427</v>
      </c>
      <c r="BL84" s="2212">
        <v>251</v>
      </c>
      <c r="BM84" s="2208"/>
      <c r="BN84" s="263"/>
      <c r="BO84" s="2208"/>
      <c r="BP84" s="263"/>
      <c r="BQ84" s="263"/>
      <c r="BR84" s="263"/>
      <c r="BS84" s="263"/>
      <c r="BT84" s="2208"/>
      <c r="BU84" s="2217">
        <f t="shared" si="33"/>
        <v>-13.563570315554099</v>
      </c>
      <c r="BV84" s="2217">
        <f t="shared" si="14"/>
        <v>8862.4193862842476</v>
      </c>
      <c r="BW84" s="2217">
        <f t="shared" si="23"/>
        <v>-2.5722389949478384</v>
      </c>
      <c r="BX84" s="2212">
        <v>251</v>
      </c>
      <c r="BY84" s="2219"/>
      <c r="BZ84" s="2213"/>
      <c r="CA84" s="2219"/>
      <c r="CB84" s="2213"/>
      <c r="CC84" s="2213"/>
      <c r="CD84" s="2213"/>
      <c r="CE84" s="2213"/>
      <c r="CF84" s="2208"/>
      <c r="CG84" s="2217">
        <f t="shared" si="34"/>
        <v>-13.872238994947839</v>
      </c>
      <c r="CH84" s="2217">
        <f t="shared" si="15"/>
        <v>8862.4193862842476</v>
      </c>
      <c r="CI84" s="2217">
        <f t="shared" si="24"/>
        <v>-2.5722389949478384</v>
      </c>
      <c r="CJ84" s="2212">
        <v>251</v>
      </c>
      <c r="CK84" s="2219"/>
      <c r="CL84" s="2213"/>
      <c r="CM84" s="2219"/>
      <c r="CN84" s="2213"/>
      <c r="CO84" s="2213"/>
      <c r="CP84" s="2213"/>
      <c r="CQ84" s="2213"/>
      <c r="CR84" s="2208"/>
      <c r="CS84" s="2217">
        <f t="shared" si="35"/>
        <v>25.145545000100267</v>
      </c>
      <c r="CT84" s="2217">
        <f t="shared" si="25"/>
        <v>8085.4467000088189</v>
      </c>
      <c r="CU84" s="2217">
        <f t="shared" si="16"/>
        <v>26.99670000007427</v>
      </c>
      <c r="CV84" s="2212">
        <v>251</v>
      </c>
      <c r="CW84" s="2208"/>
      <c r="CX84" s="263"/>
      <c r="CY84" s="2208"/>
      <c r="CZ84" s="263"/>
      <c r="DA84" s="263"/>
      <c r="DB84" s="263"/>
      <c r="DC84" s="263"/>
      <c r="DD84" s="2208"/>
    </row>
    <row r="85" spans="1:108">
      <c r="A85" s="2217">
        <f t="shared" si="26"/>
        <v>-14.153249246395536</v>
      </c>
      <c r="B85" s="2217">
        <f t="shared" si="17"/>
        <v>8864.9916252791954</v>
      </c>
      <c r="C85" s="2217">
        <f t="shared" si="18"/>
        <v>-2.4810863012135087</v>
      </c>
      <c r="D85" s="2212">
        <v>250</v>
      </c>
      <c r="E85" s="2219"/>
      <c r="F85" s="2213"/>
      <c r="G85" s="2219"/>
      <c r="H85" s="2213"/>
      <c r="I85" s="2213"/>
      <c r="J85" s="2213"/>
      <c r="K85" s="2213"/>
      <c r="L85" s="2213"/>
      <c r="M85" s="2217">
        <f t="shared" si="27"/>
        <v>-14.326925287480481</v>
      </c>
      <c r="N85" s="2217">
        <f t="shared" si="9"/>
        <v>8864.9916252791954</v>
      </c>
      <c r="O85" s="2217">
        <f t="shared" si="19"/>
        <v>-2.4810863012135087</v>
      </c>
      <c r="P85" s="2212">
        <v>250</v>
      </c>
      <c r="Q85" s="2219"/>
      <c r="R85" s="2213"/>
      <c r="S85" s="2219"/>
      <c r="T85" s="2213"/>
      <c r="U85" s="2213"/>
      <c r="V85" s="2213"/>
      <c r="W85" s="2213"/>
      <c r="X85" s="2213"/>
      <c r="Y85" s="2217">
        <f t="shared" si="28"/>
        <v>-14.550223054589697</v>
      </c>
      <c r="Z85" s="2217">
        <f t="shared" si="10"/>
        <v>8864.9916252791954</v>
      </c>
      <c r="AA85" s="2217">
        <f t="shared" si="20"/>
        <v>-2.4810863012135087</v>
      </c>
      <c r="AB85" s="2212">
        <v>250</v>
      </c>
      <c r="AC85" s="2219"/>
      <c r="AD85" s="2213"/>
      <c r="AE85" s="2219"/>
      <c r="AF85" s="2213"/>
      <c r="AG85" s="2213"/>
      <c r="AH85" s="2213"/>
      <c r="AI85" s="2213"/>
      <c r="AJ85" s="2213"/>
      <c r="AK85" s="2217">
        <f t="shared" si="29"/>
        <v>-13.483355945067888</v>
      </c>
      <c r="AL85" s="2217">
        <f t="shared" si="11"/>
        <v>8864.9916252791954</v>
      </c>
      <c r="AM85" s="2217">
        <f t="shared" si="21"/>
        <v>-2.4810863012135087</v>
      </c>
      <c r="AN85" s="2212">
        <v>250</v>
      </c>
      <c r="AO85" s="2219"/>
      <c r="AP85" s="2213"/>
      <c r="AQ85" s="2219"/>
      <c r="AR85" s="2213"/>
      <c r="AS85" s="2213"/>
      <c r="AT85" s="2213"/>
      <c r="AU85" s="2213"/>
      <c r="AV85" s="2213"/>
      <c r="AW85" s="2217">
        <f t="shared" si="30"/>
        <v>16.917730000081939</v>
      </c>
      <c r="AX85" s="2217">
        <f t="shared" si="31"/>
        <v>8058.4500000087446</v>
      </c>
      <c r="AY85" s="2217">
        <f t="shared" si="12"/>
        <v>26.6205000000773</v>
      </c>
      <c r="AZ85" s="2212">
        <v>250</v>
      </c>
      <c r="BA85" s="2208"/>
      <c r="BB85" s="263"/>
      <c r="BC85" s="2208"/>
      <c r="BD85" s="263"/>
      <c r="BE85" s="263"/>
      <c r="BF85" s="263"/>
      <c r="BG85" s="263"/>
      <c r="BH85" s="2208"/>
      <c r="BI85" s="2217">
        <f t="shared" si="32"/>
        <v>25.170085000105903</v>
      </c>
      <c r="BJ85" s="2217">
        <f t="shared" si="22"/>
        <v>8058.4500000087446</v>
      </c>
      <c r="BK85" s="2217">
        <f t="shared" si="13"/>
        <v>26.6205000000773</v>
      </c>
      <c r="BL85" s="2212">
        <v>250</v>
      </c>
      <c r="BM85" s="2208"/>
      <c r="BN85" s="263"/>
      <c r="BO85" s="2208"/>
      <c r="BP85" s="263"/>
      <c r="BQ85" s="263"/>
      <c r="BR85" s="263"/>
      <c r="BS85" s="263"/>
      <c r="BT85" s="2208"/>
      <c r="BU85" s="2217">
        <f t="shared" si="33"/>
        <v>-13.483355945067888</v>
      </c>
      <c r="BV85" s="2217">
        <f t="shared" si="14"/>
        <v>8864.9916252791954</v>
      </c>
      <c r="BW85" s="2217">
        <f t="shared" si="23"/>
        <v>-2.4810863012135087</v>
      </c>
      <c r="BX85" s="2212">
        <v>250</v>
      </c>
      <c r="BY85" s="2219"/>
      <c r="BZ85" s="2213"/>
      <c r="CA85" s="2219"/>
      <c r="CB85" s="2213"/>
      <c r="CC85" s="2213"/>
      <c r="CD85" s="2213"/>
      <c r="CE85" s="2213"/>
      <c r="CF85" s="2208"/>
      <c r="CG85" s="2217">
        <f t="shared" si="34"/>
        <v>-13.781086301213509</v>
      </c>
      <c r="CH85" s="2217">
        <f t="shared" si="15"/>
        <v>8864.9916252791954</v>
      </c>
      <c r="CI85" s="2217">
        <f t="shared" si="24"/>
        <v>-2.4810863012135087</v>
      </c>
      <c r="CJ85" s="2212">
        <v>250</v>
      </c>
      <c r="CK85" s="2219"/>
      <c r="CL85" s="2213"/>
      <c r="CM85" s="2219"/>
      <c r="CN85" s="2213"/>
      <c r="CO85" s="2213"/>
      <c r="CP85" s="2213"/>
      <c r="CQ85" s="2213"/>
      <c r="CR85" s="2208"/>
      <c r="CS85" s="2217">
        <f t="shared" si="35"/>
        <v>24.637675000104355</v>
      </c>
      <c r="CT85" s="2217">
        <f t="shared" si="25"/>
        <v>8058.4500000087446</v>
      </c>
      <c r="CU85" s="2217">
        <f t="shared" si="16"/>
        <v>26.6205000000773</v>
      </c>
      <c r="CV85" s="2212">
        <v>250</v>
      </c>
      <c r="CW85" s="2208"/>
      <c r="CX85" s="263"/>
      <c r="CY85" s="2208"/>
      <c r="CZ85" s="263"/>
      <c r="DA85" s="263"/>
      <c r="DB85" s="263"/>
      <c r="DC85" s="263"/>
      <c r="DD85" s="2208"/>
    </row>
    <row r="86" spans="1:108">
      <c r="A86" s="2217">
        <f t="shared" si="26"/>
        <v>-14.047110744488601</v>
      </c>
      <c r="B86" s="2217">
        <f t="shared" si="17"/>
        <v>8867.4727115804089</v>
      </c>
      <c r="C86" s="2217">
        <f t="shared" si="18"/>
        <v>-2.3887919517292175</v>
      </c>
      <c r="D86" s="2212">
        <v>249</v>
      </c>
      <c r="E86" s="2219"/>
      <c r="F86" s="2213"/>
      <c r="G86" s="2219"/>
      <c r="H86" s="2213"/>
      <c r="I86" s="2213"/>
      <c r="J86" s="2213"/>
      <c r="K86" s="2213"/>
      <c r="L86" s="2213"/>
      <c r="M86" s="2217">
        <f t="shared" si="27"/>
        <v>-14.214326181109646</v>
      </c>
      <c r="N86" s="2217">
        <f t="shared" si="9"/>
        <v>8867.4727115804089</v>
      </c>
      <c r="O86" s="2217">
        <f t="shared" si="19"/>
        <v>-2.3887919517292175</v>
      </c>
      <c r="P86" s="2212">
        <v>249</v>
      </c>
      <c r="Q86" s="2219"/>
      <c r="R86" s="2213"/>
      <c r="S86" s="2219"/>
      <c r="T86" s="2213"/>
      <c r="U86" s="2213"/>
      <c r="V86" s="2213"/>
      <c r="W86" s="2213"/>
      <c r="X86" s="2213"/>
      <c r="Y86" s="2217">
        <f t="shared" si="28"/>
        <v>-14.429317456765276</v>
      </c>
      <c r="Z86" s="2217">
        <f t="shared" si="10"/>
        <v>8867.4727115804089</v>
      </c>
      <c r="AA86" s="2217">
        <f t="shared" si="20"/>
        <v>-2.3887919517292175</v>
      </c>
      <c r="AB86" s="2212">
        <v>249</v>
      </c>
      <c r="AC86" s="2219"/>
      <c r="AD86" s="2213"/>
      <c r="AE86" s="2219"/>
      <c r="AF86" s="2213"/>
      <c r="AG86" s="2213"/>
      <c r="AH86" s="2213"/>
      <c r="AI86" s="2213"/>
      <c r="AJ86" s="2213"/>
      <c r="AK86" s="2217">
        <f t="shared" si="29"/>
        <v>-13.402136917521712</v>
      </c>
      <c r="AL86" s="2217">
        <f t="shared" si="11"/>
        <v>8867.4727115804089</v>
      </c>
      <c r="AM86" s="2217">
        <f t="shared" si="21"/>
        <v>-2.3887919517292175</v>
      </c>
      <c r="AN86" s="2212">
        <v>249</v>
      </c>
      <c r="AO86" s="2219"/>
      <c r="AP86" s="2213"/>
      <c r="AQ86" s="2219"/>
      <c r="AR86" s="2213"/>
      <c r="AS86" s="2213"/>
      <c r="AT86" s="2213"/>
      <c r="AU86" s="2213"/>
      <c r="AV86" s="2213"/>
      <c r="AW86" s="2217">
        <f t="shared" si="30"/>
        <v>16.522774000081299</v>
      </c>
      <c r="AX86" s="2217">
        <f t="shared" si="31"/>
        <v>8031.8295000086673</v>
      </c>
      <c r="AY86" s="2217">
        <f t="shared" si="12"/>
        <v>26.247900000076697</v>
      </c>
      <c r="AZ86" s="2212">
        <v>249</v>
      </c>
      <c r="BA86" s="2208"/>
      <c r="BB86" s="263"/>
      <c r="BC86" s="2208"/>
      <c r="BD86" s="263"/>
      <c r="BE86" s="263"/>
      <c r="BF86" s="263"/>
      <c r="BG86" s="263"/>
      <c r="BH86" s="2208"/>
      <c r="BI86" s="2217">
        <f t="shared" si="32"/>
        <v>24.659623000105075</v>
      </c>
      <c r="BJ86" s="2217">
        <f t="shared" si="22"/>
        <v>8031.8295000086673</v>
      </c>
      <c r="BK86" s="2217">
        <f t="shared" si="13"/>
        <v>26.247900000076697</v>
      </c>
      <c r="BL86" s="2212">
        <v>249</v>
      </c>
      <c r="BM86" s="2208"/>
      <c r="BN86" s="263"/>
      <c r="BO86" s="2208"/>
      <c r="BP86" s="263"/>
      <c r="BQ86" s="263"/>
      <c r="BR86" s="263"/>
      <c r="BS86" s="263"/>
      <c r="BT86" s="2208"/>
      <c r="BU86" s="2217">
        <f t="shared" si="33"/>
        <v>-13.402136917521712</v>
      </c>
      <c r="BV86" s="2217">
        <f t="shared" si="14"/>
        <v>8867.4727115804089</v>
      </c>
      <c r="BW86" s="2217">
        <f t="shared" si="23"/>
        <v>-2.3887919517292175</v>
      </c>
      <c r="BX86" s="2212">
        <v>249</v>
      </c>
      <c r="BY86" s="2219"/>
      <c r="BZ86" s="2213"/>
      <c r="CA86" s="2219"/>
      <c r="CB86" s="2213"/>
      <c r="CC86" s="2213"/>
      <c r="CD86" s="2213"/>
      <c r="CE86" s="2213"/>
      <c r="CF86" s="2208"/>
      <c r="CG86" s="2217">
        <f t="shared" si="34"/>
        <v>-13.688791951729218</v>
      </c>
      <c r="CH86" s="2217">
        <f t="shared" si="15"/>
        <v>8867.4727115804089</v>
      </c>
      <c r="CI86" s="2217">
        <f t="shared" si="24"/>
        <v>-2.3887919517292175</v>
      </c>
      <c r="CJ86" s="2212">
        <v>249</v>
      </c>
      <c r="CK86" s="2219"/>
      <c r="CL86" s="2213"/>
      <c r="CM86" s="2219"/>
      <c r="CN86" s="2213"/>
      <c r="CO86" s="2213"/>
      <c r="CP86" s="2213"/>
      <c r="CQ86" s="2213"/>
      <c r="CR86" s="2208"/>
      <c r="CS86" s="2217">
        <f t="shared" si="35"/>
        <v>24.134665000103542</v>
      </c>
      <c r="CT86" s="2217">
        <f t="shared" si="25"/>
        <v>8031.8295000086673</v>
      </c>
      <c r="CU86" s="2217">
        <f t="shared" si="16"/>
        <v>26.247900000076697</v>
      </c>
      <c r="CV86" s="2212">
        <v>249</v>
      </c>
      <c r="CW86" s="2208"/>
      <c r="CX86" s="263"/>
      <c r="CY86" s="2208"/>
      <c r="CZ86" s="263"/>
      <c r="DA86" s="263"/>
      <c r="DB86" s="263"/>
      <c r="DC86" s="263"/>
      <c r="DD86" s="2208"/>
    </row>
    <row r="87" spans="1:108">
      <c r="A87" s="2217">
        <f t="shared" si="26"/>
        <v>-13.939659338498496</v>
      </c>
      <c r="B87" s="2217">
        <f t="shared" si="17"/>
        <v>8869.8615035321382</v>
      </c>
      <c r="C87" s="2217">
        <f t="shared" si="18"/>
        <v>-2.2953559465204307</v>
      </c>
      <c r="D87" s="2212">
        <v>248</v>
      </c>
      <c r="E87" s="2219"/>
      <c r="F87" s="2213"/>
      <c r="G87" s="2219"/>
      <c r="H87" s="2213"/>
      <c r="I87" s="2213"/>
      <c r="J87" s="2213"/>
      <c r="K87" s="2213"/>
      <c r="L87" s="2213"/>
      <c r="M87" s="2217">
        <f t="shared" si="27"/>
        <v>-14.100334254754927</v>
      </c>
      <c r="N87" s="2217">
        <f t="shared" si="9"/>
        <v>8869.8615035321382</v>
      </c>
      <c r="O87" s="2217">
        <f t="shared" si="19"/>
        <v>-2.2953559465204307</v>
      </c>
      <c r="P87" s="2212">
        <v>248</v>
      </c>
      <c r="Q87" s="2219"/>
      <c r="R87" s="2213"/>
      <c r="S87" s="2219"/>
      <c r="T87" s="2213"/>
      <c r="U87" s="2213"/>
      <c r="V87" s="2213"/>
      <c r="W87" s="2213"/>
      <c r="X87" s="2213"/>
      <c r="Y87" s="2217">
        <f t="shared" si="28"/>
        <v>-14.306916289941764</v>
      </c>
      <c r="Z87" s="2217">
        <f t="shared" si="10"/>
        <v>8869.8615035321382</v>
      </c>
      <c r="AA87" s="2217">
        <f t="shared" si="20"/>
        <v>-2.2953559465204307</v>
      </c>
      <c r="AB87" s="2212">
        <v>248</v>
      </c>
      <c r="AC87" s="2219"/>
      <c r="AD87" s="2213"/>
      <c r="AE87" s="2219"/>
      <c r="AF87" s="2213"/>
      <c r="AG87" s="2213"/>
      <c r="AH87" s="2213"/>
      <c r="AI87" s="2213"/>
      <c r="AJ87" s="2213"/>
      <c r="AK87" s="2217">
        <f t="shared" si="29"/>
        <v>-13.31991323293798</v>
      </c>
      <c r="AL87" s="2217">
        <f t="shared" si="11"/>
        <v>8869.8615035321382</v>
      </c>
      <c r="AM87" s="2217">
        <f t="shared" si="21"/>
        <v>-2.2953559465204307</v>
      </c>
      <c r="AN87" s="2212">
        <v>248</v>
      </c>
      <c r="AO87" s="2219"/>
      <c r="AP87" s="2213"/>
      <c r="AQ87" s="2219"/>
      <c r="AR87" s="2213"/>
      <c r="AS87" s="2213"/>
      <c r="AT87" s="2213"/>
      <c r="AU87" s="2213"/>
      <c r="AV87" s="2213"/>
      <c r="AW87" s="2217">
        <f t="shared" si="30"/>
        <v>16.131634000080666</v>
      </c>
      <c r="AX87" s="2217">
        <f t="shared" si="31"/>
        <v>8005.5816000085906</v>
      </c>
      <c r="AY87" s="2217">
        <f t="shared" si="12"/>
        <v>25.878900000076101</v>
      </c>
      <c r="AZ87" s="2212">
        <v>248</v>
      </c>
      <c r="BA87" s="2208"/>
      <c r="BB87" s="263"/>
      <c r="BC87" s="2208"/>
      <c r="BD87" s="263"/>
      <c r="BE87" s="263"/>
      <c r="BF87" s="263"/>
      <c r="BG87" s="263"/>
      <c r="BH87" s="2208"/>
      <c r="BI87" s="2217">
        <f t="shared" si="32"/>
        <v>24.154093000104258</v>
      </c>
      <c r="BJ87" s="2217">
        <f t="shared" si="22"/>
        <v>8005.5816000085906</v>
      </c>
      <c r="BK87" s="2217">
        <f t="shared" si="13"/>
        <v>25.878900000076101</v>
      </c>
      <c r="BL87" s="2212">
        <v>248</v>
      </c>
      <c r="BM87" s="2208"/>
      <c r="BN87" s="263"/>
      <c r="BO87" s="2208"/>
      <c r="BP87" s="263"/>
      <c r="BQ87" s="263"/>
      <c r="BR87" s="263"/>
      <c r="BS87" s="263"/>
      <c r="BT87" s="2208"/>
      <c r="BU87" s="2217">
        <f t="shared" si="33"/>
        <v>-13.31991323293798</v>
      </c>
      <c r="BV87" s="2217">
        <f t="shared" si="14"/>
        <v>8869.8615035321382</v>
      </c>
      <c r="BW87" s="2217">
        <f t="shared" si="23"/>
        <v>-2.2953559465204307</v>
      </c>
      <c r="BX87" s="2212">
        <v>248</v>
      </c>
      <c r="BY87" s="2219"/>
      <c r="BZ87" s="2213"/>
      <c r="CA87" s="2219"/>
      <c r="CB87" s="2213"/>
      <c r="CC87" s="2213"/>
      <c r="CD87" s="2213"/>
      <c r="CE87" s="2213"/>
      <c r="CF87" s="2208"/>
      <c r="CG87" s="2217">
        <f t="shared" si="34"/>
        <v>-13.595355946520431</v>
      </c>
      <c r="CH87" s="2217">
        <f t="shared" si="15"/>
        <v>8869.8615035321382</v>
      </c>
      <c r="CI87" s="2217">
        <f t="shared" si="24"/>
        <v>-2.2953559465204307</v>
      </c>
      <c r="CJ87" s="2212">
        <v>248</v>
      </c>
      <c r="CK87" s="2219"/>
      <c r="CL87" s="2213"/>
      <c r="CM87" s="2219"/>
      <c r="CN87" s="2213"/>
      <c r="CO87" s="2213"/>
      <c r="CP87" s="2213"/>
      <c r="CQ87" s="2213"/>
      <c r="CR87" s="2208"/>
      <c r="CS87" s="2217">
        <f t="shared" si="35"/>
        <v>23.636515000102737</v>
      </c>
      <c r="CT87" s="2217">
        <f t="shared" si="25"/>
        <v>8005.5816000085906</v>
      </c>
      <c r="CU87" s="2217">
        <f t="shared" si="16"/>
        <v>25.878900000076101</v>
      </c>
      <c r="CV87" s="2212">
        <v>248</v>
      </c>
      <c r="CW87" s="2208"/>
      <c r="CX87" s="263"/>
      <c r="CY87" s="2208"/>
      <c r="CZ87" s="263"/>
      <c r="DA87" s="263"/>
      <c r="DB87" s="263"/>
      <c r="DC87" s="263"/>
      <c r="DD87" s="2208"/>
    </row>
    <row r="88" spans="1:108">
      <c r="A88" s="2217">
        <f t="shared" si="26"/>
        <v>-13.830895028404303</v>
      </c>
      <c r="B88" s="2217">
        <f t="shared" si="17"/>
        <v>8872.1568594786586</v>
      </c>
      <c r="C88" s="2217">
        <f t="shared" si="18"/>
        <v>-2.2007782855689584</v>
      </c>
      <c r="D88" s="2212">
        <v>247</v>
      </c>
      <c r="E88" s="2219"/>
      <c r="F88" s="2213"/>
      <c r="G88" s="2219"/>
      <c r="H88" s="2213"/>
      <c r="I88" s="2213"/>
      <c r="J88" s="2213"/>
      <c r="K88" s="2213"/>
      <c r="L88" s="2213"/>
      <c r="M88" s="2217">
        <f t="shared" si="27"/>
        <v>-13.984949508394131</v>
      </c>
      <c r="N88" s="2217">
        <f t="shared" si="9"/>
        <v>8872.1568594786586</v>
      </c>
      <c r="O88" s="2217">
        <f t="shared" si="19"/>
        <v>-2.2007782855689584</v>
      </c>
      <c r="P88" s="2212">
        <v>247</v>
      </c>
      <c r="Q88" s="2219"/>
      <c r="R88" s="2213"/>
      <c r="S88" s="2219"/>
      <c r="T88" s="2213"/>
      <c r="U88" s="2213"/>
      <c r="V88" s="2213"/>
      <c r="W88" s="2213"/>
      <c r="X88" s="2213"/>
      <c r="Y88" s="2217">
        <f t="shared" si="28"/>
        <v>-14.183019554095337</v>
      </c>
      <c r="Z88" s="2217">
        <f t="shared" si="10"/>
        <v>8872.1568594786586</v>
      </c>
      <c r="AA88" s="2217">
        <f t="shared" si="20"/>
        <v>-2.2007782855689584</v>
      </c>
      <c r="AB88" s="2212">
        <v>247</v>
      </c>
      <c r="AC88" s="2219"/>
      <c r="AD88" s="2213"/>
      <c r="AE88" s="2219"/>
      <c r="AF88" s="2213"/>
      <c r="AG88" s="2213"/>
      <c r="AH88" s="2213"/>
      <c r="AI88" s="2213"/>
      <c r="AJ88" s="2213"/>
      <c r="AK88" s="2217">
        <f t="shared" si="29"/>
        <v>-13.236684891300683</v>
      </c>
      <c r="AL88" s="2217">
        <f t="shared" si="11"/>
        <v>8872.1568594786586</v>
      </c>
      <c r="AM88" s="2217">
        <f t="shared" si="21"/>
        <v>-2.2007782855689584</v>
      </c>
      <c r="AN88" s="2212">
        <v>247</v>
      </c>
      <c r="AO88" s="2219"/>
      <c r="AP88" s="2213"/>
      <c r="AQ88" s="2219"/>
      <c r="AR88" s="2213"/>
      <c r="AS88" s="2213"/>
      <c r="AT88" s="2213"/>
      <c r="AU88" s="2213"/>
      <c r="AV88" s="2213"/>
      <c r="AW88" s="2217">
        <f t="shared" si="30"/>
        <v>15.74431000008197</v>
      </c>
      <c r="AX88" s="2217">
        <f t="shared" si="31"/>
        <v>7979.7027000085145</v>
      </c>
      <c r="AY88" s="2217">
        <f t="shared" si="12"/>
        <v>25.513500000077329</v>
      </c>
      <c r="AZ88" s="2212">
        <v>247</v>
      </c>
      <c r="BA88" s="2208"/>
      <c r="BB88" s="263"/>
      <c r="BC88" s="2208"/>
      <c r="BD88" s="263"/>
      <c r="BE88" s="263"/>
      <c r="BF88" s="263"/>
      <c r="BG88" s="263"/>
      <c r="BH88" s="2208"/>
      <c r="BI88" s="2217">
        <f t="shared" si="32"/>
        <v>23.653495000105945</v>
      </c>
      <c r="BJ88" s="2217">
        <f t="shared" si="22"/>
        <v>7979.7027000085145</v>
      </c>
      <c r="BK88" s="2217">
        <f t="shared" si="13"/>
        <v>25.513500000077329</v>
      </c>
      <c r="BL88" s="2212">
        <v>247</v>
      </c>
      <c r="BM88" s="2208"/>
      <c r="BN88" s="263"/>
      <c r="BO88" s="2208"/>
      <c r="BP88" s="263"/>
      <c r="BQ88" s="263"/>
      <c r="BR88" s="263"/>
      <c r="BS88" s="263"/>
      <c r="BT88" s="2208"/>
      <c r="BU88" s="2217">
        <f t="shared" si="33"/>
        <v>-13.236684891300683</v>
      </c>
      <c r="BV88" s="2217">
        <f t="shared" si="14"/>
        <v>8872.1568594786586</v>
      </c>
      <c r="BW88" s="2217">
        <f t="shared" si="23"/>
        <v>-2.2007782855689584</v>
      </c>
      <c r="BX88" s="2212">
        <v>247</v>
      </c>
      <c r="BY88" s="2219"/>
      <c r="BZ88" s="2213"/>
      <c r="CA88" s="2219"/>
      <c r="CB88" s="2213"/>
      <c r="CC88" s="2213"/>
      <c r="CD88" s="2213"/>
      <c r="CE88" s="2213"/>
      <c r="CF88" s="2208"/>
      <c r="CG88" s="2217">
        <f t="shared" si="34"/>
        <v>-13.500778285568959</v>
      </c>
      <c r="CH88" s="2217">
        <f t="shared" si="15"/>
        <v>8872.1568594786586</v>
      </c>
      <c r="CI88" s="2217">
        <f t="shared" si="24"/>
        <v>-2.2007782855689584</v>
      </c>
      <c r="CJ88" s="2212">
        <v>247</v>
      </c>
      <c r="CK88" s="2219"/>
      <c r="CL88" s="2213"/>
      <c r="CM88" s="2219"/>
      <c r="CN88" s="2213"/>
      <c r="CO88" s="2213"/>
      <c r="CP88" s="2213"/>
      <c r="CQ88" s="2213"/>
      <c r="CR88" s="2208"/>
      <c r="CS88" s="2217">
        <f t="shared" si="35"/>
        <v>23.143225000104398</v>
      </c>
      <c r="CT88" s="2217">
        <f t="shared" si="25"/>
        <v>7979.7027000085145</v>
      </c>
      <c r="CU88" s="2217">
        <f t="shared" si="16"/>
        <v>25.513500000077329</v>
      </c>
      <c r="CV88" s="2212">
        <v>247</v>
      </c>
      <c r="CW88" s="2208"/>
      <c r="CX88" s="263"/>
      <c r="CY88" s="2208"/>
      <c r="CZ88" s="263"/>
      <c r="DA88" s="263"/>
      <c r="DB88" s="263"/>
      <c r="DC88" s="263"/>
      <c r="DD88" s="2208"/>
    </row>
    <row r="89" spans="1:108">
      <c r="A89" s="2217">
        <f t="shared" si="26"/>
        <v>-13.720817814229031</v>
      </c>
      <c r="B89" s="2217">
        <f t="shared" si="17"/>
        <v>8874.3576377642275</v>
      </c>
      <c r="C89" s="2217">
        <f t="shared" si="18"/>
        <v>-2.1050589688948094</v>
      </c>
      <c r="D89" s="2212">
        <v>246</v>
      </c>
      <c r="E89" s="2219"/>
      <c r="F89" s="2213"/>
      <c r="G89" s="2219"/>
      <c r="H89" s="2213"/>
      <c r="I89" s="2213"/>
      <c r="J89" s="2213"/>
      <c r="K89" s="2213"/>
      <c r="L89" s="2213"/>
      <c r="M89" s="2217">
        <f t="shared" si="27"/>
        <v>-13.868171942051667</v>
      </c>
      <c r="N89" s="2217">
        <f t="shared" si="9"/>
        <v>8874.3576377642275</v>
      </c>
      <c r="O89" s="2217">
        <f t="shared" si="19"/>
        <v>-2.1050589688948094</v>
      </c>
      <c r="P89" s="2212">
        <v>246</v>
      </c>
      <c r="Q89" s="2219"/>
      <c r="R89" s="2213"/>
      <c r="S89" s="2219"/>
      <c r="T89" s="2213"/>
      <c r="U89" s="2213"/>
      <c r="V89" s="2213"/>
      <c r="W89" s="2213"/>
      <c r="X89" s="2213"/>
      <c r="Y89" s="2217">
        <f t="shared" si="28"/>
        <v>-14.057627249252201</v>
      </c>
      <c r="Z89" s="2217">
        <f t="shared" si="10"/>
        <v>8874.3576377642275</v>
      </c>
      <c r="AA89" s="2217">
        <f t="shared" si="20"/>
        <v>-2.1050589688948094</v>
      </c>
      <c r="AB89" s="2212">
        <v>246</v>
      </c>
      <c r="AC89" s="2219"/>
      <c r="AD89" s="2213"/>
      <c r="AE89" s="2219"/>
      <c r="AF89" s="2213"/>
      <c r="AG89" s="2213"/>
      <c r="AH89" s="2213"/>
      <c r="AI89" s="2213"/>
      <c r="AJ89" s="2213"/>
      <c r="AK89" s="2217">
        <f t="shared" si="29"/>
        <v>-13.152451892627433</v>
      </c>
      <c r="AL89" s="2217">
        <f t="shared" si="11"/>
        <v>8874.3576377642275</v>
      </c>
      <c r="AM89" s="2217">
        <f t="shared" si="21"/>
        <v>-2.1050589688948094</v>
      </c>
      <c r="AN89" s="2212">
        <v>246</v>
      </c>
      <c r="AO89" s="2219"/>
      <c r="AP89" s="2213"/>
      <c r="AQ89" s="2219"/>
      <c r="AR89" s="2213"/>
      <c r="AS89" s="2213"/>
      <c r="AT89" s="2213"/>
      <c r="AU89" s="2213"/>
      <c r="AV89" s="2213"/>
      <c r="AW89" s="2217">
        <f t="shared" si="30"/>
        <v>15.360802000083279</v>
      </c>
      <c r="AX89" s="2217">
        <f t="shared" si="31"/>
        <v>7954.1892000084372</v>
      </c>
      <c r="AY89" s="2217">
        <f t="shared" si="12"/>
        <v>25.151700000078563</v>
      </c>
      <c r="AZ89" s="2212">
        <v>246</v>
      </c>
      <c r="BA89" s="2208"/>
      <c r="BB89" s="263"/>
      <c r="BC89" s="2208"/>
      <c r="BD89" s="263"/>
      <c r="BE89" s="263"/>
      <c r="BF89" s="263"/>
      <c r="BG89" s="263"/>
      <c r="BH89" s="2208"/>
      <c r="BI89" s="2217">
        <f t="shared" si="32"/>
        <v>23.157829000107636</v>
      </c>
      <c r="BJ89" s="2217">
        <f t="shared" si="22"/>
        <v>7954.1892000084372</v>
      </c>
      <c r="BK89" s="2217">
        <f t="shared" si="13"/>
        <v>25.151700000078563</v>
      </c>
      <c r="BL89" s="2212">
        <v>246</v>
      </c>
      <c r="BM89" s="2208"/>
      <c r="BN89" s="263"/>
      <c r="BO89" s="2208"/>
      <c r="BP89" s="263"/>
      <c r="BQ89" s="263"/>
      <c r="BR89" s="263"/>
      <c r="BS89" s="263"/>
      <c r="BT89" s="2208"/>
      <c r="BU89" s="2217">
        <f t="shared" si="33"/>
        <v>-13.152451892627433</v>
      </c>
      <c r="BV89" s="2217">
        <f t="shared" si="14"/>
        <v>8874.3576377642275</v>
      </c>
      <c r="BW89" s="2217">
        <f t="shared" si="23"/>
        <v>-2.1050589688948094</v>
      </c>
      <c r="BX89" s="2212">
        <v>246</v>
      </c>
      <c r="BY89" s="2219"/>
      <c r="BZ89" s="2213"/>
      <c r="CA89" s="2219"/>
      <c r="CB89" s="2213"/>
      <c r="CC89" s="2213"/>
      <c r="CD89" s="2213"/>
      <c r="CE89" s="2213"/>
      <c r="CF89" s="2208"/>
      <c r="CG89" s="2217">
        <f t="shared" si="34"/>
        <v>-13.40505896889481</v>
      </c>
      <c r="CH89" s="2217">
        <f t="shared" si="15"/>
        <v>8874.3576377642275</v>
      </c>
      <c r="CI89" s="2217">
        <f t="shared" si="24"/>
        <v>-2.1050589688948094</v>
      </c>
      <c r="CJ89" s="2212">
        <v>246</v>
      </c>
      <c r="CK89" s="2219"/>
      <c r="CL89" s="2213"/>
      <c r="CM89" s="2219"/>
      <c r="CN89" s="2213"/>
      <c r="CO89" s="2213"/>
      <c r="CP89" s="2213"/>
      <c r="CQ89" s="2213"/>
      <c r="CR89" s="2208"/>
      <c r="CS89" s="2217">
        <f t="shared" si="35"/>
        <v>22.654795000106059</v>
      </c>
      <c r="CT89" s="2217">
        <f t="shared" si="25"/>
        <v>7954.1892000084372</v>
      </c>
      <c r="CU89" s="2217">
        <f t="shared" si="16"/>
        <v>25.151700000078563</v>
      </c>
      <c r="CV89" s="2212">
        <v>246</v>
      </c>
      <c r="CW89" s="2208"/>
      <c r="CX89" s="263"/>
      <c r="CY89" s="2208"/>
      <c r="CZ89" s="263"/>
      <c r="DA89" s="263"/>
      <c r="DB89" s="263"/>
      <c r="DC89" s="263"/>
      <c r="DD89" s="2208"/>
    </row>
    <row r="90" spans="1:108">
      <c r="A90" s="2217">
        <f t="shared" si="26"/>
        <v>-13.609427695943396</v>
      </c>
      <c r="B90" s="2217">
        <f t="shared" si="17"/>
        <v>8876.4626967331224</v>
      </c>
      <c r="C90" s="2217">
        <f t="shared" si="18"/>
        <v>-2.0081979964725178</v>
      </c>
      <c r="D90" s="2212">
        <v>245</v>
      </c>
      <c r="E90" s="2219"/>
      <c r="F90" s="2213"/>
      <c r="G90" s="2219"/>
      <c r="H90" s="2213"/>
      <c r="I90" s="2213"/>
      <c r="J90" s="2213"/>
      <c r="K90" s="2213"/>
      <c r="L90" s="2213"/>
      <c r="M90" s="2217">
        <f t="shared" si="27"/>
        <v>-13.750001555696473</v>
      </c>
      <c r="N90" s="2217">
        <f t="shared" si="9"/>
        <v>8876.4626967331224</v>
      </c>
      <c r="O90" s="2217">
        <f t="shared" si="19"/>
        <v>-2.0081979964725178</v>
      </c>
      <c r="P90" s="2212">
        <v>245</v>
      </c>
      <c r="Q90" s="2219"/>
      <c r="R90" s="2213"/>
      <c r="S90" s="2219"/>
      <c r="T90" s="2213"/>
      <c r="U90" s="2213"/>
      <c r="V90" s="2213"/>
      <c r="W90" s="2213"/>
      <c r="X90" s="2213"/>
      <c r="Y90" s="2217">
        <f t="shared" si="28"/>
        <v>-13.930739375378998</v>
      </c>
      <c r="Z90" s="2217">
        <f t="shared" si="10"/>
        <v>8876.4626967331224</v>
      </c>
      <c r="AA90" s="2217">
        <f t="shared" si="20"/>
        <v>-2.0081979964725178</v>
      </c>
      <c r="AB90" s="2212">
        <v>245</v>
      </c>
      <c r="AC90" s="2219"/>
      <c r="AD90" s="2213"/>
      <c r="AE90" s="2219"/>
      <c r="AF90" s="2213"/>
      <c r="AG90" s="2213"/>
      <c r="AH90" s="2213"/>
      <c r="AI90" s="2213"/>
      <c r="AJ90" s="2213"/>
      <c r="AK90" s="2217">
        <f t="shared" si="29"/>
        <v>-13.067214236895817</v>
      </c>
      <c r="AL90" s="2217">
        <f t="shared" si="11"/>
        <v>8876.4626967331224</v>
      </c>
      <c r="AM90" s="2217">
        <f t="shared" si="21"/>
        <v>-2.0081979964725178</v>
      </c>
      <c r="AN90" s="2212">
        <v>245</v>
      </c>
      <c r="AO90" s="2219"/>
      <c r="AP90" s="2213"/>
      <c r="AQ90" s="2219"/>
      <c r="AR90" s="2213"/>
      <c r="AS90" s="2213"/>
      <c r="AT90" s="2213"/>
      <c r="AU90" s="2213"/>
      <c r="AV90" s="2213"/>
      <c r="AW90" s="2217">
        <f t="shared" si="30"/>
        <v>14.981110000080736</v>
      </c>
      <c r="AX90" s="2217">
        <f t="shared" si="31"/>
        <v>7929.0375000083586</v>
      </c>
      <c r="AY90" s="2217">
        <f t="shared" si="12"/>
        <v>24.793500000076165</v>
      </c>
      <c r="AZ90" s="2212">
        <v>245</v>
      </c>
      <c r="BA90" s="2208"/>
      <c r="BB90" s="263"/>
      <c r="BC90" s="2208"/>
      <c r="BD90" s="263"/>
      <c r="BE90" s="263"/>
      <c r="BF90" s="263"/>
      <c r="BG90" s="263"/>
      <c r="BH90" s="2208"/>
      <c r="BI90" s="2217">
        <f t="shared" si="32"/>
        <v>22.66709500010435</v>
      </c>
      <c r="BJ90" s="2217">
        <f t="shared" si="22"/>
        <v>7929.0375000083586</v>
      </c>
      <c r="BK90" s="2217">
        <f t="shared" si="13"/>
        <v>24.793500000076165</v>
      </c>
      <c r="BL90" s="2212">
        <v>245</v>
      </c>
      <c r="BM90" s="2208"/>
      <c r="BN90" s="263"/>
      <c r="BO90" s="2208"/>
      <c r="BP90" s="263"/>
      <c r="BQ90" s="263"/>
      <c r="BR90" s="263"/>
      <c r="BS90" s="263"/>
      <c r="BT90" s="2208"/>
      <c r="BU90" s="2217">
        <f t="shared" si="33"/>
        <v>-13.067214236895817</v>
      </c>
      <c r="BV90" s="2217">
        <f t="shared" si="14"/>
        <v>8876.4626967331224</v>
      </c>
      <c r="BW90" s="2217">
        <f t="shared" si="23"/>
        <v>-2.0081979964725178</v>
      </c>
      <c r="BX90" s="2212">
        <v>245</v>
      </c>
      <c r="BY90" s="2219"/>
      <c r="BZ90" s="2213"/>
      <c r="CA90" s="2219"/>
      <c r="CB90" s="2213"/>
      <c r="CC90" s="2213"/>
      <c r="CD90" s="2213"/>
      <c r="CE90" s="2213"/>
      <c r="CF90" s="2208"/>
      <c r="CG90" s="2217">
        <f t="shared" si="34"/>
        <v>-13.308197996472519</v>
      </c>
      <c r="CH90" s="2217">
        <f t="shared" si="15"/>
        <v>8876.4626967331224</v>
      </c>
      <c r="CI90" s="2217">
        <f t="shared" si="24"/>
        <v>-2.0081979964725178</v>
      </c>
      <c r="CJ90" s="2212">
        <v>245</v>
      </c>
      <c r="CK90" s="2219"/>
      <c r="CL90" s="2213"/>
      <c r="CM90" s="2219"/>
      <c r="CN90" s="2213"/>
      <c r="CO90" s="2213"/>
      <c r="CP90" s="2213"/>
      <c r="CQ90" s="2213"/>
      <c r="CR90" s="2208"/>
      <c r="CS90" s="2217">
        <f t="shared" si="35"/>
        <v>22.171225000102826</v>
      </c>
      <c r="CT90" s="2217">
        <f t="shared" si="25"/>
        <v>7929.0375000083586</v>
      </c>
      <c r="CU90" s="2217">
        <f t="shared" si="16"/>
        <v>24.793500000076165</v>
      </c>
      <c r="CV90" s="2212">
        <v>245</v>
      </c>
      <c r="CW90" s="2208"/>
      <c r="CX90" s="263"/>
      <c r="CY90" s="2208"/>
      <c r="CZ90" s="263"/>
      <c r="DA90" s="263"/>
      <c r="DB90" s="263"/>
      <c r="DC90" s="263"/>
      <c r="DD90" s="2208"/>
    </row>
    <row r="91" spans="1:108">
      <c r="A91" s="2217">
        <f t="shared" si="26"/>
        <v>-13.49672467357459</v>
      </c>
      <c r="B91" s="2217">
        <f t="shared" si="17"/>
        <v>8878.4708947295949</v>
      </c>
      <c r="C91" s="2217">
        <f t="shared" si="18"/>
        <v>-1.9101953683257307</v>
      </c>
      <c r="D91" s="2212">
        <v>244</v>
      </c>
      <c r="E91" s="2219"/>
      <c r="F91" s="2213"/>
      <c r="G91" s="2219"/>
      <c r="H91" s="2213"/>
      <c r="I91" s="2213"/>
      <c r="J91" s="2213"/>
      <c r="K91" s="2213"/>
      <c r="L91" s="2213"/>
      <c r="M91" s="2217">
        <f t="shared" si="27"/>
        <v>-13.630438349357393</v>
      </c>
      <c r="N91" s="2217">
        <f t="shared" si="9"/>
        <v>8878.4708947295949</v>
      </c>
      <c r="O91" s="2217">
        <f t="shared" si="19"/>
        <v>-1.9101953683257307</v>
      </c>
      <c r="P91" s="2212">
        <v>244</v>
      </c>
      <c r="Q91" s="2219"/>
      <c r="R91" s="2213"/>
      <c r="S91" s="2219"/>
      <c r="T91" s="2213"/>
      <c r="U91" s="2213"/>
      <c r="V91" s="2213"/>
      <c r="W91" s="2213"/>
      <c r="X91" s="2213"/>
      <c r="Y91" s="2217">
        <f t="shared" si="28"/>
        <v>-13.802355932506707</v>
      </c>
      <c r="Z91" s="2217">
        <f t="shared" si="10"/>
        <v>8878.4708947295949</v>
      </c>
      <c r="AA91" s="2217">
        <f t="shared" si="20"/>
        <v>-1.9101953683257307</v>
      </c>
      <c r="AB91" s="2212">
        <v>244</v>
      </c>
      <c r="AC91" s="2219"/>
      <c r="AD91" s="2213"/>
      <c r="AE91" s="2219"/>
      <c r="AF91" s="2213"/>
      <c r="AG91" s="2213"/>
      <c r="AH91" s="2213"/>
      <c r="AI91" s="2213"/>
      <c r="AJ91" s="2213"/>
      <c r="AK91" s="2217">
        <f t="shared" si="29"/>
        <v>-12.980971924126644</v>
      </c>
      <c r="AL91" s="2217">
        <f t="shared" si="11"/>
        <v>8878.4708947295949</v>
      </c>
      <c r="AM91" s="2217">
        <f t="shared" si="21"/>
        <v>-1.9101953683257307</v>
      </c>
      <c r="AN91" s="2212">
        <v>244</v>
      </c>
      <c r="AO91" s="2219"/>
      <c r="AP91" s="2213"/>
      <c r="AQ91" s="2219"/>
      <c r="AR91" s="2213"/>
      <c r="AS91" s="2213"/>
      <c r="AT91" s="2213"/>
      <c r="AU91" s="2213"/>
      <c r="AV91" s="2213"/>
      <c r="AW91" s="2217">
        <f t="shared" si="30"/>
        <v>14.605234000082056</v>
      </c>
      <c r="AX91" s="2217">
        <f t="shared" si="31"/>
        <v>7904.2440000082825</v>
      </c>
      <c r="AY91" s="2217">
        <f t="shared" si="12"/>
        <v>24.43890000007741</v>
      </c>
      <c r="AZ91" s="2212">
        <v>244</v>
      </c>
      <c r="BA91" s="2208"/>
      <c r="BB91" s="263"/>
      <c r="BC91" s="2208"/>
      <c r="BD91" s="263"/>
      <c r="BE91" s="263"/>
      <c r="BF91" s="263"/>
      <c r="BG91" s="263"/>
      <c r="BH91" s="2208"/>
      <c r="BI91" s="2217">
        <f t="shared" si="32"/>
        <v>22.181293000106056</v>
      </c>
      <c r="BJ91" s="2217">
        <f t="shared" si="22"/>
        <v>7904.2440000082825</v>
      </c>
      <c r="BK91" s="2217">
        <f t="shared" si="13"/>
        <v>24.43890000007741</v>
      </c>
      <c r="BL91" s="2212">
        <v>244</v>
      </c>
      <c r="BM91" s="2208"/>
      <c r="BN91" s="263"/>
      <c r="BO91" s="2208"/>
      <c r="BP91" s="263"/>
      <c r="BQ91" s="263"/>
      <c r="BR91" s="263"/>
      <c r="BS91" s="263"/>
      <c r="BT91" s="2208"/>
      <c r="BU91" s="2217">
        <f t="shared" si="33"/>
        <v>-12.980971924126644</v>
      </c>
      <c r="BV91" s="2217">
        <f t="shared" si="14"/>
        <v>8878.4708947295949</v>
      </c>
      <c r="BW91" s="2217">
        <f t="shared" si="23"/>
        <v>-1.9101953683257307</v>
      </c>
      <c r="BX91" s="2212">
        <v>244</v>
      </c>
      <c r="BY91" s="2219"/>
      <c r="BZ91" s="2213"/>
      <c r="CA91" s="2219"/>
      <c r="CB91" s="2213"/>
      <c r="CC91" s="2213"/>
      <c r="CD91" s="2213"/>
      <c r="CE91" s="2213"/>
      <c r="CF91" s="2208"/>
      <c r="CG91" s="2217">
        <f t="shared" si="34"/>
        <v>-13.210195368325731</v>
      </c>
      <c r="CH91" s="2217">
        <f t="shared" si="15"/>
        <v>8878.4708947295949</v>
      </c>
      <c r="CI91" s="2217">
        <f t="shared" si="24"/>
        <v>-1.9101953683257307</v>
      </c>
      <c r="CJ91" s="2212">
        <v>244</v>
      </c>
      <c r="CK91" s="2219"/>
      <c r="CL91" s="2213"/>
      <c r="CM91" s="2219"/>
      <c r="CN91" s="2213"/>
      <c r="CO91" s="2213"/>
      <c r="CP91" s="2213"/>
      <c r="CQ91" s="2213"/>
      <c r="CR91" s="2208"/>
      <c r="CS91" s="2217">
        <f t="shared" si="35"/>
        <v>21.692515000104503</v>
      </c>
      <c r="CT91" s="2217">
        <f t="shared" si="25"/>
        <v>7904.2440000082825</v>
      </c>
      <c r="CU91" s="2217">
        <f t="shared" si="16"/>
        <v>24.43890000007741</v>
      </c>
      <c r="CV91" s="2212">
        <v>244</v>
      </c>
      <c r="CW91" s="2208"/>
      <c r="CX91" s="263"/>
      <c r="CY91" s="2208"/>
      <c r="CZ91" s="263"/>
      <c r="DA91" s="263"/>
      <c r="DB91" s="263"/>
      <c r="DC91" s="263"/>
      <c r="DD91" s="2208"/>
    </row>
    <row r="92" spans="1:108">
      <c r="A92" s="2217">
        <f t="shared" si="26"/>
        <v>-13.38270874710379</v>
      </c>
      <c r="B92" s="2217">
        <f t="shared" si="17"/>
        <v>8880.3810900979206</v>
      </c>
      <c r="C92" s="2217">
        <f t="shared" si="18"/>
        <v>-1.8110510844380769</v>
      </c>
      <c r="D92" s="2212">
        <v>243</v>
      </c>
      <c r="E92" s="2219"/>
      <c r="F92" s="2213"/>
      <c r="G92" s="2219"/>
      <c r="H92" s="2213"/>
      <c r="I92" s="2213"/>
      <c r="J92" s="2213"/>
      <c r="K92" s="2213"/>
      <c r="L92" s="2213"/>
      <c r="M92" s="2217">
        <f t="shared" si="27"/>
        <v>-13.509482323014455</v>
      </c>
      <c r="N92" s="2217">
        <f t="shared" si="9"/>
        <v>8880.3810900979206</v>
      </c>
      <c r="O92" s="2217">
        <f t="shared" si="19"/>
        <v>-1.8110510844380769</v>
      </c>
      <c r="P92" s="2212">
        <v>243</v>
      </c>
      <c r="Q92" s="2219"/>
      <c r="R92" s="2213"/>
      <c r="S92" s="2219"/>
      <c r="T92" s="2213"/>
      <c r="U92" s="2213"/>
      <c r="V92" s="2213"/>
      <c r="W92" s="2213"/>
      <c r="X92" s="2213"/>
      <c r="Y92" s="2217">
        <f t="shared" si="28"/>
        <v>-13.672476920613882</v>
      </c>
      <c r="Z92" s="2217">
        <f t="shared" si="10"/>
        <v>8880.3810900979206</v>
      </c>
      <c r="AA92" s="2217">
        <f t="shared" si="20"/>
        <v>-1.8110510844380769</v>
      </c>
      <c r="AB92" s="2212">
        <v>243</v>
      </c>
      <c r="AC92" s="2219"/>
      <c r="AD92" s="2213"/>
      <c r="AE92" s="2219"/>
      <c r="AF92" s="2213"/>
      <c r="AG92" s="2213"/>
      <c r="AH92" s="2213"/>
      <c r="AI92" s="2213"/>
      <c r="AJ92" s="2213"/>
      <c r="AK92" s="2217">
        <f t="shared" si="29"/>
        <v>-12.893724954305508</v>
      </c>
      <c r="AL92" s="2217">
        <f t="shared" si="11"/>
        <v>8880.3810900979206</v>
      </c>
      <c r="AM92" s="2217">
        <f t="shared" si="21"/>
        <v>-1.8110510844380769</v>
      </c>
      <c r="AN92" s="2212">
        <v>243</v>
      </c>
      <c r="AO92" s="2219"/>
      <c r="AP92" s="2213"/>
      <c r="AQ92" s="2219"/>
      <c r="AR92" s="2213"/>
      <c r="AS92" s="2213"/>
      <c r="AT92" s="2213"/>
      <c r="AU92" s="2213"/>
      <c r="AV92" s="2213"/>
      <c r="AW92" s="2217">
        <f t="shared" si="30"/>
        <v>14.233174000081455</v>
      </c>
      <c r="AX92" s="2217">
        <f t="shared" si="31"/>
        <v>7879.805100008205</v>
      </c>
      <c r="AY92" s="2217">
        <f t="shared" si="12"/>
        <v>24.087900000076843</v>
      </c>
      <c r="AZ92" s="2212">
        <v>243</v>
      </c>
      <c r="BA92" s="2208"/>
      <c r="BB92" s="263"/>
      <c r="BC92" s="2208"/>
      <c r="BD92" s="263"/>
      <c r="BE92" s="263"/>
      <c r="BF92" s="263"/>
      <c r="BG92" s="263"/>
      <c r="BH92" s="2208"/>
      <c r="BI92" s="2217">
        <f t="shared" si="32"/>
        <v>21.700423000105278</v>
      </c>
      <c r="BJ92" s="2217">
        <f t="shared" si="22"/>
        <v>7879.805100008205</v>
      </c>
      <c r="BK92" s="2217">
        <f t="shared" si="13"/>
        <v>24.087900000076843</v>
      </c>
      <c r="BL92" s="2212">
        <v>243</v>
      </c>
      <c r="BM92" s="2208"/>
      <c r="BN92" s="263"/>
      <c r="BO92" s="2208"/>
      <c r="BP92" s="263"/>
      <c r="BQ92" s="263"/>
      <c r="BR92" s="263"/>
      <c r="BS92" s="263"/>
      <c r="BT92" s="2208"/>
      <c r="BU92" s="2217">
        <f t="shared" si="33"/>
        <v>-12.893724954305508</v>
      </c>
      <c r="BV92" s="2217">
        <f t="shared" si="14"/>
        <v>8880.3810900979206</v>
      </c>
      <c r="BW92" s="2217">
        <f t="shared" si="23"/>
        <v>-1.8110510844380769</v>
      </c>
      <c r="BX92" s="2212">
        <v>243</v>
      </c>
      <c r="BY92" s="2219"/>
      <c r="BZ92" s="2213"/>
      <c r="CA92" s="2219"/>
      <c r="CB92" s="2213"/>
      <c r="CC92" s="2213"/>
      <c r="CD92" s="2213"/>
      <c r="CE92" s="2213"/>
      <c r="CF92" s="2208"/>
      <c r="CG92" s="2217">
        <f t="shared" si="34"/>
        <v>-13.111051084438078</v>
      </c>
      <c r="CH92" s="2217">
        <f t="shared" si="15"/>
        <v>8880.3810900979206</v>
      </c>
      <c r="CI92" s="2217">
        <f t="shared" si="24"/>
        <v>-1.8110510844380769</v>
      </c>
      <c r="CJ92" s="2212">
        <v>243</v>
      </c>
      <c r="CK92" s="2219"/>
      <c r="CL92" s="2213"/>
      <c r="CM92" s="2219"/>
      <c r="CN92" s="2213"/>
      <c r="CO92" s="2213"/>
      <c r="CP92" s="2213"/>
      <c r="CQ92" s="2213"/>
      <c r="CR92" s="2208"/>
      <c r="CS92" s="2217">
        <f t="shared" si="35"/>
        <v>21.218665000103737</v>
      </c>
      <c r="CT92" s="2217">
        <f t="shared" si="25"/>
        <v>7879.805100008205</v>
      </c>
      <c r="CU92" s="2217">
        <f t="shared" si="16"/>
        <v>24.087900000076843</v>
      </c>
      <c r="CV92" s="2212">
        <v>243</v>
      </c>
      <c r="CW92" s="2208"/>
      <c r="CX92" s="263"/>
      <c r="CY92" s="2208"/>
      <c r="CZ92" s="263"/>
      <c r="DA92" s="263"/>
      <c r="DB92" s="263"/>
      <c r="DC92" s="263"/>
      <c r="DD92" s="2208"/>
    </row>
    <row r="93" spans="1:108">
      <c r="A93" s="2217">
        <f t="shared" si="26"/>
        <v>-13.267379916543542</v>
      </c>
      <c r="B93" s="2217">
        <f t="shared" si="17"/>
        <v>8882.1921411823587</v>
      </c>
      <c r="C93" s="2217">
        <f t="shared" si="18"/>
        <v>-1.7107651448204706</v>
      </c>
      <c r="D93" s="2212">
        <v>242</v>
      </c>
      <c r="E93" s="2219"/>
      <c r="F93" s="2213"/>
      <c r="G93" s="2219"/>
      <c r="H93" s="2213"/>
      <c r="I93" s="2213"/>
      <c r="J93" s="2213"/>
      <c r="K93" s="2213"/>
      <c r="L93" s="2213"/>
      <c r="M93" s="2217">
        <f t="shared" si="27"/>
        <v>-13.387133476680974</v>
      </c>
      <c r="N93" s="2217">
        <f t="shared" si="9"/>
        <v>8882.1921411823587</v>
      </c>
      <c r="O93" s="2217">
        <f t="shared" si="19"/>
        <v>-1.7107651448204706</v>
      </c>
      <c r="P93" s="2212">
        <v>242</v>
      </c>
      <c r="Q93" s="2219"/>
      <c r="R93" s="2213"/>
      <c r="S93" s="2219"/>
      <c r="T93" s="2213"/>
      <c r="U93" s="2213"/>
      <c r="V93" s="2213"/>
      <c r="W93" s="2213"/>
      <c r="X93" s="2213"/>
      <c r="Y93" s="2217">
        <f t="shared" si="28"/>
        <v>-13.541102339714817</v>
      </c>
      <c r="Z93" s="2217">
        <f t="shared" si="10"/>
        <v>8882.1921411823587</v>
      </c>
      <c r="AA93" s="2217">
        <f t="shared" si="20"/>
        <v>-1.7107651448204706</v>
      </c>
      <c r="AB93" s="2212">
        <v>242</v>
      </c>
      <c r="AC93" s="2219"/>
      <c r="AD93" s="2213"/>
      <c r="AE93" s="2219"/>
      <c r="AF93" s="2213"/>
      <c r="AG93" s="2213"/>
      <c r="AH93" s="2213"/>
      <c r="AI93" s="2213"/>
      <c r="AJ93" s="2213"/>
      <c r="AK93" s="2217">
        <f t="shared" si="29"/>
        <v>-12.805473327442014</v>
      </c>
      <c r="AL93" s="2217">
        <f t="shared" si="11"/>
        <v>8882.1921411823587</v>
      </c>
      <c r="AM93" s="2217">
        <f t="shared" si="21"/>
        <v>-1.7107651448204706</v>
      </c>
      <c r="AN93" s="2212">
        <v>242</v>
      </c>
      <c r="AO93" s="2219"/>
      <c r="AP93" s="2213"/>
      <c r="AQ93" s="2219"/>
      <c r="AR93" s="2213"/>
      <c r="AS93" s="2213"/>
      <c r="AT93" s="2213"/>
      <c r="AU93" s="2213"/>
      <c r="AV93" s="2213"/>
      <c r="AW93" s="2217">
        <f t="shared" si="30"/>
        <v>13.864930000082786</v>
      </c>
      <c r="AX93" s="2217">
        <f t="shared" si="31"/>
        <v>7855.7172000081282</v>
      </c>
      <c r="AY93" s="2217">
        <f t="shared" si="12"/>
        <v>23.7405000000781</v>
      </c>
      <c r="AZ93" s="2212">
        <v>242</v>
      </c>
      <c r="BA93" s="2208"/>
      <c r="BB93" s="263"/>
      <c r="BC93" s="2208"/>
      <c r="BD93" s="263"/>
      <c r="BE93" s="263"/>
      <c r="BF93" s="263"/>
      <c r="BG93" s="263"/>
      <c r="BH93" s="2208"/>
      <c r="BI93" s="2217">
        <f t="shared" si="32"/>
        <v>21.224485000106998</v>
      </c>
      <c r="BJ93" s="2217">
        <f t="shared" si="22"/>
        <v>7855.7172000081282</v>
      </c>
      <c r="BK93" s="2217">
        <f t="shared" si="13"/>
        <v>23.7405000000781</v>
      </c>
      <c r="BL93" s="2212">
        <v>242</v>
      </c>
      <c r="BM93" s="2208"/>
      <c r="BN93" s="263"/>
      <c r="BO93" s="2208"/>
      <c r="BP93" s="263"/>
      <c r="BQ93" s="263"/>
      <c r="BR93" s="263"/>
      <c r="BS93" s="263"/>
      <c r="BT93" s="2208"/>
      <c r="BU93" s="2217">
        <f t="shared" si="33"/>
        <v>-12.805473327442014</v>
      </c>
      <c r="BV93" s="2217">
        <f t="shared" si="14"/>
        <v>8882.1921411823587</v>
      </c>
      <c r="BW93" s="2217">
        <f t="shared" si="23"/>
        <v>-1.7107651448204706</v>
      </c>
      <c r="BX93" s="2212">
        <v>242</v>
      </c>
      <c r="BY93" s="2219"/>
      <c r="BZ93" s="2213"/>
      <c r="CA93" s="2219"/>
      <c r="CB93" s="2213"/>
      <c r="CC93" s="2213"/>
      <c r="CD93" s="2213"/>
      <c r="CE93" s="2213"/>
      <c r="CF93" s="2208"/>
      <c r="CG93" s="2217">
        <f t="shared" si="34"/>
        <v>-13.010765144820471</v>
      </c>
      <c r="CH93" s="2217">
        <f t="shared" si="15"/>
        <v>8882.1921411823587</v>
      </c>
      <c r="CI93" s="2217">
        <f t="shared" si="24"/>
        <v>-1.7107651448204706</v>
      </c>
      <c r="CJ93" s="2212">
        <v>242</v>
      </c>
      <c r="CK93" s="2219"/>
      <c r="CL93" s="2213"/>
      <c r="CM93" s="2219"/>
      <c r="CN93" s="2213"/>
      <c r="CO93" s="2213"/>
      <c r="CP93" s="2213"/>
      <c r="CQ93" s="2213"/>
      <c r="CR93" s="2208"/>
      <c r="CS93" s="2217">
        <f t="shared" si="35"/>
        <v>20.749675000105437</v>
      </c>
      <c r="CT93" s="2217">
        <f t="shared" si="25"/>
        <v>7855.7172000081282</v>
      </c>
      <c r="CU93" s="2217">
        <f t="shared" si="16"/>
        <v>23.7405000000781</v>
      </c>
      <c r="CV93" s="2212">
        <v>242</v>
      </c>
      <c r="CW93" s="2208"/>
      <c r="CX93" s="263"/>
      <c r="CY93" s="2208"/>
      <c r="CZ93" s="263"/>
      <c r="DA93" s="263"/>
      <c r="DB93" s="263"/>
      <c r="DC93" s="263"/>
      <c r="DD93" s="2208"/>
    </row>
    <row r="94" spans="1:108">
      <c r="A94" s="2217">
        <f t="shared" si="26"/>
        <v>-13.150738181883391</v>
      </c>
      <c r="B94" s="2217">
        <f t="shared" si="17"/>
        <v>8883.9029063271792</v>
      </c>
      <c r="C94" s="2217">
        <f t="shared" si="18"/>
        <v>-1.6093375494638167</v>
      </c>
      <c r="D94" s="2212">
        <v>241</v>
      </c>
      <c r="E94" s="2219"/>
      <c r="F94" s="2213"/>
      <c r="G94" s="2219"/>
      <c r="H94" s="2213"/>
      <c r="I94" s="2213"/>
      <c r="J94" s="2213"/>
      <c r="K94" s="2213"/>
      <c r="L94" s="2213"/>
      <c r="M94" s="2217">
        <f t="shared" si="27"/>
        <v>-13.263391810345857</v>
      </c>
      <c r="N94" s="2217">
        <f t="shared" si="9"/>
        <v>8883.9029063271792</v>
      </c>
      <c r="O94" s="2217">
        <f t="shared" si="19"/>
        <v>-1.6093375494638167</v>
      </c>
      <c r="P94" s="2212">
        <v>241</v>
      </c>
      <c r="Q94" s="2219"/>
      <c r="R94" s="2213"/>
      <c r="S94" s="2219"/>
      <c r="T94" s="2213"/>
      <c r="U94" s="2213"/>
      <c r="V94" s="2213"/>
      <c r="W94" s="2213"/>
      <c r="X94" s="2213"/>
      <c r="Y94" s="2217">
        <f t="shared" si="28"/>
        <v>-13.408232189797602</v>
      </c>
      <c r="Z94" s="2217">
        <f t="shared" si="10"/>
        <v>8883.9029063271792</v>
      </c>
      <c r="AA94" s="2217">
        <f t="shared" si="20"/>
        <v>-1.6093375494638167</v>
      </c>
      <c r="AB94" s="2212">
        <v>241</v>
      </c>
      <c r="AC94" s="2219"/>
      <c r="AD94" s="2213"/>
      <c r="AE94" s="2219"/>
      <c r="AF94" s="2213"/>
      <c r="AG94" s="2213"/>
      <c r="AH94" s="2213"/>
      <c r="AI94" s="2213"/>
      <c r="AJ94" s="2213"/>
      <c r="AK94" s="2217">
        <f t="shared" si="29"/>
        <v>-12.716217043528159</v>
      </c>
      <c r="AL94" s="2217">
        <f t="shared" si="11"/>
        <v>8883.9029063271792</v>
      </c>
      <c r="AM94" s="2217">
        <f t="shared" si="21"/>
        <v>-1.6093375494638167</v>
      </c>
      <c r="AN94" s="2212">
        <v>241</v>
      </c>
      <c r="AO94" s="2219"/>
      <c r="AP94" s="2213"/>
      <c r="AQ94" s="2219"/>
      <c r="AR94" s="2213"/>
      <c r="AS94" s="2213"/>
      <c r="AT94" s="2213"/>
      <c r="AU94" s="2213"/>
      <c r="AV94" s="2213"/>
      <c r="AW94" s="2217">
        <f t="shared" si="30"/>
        <v>13.500502000082196</v>
      </c>
      <c r="AX94" s="2217">
        <f t="shared" si="31"/>
        <v>7831.9767000080501</v>
      </c>
      <c r="AY94" s="2217">
        <f t="shared" si="12"/>
        <v>23.396700000077544</v>
      </c>
      <c r="AZ94" s="2212">
        <v>241</v>
      </c>
      <c r="BA94" s="2208"/>
      <c r="BB94" s="263"/>
      <c r="BC94" s="2208"/>
      <c r="BD94" s="263"/>
      <c r="BE94" s="263"/>
      <c r="BF94" s="263"/>
      <c r="BG94" s="263"/>
      <c r="BH94" s="2208"/>
      <c r="BI94" s="2217">
        <f t="shared" si="32"/>
        <v>20.753479000106235</v>
      </c>
      <c r="BJ94" s="2217">
        <f t="shared" si="22"/>
        <v>7831.9767000080501</v>
      </c>
      <c r="BK94" s="2217">
        <f t="shared" si="13"/>
        <v>23.396700000077544</v>
      </c>
      <c r="BL94" s="2212">
        <v>241</v>
      </c>
      <c r="BM94" s="2208"/>
      <c r="BN94" s="263"/>
      <c r="BO94" s="2208"/>
      <c r="BP94" s="263"/>
      <c r="BQ94" s="263"/>
      <c r="BR94" s="263"/>
      <c r="BS94" s="263"/>
      <c r="BT94" s="2208"/>
      <c r="BU94" s="2217">
        <f t="shared" si="33"/>
        <v>-12.716217043528159</v>
      </c>
      <c r="BV94" s="2217">
        <f t="shared" si="14"/>
        <v>8883.9029063271792</v>
      </c>
      <c r="BW94" s="2217">
        <f t="shared" si="23"/>
        <v>-1.6093375494638167</v>
      </c>
      <c r="BX94" s="2212">
        <v>241</v>
      </c>
      <c r="BY94" s="2219"/>
      <c r="BZ94" s="2213"/>
      <c r="CA94" s="2219"/>
      <c r="CB94" s="2213"/>
      <c r="CC94" s="2213"/>
      <c r="CD94" s="2213"/>
      <c r="CE94" s="2213"/>
      <c r="CF94" s="2208"/>
      <c r="CG94" s="2217">
        <f t="shared" si="34"/>
        <v>-12.909337549463817</v>
      </c>
      <c r="CH94" s="2217">
        <f t="shared" si="15"/>
        <v>8883.9029063271792</v>
      </c>
      <c r="CI94" s="2217">
        <f t="shared" si="24"/>
        <v>-1.6093375494638167</v>
      </c>
      <c r="CJ94" s="2212">
        <v>241</v>
      </c>
      <c r="CK94" s="2219"/>
      <c r="CL94" s="2213"/>
      <c r="CM94" s="2219"/>
      <c r="CN94" s="2213"/>
      <c r="CO94" s="2213"/>
      <c r="CP94" s="2213"/>
      <c r="CQ94" s="2213"/>
      <c r="CR94" s="2208"/>
      <c r="CS94" s="2217">
        <f t="shared" si="35"/>
        <v>20.285545000104687</v>
      </c>
      <c r="CT94" s="2217">
        <f t="shared" si="25"/>
        <v>7831.9767000080501</v>
      </c>
      <c r="CU94" s="2217">
        <f t="shared" si="16"/>
        <v>23.396700000077544</v>
      </c>
      <c r="CV94" s="2212">
        <v>241</v>
      </c>
      <c r="CW94" s="2208"/>
      <c r="CX94" s="263"/>
      <c r="CY94" s="2208"/>
      <c r="CZ94" s="263"/>
      <c r="DA94" s="263"/>
      <c r="DB94" s="263"/>
      <c r="DC94" s="263"/>
      <c r="DD94" s="2208"/>
    </row>
    <row r="95" spans="1:108">
      <c r="A95" s="2217">
        <f t="shared" si="26"/>
        <v>-13.0327835431317</v>
      </c>
      <c r="B95" s="2217">
        <f t="shared" si="17"/>
        <v>8885.512243876643</v>
      </c>
      <c r="C95" s="2217">
        <f t="shared" si="18"/>
        <v>-1.5067682983753912</v>
      </c>
      <c r="D95" s="2212">
        <v>240</v>
      </c>
      <c r="E95" s="2219"/>
      <c r="F95" s="2213"/>
      <c r="G95" s="2219"/>
      <c r="H95" s="2213"/>
      <c r="I95" s="2213"/>
      <c r="J95" s="2213"/>
      <c r="K95" s="2213"/>
      <c r="L95" s="2213"/>
      <c r="M95" s="2217">
        <f t="shared" si="27"/>
        <v>-13.138257324017978</v>
      </c>
      <c r="N95" s="2217">
        <f t="shared" si="9"/>
        <v>8885.512243876643</v>
      </c>
      <c r="O95" s="2217">
        <f t="shared" si="19"/>
        <v>-1.5067682983753912</v>
      </c>
      <c r="P95" s="2212">
        <v>240</v>
      </c>
      <c r="Q95" s="2219"/>
      <c r="R95" s="2213"/>
      <c r="S95" s="2219"/>
      <c r="T95" s="2213"/>
      <c r="U95" s="2213"/>
      <c r="V95" s="2213"/>
      <c r="W95" s="2213"/>
      <c r="X95" s="2213"/>
      <c r="Y95" s="2217">
        <f t="shared" si="28"/>
        <v>-13.273866470871763</v>
      </c>
      <c r="Z95" s="2217">
        <f t="shared" si="10"/>
        <v>8885.512243876643</v>
      </c>
      <c r="AA95" s="2217">
        <f t="shared" si="20"/>
        <v>-1.5067682983753912</v>
      </c>
      <c r="AB95" s="2212">
        <v>240</v>
      </c>
      <c r="AC95" s="2219"/>
      <c r="AD95" s="2213"/>
      <c r="AE95" s="2219"/>
      <c r="AF95" s="2213"/>
      <c r="AG95" s="2213"/>
      <c r="AH95" s="2213"/>
      <c r="AI95" s="2213"/>
      <c r="AJ95" s="2213"/>
      <c r="AK95" s="2217">
        <f t="shared" si="29"/>
        <v>-12.625956102570346</v>
      </c>
      <c r="AL95" s="2217">
        <f t="shared" si="11"/>
        <v>8885.512243876643</v>
      </c>
      <c r="AM95" s="2217">
        <f t="shared" si="21"/>
        <v>-1.5067682983753912</v>
      </c>
      <c r="AN95" s="2212">
        <v>240</v>
      </c>
      <c r="AO95" s="2219"/>
      <c r="AP95" s="2213"/>
      <c r="AQ95" s="2219"/>
      <c r="AR95" s="2213"/>
      <c r="AS95" s="2213"/>
      <c r="AT95" s="2213"/>
      <c r="AU95" s="2213"/>
      <c r="AV95" s="2213"/>
      <c r="AW95" s="2217">
        <f t="shared" si="30"/>
        <v>13.139890000081614</v>
      </c>
      <c r="AX95" s="2217">
        <f t="shared" si="31"/>
        <v>7808.5800000079726</v>
      </c>
      <c r="AY95" s="2217">
        <f t="shared" si="12"/>
        <v>23.056500000076994</v>
      </c>
      <c r="AZ95" s="2212">
        <v>240</v>
      </c>
      <c r="BA95" s="2208"/>
      <c r="BB95" s="263"/>
      <c r="BC95" s="2208"/>
      <c r="BD95" s="263"/>
      <c r="BE95" s="263"/>
      <c r="BF95" s="263"/>
      <c r="BG95" s="263"/>
      <c r="BH95" s="2208"/>
      <c r="BI95" s="2217">
        <f t="shared" si="32"/>
        <v>20.287405000105483</v>
      </c>
      <c r="BJ95" s="2217">
        <f t="shared" si="22"/>
        <v>7808.5800000079726</v>
      </c>
      <c r="BK95" s="2217">
        <f t="shared" si="13"/>
        <v>23.056500000076994</v>
      </c>
      <c r="BL95" s="2212">
        <v>240</v>
      </c>
      <c r="BM95" s="2208"/>
      <c r="BN95" s="263"/>
      <c r="BO95" s="2208"/>
      <c r="BP95" s="263"/>
      <c r="BQ95" s="263"/>
      <c r="BR95" s="263"/>
      <c r="BS95" s="263"/>
      <c r="BT95" s="2208"/>
      <c r="BU95" s="2217">
        <f t="shared" si="33"/>
        <v>-12.625956102570346</v>
      </c>
      <c r="BV95" s="2217">
        <f t="shared" si="14"/>
        <v>8885.512243876643</v>
      </c>
      <c r="BW95" s="2217">
        <f t="shared" si="23"/>
        <v>-1.5067682983753912</v>
      </c>
      <c r="BX95" s="2212">
        <v>240</v>
      </c>
      <c r="BY95" s="2219"/>
      <c r="BZ95" s="2213"/>
      <c r="CA95" s="2219"/>
      <c r="CB95" s="2213"/>
      <c r="CC95" s="2213"/>
      <c r="CD95" s="2213"/>
      <c r="CE95" s="2213"/>
      <c r="CF95" s="2208"/>
      <c r="CG95" s="2217">
        <f t="shared" si="34"/>
        <v>-12.806768298375392</v>
      </c>
      <c r="CH95" s="2217">
        <f t="shared" si="15"/>
        <v>8885.512243876643</v>
      </c>
      <c r="CI95" s="2217">
        <f t="shared" si="24"/>
        <v>-1.5067682983753912</v>
      </c>
      <c r="CJ95" s="2212">
        <v>240</v>
      </c>
      <c r="CK95" s="2219"/>
      <c r="CL95" s="2213"/>
      <c r="CM95" s="2219"/>
      <c r="CN95" s="2213"/>
      <c r="CO95" s="2213"/>
      <c r="CP95" s="2213"/>
      <c r="CQ95" s="2213"/>
      <c r="CR95" s="2208"/>
      <c r="CS95" s="2217">
        <f t="shared" si="35"/>
        <v>19.826275000103944</v>
      </c>
      <c r="CT95" s="2217">
        <f t="shared" si="25"/>
        <v>7808.5800000079726</v>
      </c>
      <c r="CU95" s="2217">
        <f t="shared" si="16"/>
        <v>23.056500000076994</v>
      </c>
      <c r="CV95" s="2212">
        <v>240</v>
      </c>
      <c r="CW95" s="2208"/>
      <c r="CX95" s="263"/>
      <c r="CY95" s="2208"/>
      <c r="CZ95" s="263"/>
      <c r="DA95" s="263"/>
      <c r="DB95" s="263"/>
      <c r="DC95" s="263"/>
      <c r="DD95" s="2208"/>
    </row>
    <row r="96" spans="1:108">
      <c r="A96" s="2217">
        <f t="shared" si="26"/>
        <v>-12.913516000282199</v>
      </c>
      <c r="B96" s="2217">
        <f t="shared" si="17"/>
        <v>8887.0190121750184</v>
      </c>
      <c r="C96" s="2217">
        <f t="shared" si="18"/>
        <v>-1.4030573915497371</v>
      </c>
      <c r="D96" s="2212">
        <v>239</v>
      </c>
      <c r="E96" s="2219"/>
      <c r="F96" s="2213"/>
      <c r="G96" s="2219"/>
      <c r="H96" s="2213"/>
      <c r="I96" s="2213"/>
      <c r="J96" s="2213"/>
      <c r="K96" s="2213"/>
      <c r="L96" s="2213"/>
      <c r="M96" s="2217">
        <f t="shared" si="27"/>
        <v>-13.011730017690679</v>
      </c>
      <c r="N96" s="2217">
        <f t="shared" si="9"/>
        <v>8887.0190121750184</v>
      </c>
      <c r="O96" s="2217">
        <f t="shared" si="19"/>
        <v>-1.4030573915497371</v>
      </c>
      <c r="P96" s="2212">
        <v>239</v>
      </c>
      <c r="Q96" s="2219"/>
      <c r="R96" s="2213"/>
      <c r="S96" s="2219"/>
      <c r="T96" s="2213"/>
      <c r="U96" s="2213"/>
      <c r="V96" s="2213"/>
      <c r="W96" s="2213"/>
      <c r="X96" s="2213"/>
      <c r="Y96" s="2217">
        <f t="shared" si="28"/>
        <v>-13.138005182930156</v>
      </c>
      <c r="Z96" s="2217">
        <f t="shared" si="10"/>
        <v>8887.0190121750184</v>
      </c>
      <c r="AA96" s="2217">
        <f t="shared" si="20"/>
        <v>-1.4030573915497371</v>
      </c>
      <c r="AB96" s="2212">
        <v>239</v>
      </c>
      <c r="AC96" s="2219"/>
      <c r="AD96" s="2213"/>
      <c r="AE96" s="2219"/>
      <c r="AF96" s="2213"/>
      <c r="AG96" s="2213"/>
      <c r="AH96" s="2213"/>
      <c r="AI96" s="2213"/>
      <c r="AJ96" s="2213"/>
      <c r="AK96" s="2217">
        <f t="shared" si="29"/>
        <v>-12.53469050456377</v>
      </c>
      <c r="AL96" s="2217">
        <f t="shared" si="11"/>
        <v>8887.0190121750184</v>
      </c>
      <c r="AM96" s="2217">
        <f t="shared" si="21"/>
        <v>-1.4030573915497371</v>
      </c>
      <c r="AN96" s="2212">
        <v>239</v>
      </c>
      <c r="AO96" s="2219"/>
      <c r="AP96" s="2213"/>
      <c r="AQ96" s="2219"/>
      <c r="AR96" s="2213"/>
      <c r="AS96" s="2213"/>
      <c r="AT96" s="2213"/>
      <c r="AU96" s="2213"/>
      <c r="AV96" s="2213"/>
      <c r="AW96" s="2217">
        <f t="shared" si="30"/>
        <v>12.783094000081036</v>
      </c>
      <c r="AX96" s="2217">
        <f t="shared" si="31"/>
        <v>7785.5235000078956</v>
      </c>
      <c r="AY96" s="2217">
        <f t="shared" si="12"/>
        <v>22.71990000007645</v>
      </c>
      <c r="AZ96" s="2212">
        <v>239</v>
      </c>
      <c r="BA96" s="2208"/>
      <c r="BB96" s="263"/>
      <c r="BC96" s="2208"/>
      <c r="BD96" s="263"/>
      <c r="BE96" s="263"/>
      <c r="BF96" s="263"/>
      <c r="BG96" s="263"/>
      <c r="BH96" s="2208"/>
      <c r="BI96" s="2217">
        <f t="shared" si="32"/>
        <v>19.826263000104738</v>
      </c>
      <c r="BJ96" s="2217">
        <f t="shared" si="22"/>
        <v>7785.5235000078956</v>
      </c>
      <c r="BK96" s="2217">
        <f t="shared" si="13"/>
        <v>22.71990000007645</v>
      </c>
      <c r="BL96" s="2212">
        <v>239</v>
      </c>
      <c r="BM96" s="2208"/>
      <c r="BN96" s="263"/>
      <c r="BO96" s="2208"/>
      <c r="BP96" s="263"/>
      <c r="BQ96" s="263"/>
      <c r="BR96" s="263"/>
      <c r="BS96" s="263"/>
      <c r="BT96" s="2208"/>
      <c r="BU96" s="2217">
        <f t="shared" si="33"/>
        <v>-12.53469050456377</v>
      </c>
      <c r="BV96" s="2217">
        <f t="shared" si="14"/>
        <v>8887.0190121750184</v>
      </c>
      <c r="BW96" s="2217">
        <f t="shared" si="23"/>
        <v>-1.4030573915497371</v>
      </c>
      <c r="BX96" s="2212">
        <v>239</v>
      </c>
      <c r="BY96" s="2219"/>
      <c r="BZ96" s="2213"/>
      <c r="CA96" s="2219"/>
      <c r="CB96" s="2213"/>
      <c r="CC96" s="2213"/>
      <c r="CD96" s="2213"/>
      <c r="CE96" s="2213"/>
      <c r="CF96" s="2208"/>
      <c r="CG96" s="2217">
        <f t="shared" si="34"/>
        <v>-12.703057391549738</v>
      </c>
      <c r="CH96" s="2217">
        <f t="shared" si="15"/>
        <v>8887.0190121750184</v>
      </c>
      <c r="CI96" s="2217">
        <f t="shared" si="24"/>
        <v>-1.4030573915497371</v>
      </c>
      <c r="CJ96" s="2212">
        <v>239</v>
      </c>
      <c r="CK96" s="2219"/>
      <c r="CL96" s="2213"/>
      <c r="CM96" s="2219"/>
      <c r="CN96" s="2213"/>
      <c r="CO96" s="2213"/>
      <c r="CP96" s="2213"/>
      <c r="CQ96" s="2213"/>
      <c r="CR96" s="2208"/>
      <c r="CS96" s="2217">
        <f t="shared" si="35"/>
        <v>19.37186500010321</v>
      </c>
      <c r="CT96" s="2217">
        <f t="shared" si="25"/>
        <v>7785.5235000078956</v>
      </c>
      <c r="CU96" s="2217">
        <f t="shared" si="16"/>
        <v>22.71990000007645</v>
      </c>
      <c r="CV96" s="2212">
        <v>239</v>
      </c>
      <c r="CW96" s="2208"/>
      <c r="CX96" s="263"/>
      <c r="CY96" s="2208"/>
      <c r="CZ96" s="263"/>
      <c r="DA96" s="263"/>
      <c r="DB96" s="263"/>
      <c r="DC96" s="263"/>
      <c r="DD96" s="2208"/>
    </row>
    <row r="97" spans="1:108">
      <c r="A97" s="2217">
        <f t="shared" si="26"/>
        <v>-12.792935553345343</v>
      </c>
      <c r="B97" s="2217">
        <f t="shared" si="17"/>
        <v>8888.4220695665681</v>
      </c>
      <c r="C97" s="2217">
        <f t="shared" si="18"/>
        <v>-1.2982048289959494</v>
      </c>
      <c r="D97" s="2212">
        <v>238</v>
      </c>
      <c r="E97" s="2219"/>
      <c r="F97" s="2213"/>
      <c r="G97" s="2219"/>
      <c r="H97" s="2213"/>
      <c r="I97" s="2213"/>
      <c r="J97" s="2213"/>
      <c r="K97" s="2213"/>
      <c r="L97" s="2213"/>
      <c r="M97" s="2217">
        <f t="shared" si="27"/>
        <v>-12.883809891375058</v>
      </c>
      <c r="N97" s="2217">
        <f t="shared" si="9"/>
        <v>8888.4220695665681</v>
      </c>
      <c r="O97" s="2217">
        <f t="shared" si="19"/>
        <v>-1.2982048289959494</v>
      </c>
      <c r="P97" s="2212">
        <v>238</v>
      </c>
      <c r="Q97" s="2219"/>
      <c r="R97" s="2213"/>
      <c r="S97" s="2219"/>
      <c r="T97" s="2213"/>
      <c r="U97" s="2213"/>
      <c r="V97" s="2213"/>
      <c r="W97" s="2213"/>
      <c r="X97" s="2213"/>
      <c r="Y97" s="2217">
        <f t="shared" si="28"/>
        <v>-13.000648325984695</v>
      </c>
      <c r="Z97" s="2217">
        <f t="shared" si="10"/>
        <v>8888.4220695665681</v>
      </c>
      <c r="AA97" s="2217">
        <f t="shared" si="20"/>
        <v>-1.2982048289959494</v>
      </c>
      <c r="AB97" s="2212">
        <v>238</v>
      </c>
      <c r="AC97" s="2219"/>
      <c r="AD97" s="2213"/>
      <c r="AE97" s="2219"/>
      <c r="AF97" s="2213"/>
      <c r="AG97" s="2213"/>
      <c r="AH97" s="2213"/>
      <c r="AI97" s="2213"/>
      <c r="AJ97" s="2213"/>
      <c r="AK97" s="2217">
        <f t="shared" si="29"/>
        <v>-12.442420249516436</v>
      </c>
      <c r="AL97" s="2217">
        <f t="shared" si="11"/>
        <v>8888.4220695665681</v>
      </c>
      <c r="AM97" s="2217">
        <f t="shared" si="21"/>
        <v>-1.2982048289959494</v>
      </c>
      <c r="AN97" s="2212">
        <v>238</v>
      </c>
      <c r="AO97" s="2219"/>
      <c r="AP97" s="2213"/>
      <c r="AQ97" s="2219"/>
      <c r="AR97" s="2213"/>
      <c r="AS97" s="2213"/>
      <c r="AT97" s="2213"/>
      <c r="AU97" s="2213"/>
      <c r="AV97" s="2213"/>
      <c r="AW97" s="2217">
        <f t="shared" si="30"/>
        <v>12.430114000084323</v>
      </c>
      <c r="AX97" s="2217">
        <f t="shared" si="31"/>
        <v>7762.8036000078191</v>
      </c>
      <c r="AY97" s="2217">
        <f t="shared" si="12"/>
        <v>22.386900000079549</v>
      </c>
      <c r="AZ97" s="2212">
        <v>238</v>
      </c>
      <c r="BA97" s="2208"/>
      <c r="BB97" s="263"/>
      <c r="BC97" s="2208"/>
      <c r="BD97" s="263"/>
      <c r="BE97" s="263"/>
      <c r="BF97" s="263"/>
      <c r="BG97" s="263"/>
      <c r="BH97" s="2208"/>
      <c r="BI97" s="2217">
        <f t="shared" si="32"/>
        <v>19.370053000108985</v>
      </c>
      <c r="BJ97" s="2217">
        <f t="shared" si="22"/>
        <v>7762.8036000078191</v>
      </c>
      <c r="BK97" s="2217">
        <f t="shared" si="13"/>
        <v>22.386900000079549</v>
      </c>
      <c r="BL97" s="2212">
        <v>238</v>
      </c>
      <c r="BM97" s="2208"/>
      <c r="BN97" s="263"/>
      <c r="BO97" s="2208"/>
      <c r="BP97" s="263"/>
      <c r="BQ97" s="263"/>
      <c r="BR97" s="263"/>
      <c r="BS97" s="263"/>
      <c r="BT97" s="2208"/>
      <c r="BU97" s="2217">
        <f t="shared" si="33"/>
        <v>-12.442420249516436</v>
      </c>
      <c r="BV97" s="2217">
        <f t="shared" si="14"/>
        <v>8888.4220695665681</v>
      </c>
      <c r="BW97" s="2217">
        <f t="shared" si="23"/>
        <v>-1.2982048289959494</v>
      </c>
      <c r="BX97" s="2212">
        <v>238</v>
      </c>
      <c r="BY97" s="2219"/>
      <c r="BZ97" s="2213"/>
      <c r="CA97" s="2219"/>
      <c r="CB97" s="2213"/>
      <c r="CC97" s="2213"/>
      <c r="CD97" s="2213"/>
      <c r="CE97" s="2213"/>
      <c r="CF97" s="2208"/>
      <c r="CG97" s="2217">
        <f t="shared" si="34"/>
        <v>-12.59820482899595</v>
      </c>
      <c r="CH97" s="2217">
        <f t="shared" si="15"/>
        <v>8888.4220695665681</v>
      </c>
      <c r="CI97" s="2217">
        <f t="shared" si="24"/>
        <v>-1.2982048289959494</v>
      </c>
      <c r="CJ97" s="2212">
        <v>238</v>
      </c>
      <c r="CK97" s="2219"/>
      <c r="CL97" s="2213"/>
      <c r="CM97" s="2219"/>
      <c r="CN97" s="2213"/>
      <c r="CO97" s="2213"/>
      <c r="CP97" s="2213"/>
      <c r="CQ97" s="2213"/>
      <c r="CR97" s="2208"/>
      <c r="CS97" s="2217">
        <f t="shared" si="35"/>
        <v>18.922315000107393</v>
      </c>
      <c r="CT97" s="2217">
        <f t="shared" si="25"/>
        <v>7762.8036000078191</v>
      </c>
      <c r="CU97" s="2217">
        <f t="shared" si="16"/>
        <v>22.386900000079549</v>
      </c>
      <c r="CV97" s="2212">
        <v>238</v>
      </c>
      <c r="CW97" s="2208"/>
      <c r="CX97" s="263"/>
      <c r="CY97" s="2208"/>
      <c r="CZ97" s="263"/>
      <c r="DA97" s="263"/>
      <c r="DB97" s="263"/>
      <c r="DC97" s="263"/>
      <c r="DD97" s="2208"/>
    </row>
    <row r="98" spans="1:108">
      <c r="A98" s="2217">
        <f t="shared" si="26"/>
        <v>-12.671042202302306</v>
      </c>
      <c r="B98" s="2217">
        <f t="shared" si="17"/>
        <v>8889.720274395564</v>
      </c>
      <c r="C98" s="2217">
        <f t="shared" si="18"/>
        <v>-1.1922106106976571</v>
      </c>
      <c r="D98" s="2212">
        <v>237</v>
      </c>
      <c r="E98" s="2219"/>
      <c r="F98" s="2213"/>
      <c r="G98" s="2219"/>
      <c r="H98" s="2213"/>
      <c r="I98" s="2213"/>
      <c r="J98" s="2213"/>
      <c r="K98" s="2213"/>
      <c r="L98" s="2213"/>
      <c r="M98" s="2217">
        <f t="shared" si="27"/>
        <v>-12.754496945051143</v>
      </c>
      <c r="N98" s="2217">
        <f t="shared" si="9"/>
        <v>8889.720274395564</v>
      </c>
      <c r="O98" s="2217">
        <f t="shared" si="19"/>
        <v>-1.1922106106976571</v>
      </c>
      <c r="P98" s="2212">
        <v>237</v>
      </c>
      <c r="Q98" s="2219"/>
      <c r="R98" s="2213"/>
      <c r="S98" s="2219"/>
      <c r="T98" s="2213"/>
      <c r="U98" s="2213"/>
      <c r="V98" s="2213"/>
      <c r="W98" s="2213"/>
      <c r="X98" s="2213"/>
      <c r="Y98" s="2217">
        <f t="shared" si="28"/>
        <v>-12.861795900013931</v>
      </c>
      <c r="Z98" s="2217">
        <f t="shared" si="10"/>
        <v>8889.720274395564</v>
      </c>
      <c r="AA98" s="2217">
        <f t="shared" si="20"/>
        <v>-1.1922106106976571</v>
      </c>
      <c r="AB98" s="2212">
        <v>237</v>
      </c>
      <c r="AC98" s="2219"/>
      <c r="AD98" s="2213"/>
      <c r="AE98" s="2219"/>
      <c r="AF98" s="2213"/>
      <c r="AG98" s="2213"/>
      <c r="AH98" s="2213"/>
      <c r="AI98" s="2213"/>
      <c r="AJ98" s="2213"/>
      <c r="AK98" s="2217">
        <f t="shared" si="29"/>
        <v>-12.349145337413939</v>
      </c>
      <c r="AL98" s="2217">
        <f t="shared" si="11"/>
        <v>8889.720274395564</v>
      </c>
      <c r="AM98" s="2217">
        <f t="shared" si="21"/>
        <v>-1.1922106106976571</v>
      </c>
      <c r="AN98" s="2212">
        <v>237</v>
      </c>
      <c r="AO98" s="2219"/>
      <c r="AP98" s="2213"/>
      <c r="AQ98" s="2219"/>
      <c r="AR98" s="2213"/>
      <c r="AS98" s="2213"/>
      <c r="AT98" s="2213"/>
      <c r="AU98" s="2213"/>
      <c r="AV98" s="2213"/>
      <c r="AW98" s="2217">
        <f t="shared" si="30"/>
        <v>12.080950000081831</v>
      </c>
      <c r="AX98" s="2217">
        <f t="shared" si="31"/>
        <v>7740.4167000077396</v>
      </c>
      <c r="AY98" s="2217">
        <f t="shared" si="12"/>
        <v>22.057500000077198</v>
      </c>
      <c r="AZ98" s="2212">
        <v>237</v>
      </c>
      <c r="BA98" s="2208"/>
      <c r="BB98" s="263"/>
      <c r="BC98" s="2208"/>
      <c r="BD98" s="263"/>
      <c r="BE98" s="263"/>
      <c r="BF98" s="263"/>
      <c r="BG98" s="263"/>
      <c r="BH98" s="2208"/>
      <c r="BI98" s="2217">
        <f t="shared" si="32"/>
        <v>18.918775000105764</v>
      </c>
      <c r="BJ98" s="2217">
        <f t="shared" si="22"/>
        <v>7740.4167000077396</v>
      </c>
      <c r="BK98" s="2217">
        <f t="shared" si="13"/>
        <v>22.057500000077198</v>
      </c>
      <c r="BL98" s="2212">
        <v>237</v>
      </c>
      <c r="BM98" s="2208"/>
      <c r="BN98" s="263"/>
      <c r="BO98" s="2208"/>
      <c r="BP98" s="263"/>
      <c r="BQ98" s="263"/>
      <c r="BR98" s="263"/>
      <c r="BS98" s="263"/>
      <c r="BT98" s="2208"/>
      <c r="BU98" s="2217">
        <f t="shared" si="33"/>
        <v>-12.349145337413939</v>
      </c>
      <c r="BV98" s="2217">
        <f t="shared" si="14"/>
        <v>8889.720274395564</v>
      </c>
      <c r="BW98" s="2217">
        <f t="shared" si="23"/>
        <v>-1.1922106106976571</v>
      </c>
      <c r="BX98" s="2212">
        <v>237</v>
      </c>
      <c r="BY98" s="2219"/>
      <c r="BZ98" s="2213"/>
      <c r="CA98" s="2219"/>
      <c r="CB98" s="2213"/>
      <c r="CC98" s="2213"/>
      <c r="CD98" s="2213"/>
      <c r="CE98" s="2213"/>
      <c r="CF98" s="2208"/>
      <c r="CG98" s="2217">
        <f t="shared" si="34"/>
        <v>-12.492210610697658</v>
      </c>
      <c r="CH98" s="2217">
        <f t="shared" si="15"/>
        <v>8889.720274395564</v>
      </c>
      <c r="CI98" s="2217">
        <f t="shared" si="24"/>
        <v>-1.1922106106976571</v>
      </c>
      <c r="CJ98" s="2212">
        <v>237</v>
      </c>
      <c r="CK98" s="2219"/>
      <c r="CL98" s="2213"/>
      <c r="CM98" s="2219"/>
      <c r="CN98" s="2213"/>
      <c r="CO98" s="2213"/>
      <c r="CP98" s="2213"/>
      <c r="CQ98" s="2213"/>
      <c r="CR98" s="2208"/>
      <c r="CS98" s="2217">
        <f t="shared" si="35"/>
        <v>18.477625000104219</v>
      </c>
      <c r="CT98" s="2217">
        <f t="shared" si="25"/>
        <v>7740.4167000077396</v>
      </c>
      <c r="CU98" s="2217">
        <f t="shared" si="16"/>
        <v>22.057500000077198</v>
      </c>
      <c r="CV98" s="2212">
        <v>237</v>
      </c>
      <c r="CW98" s="2208"/>
      <c r="CX98" s="263"/>
      <c r="CY98" s="2208"/>
      <c r="CZ98" s="263"/>
      <c r="DA98" s="263"/>
      <c r="DB98" s="263"/>
      <c r="DC98" s="263"/>
      <c r="DD98" s="2208"/>
    </row>
    <row r="99" spans="1:108">
      <c r="A99" s="2217">
        <f t="shared" si="26"/>
        <v>-12.547835947174008</v>
      </c>
      <c r="B99" s="2217">
        <f t="shared" si="17"/>
        <v>8890.9124850062617</v>
      </c>
      <c r="C99" s="2217">
        <f t="shared" si="18"/>
        <v>-1.0850747366730502</v>
      </c>
      <c r="D99" s="2212">
        <v>236</v>
      </c>
      <c r="E99" s="2219"/>
      <c r="F99" s="2213"/>
      <c r="G99" s="2219"/>
      <c r="H99" s="2213"/>
      <c r="I99" s="2213"/>
      <c r="J99" s="2213"/>
      <c r="K99" s="2213"/>
      <c r="L99" s="2213"/>
      <c r="M99" s="2217">
        <f t="shared" si="27"/>
        <v>-12.623791178741122</v>
      </c>
      <c r="N99" s="2217">
        <f t="shared" ref="N99:N162" si="63">N$27+(N$26*P99)-(N$25*(P99^2))+(N$24*(P99^3))</f>
        <v>8890.9124850062617</v>
      </c>
      <c r="O99" s="2217">
        <f t="shared" si="19"/>
        <v>-1.0850747366730502</v>
      </c>
      <c r="P99" s="2212">
        <v>236</v>
      </c>
      <c r="Q99" s="2219"/>
      <c r="R99" s="2213"/>
      <c r="S99" s="2219"/>
      <c r="T99" s="2213"/>
      <c r="U99" s="2213"/>
      <c r="V99" s="2213"/>
      <c r="W99" s="2213"/>
      <c r="X99" s="2213"/>
      <c r="Y99" s="2217">
        <f t="shared" si="28"/>
        <v>-12.721447905041696</v>
      </c>
      <c r="Z99" s="2217">
        <f t="shared" ref="Z99:Z162" si="64">Z$27+(Z$26*AB99)-(Z$25*(AB99^2))+(Z$24*(AB99^3))</f>
        <v>8890.9124850062617</v>
      </c>
      <c r="AA99" s="2217">
        <f t="shared" si="20"/>
        <v>-1.0850747366730502</v>
      </c>
      <c r="AB99" s="2212">
        <v>236</v>
      </c>
      <c r="AC99" s="2219"/>
      <c r="AD99" s="2213"/>
      <c r="AE99" s="2219"/>
      <c r="AF99" s="2213"/>
      <c r="AG99" s="2213"/>
      <c r="AH99" s="2213"/>
      <c r="AI99" s="2213"/>
      <c r="AJ99" s="2213"/>
      <c r="AK99" s="2217">
        <f t="shared" si="29"/>
        <v>-12.254865768272285</v>
      </c>
      <c r="AL99" s="2217">
        <f t="shared" ref="AL99:AL162" si="65">AL$27+(AL$26*AN99)-(AL$25*(AN99^2))+(AL$24*(AN99^3))</f>
        <v>8890.9124850062617</v>
      </c>
      <c r="AM99" s="2217">
        <f t="shared" si="21"/>
        <v>-1.0850747366730502</v>
      </c>
      <c r="AN99" s="2212">
        <v>236</v>
      </c>
      <c r="AO99" s="2219"/>
      <c r="AP99" s="2213"/>
      <c r="AQ99" s="2219"/>
      <c r="AR99" s="2213"/>
      <c r="AS99" s="2213"/>
      <c r="AT99" s="2213"/>
      <c r="AU99" s="2213"/>
      <c r="AV99" s="2213"/>
      <c r="AW99" s="2217">
        <f t="shared" si="30"/>
        <v>11.735602000081272</v>
      </c>
      <c r="AX99" s="2217">
        <f t="shared" si="31"/>
        <v>7718.3592000076624</v>
      </c>
      <c r="AY99" s="2217">
        <f t="shared" ref="AY99:AY162" si="66">AX99-AX100</f>
        <v>21.731700000076671</v>
      </c>
      <c r="AZ99" s="2212">
        <v>236</v>
      </c>
      <c r="BA99" s="2208"/>
      <c r="BB99" s="263"/>
      <c r="BC99" s="2208"/>
      <c r="BD99" s="263"/>
      <c r="BE99" s="263"/>
      <c r="BF99" s="263"/>
      <c r="BG99" s="263"/>
      <c r="BH99" s="2208"/>
      <c r="BI99" s="2217">
        <f t="shared" si="32"/>
        <v>18.472429000105041</v>
      </c>
      <c r="BJ99" s="2217">
        <f t="shared" si="22"/>
        <v>7718.3592000076624</v>
      </c>
      <c r="BK99" s="2217">
        <f t="shared" ref="BK99:BK162" si="67">BJ99-BJ100</f>
        <v>21.731700000076671</v>
      </c>
      <c r="BL99" s="2212">
        <v>236</v>
      </c>
      <c r="BM99" s="2208"/>
      <c r="BN99" s="263"/>
      <c r="BO99" s="2208"/>
      <c r="BP99" s="263"/>
      <c r="BQ99" s="263"/>
      <c r="BR99" s="263"/>
      <c r="BS99" s="263"/>
      <c r="BT99" s="2208"/>
      <c r="BU99" s="2217">
        <f t="shared" si="33"/>
        <v>-12.254865768272285</v>
      </c>
      <c r="BV99" s="2217">
        <f t="shared" ref="BV99:BV162" si="68">BV$27+(BV$26*BX99)-(BV$25*(BX99^2))+(BV$24*(BX99^3))</f>
        <v>8890.9124850062617</v>
      </c>
      <c r="BW99" s="2217">
        <f t="shared" si="23"/>
        <v>-1.0850747366730502</v>
      </c>
      <c r="BX99" s="2212">
        <v>236</v>
      </c>
      <c r="BY99" s="2219"/>
      <c r="BZ99" s="2213"/>
      <c r="CA99" s="2219"/>
      <c r="CB99" s="2213"/>
      <c r="CC99" s="2213"/>
      <c r="CD99" s="2213"/>
      <c r="CE99" s="2213"/>
      <c r="CF99" s="2208"/>
      <c r="CG99" s="2217">
        <f t="shared" si="34"/>
        <v>-12.385074736673051</v>
      </c>
      <c r="CH99" s="2217">
        <f t="shared" ref="CH99:CH162" si="69">CH$27+(CH$26*CJ99)-(CH$25*(CJ99^2))+(CH$24*(CJ99^3))</f>
        <v>8890.9124850062617</v>
      </c>
      <c r="CI99" s="2217">
        <f t="shared" si="24"/>
        <v>-1.0850747366730502</v>
      </c>
      <c r="CJ99" s="2212">
        <v>236</v>
      </c>
      <c r="CK99" s="2219"/>
      <c r="CL99" s="2213"/>
      <c r="CM99" s="2219"/>
      <c r="CN99" s="2213"/>
      <c r="CO99" s="2213"/>
      <c r="CP99" s="2213"/>
      <c r="CQ99" s="2213"/>
      <c r="CR99" s="2208"/>
      <c r="CS99" s="2217">
        <f t="shared" si="35"/>
        <v>18.037795000103507</v>
      </c>
      <c r="CT99" s="2217">
        <f t="shared" si="25"/>
        <v>7718.3592000076624</v>
      </c>
      <c r="CU99" s="2217">
        <f t="shared" ref="CU99:CU162" si="70">CT99-CT100</f>
        <v>21.731700000076671</v>
      </c>
      <c r="CV99" s="2212">
        <v>236</v>
      </c>
      <c r="CW99" s="2208"/>
      <c r="CX99" s="263"/>
      <c r="CY99" s="2208"/>
      <c r="CZ99" s="263"/>
      <c r="DA99" s="263"/>
      <c r="DB99" s="263"/>
      <c r="DC99" s="263"/>
      <c r="DD99" s="2208"/>
    </row>
    <row r="100" spans="1:108">
      <c r="A100" s="2217">
        <f t="shared" si="26"/>
        <v>-12.423316787943714</v>
      </c>
      <c r="B100" s="2217">
        <f t="shared" ref="B100:B163" si="71">B$27+(B$26*D100)-(B$25*(D100^2))+(B$24*(D100^3))</f>
        <v>8891.9975597429348</v>
      </c>
      <c r="C100" s="2217">
        <f t="shared" ref="C100:C163" si="72">B100-B101</f>
        <v>-0.97679720690757676</v>
      </c>
      <c r="D100" s="2212">
        <v>235</v>
      </c>
      <c r="E100" s="2219"/>
      <c r="F100" s="2213"/>
      <c r="G100" s="2219"/>
      <c r="H100" s="2213"/>
      <c r="I100" s="2213"/>
      <c r="J100" s="2213"/>
      <c r="K100" s="2213"/>
      <c r="L100" s="2213"/>
      <c r="M100" s="2217">
        <f t="shared" si="27"/>
        <v>-12.491692592427244</v>
      </c>
      <c r="N100" s="2217">
        <f t="shared" si="63"/>
        <v>8891.9975597429348</v>
      </c>
      <c r="O100" s="2217">
        <f t="shared" ref="O100:O163" si="73">N100-N101</f>
        <v>-0.97679720690757676</v>
      </c>
      <c r="P100" s="2212">
        <v>235</v>
      </c>
      <c r="Q100" s="2219"/>
      <c r="R100" s="2213"/>
      <c r="S100" s="2219"/>
      <c r="T100" s="2213"/>
      <c r="U100" s="2213"/>
      <c r="V100" s="2213"/>
      <c r="W100" s="2213"/>
      <c r="X100" s="2213"/>
      <c r="Y100" s="2217">
        <f t="shared" si="28"/>
        <v>-12.579604341048926</v>
      </c>
      <c r="Z100" s="2217">
        <f t="shared" si="64"/>
        <v>8891.9975597429348</v>
      </c>
      <c r="AA100" s="2217">
        <f t="shared" ref="AA100:AA163" si="74">Z100-Z101</f>
        <v>-0.97679720690757676</v>
      </c>
      <c r="AB100" s="2212">
        <v>235</v>
      </c>
      <c r="AC100" s="2219"/>
      <c r="AD100" s="2213"/>
      <c r="AE100" s="2219"/>
      <c r="AF100" s="2213"/>
      <c r="AG100" s="2213"/>
      <c r="AH100" s="2213"/>
      <c r="AI100" s="2213"/>
      <c r="AJ100" s="2213"/>
      <c r="AK100" s="2217">
        <f t="shared" si="29"/>
        <v>-12.159581542078667</v>
      </c>
      <c r="AL100" s="2217">
        <f t="shared" si="65"/>
        <v>8891.9975597429348</v>
      </c>
      <c r="AM100" s="2217">
        <f t="shared" ref="AM100:AM163" si="75">AL100-AL101</f>
        <v>-0.97679720690757676</v>
      </c>
      <c r="AN100" s="2212">
        <v>235</v>
      </c>
      <c r="AO100" s="2219"/>
      <c r="AP100" s="2213"/>
      <c r="AQ100" s="2219"/>
      <c r="AR100" s="2213"/>
      <c r="AS100" s="2213"/>
      <c r="AT100" s="2213"/>
      <c r="AU100" s="2213"/>
      <c r="AV100" s="2213"/>
      <c r="AW100" s="2217">
        <f t="shared" si="30"/>
        <v>11.394070000081683</v>
      </c>
      <c r="AX100" s="2217">
        <f t="shared" si="31"/>
        <v>7696.6275000075857</v>
      </c>
      <c r="AY100" s="2217">
        <f t="shared" si="66"/>
        <v>21.40950000007706</v>
      </c>
      <c r="AZ100" s="2212">
        <v>235</v>
      </c>
      <c r="BA100" s="2208"/>
      <c r="BB100" s="263"/>
      <c r="BC100" s="2208"/>
      <c r="BD100" s="263"/>
      <c r="BE100" s="263"/>
      <c r="BF100" s="263"/>
      <c r="BG100" s="263"/>
      <c r="BH100" s="2208"/>
      <c r="BI100" s="2217">
        <f t="shared" si="32"/>
        <v>18.031015000105572</v>
      </c>
      <c r="BJ100" s="2217">
        <f t="shared" ref="BJ100:BJ163" si="76">BJ$27+(BJ$26*BL100)-(BJ$25*(BL100^2))+(BJ$24*(BL100^3))</f>
        <v>7696.6275000075857</v>
      </c>
      <c r="BK100" s="2217">
        <f t="shared" si="67"/>
        <v>21.40950000007706</v>
      </c>
      <c r="BL100" s="2212">
        <v>235</v>
      </c>
      <c r="BM100" s="2208"/>
      <c r="BN100" s="263"/>
      <c r="BO100" s="2208"/>
      <c r="BP100" s="263"/>
      <c r="BQ100" s="263"/>
      <c r="BR100" s="263"/>
      <c r="BS100" s="263"/>
      <c r="BT100" s="2208"/>
      <c r="BU100" s="2217">
        <f t="shared" si="33"/>
        <v>-12.159581542078667</v>
      </c>
      <c r="BV100" s="2217">
        <f t="shared" si="68"/>
        <v>8891.9975597429348</v>
      </c>
      <c r="BW100" s="2217">
        <f t="shared" ref="BW100:BW163" si="77">BV100-BV101</f>
        <v>-0.97679720690757676</v>
      </c>
      <c r="BX100" s="2212">
        <v>235</v>
      </c>
      <c r="BY100" s="2219"/>
      <c r="BZ100" s="2213"/>
      <c r="CA100" s="2219"/>
      <c r="CB100" s="2213"/>
      <c r="CC100" s="2213"/>
      <c r="CD100" s="2213"/>
      <c r="CE100" s="2213"/>
      <c r="CF100" s="2208"/>
      <c r="CG100" s="2217">
        <f t="shared" si="34"/>
        <v>-12.276797206907577</v>
      </c>
      <c r="CH100" s="2217">
        <f t="shared" si="69"/>
        <v>8891.9975597429348</v>
      </c>
      <c r="CI100" s="2217">
        <f t="shared" ref="CI100:CI163" si="78">CH100-CH101</f>
        <v>-0.97679720690757676</v>
      </c>
      <c r="CJ100" s="2212">
        <v>235</v>
      </c>
      <c r="CK100" s="2219"/>
      <c r="CL100" s="2213"/>
      <c r="CM100" s="2219"/>
      <c r="CN100" s="2213"/>
      <c r="CO100" s="2213"/>
      <c r="CP100" s="2213"/>
      <c r="CQ100" s="2213"/>
      <c r="CR100" s="2208"/>
      <c r="CS100" s="2217">
        <f t="shared" si="35"/>
        <v>17.602825000104033</v>
      </c>
      <c r="CT100" s="2217">
        <f t="shared" ref="CT100:CT163" si="79">CT$27+(CT$26*CV100)-(CT$25*(CV100^2))+(CT$24*(CV100^3))</f>
        <v>7696.6275000075857</v>
      </c>
      <c r="CU100" s="2217">
        <f t="shared" si="70"/>
        <v>21.40950000007706</v>
      </c>
      <c r="CV100" s="2212">
        <v>235</v>
      </c>
      <c r="CW100" s="2208"/>
      <c r="CX100" s="263"/>
      <c r="CY100" s="2208"/>
      <c r="CZ100" s="263"/>
      <c r="DA100" s="263"/>
      <c r="DB100" s="263"/>
      <c r="DC100" s="263"/>
      <c r="DD100" s="2208"/>
    </row>
    <row r="101" spans="1:108">
      <c r="A101" s="2217">
        <f t="shared" ref="A101:A164" si="80">(C101*(B$7-B$9))-B$8</f>
        <v>-12.297484724623974</v>
      </c>
      <c r="B101" s="2217">
        <f t="shared" si="71"/>
        <v>8892.9743569498423</v>
      </c>
      <c r="C101" s="2217">
        <f t="shared" si="72"/>
        <v>-0.8673780214121507</v>
      </c>
      <c r="D101" s="2212">
        <v>234</v>
      </c>
      <c r="E101" s="2219"/>
      <c r="F101" s="2213"/>
      <c r="G101" s="2219"/>
      <c r="H101" s="2213"/>
      <c r="I101" s="2213"/>
      <c r="J101" s="2213"/>
      <c r="K101" s="2213"/>
      <c r="L101" s="2213"/>
      <c r="M101" s="2217">
        <f t="shared" ref="M101:M164" si="81">(O101*(N$7-N$9))-N$8</f>
        <v>-12.358201186122825</v>
      </c>
      <c r="N101" s="2217">
        <f t="shared" si="63"/>
        <v>8892.9743569498423</v>
      </c>
      <c r="O101" s="2217">
        <f t="shared" si="73"/>
        <v>-0.8673780214121507</v>
      </c>
      <c r="P101" s="2212">
        <v>234</v>
      </c>
      <c r="Q101" s="2219"/>
      <c r="R101" s="2213"/>
      <c r="S101" s="2219"/>
      <c r="T101" s="2213"/>
      <c r="U101" s="2213"/>
      <c r="V101" s="2213"/>
      <c r="W101" s="2213"/>
      <c r="X101" s="2213"/>
      <c r="Y101" s="2217">
        <f t="shared" ref="Y101:Y164" si="82">(AA101*(Z$7-Z$9))-Z$8</f>
        <v>-12.436265208049917</v>
      </c>
      <c r="Z101" s="2217">
        <f t="shared" si="64"/>
        <v>8892.9743569498423</v>
      </c>
      <c r="AA101" s="2217">
        <f t="shared" si="74"/>
        <v>-0.8673780214121507</v>
      </c>
      <c r="AB101" s="2212">
        <v>234</v>
      </c>
      <c r="AC101" s="2219"/>
      <c r="AD101" s="2213"/>
      <c r="AE101" s="2219"/>
      <c r="AF101" s="2213"/>
      <c r="AG101" s="2213"/>
      <c r="AH101" s="2213"/>
      <c r="AI101" s="2213"/>
      <c r="AJ101" s="2213"/>
      <c r="AK101" s="2217">
        <f t="shared" ref="AK101:AK164" si="83">(AM101*(AL$7-AL$9))-AL$8</f>
        <v>-12.063292658842693</v>
      </c>
      <c r="AL101" s="2217">
        <f t="shared" si="65"/>
        <v>8892.9743569498423</v>
      </c>
      <c r="AM101" s="2217">
        <f t="shared" si="75"/>
        <v>-0.8673780214121507</v>
      </c>
      <c r="AN101" s="2212">
        <v>234</v>
      </c>
      <c r="AO101" s="2219"/>
      <c r="AP101" s="2213"/>
      <c r="AQ101" s="2219"/>
      <c r="AR101" s="2213"/>
      <c r="AS101" s="2213"/>
      <c r="AT101" s="2213"/>
      <c r="AU101" s="2213"/>
      <c r="AV101" s="2213"/>
      <c r="AW101" s="2217">
        <f t="shared" ref="AW101:AW164" si="84">AY101*(AX$7-AX$9)-AX$8</f>
        <v>11.056354000084994</v>
      </c>
      <c r="AX101" s="2217">
        <f t="shared" ref="AX101:AX164" si="85">AX$27+(AX$26*AZ101)-(AX$25*(AZ101^2))+(AX$24*(AZ101^3))</f>
        <v>7675.2180000075086</v>
      </c>
      <c r="AY101" s="2217">
        <f t="shared" si="66"/>
        <v>21.090900000080183</v>
      </c>
      <c r="AZ101" s="2212">
        <v>234</v>
      </c>
      <c r="BA101" s="2208"/>
      <c r="BB101" s="263"/>
      <c r="BC101" s="2208"/>
      <c r="BD101" s="263"/>
      <c r="BE101" s="263"/>
      <c r="BF101" s="263"/>
      <c r="BG101" s="263"/>
      <c r="BH101" s="2208"/>
      <c r="BI101" s="2217">
        <f t="shared" ref="BI101:BI164" si="86">BK101*(BJ$7-BJ$9)-BJ$8</f>
        <v>17.594533000109852</v>
      </c>
      <c r="BJ101" s="2217">
        <f t="shared" si="76"/>
        <v>7675.2180000075086</v>
      </c>
      <c r="BK101" s="2217">
        <f t="shared" si="67"/>
        <v>21.090900000080183</v>
      </c>
      <c r="BL101" s="2212">
        <v>234</v>
      </c>
      <c r="BM101" s="2208"/>
      <c r="BN101" s="263"/>
      <c r="BO101" s="2208"/>
      <c r="BP101" s="263"/>
      <c r="BQ101" s="263"/>
      <c r="BR101" s="263"/>
      <c r="BS101" s="263"/>
      <c r="BT101" s="2208"/>
      <c r="BU101" s="2217">
        <f t="shared" ref="BU101:BU164" si="87">(BW101*(BV$7-BV$9))-BV$8</f>
        <v>-12.063292658842693</v>
      </c>
      <c r="BV101" s="2217">
        <f t="shared" si="68"/>
        <v>8892.9743569498423</v>
      </c>
      <c r="BW101" s="2217">
        <f t="shared" si="77"/>
        <v>-0.8673780214121507</v>
      </c>
      <c r="BX101" s="2212">
        <v>234</v>
      </c>
      <c r="BY101" s="2219"/>
      <c r="BZ101" s="2213"/>
      <c r="CA101" s="2219"/>
      <c r="CB101" s="2213"/>
      <c r="CC101" s="2213"/>
      <c r="CD101" s="2213"/>
      <c r="CE101" s="2213"/>
      <c r="CF101" s="2208"/>
      <c r="CG101" s="2217">
        <f t="shared" ref="CG101:CG164" si="88">(CI101*(CH$7-CH$9))-CH$8</f>
        <v>-12.167378021412151</v>
      </c>
      <c r="CH101" s="2217">
        <f t="shared" si="69"/>
        <v>8892.9743569498423</v>
      </c>
      <c r="CI101" s="2217">
        <f t="shared" si="78"/>
        <v>-0.8673780214121507</v>
      </c>
      <c r="CJ101" s="2212">
        <v>234</v>
      </c>
      <c r="CK101" s="2219"/>
      <c r="CL101" s="2213"/>
      <c r="CM101" s="2219"/>
      <c r="CN101" s="2213"/>
      <c r="CO101" s="2213"/>
      <c r="CP101" s="2213"/>
      <c r="CQ101" s="2213"/>
      <c r="CR101" s="2208"/>
      <c r="CS101" s="2217">
        <f t="shared" ref="CS101:CS164" si="89">CU101*(CT$7-CT$9)-CT$8</f>
        <v>17.172715000108248</v>
      </c>
      <c r="CT101" s="2217">
        <f t="shared" si="79"/>
        <v>7675.2180000075086</v>
      </c>
      <c r="CU101" s="2217">
        <f t="shared" si="70"/>
        <v>21.090900000080183</v>
      </c>
      <c r="CV101" s="2212">
        <v>234</v>
      </c>
      <c r="CW101" s="2208"/>
      <c r="CX101" s="263"/>
      <c r="CY101" s="2208"/>
      <c r="CZ101" s="263"/>
      <c r="DA101" s="263"/>
      <c r="DB101" s="263"/>
      <c r="DC101" s="263"/>
      <c r="DD101" s="2208"/>
    </row>
    <row r="102" spans="1:108">
      <c r="A102" s="2217">
        <f t="shared" si="80"/>
        <v>-12.170339757208513</v>
      </c>
      <c r="B102" s="2217">
        <f t="shared" si="71"/>
        <v>8893.8417349712545</v>
      </c>
      <c r="C102" s="2217">
        <f t="shared" si="72"/>
        <v>-0.75681718018131505</v>
      </c>
      <c r="D102" s="2212">
        <v>233</v>
      </c>
      <c r="E102" s="2219"/>
      <c r="F102" s="2213"/>
      <c r="G102" s="2219"/>
      <c r="H102" s="2213"/>
      <c r="I102" s="2213"/>
      <c r="J102" s="2213"/>
      <c r="K102" s="2213"/>
      <c r="L102" s="2213"/>
      <c r="M102" s="2217">
        <f t="shared" si="81"/>
        <v>-12.223316959821204</v>
      </c>
      <c r="N102" s="2217">
        <f t="shared" si="63"/>
        <v>8893.8417349712545</v>
      </c>
      <c r="O102" s="2217">
        <f t="shared" si="73"/>
        <v>-0.75681718018131505</v>
      </c>
      <c r="P102" s="2212">
        <v>233</v>
      </c>
      <c r="Q102" s="2219"/>
      <c r="R102" s="2213"/>
      <c r="S102" s="2219"/>
      <c r="T102" s="2213"/>
      <c r="U102" s="2213"/>
      <c r="V102" s="2213"/>
      <c r="W102" s="2213"/>
      <c r="X102" s="2213"/>
      <c r="Y102" s="2217">
        <f t="shared" si="82"/>
        <v>-12.291430506037523</v>
      </c>
      <c r="Z102" s="2217">
        <f t="shared" si="64"/>
        <v>8893.8417349712545</v>
      </c>
      <c r="AA102" s="2217">
        <f t="shared" si="74"/>
        <v>-0.75681718018131505</v>
      </c>
      <c r="AB102" s="2212">
        <v>233</v>
      </c>
      <c r="AC102" s="2219"/>
      <c r="AD102" s="2213"/>
      <c r="AE102" s="2219"/>
      <c r="AF102" s="2213"/>
      <c r="AG102" s="2213"/>
      <c r="AH102" s="2213"/>
      <c r="AI102" s="2213"/>
      <c r="AJ102" s="2213"/>
      <c r="AK102" s="2217">
        <f t="shared" si="83"/>
        <v>-11.965999118559559</v>
      </c>
      <c r="AL102" s="2217">
        <f t="shared" si="65"/>
        <v>8893.8417349712545</v>
      </c>
      <c r="AM102" s="2217">
        <f t="shared" si="75"/>
        <v>-0.75681718018131505</v>
      </c>
      <c r="AN102" s="2212">
        <v>233</v>
      </c>
      <c r="AO102" s="2219"/>
      <c r="AP102" s="2213"/>
      <c r="AQ102" s="2219"/>
      <c r="AR102" s="2213"/>
      <c r="AS102" s="2213"/>
      <c r="AT102" s="2213"/>
      <c r="AU102" s="2213"/>
      <c r="AV102" s="2213"/>
      <c r="AW102" s="2217">
        <f t="shared" si="84"/>
        <v>10.722454000082525</v>
      </c>
      <c r="AX102" s="2217">
        <f t="shared" si="85"/>
        <v>7654.1271000074285</v>
      </c>
      <c r="AY102" s="2217">
        <f t="shared" si="66"/>
        <v>20.775900000077854</v>
      </c>
      <c r="AZ102" s="2212">
        <v>233</v>
      </c>
      <c r="BA102" s="2208"/>
      <c r="BB102" s="263"/>
      <c r="BC102" s="2208"/>
      <c r="BD102" s="263"/>
      <c r="BE102" s="263"/>
      <c r="BF102" s="263"/>
      <c r="BG102" s="263"/>
      <c r="BH102" s="2208"/>
      <c r="BI102" s="2217">
        <f t="shared" si="86"/>
        <v>17.16298300010666</v>
      </c>
      <c r="BJ102" s="2217">
        <f t="shared" si="76"/>
        <v>7654.1271000074285</v>
      </c>
      <c r="BK102" s="2217">
        <f t="shared" si="67"/>
        <v>20.775900000077854</v>
      </c>
      <c r="BL102" s="2212">
        <v>233</v>
      </c>
      <c r="BM102" s="2208"/>
      <c r="BN102" s="263"/>
      <c r="BO102" s="2208"/>
      <c r="BP102" s="263"/>
      <c r="BQ102" s="263"/>
      <c r="BR102" s="263"/>
      <c r="BS102" s="263"/>
      <c r="BT102" s="2208"/>
      <c r="BU102" s="2217">
        <f t="shared" si="87"/>
        <v>-11.965999118559559</v>
      </c>
      <c r="BV102" s="2217">
        <f t="shared" si="68"/>
        <v>8893.8417349712545</v>
      </c>
      <c r="BW102" s="2217">
        <f t="shared" si="77"/>
        <v>-0.75681718018131505</v>
      </c>
      <c r="BX102" s="2212">
        <v>233</v>
      </c>
      <c r="BY102" s="2219"/>
      <c r="BZ102" s="2213"/>
      <c r="CA102" s="2219"/>
      <c r="CB102" s="2213"/>
      <c r="CC102" s="2213"/>
      <c r="CD102" s="2213"/>
      <c r="CE102" s="2213"/>
      <c r="CF102" s="2208"/>
      <c r="CG102" s="2217">
        <f t="shared" si="88"/>
        <v>-12.056817180181316</v>
      </c>
      <c r="CH102" s="2217">
        <f t="shared" si="69"/>
        <v>8893.8417349712545</v>
      </c>
      <c r="CI102" s="2217">
        <f t="shared" si="78"/>
        <v>-0.75681718018131505</v>
      </c>
      <c r="CJ102" s="2212">
        <v>233</v>
      </c>
      <c r="CK102" s="2219"/>
      <c r="CL102" s="2213"/>
      <c r="CM102" s="2219"/>
      <c r="CN102" s="2213"/>
      <c r="CO102" s="2213"/>
      <c r="CP102" s="2213"/>
      <c r="CQ102" s="2213"/>
      <c r="CR102" s="2208"/>
      <c r="CS102" s="2217">
        <f t="shared" si="89"/>
        <v>16.747465000105105</v>
      </c>
      <c r="CT102" s="2217">
        <f t="shared" si="79"/>
        <v>7654.1271000074285</v>
      </c>
      <c r="CU102" s="2217">
        <f t="shared" si="70"/>
        <v>20.775900000077854</v>
      </c>
      <c r="CV102" s="2212">
        <v>233</v>
      </c>
      <c r="CW102" s="2208"/>
      <c r="CX102" s="263"/>
      <c r="CY102" s="2208"/>
      <c r="CZ102" s="263"/>
      <c r="DA102" s="263"/>
      <c r="DB102" s="263"/>
      <c r="DC102" s="263"/>
      <c r="DD102" s="2208"/>
    </row>
    <row r="103" spans="1:108">
      <c r="A103" s="2217">
        <f t="shared" si="80"/>
        <v>-12.04188188569524</v>
      </c>
      <c r="B103" s="2217">
        <f t="shared" si="71"/>
        <v>8894.5985521514358</v>
      </c>
      <c r="C103" s="2217">
        <f t="shared" si="72"/>
        <v>-0.64511468321325083</v>
      </c>
      <c r="D103" s="2212">
        <v>232</v>
      </c>
      <c r="E103" s="2219"/>
      <c r="F103" s="2213"/>
      <c r="G103" s="2219"/>
      <c r="H103" s="2213"/>
      <c r="I103" s="2213"/>
      <c r="J103" s="2213"/>
      <c r="K103" s="2213"/>
      <c r="L103" s="2213"/>
      <c r="M103" s="2217">
        <f t="shared" si="81"/>
        <v>-12.087039913520167</v>
      </c>
      <c r="N103" s="2217">
        <f t="shared" si="63"/>
        <v>8894.5985521514358</v>
      </c>
      <c r="O103" s="2217">
        <f t="shared" si="73"/>
        <v>-0.64511468321325083</v>
      </c>
      <c r="P103" s="2212">
        <v>232</v>
      </c>
      <c r="Q103" s="2219"/>
      <c r="R103" s="2213"/>
      <c r="S103" s="2219"/>
      <c r="T103" s="2213"/>
      <c r="U103" s="2213"/>
      <c r="V103" s="2213"/>
      <c r="W103" s="2213"/>
      <c r="X103" s="2213"/>
      <c r="Y103" s="2217">
        <f t="shared" si="82"/>
        <v>-12.145100235009359</v>
      </c>
      <c r="Z103" s="2217">
        <f t="shared" si="64"/>
        <v>8894.5985521514358</v>
      </c>
      <c r="AA103" s="2217">
        <f t="shared" si="74"/>
        <v>-0.64511468321325083</v>
      </c>
      <c r="AB103" s="2212">
        <v>232</v>
      </c>
      <c r="AC103" s="2219"/>
      <c r="AD103" s="2213"/>
      <c r="AE103" s="2219"/>
      <c r="AF103" s="2213"/>
      <c r="AG103" s="2213"/>
      <c r="AH103" s="2213"/>
      <c r="AI103" s="2213"/>
      <c r="AJ103" s="2213"/>
      <c r="AK103" s="2217">
        <f t="shared" si="83"/>
        <v>-11.867700921227662</v>
      </c>
      <c r="AL103" s="2217">
        <f t="shared" si="65"/>
        <v>8894.5985521514358</v>
      </c>
      <c r="AM103" s="2217">
        <f t="shared" si="75"/>
        <v>-0.64511468321325083</v>
      </c>
      <c r="AN103" s="2212">
        <v>232</v>
      </c>
      <c r="AO103" s="2219"/>
      <c r="AP103" s="2213"/>
      <c r="AQ103" s="2219"/>
      <c r="AR103" s="2213"/>
      <c r="AS103" s="2213"/>
      <c r="AT103" s="2213"/>
      <c r="AU103" s="2213"/>
      <c r="AV103" s="2213"/>
      <c r="AW103" s="2217">
        <f t="shared" si="84"/>
        <v>10.392370000080064</v>
      </c>
      <c r="AX103" s="2217">
        <f t="shared" si="85"/>
        <v>7633.3512000073506</v>
      </c>
      <c r="AY103" s="2217">
        <f t="shared" si="66"/>
        <v>20.464500000075532</v>
      </c>
      <c r="AZ103" s="2212">
        <v>232</v>
      </c>
      <c r="BA103" s="2208"/>
      <c r="BB103" s="263"/>
      <c r="BC103" s="2208"/>
      <c r="BD103" s="263"/>
      <c r="BE103" s="263"/>
      <c r="BF103" s="263"/>
      <c r="BG103" s="263"/>
      <c r="BH103" s="2208"/>
      <c r="BI103" s="2217">
        <f t="shared" si="86"/>
        <v>16.736365000103479</v>
      </c>
      <c r="BJ103" s="2217">
        <f t="shared" si="76"/>
        <v>7633.3512000073506</v>
      </c>
      <c r="BK103" s="2217">
        <f t="shared" si="67"/>
        <v>20.464500000075532</v>
      </c>
      <c r="BL103" s="2212">
        <v>232</v>
      </c>
      <c r="BM103" s="2208"/>
      <c r="BN103" s="263"/>
      <c r="BO103" s="2208"/>
      <c r="BP103" s="263"/>
      <c r="BQ103" s="263"/>
      <c r="BR103" s="263"/>
      <c r="BS103" s="263"/>
      <c r="BT103" s="2208"/>
      <c r="BU103" s="2217">
        <f t="shared" si="87"/>
        <v>-11.867700921227662</v>
      </c>
      <c r="BV103" s="2217">
        <f t="shared" si="68"/>
        <v>8894.5985521514358</v>
      </c>
      <c r="BW103" s="2217">
        <f t="shared" si="77"/>
        <v>-0.64511468321325083</v>
      </c>
      <c r="BX103" s="2212">
        <v>232</v>
      </c>
      <c r="BY103" s="2219"/>
      <c r="BZ103" s="2213"/>
      <c r="CA103" s="2219"/>
      <c r="CB103" s="2213"/>
      <c r="CC103" s="2213"/>
      <c r="CD103" s="2213"/>
      <c r="CE103" s="2213"/>
      <c r="CF103" s="2208"/>
      <c r="CG103" s="2217">
        <f t="shared" si="88"/>
        <v>-11.945114683213252</v>
      </c>
      <c r="CH103" s="2217">
        <f t="shared" si="69"/>
        <v>8894.5985521514358</v>
      </c>
      <c r="CI103" s="2217">
        <f t="shared" si="78"/>
        <v>-0.64511468321325083</v>
      </c>
      <c r="CJ103" s="2212">
        <v>232</v>
      </c>
      <c r="CK103" s="2219"/>
      <c r="CL103" s="2213"/>
      <c r="CM103" s="2219"/>
      <c r="CN103" s="2213"/>
      <c r="CO103" s="2213"/>
      <c r="CP103" s="2213"/>
      <c r="CQ103" s="2213"/>
      <c r="CR103" s="2208"/>
      <c r="CS103" s="2217">
        <f t="shared" si="89"/>
        <v>16.327075000101971</v>
      </c>
      <c r="CT103" s="2217">
        <f t="shared" si="79"/>
        <v>7633.3512000073506</v>
      </c>
      <c r="CU103" s="2217">
        <f t="shared" si="70"/>
        <v>20.464500000075532</v>
      </c>
      <c r="CV103" s="2212">
        <v>232</v>
      </c>
      <c r="CW103" s="2208"/>
      <c r="CX103" s="263"/>
      <c r="CY103" s="2208"/>
      <c r="CZ103" s="263"/>
      <c r="DA103" s="263"/>
      <c r="DB103" s="263"/>
      <c r="DC103" s="263"/>
      <c r="DD103" s="2208"/>
    </row>
    <row r="104" spans="1:108">
      <c r="A104" s="2217">
        <f t="shared" si="80"/>
        <v>-11.912111110092519</v>
      </c>
      <c r="B104" s="2217">
        <f t="shared" si="71"/>
        <v>8895.243666834649</v>
      </c>
      <c r="C104" s="2217">
        <f t="shared" si="72"/>
        <v>-0.53227053051523399</v>
      </c>
      <c r="D104" s="2212">
        <v>231</v>
      </c>
      <c r="E104" s="2219"/>
      <c r="F104" s="2213"/>
      <c r="G104" s="2219"/>
      <c r="H104" s="2213"/>
      <c r="I104" s="2213"/>
      <c r="J104" s="2213"/>
      <c r="K104" s="2213"/>
      <c r="L104" s="2213"/>
      <c r="M104" s="2217">
        <f t="shared" si="81"/>
        <v>-11.949370047228586</v>
      </c>
      <c r="N104" s="2217">
        <f t="shared" si="63"/>
        <v>8895.243666834649</v>
      </c>
      <c r="O104" s="2217">
        <f t="shared" si="73"/>
        <v>-0.53227053051523399</v>
      </c>
      <c r="P104" s="2212">
        <v>231</v>
      </c>
      <c r="Q104" s="2219"/>
      <c r="R104" s="2213"/>
      <c r="S104" s="2219"/>
      <c r="T104" s="2213"/>
      <c r="U104" s="2213"/>
      <c r="V104" s="2213"/>
      <c r="W104" s="2213"/>
      <c r="X104" s="2213"/>
      <c r="Y104" s="2217">
        <f t="shared" si="82"/>
        <v>-11.997274394974957</v>
      </c>
      <c r="Z104" s="2217">
        <f t="shared" si="64"/>
        <v>8895.243666834649</v>
      </c>
      <c r="AA104" s="2217">
        <f t="shared" si="74"/>
        <v>-0.53227053051523399</v>
      </c>
      <c r="AB104" s="2212">
        <v>231</v>
      </c>
      <c r="AC104" s="2219"/>
      <c r="AD104" s="2213"/>
      <c r="AE104" s="2219"/>
      <c r="AF104" s="2213"/>
      <c r="AG104" s="2213"/>
      <c r="AH104" s="2213"/>
      <c r="AI104" s="2213"/>
      <c r="AJ104" s="2213"/>
      <c r="AK104" s="2217">
        <f t="shared" si="83"/>
        <v>-11.768398066853406</v>
      </c>
      <c r="AL104" s="2217">
        <f t="shared" si="65"/>
        <v>8895.243666834649</v>
      </c>
      <c r="AM104" s="2217">
        <f t="shared" si="75"/>
        <v>-0.53227053051523399</v>
      </c>
      <c r="AN104" s="2212">
        <v>231</v>
      </c>
      <c r="AO104" s="2219"/>
      <c r="AP104" s="2213"/>
      <c r="AQ104" s="2219"/>
      <c r="AR104" s="2213"/>
      <c r="AS104" s="2213"/>
      <c r="AT104" s="2213"/>
      <c r="AU104" s="2213"/>
      <c r="AV104" s="2213"/>
      <c r="AW104" s="2217">
        <f t="shared" si="84"/>
        <v>10.066102000083394</v>
      </c>
      <c r="AX104" s="2217">
        <f t="shared" si="85"/>
        <v>7612.8867000072751</v>
      </c>
      <c r="AY104" s="2217">
        <f t="shared" si="66"/>
        <v>20.156700000078672</v>
      </c>
      <c r="AZ104" s="2212">
        <v>231</v>
      </c>
      <c r="BA104" s="2208"/>
      <c r="BB104" s="263"/>
      <c r="BC104" s="2208"/>
      <c r="BD104" s="263"/>
      <c r="BE104" s="263"/>
      <c r="BF104" s="263"/>
      <c r="BG104" s="263"/>
      <c r="BH104" s="2208"/>
      <c r="BI104" s="2217">
        <f t="shared" si="86"/>
        <v>16.31467900010778</v>
      </c>
      <c r="BJ104" s="2217">
        <f t="shared" si="76"/>
        <v>7612.8867000072751</v>
      </c>
      <c r="BK104" s="2217">
        <f t="shared" si="67"/>
        <v>20.156700000078672</v>
      </c>
      <c r="BL104" s="2212">
        <v>231</v>
      </c>
      <c r="BM104" s="2208"/>
      <c r="BN104" s="263"/>
      <c r="BO104" s="2208"/>
      <c r="BP104" s="263"/>
      <c r="BQ104" s="263"/>
      <c r="BR104" s="263"/>
      <c r="BS104" s="263"/>
      <c r="BT104" s="2208"/>
      <c r="BU104" s="2217">
        <f t="shared" si="87"/>
        <v>-11.768398066853406</v>
      </c>
      <c r="BV104" s="2217">
        <f t="shared" si="68"/>
        <v>8895.243666834649</v>
      </c>
      <c r="BW104" s="2217">
        <f t="shared" si="77"/>
        <v>-0.53227053051523399</v>
      </c>
      <c r="BX104" s="2212">
        <v>231</v>
      </c>
      <c r="BY104" s="2219"/>
      <c r="BZ104" s="2213"/>
      <c r="CA104" s="2219"/>
      <c r="CB104" s="2213"/>
      <c r="CC104" s="2213"/>
      <c r="CD104" s="2213"/>
      <c r="CE104" s="2213"/>
      <c r="CF104" s="2208"/>
      <c r="CG104" s="2217">
        <f t="shared" si="88"/>
        <v>-11.832270530515235</v>
      </c>
      <c r="CH104" s="2217">
        <f t="shared" si="69"/>
        <v>8895.243666834649</v>
      </c>
      <c r="CI104" s="2217">
        <f t="shared" si="78"/>
        <v>-0.53227053051523399</v>
      </c>
      <c r="CJ104" s="2212">
        <v>231</v>
      </c>
      <c r="CK104" s="2219"/>
      <c r="CL104" s="2213"/>
      <c r="CM104" s="2219"/>
      <c r="CN104" s="2213"/>
      <c r="CO104" s="2213"/>
      <c r="CP104" s="2213"/>
      <c r="CQ104" s="2213"/>
      <c r="CR104" s="2208"/>
      <c r="CS104" s="2217">
        <f t="shared" si="89"/>
        <v>15.911545000106209</v>
      </c>
      <c r="CT104" s="2217">
        <f t="shared" si="79"/>
        <v>7612.8867000072751</v>
      </c>
      <c r="CU104" s="2217">
        <f t="shared" si="70"/>
        <v>20.156700000078672</v>
      </c>
      <c r="CV104" s="2212">
        <v>231</v>
      </c>
      <c r="CW104" s="2208"/>
      <c r="CX104" s="263"/>
      <c r="CY104" s="2208"/>
      <c r="CZ104" s="263"/>
      <c r="DA104" s="263"/>
      <c r="DB104" s="263"/>
      <c r="DC104" s="263"/>
      <c r="DD104" s="2208"/>
    </row>
    <row r="105" spans="1:108">
      <c r="A105" s="2217">
        <f t="shared" si="80"/>
        <v>-11.781027430387804</v>
      </c>
      <c r="B105" s="2217">
        <f t="shared" si="71"/>
        <v>8895.7759373651643</v>
      </c>
      <c r="C105" s="2217">
        <f t="shared" si="72"/>
        <v>-0.41828472207635059</v>
      </c>
      <c r="D105" s="2212">
        <v>230</v>
      </c>
      <c r="E105" s="2219"/>
      <c r="F105" s="2213"/>
      <c r="G105" s="2219"/>
      <c r="H105" s="2213"/>
      <c r="I105" s="2213"/>
      <c r="J105" s="2213"/>
      <c r="K105" s="2213"/>
      <c r="L105" s="2213"/>
      <c r="M105" s="2217">
        <f t="shared" si="81"/>
        <v>-11.810307360933148</v>
      </c>
      <c r="N105" s="2217">
        <f t="shared" si="63"/>
        <v>8895.7759373651643</v>
      </c>
      <c r="O105" s="2217">
        <f t="shared" si="73"/>
        <v>-0.41828472207635059</v>
      </c>
      <c r="P105" s="2212">
        <v>230</v>
      </c>
      <c r="Q105" s="2219"/>
      <c r="R105" s="2213"/>
      <c r="S105" s="2219"/>
      <c r="T105" s="2213"/>
      <c r="U105" s="2213"/>
      <c r="V105" s="2213"/>
      <c r="W105" s="2213"/>
      <c r="X105" s="2213"/>
      <c r="Y105" s="2217">
        <f t="shared" si="82"/>
        <v>-11.847952985920021</v>
      </c>
      <c r="Z105" s="2217">
        <f t="shared" si="64"/>
        <v>8895.7759373651643</v>
      </c>
      <c r="AA105" s="2217">
        <f t="shared" si="74"/>
        <v>-0.41828472207635059</v>
      </c>
      <c r="AB105" s="2212">
        <v>230</v>
      </c>
      <c r="AC105" s="2219"/>
      <c r="AD105" s="2213"/>
      <c r="AE105" s="2219"/>
      <c r="AF105" s="2213"/>
      <c r="AG105" s="2213"/>
      <c r="AH105" s="2213"/>
      <c r="AI105" s="2213"/>
      <c r="AJ105" s="2213"/>
      <c r="AK105" s="2217">
        <f t="shared" si="83"/>
        <v>-11.66809055542719</v>
      </c>
      <c r="AL105" s="2217">
        <f t="shared" si="65"/>
        <v>8895.7759373651643</v>
      </c>
      <c r="AM105" s="2217">
        <f t="shared" si="75"/>
        <v>-0.41828472207635059</v>
      </c>
      <c r="AN105" s="2212">
        <v>230</v>
      </c>
      <c r="AO105" s="2219"/>
      <c r="AP105" s="2213"/>
      <c r="AQ105" s="2219"/>
      <c r="AR105" s="2213"/>
      <c r="AS105" s="2213"/>
      <c r="AT105" s="2213"/>
      <c r="AU105" s="2213"/>
      <c r="AV105" s="2213"/>
      <c r="AW105" s="2217">
        <f t="shared" si="84"/>
        <v>9.743650000082873</v>
      </c>
      <c r="AX105" s="2217">
        <f t="shared" si="85"/>
        <v>7592.7300000071964</v>
      </c>
      <c r="AY105" s="2217">
        <f t="shared" si="66"/>
        <v>19.85250000007818</v>
      </c>
      <c r="AZ105" s="2212">
        <v>230</v>
      </c>
      <c r="BA105" s="2208"/>
      <c r="BB105" s="263"/>
      <c r="BC105" s="2208"/>
      <c r="BD105" s="263"/>
      <c r="BE105" s="263"/>
      <c r="BF105" s="263"/>
      <c r="BG105" s="263"/>
      <c r="BH105" s="2208"/>
      <c r="BI105" s="2217">
        <f t="shared" si="86"/>
        <v>15.897925000107108</v>
      </c>
      <c r="BJ105" s="2217">
        <f t="shared" si="76"/>
        <v>7592.7300000071964</v>
      </c>
      <c r="BK105" s="2217">
        <f t="shared" si="67"/>
        <v>19.85250000007818</v>
      </c>
      <c r="BL105" s="2212">
        <v>230</v>
      </c>
      <c r="BM105" s="2208"/>
      <c r="BN105" s="263"/>
      <c r="BO105" s="2208"/>
      <c r="BP105" s="263"/>
      <c r="BQ105" s="263"/>
      <c r="BR105" s="263"/>
      <c r="BS105" s="263"/>
      <c r="BT105" s="2208"/>
      <c r="BU105" s="2217">
        <f t="shared" si="87"/>
        <v>-11.66809055542719</v>
      </c>
      <c r="BV105" s="2217">
        <f t="shared" si="68"/>
        <v>8895.7759373651643</v>
      </c>
      <c r="BW105" s="2217">
        <f t="shared" si="77"/>
        <v>-0.41828472207635059</v>
      </c>
      <c r="BX105" s="2212">
        <v>230</v>
      </c>
      <c r="BY105" s="2219"/>
      <c r="BZ105" s="2213"/>
      <c r="CA105" s="2219"/>
      <c r="CB105" s="2213"/>
      <c r="CC105" s="2213"/>
      <c r="CD105" s="2213"/>
      <c r="CE105" s="2213"/>
      <c r="CF105" s="2208"/>
      <c r="CG105" s="2217">
        <f t="shared" si="88"/>
        <v>-11.718284722076351</v>
      </c>
      <c r="CH105" s="2217">
        <f t="shared" si="69"/>
        <v>8895.7759373651643</v>
      </c>
      <c r="CI105" s="2217">
        <f t="shared" si="78"/>
        <v>-0.41828472207635059</v>
      </c>
      <c r="CJ105" s="2212">
        <v>230</v>
      </c>
      <c r="CK105" s="2219"/>
      <c r="CL105" s="2213"/>
      <c r="CM105" s="2219"/>
      <c r="CN105" s="2213"/>
      <c r="CO105" s="2213"/>
      <c r="CP105" s="2213"/>
      <c r="CQ105" s="2213"/>
      <c r="CR105" s="2208"/>
      <c r="CS105" s="2217">
        <f t="shared" si="89"/>
        <v>15.500875000105545</v>
      </c>
      <c r="CT105" s="2217">
        <f t="shared" si="79"/>
        <v>7592.7300000071964</v>
      </c>
      <c r="CU105" s="2217">
        <f t="shared" si="70"/>
        <v>19.85250000007818</v>
      </c>
      <c r="CV105" s="2212">
        <v>230</v>
      </c>
      <c r="CW105" s="2208"/>
      <c r="CX105" s="263"/>
      <c r="CY105" s="2208"/>
      <c r="CZ105" s="263"/>
      <c r="DA105" s="263"/>
      <c r="DB105" s="263"/>
      <c r="DC105" s="263"/>
      <c r="DD105" s="2208"/>
    </row>
    <row r="106" spans="1:108">
      <c r="A106" s="2217">
        <f t="shared" si="80"/>
        <v>-11.648630846595735</v>
      </c>
      <c r="B106" s="2217">
        <f t="shared" si="71"/>
        <v>8896.1942220872406</v>
      </c>
      <c r="C106" s="2217">
        <f t="shared" si="72"/>
        <v>-0.30315725790933357</v>
      </c>
      <c r="D106" s="2212">
        <v>229</v>
      </c>
      <c r="E106" s="2219"/>
      <c r="F106" s="2213"/>
      <c r="G106" s="2219"/>
      <c r="H106" s="2213"/>
      <c r="I106" s="2213"/>
      <c r="J106" s="2213"/>
      <c r="K106" s="2213"/>
      <c r="L106" s="2213"/>
      <c r="M106" s="2217">
        <f t="shared" si="81"/>
        <v>-11.669851854649387</v>
      </c>
      <c r="N106" s="2217">
        <f t="shared" si="63"/>
        <v>8896.1942220872406</v>
      </c>
      <c r="O106" s="2217">
        <f t="shared" si="73"/>
        <v>-0.30315725790933357</v>
      </c>
      <c r="P106" s="2212">
        <v>229</v>
      </c>
      <c r="Q106" s="2219"/>
      <c r="R106" s="2213"/>
      <c r="S106" s="2219"/>
      <c r="T106" s="2213"/>
      <c r="U106" s="2213"/>
      <c r="V106" s="2213"/>
      <c r="W106" s="2213"/>
      <c r="X106" s="2213"/>
      <c r="Y106" s="2217">
        <f t="shared" si="82"/>
        <v>-11.697136007861229</v>
      </c>
      <c r="Z106" s="2217">
        <f t="shared" si="64"/>
        <v>8896.1942220872406</v>
      </c>
      <c r="AA106" s="2217">
        <f t="shared" si="74"/>
        <v>-0.30315725790933357</v>
      </c>
      <c r="AB106" s="2212">
        <v>229</v>
      </c>
      <c r="AC106" s="2219"/>
      <c r="AD106" s="2213"/>
      <c r="AE106" s="2219"/>
      <c r="AF106" s="2213"/>
      <c r="AG106" s="2213"/>
      <c r="AH106" s="2213"/>
      <c r="AI106" s="2213"/>
      <c r="AJ106" s="2213"/>
      <c r="AK106" s="2217">
        <f t="shared" si="83"/>
        <v>-11.566778386960214</v>
      </c>
      <c r="AL106" s="2217">
        <f t="shared" si="65"/>
        <v>8896.1942220872406</v>
      </c>
      <c r="AM106" s="2217">
        <f t="shared" si="75"/>
        <v>-0.30315725790933357</v>
      </c>
      <c r="AN106" s="2212">
        <v>229</v>
      </c>
      <c r="AO106" s="2219"/>
      <c r="AP106" s="2213"/>
      <c r="AQ106" s="2219"/>
      <c r="AR106" s="2213"/>
      <c r="AS106" s="2213"/>
      <c r="AT106" s="2213"/>
      <c r="AU106" s="2213"/>
      <c r="AV106" s="2213"/>
      <c r="AW106" s="2217">
        <f t="shared" si="84"/>
        <v>9.4250140000813936</v>
      </c>
      <c r="AX106" s="2217">
        <f t="shared" si="85"/>
        <v>7572.8775000071182</v>
      </c>
      <c r="AY106" s="2217">
        <f t="shared" si="66"/>
        <v>19.551900000076785</v>
      </c>
      <c r="AZ106" s="2212">
        <v>229</v>
      </c>
      <c r="BA106" s="2208"/>
      <c r="BB106" s="263"/>
      <c r="BC106" s="2208"/>
      <c r="BD106" s="263"/>
      <c r="BE106" s="263"/>
      <c r="BF106" s="263"/>
      <c r="BG106" s="263"/>
      <c r="BH106" s="2208"/>
      <c r="BI106" s="2217">
        <f t="shared" si="86"/>
        <v>15.486103000105196</v>
      </c>
      <c r="BJ106" s="2217">
        <f t="shared" si="76"/>
        <v>7572.8775000071182</v>
      </c>
      <c r="BK106" s="2217">
        <f t="shared" si="67"/>
        <v>19.551900000076785</v>
      </c>
      <c r="BL106" s="2212">
        <v>229</v>
      </c>
      <c r="BM106" s="2208"/>
      <c r="BN106" s="263"/>
      <c r="BO106" s="2208"/>
      <c r="BP106" s="263"/>
      <c r="BQ106" s="263"/>
      <c r="BR106" s="263"/>
      <c r="BS106" s="263"/>
      <c r="BT106" s="2208"/>
      <c r="BU106" s="2217">
        <f t="shared" si="87"/>
        <v>-11.566778386960214</v>
      </c>
      <c r="BV106" s="2217">
        <f t="shared" si="68"/>
        <v>8896.1942220872406</v>
      </c>
      <c r="BW106" s="2217">
        <f t="shared" si="77"/>
        <v>-0.30315725790933357</v>
      </c>
      <c r="BX106" s="2212">
        <v>229</v>
      </c>
      <c r="BY106" s="2219"/>
      <c r="BZ106" s="2213"/>
      <c r="CA106" s="2219"/>
      <c r="CB106" s="2213"/>
      <c r="CC106" s="2213"/>
      <c r="CD106" s="2213"/>
      <c r="CE106" s="2213"/>
      <c r="CF106" s="2208"/>
      <c r="CG106" s="2217">
        <f t="shared" si="88"/>
        <v>-11.603157257909334</v>
      </c>
      <c r="CH106" s="2217">
        <f t="shared" si="69"/>
        <v>8896.1942220872406</v>
      </c>
      <c r="CI106" s="2217">
        <f t="shared" si="78"/>
        <v>-0.30315725790933357</v>
      </c>
      <c r="CJ106" s="2212">
        <v>229</v>
      </c>
      <c r="CK106" s="2219"/>
      <c r="CL106" s="2213"/>
      <c r="CM106" s="2219"/>
      <c r="CN106" s="2213"/>
      <c r="CO106" s="2213"/>
      <c r="CP106" s="2213"/>
      <c r="CQ106" s="2213"/>
      <c r="CR106" s="2208"/>
      <c r="CS106" s="2217">
        <f t="shared" si="89"/>
        <v>15.095065000103659</v>
      </c>
      <c r="CT106" s="2217">
        <f t="shared" si="79"/>
        <v>7572.8775000071182</v>
      </c>
      <c r="CU106" s="2217">
        <f t="shared" si="70"/>
        <v>19.551900000076785</v>
      </c>
      <c r="CV106" s="2212">
        <v>229</v>
      </c>
      <c r="CW106" s="2208"/>
      <c r="CX106" s="263"/>
      <c r="CY106" s="2208"/>
      <c r="CZ106" s="263"/>
      <c r="DA106" s="263"/>
      <c r="DB106" s="263"/>
      <c r="DC106" s="263"/>
      <c r="DD106" s="2208"/>
    </row>
    <row r="107" spans="1:108">
      <c r="A107" s="2217">
        <f t="shared" si="80"/>
        <v>-11.514921358703759</v>
      </c>
      <c r="B107" s="2217">
        <f t="shared" si="71"/>
        <v>8896.49737934515</v>
      </c>
      <c r="C107" s="2217">
        <f t="shared" si="72"/>
        <v>-0.18688813800326898</v>
      </c>
      <c r="D107" s="2212">
        <v>228</v>
      </c>
      <c r="E107" s="2219"/>
      <c r="F107" s="2213"/>
      <c r="G107" s="2219"/>
      <c r="H107" s="2213"/>
      <c r="I107" s="2213"/>
      <c r="J107" s="2213"/>
      <c r="K107" s="2213"/>
      <c r="L107" s="2213"/>
      <c r="M107" s="2217">
        <f t="shared" si="81"/>
        <v>-11.528003528363989</v>
      </c>
      <c r="N107" s="2217">
        <f t="shared" si="63"/>
        <v>8896.49737934515</v>
      </c>
      <c r="O107" s="2217">
        <f t="shared" si="73"/>
        <v>-0.18688813800326898</v>
      </c>
      <c r="P107" s="2212">
        <v>228</v>
      </c>
      <c r="Q107" s="2219"/>
      <c r="R107" s="2213"/>
      <c r="S107" s="2219"/>
      <c r="T107" s="2213"/>
      <c r="U107" s="2213"/>
      <c r="V107" s="2213"/>
      <c r="W107" s="2213"/>
      <c r="X107" s="2213"/>
      <c r="Y107" s="2217">
        <f t="shared" si="82"/>
        <v>-11.544823460784283</v>
      </c>
      <c r="Z107" s="2217">
        <f t="shared" si="64"/>
        <v>8896.49737934515</v>
      </c>
      <c r="AA107" s="2217">
        <f t="shared" si="74"/>
        <v>-0.18688813800326898</v>
      </c>
      <c r="AB107" s="2212">
        <v>228</v>
      </c>
      <c r="AC107" s="2219"/>
      <c r="AD107" s="2213"/>
      <c r="AE107" s="2219"/>
      <c r="AF107" s="2213"/>
      <c r="AG107" s="2213"/>
      <c r="AH107" s="2213"/>
      <c r="AI107" s="2213"/>
      <c r="AJ107" s="2213"/>
      <c r="AK107" s="2217">
        <f t="shared" si="83"/>
        <v>-11.464461561442878</v>
      </c>
      <c r="AL107" s="2217">
        <f t="shared" si="65"/>
        <v>8896.49737934515</v>
      </c>
      <c r="AM107" s="2217">
        <f t="shared" si="75"/>
        <v>-0.18688813800326898</v>
      </c>
      <c r="AN107" s="2212">
        <v>228</v>
      </c>
      <c r="AO107" s="2219"/>
      <c r="AP107" s="2213"/>
      <c r="AQ107" s="2219"/>
      <c r="AR107" s="2213"/>
      <c r="AS107" s="2213"/>
      <c r="AT107" s="2213"/>
      <c r="AU107" s="2213"/>
      <c r="AV107" s="2213"/>
      <c r="AW107" s="2217">
        <f t="shared" si="84"/>
        <v>9.1101940000818473</v>
      </c>
      <c r="AX107" s="2217">
        <f t="shared" si="85"/>
        <v>7553.3256000070414</v>
      </c>
      <c r="AY107" s="2217">
        <f t="shared" si="66"/>
        <v>19.254900000077214</v>
      </c>
      <c r="AZ107" s="2212">
        <v>228</v>
      </c>
      <c r="BA107" s="2208"/>
      <c r="BB107" s="263"/>
      <c r="BC107" s="2208"/>
      <c r="BD107" s="263"/>
      <c r="BE107" s="263"/>
      <c r="BF107" s="263"/>
      <c r="BG107" s="263"/>
      <c r="BH107" s="2208"/>
      <c r="BI107" s="2217">
        <f t="shared" si="86"/>
        <v>15.079213000105785</v>
      </c>
      <c r="BJ107" s="2217">
        <f t="shared" si="76"/>
        <v>7553.3256000070414</v>
      </c>
      <c r="BK107" s="2217">
        <f t="shared" si="67"/>
        <v>19.254900000077214</v>
      </c>
      <c r="BL107" s="2212">
        <v>228</v>
      </c>
      <c r="BM107" s="2208"/>
      <c r="BN107" s="263"/>
      <c r="BO107" s="2208"/>
      <c r="BP107" s="263"/>
      <c r="BQ107" s="263"/>
      <c r="BR107" s="263"/>
      <c r="BS107" s="263"/>
      <c r="BT107" s="2208"/>
      <c r="BU107" s="2217">
        <f t="shared" si="87"/>
        <v>-11.464461561442878</v>
      </c>
      <c r="BV107" s="2217">
        <f t="shared" si="68"/>
        <v>8896.49737934515</v>
      </c>
      <c r="BW107" s="2217">
        <f t="shared" si="77"/>
        <v>-0.18688813800326898</v>
      </c>
      <c r="BX107" s="2212">
        <v>228</v>
      </c>
      <c r="BY107" s="2219"/>
      <c r="BZ107" s="2213"/>
      <c r="CA107" s="2219"/>
      <c r="CB107" s="2213"/>
      <c r="CC107" s="2213"/>
      <c r="CD107" s="2213"/>
      <c r="CE107" s="2213"/>
      <c r="CF107" s="2208"/>
      <c r="CG107" s="2217">
        <f t="shared" si="88"/>
        <v>-11.48688813800327</v>
      </c>
      <c r="CH107" s="2217">
        <f t="shared" si="69"/>
        <v>8896.49737934515</v>
      </c>
      <c r="CI107" s="2217">
        <f t="shared" si="78"/>
        <v>-0.18688813800326898</v>
      </c>
      <c r="CJ107" s="2212">
        <v>228</v>
      </c>
      <c r="CK107" s="2219"/>
      <c r="CL107" s="2213"/>
      <c r="CM107" s="2219"/>
      <c r="CN107" s="2213"/>
      <c r="CO107" s="2213"/>
      <c r="CP107" s="2213"/>
      <c r="CQ107" s="2213"/>
      <c r="CR107" s="2208"/>
      <c r="CS107" s="2217">
        <f t="shared" si="89"/>
        <v>14.69411500010424</v>
      </c>
      <c r="CT107" s="2217">
        <f t="shared" si="79"/>
        <v>7553.3256000070414</v>
      </c>
      <c r="CU107" s="2217">
        <f t="shared" si="70"/>
        <v>19.254900000077214</v>
      </c>
      <c r="CV107" s="2212">
        <v>228</v>
      </c>
      <c r="CW107" s="2208"/>
      <c r="CX107" s="263"/>
      <c r="CY107" s="2208"/>
      <c r="CZ107" s="263"/>
      <c r="DA107" s="263"/>
      <c r="DB107" s="263"/>
      <c r="DC107" s="263"/>
      <c r="DD107" s="2208"/>
    </row>
    <row r="108" spans="1:108">
      <c r="A108" s="2217">
        <f t="shared" si="80"/>
        <v>-11.379898966716064</v>
      </c>
      <c r="B108" s="2217">
        <f t="shared" si="71"/>
        <v>8896.6842674831532</v>
      </c>
      <c r="C108" s="2217">
        <f t="shared" si="72"/>
        <v>-6.9477362361794803E-2</v>
      </c>
      <c r="D108" s="2212">
        <v>227</v>
      </c>
      <c r="E108" s="2219"/>
      <c r="F108" s="2213"/>
      <c r="G108" s="2219"/>
      <c r="H108" s="2213"/>
      <c r="I108" s="2213"/>
      <c r="J108" s="2213"/>
      <c r="K108" s="2213"/>
      <c r="L108" s="2213"/>
      <c r="M108" s="2217">
        <f t="shared" si="81"/>
        <v>-11.384762382081391</v>
      </c>
      <c r="N108" s="2217">
        <f t="shared" si="63"/>
        <v>8896.6842674831532</v>
      </c>
      <c r="O108" s="2217">
        <f t="shared" si="73"/>
        <v>-6.9477362361794803E-2</v>
      </c>
      <c r="P108" s="2212">
        <v>227</v>
      </c>
      <c r="Q108" s="2219"/>
      <c r="R108" s="2213"/>
      <c r="S108" s="2219"/>
      <c r="T108" s="2213"/>
      <c r="U108" s="2213"/>
      <c r="V108" s="2213"/>
      <c r="W108" s="2213"/>
      <c r="X108" s="2213"/>
      <c r="Y108" s="2217">
        <f t="shared" si="82"/>
        <v>-11.391015344693951</v>
      </c>
      <c r="Z108" s="2217">
        <f t="shared" si="64"/>
        <v>8896.6842674831532</v>
      </c>
      <c r="AA108" s="2217">
        <f t="shared" si="74"/>
        <v>-6.9477362361794803E-2</v>
      </c>
      <c r="AB108" s="2212">
        <v>227</v>
      </c>
      <c r="AC108" s="2219"/>
      <c r="AD108" s="2213"/>
      <c r="AE108" s="2219"/>
      <c r="AF108" s="2213"/>
      <c r="AG108" s="2213"/>
      <c r="AH108" s="2213"/>
      <c r="AI108" s="2213"/>
      <c r="AJ108" s="2213"/>
      <c r="AK108" s="2217">
        <f t="shared" si="83"/>
        <v>-11.36114007887838</v>
      </c>
      <c r="AL108" s="2217">
        <f t="shared" si="65"/>
        <v>8896.6842674831532</v>
      </c>
      <c r="AM108" s="2217">
        <f t="shared" si="75"/>
        <v>-6.9477362361794803E-2</v>
      </c>
      <c r="AN108" s="2212">
        <v>227</v>
      </c>
      <c r="AO108" s="2219"/>
      <c r="AP108" s="2213"/>
      <c r="AQ108" s="2219"/>
      <c r="AR108" s="2213"/>
      <c r="AS108" s="2213"/>
      <c r="AT108" s="2213"/>
      <c r="AU108" s="2213"/>
      <c r="AV108" s="2213"/>
      <c r="AW108" s="2217">
        <f t="shared" si="84"/>
        <v>8.7991900000823087</v>
      </c>
      <c r="AX108" s="2217">
        <f t="shared" si="85"/>
        <v>7534.0707000069642</v>
      </c>
      <c r="AY108" s="2217">
        <f t="shared" si="66"/>
        <v>18.961500000077649</v>
      </c>
      <c r="AZ108" s="2212">
        <v>227</v>
      </c>
      <c r="BA108" s="2208"/>
      <c r="BB108" s="263"/>
      <c r="BC108" s="2208"/>
      <c r="BD108" s="263"/>
      <c r="BE108" s="263"/>
      <c r="BF108" s="263"/>
      <c r="BG108" s="263"/>
      <c r="BH108" s="2208"/>
      <c r="BI108" s="2217">
        <f t="shared" si="86"/>
        <v>14.677255000106381</v>
      </c>
      <c r="BJ108" s="2217">
        <f t="shared" si="76"/>
        <v>7534.0707000069642</v>
      </c>
      <c r="BK108" s="2217">
        <f t="shared" si="67"/>
        <v>18.961500000077649</v>
      </c>
      <c r="BL108" s="2212">
        <v>227</v>
      </c>
      <c r="BM108" s="2208"/>
      <c r="BN108" s="263"/>
      <c r="BO108" s="2208"/>
      <c r="BP108" s="263"/>
      <c r="BQ108" s="263"/>
      <c r="BR108" s="263"/>
      <c r="BS108" s="263"/>
      <c r="BT108" s="2208"/>
      <c r="BU108" s="2217">
        <f t="shared" si="87"/>
        <v>-11.36114007887838</v>
      </c>
      <c r="BV108" s="2217">
        <f t="shared" si="68"/>
        <v>8896.6842674831532</v>
      </c>
      <c r="BW108" s="2217">
        <f t="shared" si="77"/>
        <v>-6.9477362361794803E-2</v>
      </c>
      <c r="BX108" s="2212">
        <v>227</v>
      </c>
      <c r="BY108" s="2219"/>
      <c r="BZ108" s="2213"/>
      <c r="CA108" s="2219"/>
      <c r="CB108" s="2213"/>
      <c r="CC108" s="2213"/>
      <c r="CD108" s="2213"/>
      <c r="CE108" s="2213"/>
      <c r="CF108" s="2208"/>
      <c r="CG108" s="2217">
        <f t="shared" si="88"/>
        <v>-11.369477362361796</v>
      </c>
      <c r="CH108" s="2217">
        <f t="shared" si="69"/>
        <v>8896.6842674831532</v>
      </c>
      <c r="CI108" s="2217">
        <f t="shared" si="78"/>
        <v>-6.9477362361794803E-2</v>
      </c>
      <c r="CJ108" s="2212">
        <v>227</v>
      </c>
      <c r="CK108" s="2219"/>
      <c r="CL108" s="2213"/>
      <c r="CM108" s="2219"/>
      <c r="CN108" s="2213"/>
      <c r="CO108" s="2213"/>
      <c r="CP108" s="2213"/>
      <c r="CQ108" s="2213"/>
      <c r="CR108" s="2208"/>
      <c r="CS108" s="2217">
        <f t="shared" si="89"/>
        <v>14.298025000104825</v>
      </c>
      <c r="CT108" s="2217">
        <f t="shared" si="79"/>
        <v>7534.0707000069642</v>
      </c>
      <c r="CU108" s="2217">
        <f t="shared" si="70"/>
        <v>18.961500000077649</v>
      </c>
      <c r="CV108" s="2212">
        <v>227</v>
      </c>
      <c r="CW108" s="2208"/>
      <c r="CX108" s="263"/>
      <c r="CY108" s="2208"/>
      <c r="CZ108" s="263"/>
      <c r="DA108" s="263"/>
      <c r="DB108" s="263"/>
      <c r="DC108" s="263"/>
      <c r="DD108" s="2208"/>
    </row>
    <row r="109" spans="1:108">
      <c r="A109" s="2217">
        <f t="shared" si="80"/>
        <v>-11.243563670638924</v>
      </c>
      <c r="B109" s="2217">
        <f t="shared" si="71"/>
        <v>8896.753744845515</v>
      </c>
      <c r="C109" s="2217">
        <f t="shared" si="72"/>
        <v>4.9075069009631989E-2</v>
      </c>
      <c r="D109" s="2212">
        <v>226</v>
      </c>
      <c r="E109" s="2219"/>
      <c r="F109" s="2213"/>
      <c r="G109" s="2219"/>
      <c r="H109" s="2213"/>
      <c r="I109" s="2213"/>
      <c r="J109" s="2213"/>
      <c r="K109" s="2213"/>
      <c r="L109" s="2213"/>
      <c r="M109" s="2217">
        <f t="shared" si="81"/>
        <v>-11.24012841580825</v>
      </c>
      <c r="N109" s="2217">
        <f t="shared" si="63"/>
        <v>8896.753744845515</v>
      </c>
      <c r="O109" s="2217">
        <f t="shared" si="73"/>
        <v>4.9075069009631989E-2</v>
      </c>
      <c r="P109" s="2212">
        <v>226</v>
      </c>
      <c r="Q109" s="2219"/>
      <c r="R109" s="2213"/>
      <c r="S109" s="2219"/>
      <c r="T109" s="2213"/>
      <c r="U109" s="2213"/>
      <c r="V109" s="2213"/>
      <c r="W109" s="2213"/>
      <c r="X109" s="2213"/>
      <c r="Y109" s="2217">
        <f t="shared" si="82"/>
        <v>-11.235711659597383</v>
      </c>
      <c r="Z109" s="2217">
        <f t="shared" si="64"/>
        <v>8896.753744845515</v>
      </c>
      <c r="AA109" s="2217">
        <f t="shared" si="74"/>
        <v>4.9075069009631989E-2</v>
      </c>
      <c r="AB109" s="2212">
        <v>226</v>
      </c>
      <c r="AC109" s="2219"/>
      <c r="AD109" s="2213"/>
      <c r="AE109" s="2219"/>
      <c r="AF109" s="2213"/>
      <c r="AG109" s="2213"/>
      <c r="AH109" s="2213"/>
      <c r="AI109" s="2213"/>
      <c r="AJ109" s="2213"/>
      <c r="AK109" s="2217">
        <f t="shared" si="83"/>
        <v>-11.256813939271524</v>
      </c>
      <c r="AL109" s="2217">
        <f t="shared" si="65"/>
        <v>8896.753744845515</v>
      </c>
      <c r="AM109" s="2217">
        <f t="shared" si="75"/>
        <v>4.9075069009631989E-2</v>
      </c>
      <c r="AN109" s="2212">
        <v>226</v>
      </c>
      <c r="AO109" s="2219"/>
      <c r="AP109" s="2213"/>
      <c r="AQ109" s="2219"/>
      <c r="AR109" s="2213"/>
      <c r="AS109" s="2213"/>
      <c r="AT109" s="2213"/>
      <c r="AU109" s="2213"/>
      <c r="AV109" s="2213"/>
      <c r="AW109" s="2217">
        <f t="shared" si="84"/>
        <v>8.4920020000847032</v>
      </c>
      <c r="AX109" s="2217">
        <f t="shared" si="85"/>
        <v>7515.1092000068866</v>
      </c>
      <c r="AY109" s="2217">
        <f t="shared" si="66"/>
        <v>18.671700000079909</v>
      </c>
      <c r="AZ109" s="2212">
        <v>226</v>
      </c>
      <c r="BA109" s="2208"/>
      <c r="BB109" s="263"/>
      <c r="BC109" s="2208"/>
      <c r="BD109" s="263"/>
      <c r="BE109" s="263"/>
      <c r="BF109" s="263"/>
      <c r="BG109" s="263"/>
      <c r="BH109" s="2208"/>
      <c r="BI109" s="2217">
        <f t="shared" si="86"/>
        <v>14.280229000109475</v>
      </c>
      <c r="BJ109" s="2217">
        <f t="shared" si="76"/>
        <v>7515.1092000068866</v>
      </c>
      <c r="BK109" s="2217">
        <f t="shared" si="67"/>
        <v>18.671700000079909</v>
      </c>
      <c r="BL109" s="2212">
        <v>226</v>
      </c>
      <c r="BM109" s="2208"/>
      <c r="BN109" s="263"/>
      <c r="BO109" s="2208"/>
      <c r="BP109" s="263"/>
      <c r="BQ109" s="263"/>
      <c r="BR109" s="263"/>
      <c r="BS109" s="263"/>
      <c r="BT109" s="2208"/>
      <c r="BU109" s="2217">
        <f t="shared" si="87"/>
        <v>-11.256813939271524</v>
      </c>
      <c r="BV109" s="2217">
        <f t="shared" si="68"/>
        <v>8896.753744845515</v>
      </c>
      <c r="BW109" s="2217">
        <f t="shared" si="77"/>
        <v>4.9075069009631989E-2</v>
      </c>
      <c r="BX109" s="2212">
        <v>226</v>
      </c>
      <c r="BY109" s="2219"/>
      <c r="BZ109" s="2213"/>
      <c r="CA109" s="2219"/>
      <c r="CB109" s="2213"/>
      <c r="CC109" s="2213"/>
      <c r="CD109" s="2213"/>
      <c r="CE109" s="2213"/>
      <c r="CF109" s="2208"/>
      <c r="CG109" s="2217">
        <f t="shared" si="88"/>
        <v>-11.250924930990369</v>
      </c>
      <c r="CH109" s="2217">
        <f t="shared" si="69"/>
        <v>8896.753744845515</v>
      </c>
      <c r="CI109" s="2217">
        <f t="shared" si="78"/>
        <v>4.9075069009631989E-2</v>
      </c>
      <c r="CJ109" s="2212">
        <v>226</v>
      </c>
      <c r="CK109" s="2219"/>
      <c r="CL109" s="2213"/>
      <c r="CM109" s="2219"/>
      <c r="CN109" s="2213"/>
      <c r="CO109" s="2213"/>
      <c r="CP109" s="2213"/>
      <c r="CQ109" s="2213"/>
      <c r="CR109" s="2208"/>
      <c r="CS109" s="2217">
        <f t="shared" si="89"/>
        <v>13.906795000107877</v>
      </c>
      <c r="CT109" s="2217">
        <f t="shared" si="79"/>
        <v>7515.1092000068866</v>
      </c>
      <c r="CU109" s="2217">
        <f t="shared" si="70"/>
        <v>18.671700000079909</v>
      </c>
      <c r="CV109" s="2212">
        <v>226</v>
      </c>
      <c r="CW109" s="2208"/>
      <c r="CX109" s="263"/>
      <c r="CY109" s="2208"/>
      <c r="CZ109" s="263"/>
      <c r="DA109" s="263"/>
      <c r="DB109" s="263"/>
      <c r="DC109" s="263"/>
      <c r="DD109" s="2208"/>
    </row>
    <row r="110" spans="1:108">
      <c r="A110" s="2217">
        <f t="shared" si="80"/>
        <v>-11.105915470461879</v>
      </c>
      <c r="B110" s="2217">
        <f t="shared" si="71"/>
        <v>8896.7046697765054</v>
      </c>
      <c r="C110" s="2217">
        <f t="shared" si="72"/>
        <v>0.16876915612010635</v>
      </c>
      <c r="D110" s="2212">
        <v>225</v>
      </c>
      <c r="E110" s="2219"/>
      <c r="F110" s="2213"/>
      <c r="G110" s="2219"/>
      <c r="H110" s="2213"/>
      <c r="I110" s="2213"/>
      <c r="J110" s="2213"/>
      <c r="K110" s="2213"/>
      <c r="L110" s="2213"/>
      <c r="M110" s="2217">
        <f t="shared" si="81"/>
        <v>-11.094101629533471</v>
      </c>
      <c r="N110" s="2217">
        <f t="shared" si="63"/>
        <v>8896.7046697765054</v>
      </c>
      <c r="O110" s="2217">
        <f t="shared" si="73"/>
        <v>0.16876915612010635</v>
      </c>
      <c r="P110" s="2212">
        <v>225</v>
      </c>
      <c r="Q110" s="2219"/>
      <c r="R110" s="2213"/>
      <c r="S110" s="2219"/>
      <c r="T110" s="2213"/>
      <c r="U110" s="2213"/>
      <c r="V110" s="2213"/>
      <c r="W110" s="2213"/>
      <c r="X110" s="2213"/>
      <c r="Y110" s="2217">
        <f t="shared" si="82"/>
        <v>-11.078912405482662</v>
      </c>
      <c r="Z110" s="2217">
        <f t="shared" si="64"/>
        <v>8896.7046697765054</v>
      </c>
      <c r="AA110" s="2217">
        <f t="shared" si="74"/>
        <v>0.16876915612010635</v>
      </c>
      <c r="AB110" s="2212">
        <v>225</v>
      </c>
      <c r="AC110" s="2219"/>
      <c r="AD110" s="2213"/>
      <c r="AE110" s="2219"/>
      <c r="AF110" s="2213"/>
      <c r="AG110" s="2213"/>
      <c r="AH110" s="2213"/>
      <c r="AI110" s="2213"/>
      <c r="AJ110" s="2213"/>
      <c r="AK110" s="2217">
        <f t="shared" si="83"/>
        <v>-11.151483142614307</v>
      </c>
      <c r="AL110" s="2217">
        <f t="shared" si="65"/>
        <v>8896.7046697765054</v>
      </c>
      <c r="AM110" s="2217">
        <f t="shared" si="75"/>
        <v>0.16876915612010635</v>
      </c>
      <c r="AN110" s="2212">
        <v>225</v>
      </c>
      <c r="AO110" s="2219"/>
      <c r="AP110" s="2213"/>
      <c r="AQ110" s="2219"/>
      <c r="AR110" s="2213"/>
      <c r="AS110" s="2213"/>
      <c r="AT110" s="2213"/>
      <c r="AU110" s="2213"/>
      <c r="AV110" s="2213"/>
      <c r="AW110" s="2217">
        <f t="shared" si="84"/>
        <v>8.1886300000813215</v>
      </c>
      <c r="AX110" s="2217">
        <f t="shared" si="85"/>
        <v>7496.4375000068067</v>
      </c>
      <c r="AY110" s="2217">
        <f t="shared" si="66"/>
        <v>18.385500000076718</v>
      </c>
      <c r="AZ110" s="2212">
        <v>225</v>
      </c>
      <c r="BA110" s="2208"/>
      <c r="BB110" s="263"/>
      <c r="BC110" s="2208"/>
      <c r="BD110" s="263"/>
      <c r="BE110" s="263"/>
      <c r="BF110" s="263"/>
      <c r="BG110" s="263"/>
      <c r="BH110" s="2208"/>
      <c r="BI110" s="2217">
        <f t="shared" si="86"/>
        <v>13.888135000105105</v>
      </c>
      <c r="BJ110" s="2217">
        <f t="shared" si="76"/>
        <v>7496.4375000068067</v>
      </c>
      <c r="BK110" s="2217">
        <f t="shared" si="67"/>
        <v>18.385500000076718</v>
      </c>
      <c r="BL110" s="2212">
        <v>225</v>
      </c>
      <c r="BM110" s="2208"/>
      <c r="BN110" s="263"/>
      <c r="BO110" s="2208"/>
      <c r="BP110" s="263"/>
      <c r="BQ110" s="263"/>
      <c r="BR110" s="263"/>
      <c r="BS110" s="263"/>
      <c r="BT110" s="2208"/>
      <c r="BU110" s="2217">
        <f t="shared" si="87"/>
        <v>-11.151483142614307</v>
      </c>
      <c r="BV110" s="2217">
        <f t="shared" si="68"/>
        <v>8896.7046697765054</v>
      </c>
      <c r="BW110" s="2217">
        <f t="shared" si="77"/>
        <v>0.16876915612010635</v>
      </c>
      <c r="BX110" s="2212">
        <v>225</v>
      </c>
      <c r="BY110" s="2219"/>
      <c r="BZ110" s="2213"/>
      <c r="CA110" s="2219"/>
      <c r="CB110" s="2213"/>
      <c r="CC110" s="2213"/>
      <c r="CD110" s="2213"/>
      <c r="CE110" s="2213"/>
      <c r="CF110" s="2208"/>
      <c r="CG110" s="2217">
        <f t="shared" si="88"/>
        <v>-11.131230843879894</v>
      </c>
      <c r="CH110" s="2217">
        <f t="shared" si="69"/>
        <v>8896.7046697765054</v>
      </c>
      <c r="CI110" s="2217">
        <f t="shared" si="78"/>
        <v>0.16876915612010635</v>
      </c>
      <c r="CJ110" s="2212">
        <v>225</v>
      </c>
      <c r="CK110" s="2219"/>
      <c r="CL110" s="2213"/>
      <c r="CM110" s="2219"/>
      <c r="CN110" s="2213"/>
      <c r="CO110" s="2213"/>
      <c r="CP110" s="2213"/>
      <c r="CQ110" s="2213"/>
      <c r="CR110" s="2208"/>
      <c r="CS110" s="2217">
        <f t="shared" si="89"/>
        <v>13.520425000103568</v>
      </c>
      <c r="CT110" s="2217">
        <f t="shared" si="79"/>
        <v>7496.4375000068067</v>
      </c>
      <c r="CU110" s="2217">
        <f t="shared" si="70"/>
        <v>18.385500000076718</v>
      </c>
      <c r="CV110" s="2212">
        <v>225</v>
      </c>
      <c r="CW110" s="2208"/>
      <c r="CX110" s="263"/>
      <c r="CY110" s="2208"/>
      <c r="CZ110" s="263"/>
      <c r="DA110" s="263"/>
      <c r="DB110" s="263"/>
      <c r="DC110" s="263"/>
      <c r="DD110" s="2208"/>
    </row>
    <row r="111" spans="1:108">
      <c r="A111" s="2217">
        <f t="shared" si="80"/>
        <v>-10.966954366195388</v>
      </c>
      <c r="B111" s="2217">
        <f t="shared" si="71"/>
        <v>8896.5359006203853</v>
      </c>
      <c r="C111" s="2217">
        <f t="shared" si="72"/>
        <v>0.28960489896053332</v>
      </c>
      <c r="D111" s="2212">
        <v>224</v>
      </c>
      <c r="E111" s="2219"/>
      <c r="F111" s="2213"/>
      <c r="G111" s="2219"/>
      <c r="H111" s="2213"/>
      <c r="I111" s="2213"/>
      <c r="J111" s="2213"/>
      <c r="K111" s="2213"/>
      <c r="L111" s="2213"/>
      <c r="M111" s="2217">
        <f t="shared" si="81"/>
        <v>-10.946682023268149</v>
      </c>
      <c r="N111" s="2217">
        <f t="shared" si="63"/>
        <v>8896.5359006203853</v>
      </c>
      <c r="O111" s="2217">
        <f t="shared" si="73"/>
        <v>0.28960489896053332</v>
      </c>
      <c r="P111" s="2212">
        <v>224</v>
      </c>
      <c r="Q111" s="2219"/>
      <c r="R111" s="2213"/>
      <c r="S111" s="2219"/>
      <c r="T111" s="2213"/>
      <c r="U111" s="2213"/>
      <c r="V111" s="2213"/>
      <c r="W111" s="2213"/>
      <c r="X111" s="2213"/>
      <c r="Y111" s="2217">
        <f t="shared" si="82"/>
        <v>-10.920617582361702</v>
      </c>
      <c r="Z111" s="2217">
        <f t="shared" si="64"/>
        <v>8896.5359006203853</v>
      </c>
      <c r="AA111" s="2217">
        <f t="shared" si="74"/>
        <v>0.28960489896053332</v>
      </c>
      <c r="AB111" s="2212">
        <v>224</v>
      </c>
      <c r="AC111" s="2219"/>
      <c r="AD111" s="2213"/>
      <c r="AE111" s="2219"/>
      <c r="AF111" s="2213"/>
      <c r="AG111" s="2213"/>
      <c r="AH111" s="2213"/>
      <c r="AI111" s="2213"/>
      <c r="AJ111" s="2213"/>
      <c r="AK111" s="2217">
        <f t="shared" si="83"/>
        <v>-11.045147688914732</v>
      </c>
      <c r="AL111" s="2217">
        <f t="shared" si="65"/>
        <v>8896.5359006203853</v>
      </c>
      <c r="AM111" s="2217">
        <f t="shared" si="75"/>
        <v>0.28960489896053332</v>
      </c>
      <c r="AN111" s="2212">
        <v>224</v>
      </c>
      <c r="AO111" s="2219"/>
      <c r="AP111" s="2213"/>
      <c r="AQ111" s="2219"/>
      <c r="AR111" s="2213"/>
      <c r="AS111" s="2213"/>
      <c r="AT111" s="2213"/>
      <c r="AU111" s="2213"/>
      <c r="AV111" s="2213"/>
      <c r="AW111" s="2217">
        <f t="shared" si="84"/>
        <v>7.8890740000827648</v>
      </c>
      <c r="AX111" s="2217">
        <f t="shared" si="85"/>
        <v>7478.0520000067299</v>
      </c>
      <c r="AY111" s="2217">
        <f t="shared" si="66"/>
        <v>18.10290000007808</v>
      </c>
      <c r="AZ111" s="2212">
        <v>224</v>
      </c>
      <c r="BA111" s="2208"/>
      <c r="BB111" s="263"/>
      <c r="BC111" s="2208"/>
      <c r="BD111" s="263"/>
      <c r="BE111" s="263"/>
      <c r="BF111" s="263"/>
      <c r="BG111" s="263"/>
      <c r="BH111" s="2208"/>
      <c r="BI111" s="2217">
        <f t="shared" si="86"/>
        <v>13.500973000106971</v>
      </c>
      <c r="BJ111" s="2217">
        <f t="shared" si="76"/>
        <v>7478.0520000067299</v>
      </c>
      <c r="BK111" s="2217">
        <f t="shared" si="67"/>
        <v>18.10290000007808</v>
      </c>
      <c r="BL111" s="2212">
        <v>224</v>
      </c>
      <c r="BM111" s="2208"/>
      <c r="BN111" s="263"/>
      <c r="BO111" s="2208"/>
      <c r="BP111" s="263"/>
      <c r="BQ111" s="263"/>
      <c r="BR111" s="263"/>
      <c r="BS111" s="263"/>
      <c r="BT111" s="2208"/>
      <c r="BU111" s="2217">
        <f t="shared" si="87"/>
        <v>-11.045147688914732</v>
      </c>
      <c r="BV111" s="2217">
        <f t="shared" si="68"/>
        <v>8896.5359006203853</v>
      </c>
      <c r="BW111" s="2217">
        <f t="shared" si="77"/>
        <v>0.28960489896053332</v>
      </c>
      <c r="BX111" s="2212">
        <v>224</v>
      </c>
      <c r="BY111" s="2219"/>
      <c r="BZ111" s="2213"/>
      <c r="CA111" s="2219"/>
      <c r="CB111" s="2213"/>
      <c r="CC111" s="2213"/>
      <c r="CD111" s="2213"/>
      <c r="CE111" s="2213"/>
      <c r="CF111" s="2208"/>
      <c r="CG111" s="2217">
        <f t="shared" si="88"/>
        <v>-11.010395101039467</v>
      </c>
      <c r="CH111" s="2217">
        <f t="shared" si="69"/>
        <v>8896.5359006203853</v>
      </c>
      <c r="CI111" s="2217">
        <f t="shared" si="78"/>
        <v>0.28960489896053332</v>
      </c>
      <c r="CJ111" s="2212">
        <v>224</v>
      </c>
      <c r="CK111" s="2219"/>
      <c r="CL111" s="2213"/>
      <c r="CM111" s="2219"/>
      <c r="CN111" s="2213"/>
      <c r="CO111" s="2213"/>
      <c r="CP111" s="2213"/>
      <c r="CQ111" s="2213"/>
      <c r="CR111" s="2208"/>
      <c r="CS111" s="2217">
        <f t="shared" si="89"/>
        <v>13.13891500010541</v>
      </c>
      <c r="CT111" s="2217">
        <f t="shared" si="79"/>
        <v>7478.0520000067299</v>
      </c>
      <c r="CU111" s="2217">
        <f t="shared" si="70"/>
        <v>18.10290000007808</v>
      </c>
      <c r="CV111" s="2212">
        <v>224</v>
      </c>
      <c r="CW111" s="2208"/>
      <c r="CX111" s="263"/>
      <c r="CY111" s="2208"/>
      <c r="CZ111" s="263"/>
      <c r="DA111" s="263"/>
      <c r="DB111" s="263"/>
      <c r="DC111" s="263"/>
      <c r="DD111" s="2208"/>
    </row>
    <row r="112" spans="1:108">
      <c r="A112" s="2217">
        <f t="shared" si="80"/>
        <v>-10.8266803578269</v>
      </c>
      <c r="B112" s="2217">
        <f t="shared" si="71"/>
        <v>8896.2462957214248</v>
      </c>
      <c r="C112" s="2217">
        <f t="shared" si="72"/>
        <v>0.41158229754182685</v>
      </c>
      <c r="D112" s="2212">
        <v>223</v>
      </c>
      <c r="E112" s="2219"/>
      <c r="F112" s="2213"/>
      <c r="G112" s="2219"/>
      <c r="H112" s="2213"/>
      <c r="I112" s="2213"/>
      <c r="J112" s="2213"/>
      <c r="K112" s="2213"/>
      <c r="L112" s="2213"/>
      <c r="M112" s="2217">
        <f t="shared" si="81"/>
        <v>-10.797869596998972</v>
      </c>
      <c r="N112" s="2217">
        <f t="shared" si="63"/>
        <v>8896.2462957214248</v>
      </c>
      <c r="O112" s="2217">
        <f t="shared" si="73"/>
        <v>0.41158229754182685</v>
      </c>
      <c r="P112" s="2212">
        <v>223</v>
      </c>
      <c r="Q112" s="2219"/>
      <c r="R112" s="2213"/>
      <c r="S112" s="2219"/>
      <c r="T112" s="2213"/>
      <c r="U112" s="2213"/>
      <c r="V112" s="2213"/>
      <c r="W112" s="2213"/>
      <c r="X112" s="2213"/>
      <c r="Y112" s="2217">
        <f t="shared" si="82"/>
        <v>-10.760827190220208</v>
      </c>
      <c r="Z112" s="2217">
        <f t="shared" si="64"/>
        <v>8896.2462957214248</v>
      </c>
      <c r="AA112" s="2217">
        <f t="shared" si="74"/>
        <v>0.41158229754182685</v>
      </c>
      <c r="AB112" s="2212">
        <v>223</v>
      </c>
      <c r="AC112" s="2219"/>
      <c r="AD112" s="2213"/>
      <c r="AE112" s="2219"/>
      <c r="AF112" s="2213"/>
      <c r="AG112" s="2213"/>
      <c r="AH112" s="2213"/>
      <c r="AI112" s="2213"/>
      <c r="AJ112" s="2213"/>
      <c r="AK112" s="2217">
        <f t="shared" si="83"/>
        <v>-10.937807578163193</v>
      </c>
      <c r="AL112" s="2217">
        <f t="shared" si="65"/>
        <v>8896.2462957214248</v>
      </c>
      <c r="AM112" s="2217">
        <f t="shared" si="75"/>
        <v>0.41158229754182685</v>
      </c>
      <c r="AN112" s="2212">
        <v>223</v>
      </c>
      <c r="AO112" s="2219"/>
      <c r="AP112" s="2213"/>
      <c r="AQ112" s="2219"/>
      <c r="AR112" s="2213"/>
      <c r="AS112" s="2213"/>
      <c r="AT112" s="2213"/>
      <c r="AU112" s="2213"/>
      <c r="AV112" s="2213"/>
      <c r="AW112" s="2217">
        <f t="shared" si="84"/>
        <v>7.5933340000813239</v>
      </c>
      <c r="AX112" s="2217">
        <f t="shared" si="85"/>
        <v>7459.9491000066519</v>
      </c>
      <c r="AY112" s="2217">
        <f t="shared" si="66"/>
        <v>17.823900000076719</v>
      </c>
      <c r="AZ112" s="2212">
        <v>223</v>
      </c>
      <c r="BA112" s="2208"/>
      <c r="BB112" s="263"/>
      <c r="BC112" s="2208"/>
      <c r="BD112" s="263"/>
      <c r="BE112" s="263"/>
      <c r="BF112" s="263"/>
      <c r="BG112" s="263"/>
      <c r="BH112" s="2208"/>
      <c r="BI112" s="2217">
        <f t="shared" si="86"/>
        <v>13.118743000105106</v>
      </c>
      <c r="BJ112" s="2217">
        <f t="shared" si="76"/>
        <v>7459.9491000066519</v>
      </c>
      <c r="BK112" s="2217">
        <f t="shared" si="67"/>
        <v>17.823900000076719</v>
      </c>
      <c r="BL112" s="2212">
        <v>223</v>
      </c>
      <c r="BM112" s="2208"/>
      <c r="BN112" s="263"/>
      <c r="BO112" s="2208"/>
      <c r="BP112" s="263"/>
      <c r="BQ112" s="263"/>
      <c r="BR112" s="263"/>
      <c r="BS112" s="263"/>
      <c r="BT112" s="2208"/>
      <c r="BU112" s="2217">
        <f t="shared" si="87"/>
        <v>-10.937807578163193</v>
      </c>
      <c r="BV112" s="2217">
        <f t="shared" si="68"/>
        <v>8896.2462957214248</v>
      </c>
      <c r="BW112" s="2217">
        <f t="shared" si="77"/>
        <v>0.41158229754182685</v>
      </c>
      <c r="BX112" s="2212">
        <v>223</v>
      </c>
      <c r="BY112" s="2219"/>
      <c r="BZ112" s="2213"/>
      <c r="CA112" s="2219"/>
      <c r="CB112" s="2213"/>
      <c r="CC112" s="2213"/>
      <c r="CD112" s="2213"/>
      <c r="CE112" s="2213"/>
      <c r="CF112" s="2208"/>
      <c r="CG112" s="2217">
        <f t="shared" si="88"/>
        <v>-10.888417702458174</v>
      </c>
      <c r="CH112" s="2217">
        <f t="shared" si="69"/>
        <v>8896.2462957214248</v>
      </c>
      <c r="CI112" s="2217">
        <f t="shared" si="78"/>
        <v>0.41158229754182685</v>
      </c>
      <c r="CJ112" s="2212">
        <v>223</v>
      </c>
      <c r="CK112" s="2219"/>
      <c r="CL112" s="2213"/>
      <c r="CM112" s="2219"/>
      <c r="CN112" s="2213"/>
      <c r="CO112" s="2213"/>
      <c r="CP112" s="2213"/>
      <c r="CQ112" s="2213"/>
      <c r="CR112" s="2208"/>
      <c r="CS112" s="2217">
        <f t="shared" si="89"/>
        <v>12.762265000103572</v>
      </c>
      <c r="CT112" s="2217">
        <f t="shared" si="79"/>
        <v>7459.9491000066519</v>
      </c>
      <c r="CU112" s="2217">
        <f t="shared" si="70"/>
        <v>17.823900000076719</v>
      </c>
      <c r="CV112" s="2212">
        <v>223</v>
      </c>
      <c r="CW112" s="2208"/>
      <c r="CX112" s="263"/>
      <c r="CY112" s="2208"/>
      <c r="CZ112" s="263"/>
      <c r="DA112" s="263"/>
      <c r="DB112" s="263"/>
      <c r="DC112" s="263"/>
      <c r="DD112" s="2208"/>
    </row>
    <row r="113" spans="1:108">
      <c r="A113" s="2217">
        <f t="shared" si="80"/>
        <v>-10.685093445366874</v>
      </c>
      <c r="B113" s="2217">
        <f t="shared" si="71"/>
        <v>8895.8347134238829</v>
      </c>
      <c r="C113" s="2217">
        <f t="shared" si="72"/>
        <v>0.53470135185489198</v>
      </c>
      <c r="D113" s="2212">
        <v>222</v>
      </c>
      <c r="E113" s="2219"/>
      <c r="F113" s="2213"/>
      <c r="G113" s="2219"/>
      <c r="H113" s="2213"/>
      <c r="I113" s="2213"/>
      <c r="J113" s="2213"/>
      <c r="K113" s="2213"/>
      <c r="L113" s="2213"/>
      <c r="M113" s="2217">
        <f t="shared" si="81"/>
        <v>-10.647664350737033</v>
      </c>
      <c r="N113" s="2217">
        <f t="shared" si="63"/>
        <v>8895.8347134238829</v>
      </c>
      <c r="O113" s="2217">
        <f t="shared" si="73"/>
        <v>0.53470135185489198</v>
      </c>
      <c r="P113" s="2212">
        <v>222</v>
      </c>
      <c r="Q113" s="2219"/>
      <c r="R113" s="2213"/>
      <c r="S113" s="2219"/>
      <c r="T113" s="2213"/>
      <c r="U113" s="2213"/>
      <c r="V113" s="2213"/>
      <c r="W113" s="2213"/>
      <c r="X113" s="2213"/>
      <c r="Y113" s="2217">
        <f t="shared" si="82"/>
        <v>-10.599541229070093</v>
      </c>
      <c r="Z113" s="2217">
        <f t="shared" si="64"/>
        <v>8895.8347134238829</v>
      </c>
      <c r="AA113" s="2217">
        <f t="shared" si="74"/>
        <v>0.53470135185489198</v>
      </c>
      <c r="AB113" s="2212">
        <v>222</v>
      </c>
      <c r="AC113" s="2219"/>
      <c r="AD113" s="2213"/>
      <c r="AE113" s="2219"/>
      <c r="AF113" s="2213"/>
      <c r="AG113" s="2213"/>
      <c r="AH113" s="2213"/>
      <c r="AI113" s="2213"/>
      <c r="AJ113" s="2213"/>
      <c r="AK113" s="2217">
        <f t="shared" si="83"/>
        <v>-10.829462810367696</v>
      </c>
      <c r="AL113" s="2217">
        <f t="shared" si="65"/>
        <v>8895.8347134238829</v>
      </c>
      <c r="AM113" s="2217">
        <f t="shared" si="75"/>
        <v>0.53470135185489198</v>
      </c>
      <c r="AN113" s="2212">
        <v>222</v>
      </c>
      <c r="AO113" s="2219"/>
      <c r="AP113" s="2213"/>
      <c r="AQ113" s="2219"/>
      <c r="AR113" s="2213"/>
      <c r="AS113" s="2213"/>
      <c r="AT113" s="2213"/>
      <c r="AU113" s="2213"/>
      <c r="AV113" s="2213"/>
      <c r="AW113" s="2217">
        <f t="shared" si="84"/>
        <v>7.3014100000827789</v>
      </c>
      <c r="AX113" s="2217">
        <f t="shared" si="85"/>
        <v>7442.1252000065751</v>
      </c>
      <c r="AY113" s="2217">
        <f t="shared" si="66"/>
        <v>17.548500000078093</v>
      </c>
      <c r="AZ113" s="2212">
        <v>222</v>
      </c>
      <c r="BA113" s="2208"/>
      <c r="BB113" s="263"/>
      <c r="BC113" s="2208"/>
      <c r="BD113" s="263"/>
      <c r="BE113" s="263"/>
      <c r="BF113" s="263"/>
      <c r="BG113" s="263"/>
      <c r="BH113" s="2208"/>
      <c r="BI113" s="2217">
        <f t="shared" si="86"/>
        <v>12.741445000106989</v>
      </c>
      <c r="BJ113" s="2217">
        <f t="shared" si="76"/>
        <v>7442.1252000065751</v>
      </c>
      <c r="BK113" s="2217">
        <f t="shared" si="67"/>
        <v>17.548500000078093</v>
      </c>
      <c r="BL113" s="2212">
        <v>222</v>
      </c>
      <c r="BM113" s="2208"/>
      <c r="BN113" s="263"/>
      <c r="BO113" s="2208"/>
      <c r="BP113" s="263"/>
      <c r="BQ113" s="263"/>
      <c r="BR113" s="263"/>
      <c r="BS113" s="263"/>
      <c r="BT113" s="2208"/>
      <c r="BU113" s="2217">
        <f t="shared" si="87"/>
        <v>-10.829462810367696</v>
      </c>
      <c r="BV113" s="2217">
        <f t="shared" si="68"/>
        <v>8895.8347134238829</v>
      </c>
      <c r="BW113" s="2217">
        <f t="shared" si="77"/>
        <v>0.53470135185489198</v>
      </c>
      <c r="BX113" s="2212">
        <v>222</v>
      </c>
      <c r="BY113" s="2219"/>
      <c r="BZ113" s="2213"/>
      <c r="CA113" s="2219"/>
      <c r="CB113" s="2213"/>
      <c r="CC113" s="2213"/>
      <c r="CD113" s="2213"/>
      <c r="CE113" s="2213"/>
      <c r="CF113" s="2208"/>
      <c r="CG113" s="2217">
        <f t="shared" si="88"/>
        <v>-10.765298648145109</v>
      </c>
      <c r="CH113" s="2217">
        <f t="shared" si="69"/>
        <v>8895.8347134238829</v>
      </c>
      <c r="CI113" s="2217">
        <f t="shared" si="78"/>
        <v>0.53470135185489198</v>
      </c>
      <c r="CJ113" s="2212">
        <v>222</v>
      </c>
      <c r="CK113" s="2219"/>
      <c r="CL113" s="2213"/>
      <c r="CM113" s="2219"/>
      <c r="CN113" s="2213"/>
      <c r="CO113" s="2213"/>
      <c r="CP113" s="2213"/>
      <c r="CQ113" s="2213"/>
      <c r="CR113" s="2208"/>
      <c r="CS113" s="2217">
        <f t="shared" si="89"/>
        <v>12.390475000105425</v>
      </c>
      <c r="CT113" s="2217">
        <f t="shared" si="79"/>
        <v>7442.1252000065751</v>
      </c>
      <c r="CU113" s="2217">
        <f t="shared" si="70"/>
        <v>17.548500000078093</v>
      </c>
      <c r="CV113" s="2212">
        <v>222</v>
      </c>
      <c r="CW113" s="2208"/>
      <c r="CX113" s="263"/>
      <c r="CY113" s="2208"/>
      <c r="CZ113" s="263"/>
      <c r="DA113" s="263"/>
      <c r="DB113" s="263"/>
      <c r="DC113" s="263"/>
      <c r="DD113" s="2208"/>
    </row>
    <row r="114" spans="1:108">
      <c r="A114" s="2217">
        <f t="shared" si="80"/>
        <v>-10.542193628817405</v>
      </c>
      <c r="B114" s="2217">
        <f t="shared" si="71"/>
        <v>8895.300012072028</v>
      </c>
      <c r="C114" s="2217">
        <f t="shared" si="72"/>
        <v>0.65896206189790973</v>
      </c>
      <c r="D114" s="2212">
        <v>221</v>
      </c>
      <c r="E114" s="2219"/>
      <c r="F114" s="2213"/>
      <c r="G114" s="2219"/>
      <c r="H114" s="2213"/>
      <c r="I114" s="2213"/>
      <c r="J114" s="2213"/>
      <c r="K114" s="2213"/>
      <c r="L114" s="2213"/>
      <c r="M114" s="2217">
        <f t="shared" si="81"/>
        <v>-10.49606628448455</v>
      </c>
      <c r="N114" s="2217">
        <f t="shared" si="63"/>
        <v>8895.300012072028</v>
      </c>
      <c r="O114" s="2217">
        <f t="shared" si="73"/>
        <v>0.65896206189790973</v>
      </c>
      <c r="P114" s="2212">
        <v>221</v>
      </c>
      <c r="Q114" s="2219"/>
      <c r="R114" s="2213"/>
      <c r="S114" s="2219"/>
      <c r="T114" s="2213"/>
      <c r="U114" s="2213"/>
      <c r="V114" s="2213"/>
      <c r="W114" s="2213"/>
      <c r="X114" s="2213"/>
      <c r="Y114" s="2217">
        <f t="shared" si="82"/>
        <v>-10.43675969891374</v>
      </c>
      <c r="Z114" s="2217">
        <f t="shared" si="64"/>
        <v>8895.300012072028</v>
      </c>
      <c r="AA114" s="2217">
        <f t="shared" si="74"/>
        <v>0.65896206189790973</v>
      </c>
      <c r="AB114" s="2212">
        <v>221</v>
      </c>
      <c r="AC114" s="2219"/>
      <c r="AD114" s="2213"/>
      <c r="AE114" s="2219"/>
      <c r="AF114" s="2213"/>
      <c r="AG114" s="2213"/>
      <c r="AH114" s="2213"/>
      <c r="AI114" s="2213"/>
      <c r="AJ114" s="2213"/>
      <c r="AK114" s="2217">
        <f t="shared" si="83"/>
        <v>-10.72011338552984</v>
      </c>
      <c r="AL114" s="2217">
        <f t="shared" si="65"/>
        <v>8895.300012072028</v>
      </c>
      <c r="AM114" s="2217">
        <f t="shared" si="75"/>
        <v>0.65896206189790973</v>
      </c>
      <c r="AN114" s="2212">
        <v>221</v>
      </c>
      <c r="AO114" s="2219"/>
      <c r="AP114" s="2213"/>
      <c r="AQ114" s="2219"/>
      <c r="AR114" s="2213"/>
      <c r="AS114" s="2213"/>
      <c r="AT114" s="2213"/>
      <c r="AU114" s="2213"/>
      <c r="AV114" s="2213"/>
      <c r="AW114" s="2217">
        <f t="shared" si="84"/>
        <v>7.0133020000823123</v>
      </c>
      <c r="AX114" s="2217">
        <f t="shared" si="85"/>
        <v>7424.576700006497</v>
      </c>
      <c r="AY114" s="2217">
        <f t="shared" si="66"/>
        <v>17.276700000077653</v>
      </c>
      <c r="AZ114" s="2212">
        <v>221</v>
      </c>
      <c r="BA114" s="2208"/>
      <c r="BB114" s="263"/>
      <c r="BC114" s="2208"/>
      <c r="BD114" s="263"/>
      <c r="BE114" s="263"/>
      <c r="BF114" s="263"/>
      <c r="BG114" s="263"/>
      <c r="BH114" s="2208"/>
      <c r="BI114" s="2217">
        <f t="shared" si="86"/>
        <v>12.369079000106385</v>
      </c>
      <c r="BJ114" s="2217">
        <f t="shared" si="76"/>
        <v>7424.576700006497</v>
      </c>
      <c r="BK114" s="2217">
        <f t="shared" si="67"/>
        <v>17.276700000077653</v>
      </c>
      <c r="BL114" s="2212">
        <v>221</v>
      </c>
      <c r="BM114" s="2208"/>
      <c r="BN114" s="263"/>
      <c r="BO114" s="2208"/>
      <c r="BP114" s="263"/>
      <c r="BQ114" s="263"/>
      <c r="BR114" s="263"/>
      <c r="BS114" s="263"/>
      <c r="BT114" s="2208"/>
      <c r="BU114" s="2217">
        <f t="shared" si="87"/>
        <v>-10.72011338552984</v>
      </c>
      <c r="BV114" s="2217">
        <f t="shared" si="68"/>
        <v>8895.300012072028</v>
      </c>
      <c r="BW114" s="2217">
        <f t="shared" si="77"/>
        <v>0.65896206189790973</v>
      </c>
      <c r="BX114" s="2212">
        <v>221</v>
      </c>
      <c r="BY114" s="2219"/>
      <c r="BZ114" s="2213"/>
      <c r="CA114" s="2219"/>
      <c r="CB114" s="2213"/>
      <c r="CC114" s="2213"/>
      <c r="CD114" s="2213"/>
      <c r="CE114" s="2213"/>
      <c r="CF114" s="2208"/>
      <c r="CG114" s="2217">
        <f t="shared" si="88"/>
        <v>-10.641037938102091</v>
      </c>
      <c r="CH114" s="2217">
        <f t="shared" si="69"/>
        <v>8895.300012072028</v>
      </c>
      <c r="CI114" s="2217">
        <f t="shared" si="78"/>
        <v>0.65896206189790973</v>
      </c>
      <c r="CJ114" s="2212">
        <v>221</v>
      </c>
      <c r="CK114" s="2219"/>
      <c r="CL114" s="2213"/>
      <c r="CM114" s="2219"/>
      <c r="CN114" s="2213"/>
      <c r="CO114" s="2213"/>
      <c r="CP114" s="2213"/>
      <c r="CQ114" s="2213"/>
      <c r="CR114" s="2208"/>
      <c r="CS114" s="2217">
        <f t="shared" si="89"/>
        <v>12.023545000104832</v>
      </c>
      <c r="CT114" s="2217">
        <f t="shared" si="79"/>
        <v>7424.576700006497</v>
      </c>
      <c r="CU114" s="2217">
        <f t="shared" si="70"/>
        <v>17.276700000077653</v>
      </c>
      <c r="CV114" s="2212">
        <v>221</v>
      </c>
      <c r="CW114" s="2208"/>
      <c r="CX114" s="263"/>
      <c r="CY114" s="2208"/>
      <c r="CZ114" s="263"/>
      <c r="DA114" s="263"/>
      <c r="DB114" s="263"/>
      <c r="DC114" s="263"/>
      <c r="DD114" s="2208"/>
    </row>
    <row r="115" spans="1:108">
      <c r="A115" s="2217">
        <f t="shared" si="80"/>
        <v>-10.397980908163845</v>
      </c>
      <c r="B115" s="2217">
        <f t="shared" si="71"/>
        <v>8894.6410500101301</v>
      </c>
      <c r="C115" s="2217">
        <f t="shared" si="72"/>
        <v>0.78436442768361303</v>
      </c>
      <c r="D115" s="2212">
        <v>220</v>
      </c>
      <c r="E115" s="2219"/>
      <c r="F115" s="2213"/>
      <c r="G115" s="2219"/>
      <c r="H115" s="2213"/>
      <c r="I115" s="2213"/>
      <c r="J115" s="2213"/>
      <c r="K115" s="2213"/>
      <c r="L115" s="2213"/>
      <c r="M115" s="2217">
        <f t="shared" si="81"/>
        <v>-10.343075398225993</v>
      </c>
      <c r="N115" s="2217">
        <f t="shared" si="63"/>
        <v>8894.6410500101301</v>
      </c>
      <c r="O115" s="2217">
        <f t="shared" si="73"/>
        <v>0.78436442768361303</v>
      </c>
      <c r="P115" s="2212">
        <v>220</v>
      </c>
      <c r="Q115" s="2219"/>
      <c r="R115" s="2213"/>
      <c r="S115" s="2219"/>
      <c r="T115" s="2213"/>
      <c r="U115" s="2213"/>
      <c r="V115" s="2213"/>
      <c r="W115" s="2213"/>
      <c r="X115" s="2213"/>
      <c r="Y115" s="2217">
        <f t="shared" si="82"/>
        <v>-10.272482599734467</v>
      </c>
      <c r="Z115" s="2217">
        <f t="shared" si="64"/>
        <v>8894.6410500101301</v>
      </c>
      <c r="AA115" s="2217">
        <f t="shared" si="74"/>
        <v>0.78436442768361303</v>
      </c>
      <c r="AB115" s="2212">
        <v>220</v>
      </c>
      <c r="AC115" s="2219"/>
      <c r="AD115" s="2213"/>
      <c r="AE115" s="2219"/>
      <c r="AF115" s="2213"/>
      <c r="AG115" s="2213"/>
      <c r="AH115" s="2213"/>
      <c r="AI115" s="2213"/>
      <c r="AJ115" s="2213"/>
      <c r="AK115" s="2217">
        <f t="shared" si="83"/>
        <v>-10.609759303638421</v>
      </c>
      <c r="AL115" s="2217">
        <f t="shared" si="65"/>
        <v>8894.6410500101301</v>
      </c>
      <c r="AM115" s="2217">
        <f t="shared" si="75"/>
        <v>0.78436442768361303</v>
      </c>
      <c r="AN115" s="2212">
        <v>220</v>
      </c>
      <c r="AO115" s="2219"/>
      <c r="AP115" s="2213"/>
      <c r="AQ115" s="2219"/>
      <c r="AR115" s="2213"/>
      <c r="AS115" s="2213"/>
      <c r="AT115" s="2213"/>
      <c r="AU115" s="2213"/>
      <c r="AV115" s="2213"/>
      <c r="AW115" s="2217">
        <f t="shared" si="84"/>
        <v>6.7290100000818533</v>
      </c>
      <c r="AX115" s="2217">
        <f t="shared" si="85"/>
        <v>7407.3000000064194</v>
      </c>
      <c r="AY115" s="2217">
        <f t="shared" si="66"/>
        <v>17.00850000007722</v>
      </c>
      <c r="AZ115" s="2212">
        <v>220</v>
      </c>
      <c r="BA115" s="2208"/>
      <c r="BB115" s="263"/>
      <c r="BC115" s="2208"/>
      <c r="BD115" s="263"/>
      <c r="BE115" s="263"/>
      <c r="BF115" s="263"/>
      <c r="BG115" s="263"/>
      <c r="BH115" s="2208"/>
      <c r="BI115" s="2217">
        <f t="shared" si="86"/>
        <v>12.001645000105793</v>
      </c>
      <c r="BJ115" s="2217">
        <f t="shared" si="76"/>
        <v>7407.3000000064194</v>
      </c>
      <c r="BK115" s="2217">
        <f t="shared" si="67"/>
        <v>17.00850000007722</v>
      </c>
      <c r="BL115" s="2212">
        <v>220</v>
      </c>
      <c r="BM115" s="2208"/>
      <c r="BN115" s="263"/>
      <c r="BO115" s="2208"/>
      <c r="BP115" s="263"/>
      <c r="BQ115" s="263"/>
      <c r="BR115" s="263"/>
      <c r="BS115" s="263"/>
      <c r="BT115" s="2208"/>
      <c r="BU115" s="2217">
        <f t="shared" si="87"/>
        <v>-10.609759303638421</v>
      </c>
      <c r="BV115" s="2217">
        <f t="shared" si="68"/>
        <v>8894.6410500101301</v>
      </c>
      <c r="BW115" s="2217">
        <f t="shared" si="77"/>
        <v>0.78436442768361303</v>
      </c>
      <c r="BX115" s="2212">
        <v>220</v>
      </c>
      <c r="BY115" s="2219"/>
      <c r="BZ115" s="2213"/>
      <c r="CA115" s="2219"/>
      <c r="CB115" s="2213"/>
      <c r="CC115" s="2213"/>
      <c r="CD115" s="2213"/>
      <c r="CE115" s="2213"/>
      <c r="CF115" s="2208"/>
      <c r="CG115" s="2217">
        <f t="shared" si="88"/>
        <v>-10.515635572316388</v>
      </c>
      <c r="CH115" s="2217">
        <f t="shared" si="69"/>
        <v>8894.6410500101301</v>
      </c>
      <c r="CI115" s="2217">
        <f t="shared" si="78"/>
        <v>0.78436442768361303</v>
      </c>
      <c r="CJ115" s="2212">
        <v>220</v>
      </c>
      <c r="CK115" s="2219"/>
      <c r="CL115" s="2213"/>
      <c r="CM115" s="2219"/>
      <c r="CN115" s="2213"/>
      <c r="CO115" s="2213"/>
      <c r="CP115" s="2213"/>
      <c r="CQ115" s="2213"/>
      <c r="CR115" s="2208"/>
      <c r="CS115" s="2217">
        <f t="shared" si="89"/>
        <v>11.661475000104247</v>
      </c>
      <c r="CT115" s="2217">
        <f t="shared" si="79"/>
        <v>7407.3000000064194</v>
      </c>
      <c r="CU115" s="2217">
        <f t="shared" si="70"/>
        <v>17.00850000007722</v>
      </c>
      <c r="CV115" s="2212">
        <v>220</v>
      </c>
      <c r="CW115" s="2208"/>
      <c r="CX115" s="263"/>
      <c r="CY115" s="2208"/>
      <c r="CZ115" s="263"/>
      <c r="DA115" s="263"/>
      <c r="DB115" s="263"/>
      <c r="DC115" s="263"/>
      <c r="DD115" s="2208"/>
    </row>
    <row r="116" spans="1:108">
      <c r="A116" s="2217">
        <f t="shared" si="80"/>
        <v>-10.252455283422933</v>
      </c>
      <c r="B116" s="2217">
        <f t="shared" si="71"/>
        <v>8893.8566855824465</v>
      </c>
      <c r="C116" s="2217">
        <f t="shared" si="72"/>
        <v>0.91090844919744995</v>
      </c>
      <c r="D116" s="2212">
        <v>219</v>
      </c>
      <c r="E116" s="2219"/>
      <c r="F116" s="2213"/>
      <c r="G116" s="2219"/>
      <c r="H116" s="2213"/>
      <c r="I116" s="2213"/>
      <c r="J116" s="2213"/>
      <c r="K116" s="2213"/>
      <c r="L116" s="2213"/>
      <c r="M116" s="2217">
        <f t="shared" si="81"/>
        <v>-10.188691691979113</v>
      </c>
      <c r="N116" s="2217">
        <f t="shared" si="63"/>
        <v>8893.8566855824465</v>
      </c>
      <c r="O116" s="2217">
        <f t="shared" si="73"/>
        <v>0.91090844919744995</v>
      </c>
      <c r="P116" s="2212">
        <v>219</v>
      </c>
      <c r="Q116" s="2219"/>
      <c r="R116" s="2213"/>
      <c r="S116" s="2219"/>
      <c r="T116" s="2213"/>
      <c r="U116" s="2213"/>
      <c r="V116" s="2213"/>
      <c r="W116" s="2213"/>
      <c r="X116" s="2213"/>
      <c r="Y116" s="2217">
        <f t="shared" si="82"/>
        <v>-10.106709931551341</v>
      </c>
      <c r="Z116" s="2217">
        <f t="shared" si="64"/>
        <v>8893.8566855824465</v>
      </c>
      <c r="AA116" s="2217">
        <f t="shared" si="74"/>
        <v>0.91090844919744995</v>
      </c>
      <c r="AB116" s="2212">
        <v>219</v>
      </c>
      <c r="AC116" s="2219"/>
      <c r="AD116" s="2213"/>
      <c r="AE116" s="2219"/>
      <c r="AF116" s="2213"/>
      <c r="AG116" s="2213"/>
      <c r="AH116" s="2213"/>
      <c r="AI116" s="2213"/>
      <c r="AJ116" s="2213"/>
      <c r="AK116" s="2217">
        <f t="shared" si="83"/>
        <v>-10.498400564706245</v>
      </c>
      <c r="AL116" s="2217">
        <f t="shared" si="65"/>
        <v>8893.8566855824465</v>
      </c>
      <c r="AM116" s="2217">
        <f t="shared" si="75"/>
        <v>0.91090844919744995</v>
      </c>
      <c r="AN116" s="2212">
        <v>219</v>
      </c>
      <c r="AO116" s="2219"/>
      <c r="AP116" s="2213"/>
      <c r="AQ116" s="2219"/>
      <c r="AR116" s="2213"/>
      <c r="AS116" s="2213"/>
      <c r="AT116" s="2213"/>
      <c r="AU116" s="2213"/>
      <c r="AV116" s="2213"/>
      <c r="AW116" s="2217">
        <f t="shared" si="84"/>
        <v>6.4485340000813984</v>
      </c>
      <c r="AX116" s="2217">
        <f t="shared" si="85"/>
        <v>7390.2915000063422</v>
      </c>
      <c r="AY116" s="2217">
        <f t="shared" si="66"/>
        <v>16.743900000076792</v>
      </c>
      <c r="AZ116" s="2212">
        <v>219</v>
      </c>
      <c r="BA116" s="2208"/>
      <c r="BB116" s="263"/>
      <c r="BC116" s="2208"/>
      <c r="BD116" s="263"/>
      <c r="BE116" s="263"/>
      <c r="BF116" s="263"/>
      <c r="BG116" s="263"/>
      <c r="BH116" s="2208"/>
      <c r="BI116" s="2217">
        <f t="shared" si="86"/>
        <v>11.639143000105207</v>
      </c>
      <c r="BJ116" s="2217">
        <f t="shared" si="76"/>
        <v>7390.2915000063422</v>
      </c>
      <c r="BK116" s="2217">
        <f t="shared" si="67"/>
        <v>16.743900000076792</v>
      </c>
      <c r="BL116" s="2212">
        <v>219</v>
      </c>
      <c r="BM116" s="2208"/>
      <c r="BN116" s="263"/>
      <c r="BO116" s="2208"/>
      <c r="BP116" s="263"/>
      <c r="BQ116" s="263"/>
      <c r="BR116" s="263"/>
      <c r="BS116" s="263"/>
      <c r="BT116" s="2208"/>
      <c r="BU116" s="2217">
        <f t="shared" si="87"/>
        <v>-10.498400564706245</v>
      </c>
      <c r="BV116" s="2217">
        <f t="shared" si="68"/>
        <v>8893.8566855824465</v>
      </c>
      <c r="BW116" s="2217">
        <f t="shared" si="77"/>
        <v>0.91090844919744995</v>
      </c>
      <c r="BX116" s="2212">
        <v>219</v>
      </c>
      <c r="BY116" s="2219"/>
      <c r="BZ116" s="2213"/>
      <c r="CA116" s="2219"/>
      <c r="CB116" s="2213"/>
      <c r="CC116" s="2213"/>
      <c r="CD116" s="2213"/>
      <c r="CE116" s="2213"/>
      <c r="CF116" s="2208"/>
      <c r="CG116" s="2217">
        <f t="shared" si="88"/>
        <v>-10.389091550802551</v>
      </c>
      <c r="CH116" s="2217">
        <f t="shared" si="69"/>
        <v>8893.8566855824465</v>
      </c>
      <c r="CI116" s="2217">
        <f t="shared" si="78"/>
        <v>0.91090844919744995</v>
      </c>
      <c r="CJ116" s="2212">
        <v>219</v>
      </c>
      <c r="CK116" s="2219"/>
      <c r="CL116" s="2213"/>
      <c r="CM116" s="2219"/>
      <c r="CN116" s="2213"/>
      <c r="CO116" s="2213"/>
      <c r="CP116" s="2213"/>
      <c r="CQ116" s="2213"/>
      <c r="CR116" s="2208"/>
      <c r="CS116" s="2217">
        <f t="shared" si="89"/>
        <v>11.304265000103669</v>
      </c>
      <c r="CT116" s="2217">
        <f t="shared" si="79"/>
        <v>7390.2915000063422</v>
      </c>
      <c r="CU116" s="2217">
        <f t="shared" si="70"/>
        <v>16.743900000076792</v>
      </c>
      <c r="CV116" s="2212">
        <v>219</v>
      </c>
      <c r="CW116" s="2208"/>
      <c r="CX116" s="263"/>
      <c r="CY116" s="2208"/>
      <c r="CZ116" s="263"/>
      <c r="DA116" s="263"/>
      <c r="DB116" s="263"/>
      <c r="DC116" s="263"/>
      <c r="DD116" s="2208"/>
    </row>
    <row r="117" spans="1:108">
      <c r="A117" s="2217">
        <f t="shared" si="80"/>
        <v>-10.105616754582115</v>
      </c>
      <c r="B117" s="2217">
        <f t="shared" si="71"/>
        <v>8892.9457771332491</v>
      </c>
      <c r="C117" s="2217">
        <f t="shared" si="72"/>
        <v>1.0385941264503344</v>
      </c>
      <c r="D117" s="2212">
        <v>218</v>
      </c>
      <c r="E117" s="2219"/>
      <c r="F117" s="2213"/>
      <c r="G117" s="2219"/>
      <c r="H117" s="2213"/>
      <c r="I117" s="2213"/>
      <c r="J117" s="2213"/>
      <c r="K117" s="2213"/>
      <c r="L117" s="2213"/>
      <c r="M117" s="2217">
        <f t="shared" si="81"/>
        <v>-10.032915165730593</v>
      </c>
      <c r="N117" s="2217">
        <f t="shared" si="63"/>
        <v>8892.9457771332491</v>
      </c>
      <c r="O117" s="2217">
        <f t="shared" si="73"/>
        <v>1.0385941264503344</v>
      </c>
      <c r="P117" s="2212">
        <v>218</v>
      </c>
      <c r="Q117" s="2219"/>
      <c r="R117" s="2213"/>
      <c r="S117" s="2219"/>
      <c r="T117" s="2213"/>
      <c r="U117" s="2213"/>
      <c r="V117" s="2213"/>
      <c r="W117" s="2213"/>
      <c r="X117" s="2213"/>
      <c r="Y117" s="2217">
        <f t="shared" si="82"/>
        <v>-9.9394416943500623</v>
      </c>
      <c r="Z117" s="2217">
        <f t="shared" si="64"/>
        <v>8892.9457771332491</v>
      </c>
      <c r="AA117" s="2217">
        <f t="shared" si="74"/>
        <v>1.0385941264503344</v>
      </c>
      <c r="AB117" s="2212">
        <v>218</v>
      </c>
      <c r="AC117" s="2219"/>
      <c r="AD117" s="2213"/>
      <c r="AE117" s="2219"/>
      <c r="AF117" s="2213"/>
      <c r="AG117" s="2213"/>
      <c r="AH117" s="2213"/>
      <c r="AI117" s="2213"/>
      <c r="AJ117" s="2213"/>
      <c r="AK117" s="2217">
        <f t="shared" si="83"/>
        <v>-10.386037168723707</v>
      </c>
      <c r="AL117" s="2217">
        <f t="shared" si="65"/>
        <v>8892.9457771332491</v>
      </c>
      <c r="AM117" s="2217">
        <f t="shared" si="75"/>
        <v>1.0385941264503344</v>
      </c>
      <c r="AN117" s="2212">
        <v>218</v>
      </c>
      <c r="AO117" s="2219"/>
      <c r="AP117" s="2213"/>
      <c r="AQ117" s="2219"/>
      <c r="AR117" s="2213"/>
      <c r="AS117" s="2213"/>
      <c r="AT117" s="2213"/>
      <c r="AU117" s="2213"/>
      <c r="AV117" s="2213"/>
      <c r="AW117" s="2217">
        <f t="shared" si="84"/>
        <v>6.1718740000828802</v>
      </c>
      <c r="AX117" s="2217">
        <f t="shared" si="85"/>
        <v>7373.5476000062654</v>
      </c>
      <c r="AY117" s="2217">
        <f t="shared" si="66"/>
        <v>16.482900000078189</v>
      </c>
      <c r="AZ117" s="2212">
        <v>218</v>
      </c>
      <c r="BA117" s="2208"/>
      <c r="BB117" s="263"/>
      <c r="BC117" s="2208"/>
      <c r="BD117" s="263"/>
      <c r="BE117" s="263"/>
      <c r="BF117" s="263"/>
      <c r="BG117" s="263"/>
      <c r="BH117" s="2208"/>
      <c r="BI117" s="2217">
        <f t="shared" si="86"/>
        <v>11.281573000107119</v>
      </c>
      <c r="BJ117" s="2217">
        <f t="shared" si="76"/>
        <v>7373.5476000062654</v>
      </c>
      <c r="BK117" s="2217">
        <f t="shared" si="67"/>
        <v>16.482900000078189</v>
      </c>
      <c r="BL117" s="2212">
        <v>218</v>
      </c>
      <c r="BM117" s="2208"/>
      <c r="BN117" s="263"/>
      <c r="BO117" s="2208"/>
      <c r="BP117" s="263"/>
      <c r="BQ117" s="263"/>
      <c r="BR117" s="263"/>
      <c r="BS117" s="263"/>
      <c r="BT117" s="2208"/>
      <c r="BU117" s="2217">
        <f t="shared" si="87"/>
        <v>-10.386037168723707</v>
      </c>
      <c r="BV117" s="2217">
        <f t="shared" si="68"/>
        <v>8892.9457771332491</v>
      </c>
      <c r="BW117" s="2217">
        <f t="shared" si="77"/>
        <v>1.0385941264503344</v>
      </c>
      <c r="BX117" s="2212">
        <v>218</v>
      </c>
      <c r="BY117" s="2219"/>
      <c r="BZ117" s="2213"/>
      <c r="CA117" s="2219"/>
      <c r="CB117" s="2213"/>
      <c r="CC117" s="2213"/>
      <c r="CD117" s="2213"/>
      <c r="CE117" s="2213"/>
      <c r="CF117" s="2208"/>
      <c r="CG117" s="2217">
        <f t="shared" si="88"/>
        <v>-10.261405873549666</v>
      </c>
      <c r="CH117" s="2217">
        <f t="shared" si="69"/>
        <v>8892.9457771332491</v>
      </c>
      <c r="CI117" s="2217">
        <f t="shared" si="78"/>
        <v>1.0385941264503344</v>
      </c>
      <c r="CJ117" s="2212">
        <v>218</v>
      </c>
      <c r="CK117" s="2219"/>
      <c r="CL117" s="2213"/>
      <c r="CM117" s="2219"/>
      <c r="CN117" s="2213"/>
      <c r="CO117" s="2213"/>
      <c r="CP117" s="2213"/>
      <c r="CQ117" s="2213"/>
      <c r="CR117" s="2208"/>
      <c r="CS117" s="2217">
        <f t="shared" si="89"/>
        <v>10.951915000105554</v>
      </c>
      <c r="CT117" s="2217">
        <f t="shared" si="79"/>
        <v>7373.5476000062654</v>
      </c>
      <c r="CU117" s="2217">
        <f t="shared" si="70"/>
        <v>16.482900000078189</v>
      </c>
      <c r="CV117" s="2212">
        <v>218</v>
      </c>
      <c r="CW117" s="2208"/>
      <c r="CX117" s="263"/>
      <c r="CY117" s="2208"/>
      <c r="CZ117" s="263"/>
      <c r="DA117" s="263"/>
      <c r="DB117" s="263"/>
      <c r="DC117" s="263"/>
      <c r="DD117" s="2208"/>
    </row>
    <row r="118" spans="1:108">
      <c r="A118" s="2217">
        <f t="shared" si="80"/>
        <v>-9.9574653216476694</v>
      </c>
      <c r="B118" s="2217">
        <f t="shared" si="71"/>
        <v>8891.9071830067987</v>
      </c>
      <c r="C118" s="2217">
        <f t="shared" si="72"/>
        <v>1.1674214594368095</v>
      </c>
      <c r="D118" s="2212">
        <v>217</v>
      </c>
      <c r="E118" s="2219"/>
      <c r="F118" s="2213"/>
      <c r="G118" s="2219"/>
      <c r="H118" s="2213"/>
      <c r="I118" s="2213"/>
      <c r="J118" s="2213"/>
      <c r="K118" s="2213"/>
      <c r="L118" s="2213"/>
      <c r="M118" s="2217">
        <f t="shared" si="81"/>
        <v>-9.8757458194870935</v>
      </c>
      <c r="N118" s="2217">
        <f t="shared" si="63"/>
        <v>8891.9071830067987</v>
      </c>
      <c r="O118" s="2217">
        <f t="shared" si="73"/>
        <v>1.1674214594368095</v>
      </c>
      <c r="P118" s="2212">
        <v>217</v>
      </c>
      <c r="Q118" s="2219"/>
      <c r="R118" s="2213"/>
      <c r="S118" s="2219"/>
      <c r="T118" s="2213"/>
      <c r="U118" s="2213"/>
      <c r="V118" s="2213"/>
      <c r="W118" s="2213"/>
      <c r="X118" s="2213"/>
      <c r="Y118" s="2217">
        <f t="shared" si="82"/>
        <v>-9.7706778881377794</v>
      </c>
      <c r="Z118" s="2217">
        <f t="shared" si="64"/>
        <v>8891.9071830067987</v>
      </c>
      <c r="AA118" s="2217">
        <f t="shared" si="74"/>
        <v>1.1674214594368095</v>
      </c>
      <c r="AB118" s="2212">
        <v>217</v>
      </c>
      <c r="AC118" s="2219"/>
      <c r="AD118" s="2213"/>
      <c r="AE118" s="2219"/>
      <c r="AF118" s="2213"/>
      <c r="AG118" s="2213"/>
      <c r="AH118" s="2213"/>
      <c r="AI118" s="2213"/>
      <c r="AJ118" s="2213"/>
      <c r="AK118" s="2217">
        <f t="shared" si="83"/>
        <v>-10.272669115695608</v>
      </c>
      <c r="AL118" s="2217">
        <f t="shared" si="65"/>
        <v>8891.9071830067987</v>
      </c>
      <c r="AM118" s="2217">
        <f t="shared" si="75"/>
        <v>1.1674214594368095</v>
      </c>
      <c r="AN118" s="2212">
        <v>217</v>
      </c>
      <c r="AO118" s="2219"/>
      <c r="AP118" s="2213"/>
      <c r="AQ118" s="2219"/>
      <c r="AR118" s="2213"/>
      <c r="AS118" s="2213"/>
      <c r="AT118" s="2213"/>
      <c r="AU118" s="2213"/>
      <c r="AV118" s="2213"/>
      <c r="AW118" s="2217">
        <f t="shared" si="84"/>
        <v>5.8990300000814742</v>
      </c>
      <c r="AX118" s="2217">
        <f t="shared" si="85"/>
        <v>7357.0647000061872</v>
      </c>
      <c r="AY118" s="2217">
        <f t="shared" si="66"/>
        <v>16.225500000076863</v>
      </c>
      <c r="AZ118" s="2212">
        <v>217</v>
      </c>
      <c r="BA118" s="2208"/>
      <c r="BB118" s="263"/>
      <c r="BC118" s="2208"/>
      <c r="BD118" s="263"/>
      <c r="BE118" s="263"/>
      <c r="BF118" s="263"/>
      <c r="BG118" s="263"/>
      <c r="BH118" s="2208"/>
      <c r="BI118" s="2217">
        <f t="shared" si="86"/>
        <v>10.928935000105305</v>
      </c>
      <c r="BJ118" s="2217">
        <f t="shared" si="76"/>
        <v>7357.0647000061872</v>
      </c>
      <c r="BK118" s="2217">
        <f t="shared" si="67"/>
        <v>16.225500000076863</v>
      </c>
      <c r="BL118" s="2212">
        <v>217</v>
      </c>
      <c r="BM118" s="2208"/>
      <c r="BN118" s="263"/>
      <c r="BO118" s="2208"/>
      <c r="BP118" s="263"/>
      <c r="BQ118" s="263"/>
      <c r="BR118" s="263"/>
      <c r="BS118" s="263"/>
      <c r="BT118" s="2208"/>
      <c r="BU118" s="2217">
        <f t="shared" si="87"/>
        <v>-10.272669115695608</v>
      </c>
      <c r="BV118" s="2217">
        <f t="shared" si="68"/>
        <v>8891.9071830067987</v>
      </c>
      <c r="BW118" s="2217">
        <f t="shared" si="77"/>
        <v>1.1674214594368095</v>
      </c>
      <c r="BX118" s="2212">
        <v>217</v>
      </c>
      <c r="BY118" s="2219"/>
      <c r="BZ118" s="2213"/>
      <c r="CA118" s="2219"/>
      <c r="CB118" s="2213"/>
      <c r="CC118" s="2213"/>
      <c r="CD118" s="2213"/>
      <c r="CE118" s="2213"/>
      <c r="CF118" s="2208"/>
      <c r="CG118" s="2217">
        <f t="shared" si="88"/>
        <v>-10.132578540563191</v>
      </c>
      <c r="CH118" s="2217">
        <f t="shared" si="69"/>
        <v>8891.9071830067987</v>
      </c>
      <c r="CI118" s="2217">
        <f t="shared" si="78"/>
        <v>1.1674214594368095</v>
      </c>
      <c r="CJ118" s="2212">
        <v>217</v>
      </c>
      <c r="CK118" s="2219"/>
      <c r="CL118" s="2213"/>
      <c r="CM118" s="2219"/>
      <c r="CN118" s="2213"/>
      <c r="CO118" s="2213"/>
      <c r="CP118" s="2213"/>
      <c r="CQ118" s="2213"/>
      <c r="CR118" s="2208"/>
      <c r="CS118" s="2217">
        <f t="shared" si="89"/>
        <v>10.604425000103767</v>
      </c>
      <c r="CT118" s="2217">
        <f t="shared" si="79"/>
        <v>7357.0647000061872</v>
      </c>
      <c r="CU118" s="2217">
        <f t="shared" si="70"/>
        <v>16.225500000076863</v>
      </c>
      <c r="CV118" s="2212">
        <v>217</v>
      </c>
      <c r="CW118" s="2208"/>
      <c r="CX118" s="263"/>
      <c r="CY118" s="2208"/>
      <c r="CZ118" s="263"/>
      <c r="DA118" s="263"/>
      <c r="DB118" s="263"/>
      <c r="DC118" s="263"/>
      <c r="DD118" s="2208"/>
    </row>
    <row r="119" spans="1:108">
      <c r="A119" s="2217">
        <f t="shared" si="80"/>
        <v>-9.8080009846216853</v>
      </c>
      <c r="B119" s="2217">
        <f t="shared" si="71"/>
        <v>8890.7397615473619</v>
      </c>
      <c r="C119" s="2217">
        <f t="shared" si="72"/>
        <v>1.2973904481550562</v>
      </c>
      <c r="D119" s="2212">
        <v>216</v>
      </c>
      <c r="E119" s="2219"/>
      <c r="F119" s="2213"/>
      <c r="G119" s="2219"/>
      <c r="H119" s="2213"/>
      <c r="I119" s="2213"/>
      <c r="J119" s="2213"/>
      <c r="K119" s="2213"/>
      <c r="L119" s="2213"/>
      <c r="M119" s="2217">
        <f t="shared" si="81"/>
        <v>-9.7171836532508316</v>
      </c>
      <c r="N119" s="2217">
        <f t="shared" si="63"/>
        <v>8890.7397615473619</v>
      </c>
      <c r="O119" s="2217">
        <f t="shared" si="73"/>
        <v>1.2973904481550562</v>
      </c>
      <c r="P119" s="2212">
        <v>216</v>
      </c>
      <c r="Q119" s="2219"/>
      <c r="R119" s="2213"/>
      <c r="S119" s="2219"/>
      <c r="T119" s="2213"/>
      <c r="U119" s="2213"/>
      <c r="V119" s="2213"/>
      <c r="W119" s="2213"/>
      <c r="X119" s="2213"/>
      <c r="Y119" s="2217">
        <f t="shared" si="82"/>
        <v>-9.6004185129168764</v>
      </c>
      <c r="Z119" s="2217">
        <f t="shared" si="64"/>
        <v>8890.7397615473619</v>
      </c>
      <c r="AA119" s="2217">
        <f t="shared" si="74"/>
        <v>1.2973904481550562</v>
      </c>
      <c r="AB119" s="2212">
        <v>216</v>
      </c>
      <c r="AC119" s="2219"/>
      <c r="AD119" s="2213"/>
      <c r="AE119" s="2219"/>
      <c r="AF119" s="2213"/>
      <c r="AG119" s="2213"/>
      <c r="AH119" s="2213"/>
      <c r="AI119" s="2213"/>
      <c r="AJ119" s="2213"/>
      <c r="AK119" s="2217">
        <f t="shared" si="83"/>
        <v>-10.158296405623551</v>
      </c>
      <c r="AL119" s="2217">
        <f t="shared" si="65"/>
        <v>8890.7397615473619</v>
      </c>
      <c r="AM119" s="2217">
        <f t="shared" si="75"/>
        <v>1.2973904481550562</v>
      </c>
      <c r="AN119" s="2212">
        <v>216</v>
      </c>
      <c r="AO119" s="2219"/>
      <c r="AP119" s="2213"/>
      <c r="AQ119" s="2219"/>
      <c r="AR119" s="2213"/>
      <c r="AS119" s="2213"/>
      <c r="AT119" s="2213"/>
      <c r="AU119" s="2213"/>
      <c r="AV119" s="2213"/>
      <c r="AW119" s="2217">
        <f t="shared" si="84"/>
        <v>5.6300020000820048</v>
      </c>
      <c r="AX119" s="2217">
        <f t="shared" si="85"/>
        <v>7340.8392000061103</v>
      </c>
      <c r="AY119" s="2217">
        <f t="shared" si="66"/>
        <v>15.971700000077362</v>
      </c>
      <c r="AZ119" s="2212">
        <v>216</v>
      </c>
      <c r="BA119" s="2208"/>
      <c r="BB119" s="263"/>
      <c r="BC119" s="2208"/>
      <c r="BD119" s="263"/>
      <c r="BE119" s="263"/>
      <c r="BF119" s="263"/>
      <c r="BG119" s="263"/>
      <c r="BH119" s="2208"/>
      <c r="BI119" s="2217">
        <f t="shared" si="86"/>
        <v>10.581229000105989</v>
      </c>
      <c r="BJ119" s="2217">
        <f t="shared" si="76"/>
        <v>7340.8392000061103</v>
      </c>
      <c r="BK119" s="2217">
        <f t="shared" si="67"/>
        <v>15.971700000077362</v>
      </c>
      <c r="BL119" s="2212">
        <v>216</v>
      </c>
      <c r="BM119" s="2208"/>
      <c r="BN119" s="263"/>
      <c r="BO119" s="2208"/>
      <c r="BP119" s="263"/>
      <c r="BQ119" s="263"/>
      <c r="BR119" s="263"/>
      <c r="BS119" s="263"/>
      <c r="BT119" s="2208"/>
      <c r="BU119" s="2217">
        <f t="shared" si="87"/>
        <v>-10.158296405623551</v>
      </c>
      <c r="BV119" s="2217">
        <f t="shared" si="68"/>
        <v>8890.7397615473619</v>
      </c>
      <c r="BW119" s="2217">
        <f t="shared" si="77"/>
        <v>1.2973904481550562</v>
      </c>
      <c r="BX119" s="2212">
        <v>216</v>
      </c>
      <c r="BY119" s="2219"/>
      <c r="BZ119" s="2213"/>
      <c r="CA119" s="2219"/>
      <c r="CB119" s="2213"/>
      <c r="CC119" s="2213"/>
      <c r="CD119" s="2213"/>
      <c r="CE119" s="2213"/>
      <c r="CF119" s="2208"/>
      <c r="CG119" s="2217">
        <f t="shared" si="88"/>
        <v>-10.002609551844944</v>
      </c>
      <c r="CH119" s="2217">
        <f t="shared" si="69"/>
        <v>8890.7397615473619</v>
      </c>
      <c r="CI119" s="2217">
        <f t="shared" si="78"/>
        <v>1.2973904481550562</v>
      </c>
      <c r="CJ119" s="2212">
        <v>216</v>
      </c>
      <c r="CK119" s="2219"/>
      <c r="CL119" s="2213"/>
      <c r="CM119" s="2219"/>
      <c r="CN119" s="2213"/>
      <c r="CO119" s="2213"/>
      <c r="CP119" s="2213"/>
      <c r="CQ119" s="2213"/>
      <c r="CR119" s="2208"/>
      <c r="CS119" s="2217">
        <f t="shared" si="89"/>
        <v>10.261795000104438</v>
      </c>
      <c r="CT119" s="2217">
        <f t="shared" si="79"/>
        <v>7340.8392000061103</v>
      </c>
      <c r="CU119" s="2217">
        <f t="shared" si="70"/>
        <v>15.971700000077362</v>
      </c>
      <c r="CV119" s="2212">
        <v>216</v>
      </c>
      <c r="CW119" s="2208"/>
      <c r="CX119" s="263"/>
      <c r="CY119" s="2208"/>
      <c r="CZ119" s="263"/>
      <c r="DA119" s="263"/>
      <c r="DB119" s="263"/>
      <c r="DC119" s="263"/>
      <c r="DD119" s="2208"/>
    </row>
    <row r="120" spans="1:108">
      <c r="A120" s="2217">
        <f t="shared" si="80"/>
        <v>-9.6572237434978891</v>
      </c>
      <c r="B120" s="2217">
        <f t="shared" si="71"/>
        <v>8889.4423710992069</v>
      </c>
      <c r="C120" s="2217">
        <f t="shared" si="72"/>
        <v>1.4285010926105315</v>
      </c>
      <c r="D120" s="2212">
        <v>215</v>
      </c>
      <c r="E120" s="2219"/>
      <c r="F120" s="2213"/>
      <c r="G120" s="2219"/>
      <c r="H120" s="2213"/>
      <c r="I120" s="2213"/>
      <c r="J120" s="2213"/>
      <c r="K120" s="2213"/>
      <c r="L120" s="2213"/>
      <c r="M120" s="2217">
        <f t="shared" si="81"/>
        <v>-9.5572286670151527</v>
      </c>
      <c r="N120" s="2217">
        <f t="shared" si="63"/>
        <v>8889.4423710992069</v>
      </c>
      <c r="O120" s="2217">
        <f t="shared" si="73"/>
        <v>1.4285010926105315</v>
      </c>
      <c r="P120" s="2212">
        <v>215</v>
      </c>
      <c r="Q120" s="2219"/>
      <c r="R120" s="2213"/>
      <c r="S120" s="2219"/>
      <c r="T120" s="2213"/>
      <c r="U120" s="2213"/>
      <c r="V120" s="2213"/>
      <c r="W120" s="2213"/>
      <c r="X120" s="2213"/>
      <c r="Y120" s="2217">
        <f t="shared" si="82"/>
        <v>-9.4286635686802036</v>
      </c>
      <c r="Z120" s="2217">
        <f t="shared" si="64"/>
        <v>8889.4423710992069</v>
      </c>
      <c r="AA120" s="2217">
        <f t="shared" si="74"/>
        <v>1.4285010926105315</v>
      </c>
      <c r="AB120" s="2212">
        <v>215</v>
      </c>
      <c r="AC120" s="2219"/>
      <c r="AD120" s="2213"/>
      <c r="AE120" s="2219"/>
      <c r="AF120" s="2213"/>
      <c r="AG120" s="2213"/>
      <c r="AH120" s="2213"/>
      <c r="AI120" s="2213"/>
      <c r="AJ120" s="2213"/>
      <c r="AK120" s="2217">
        <f t="shared" si="83"/>
        <v>-10.042919038502733</v>
      </c>
      <c r="AL120" s="2217">
        <f t="shared" si="65"/>
        <v>8889.4423710992069</v>
      </c>
      <c r="AM120" s="2217">
        <f t="shared" si="75"/>
        <v>1.4285010926105315</v>
      </c>
      <c r="AN120" s="2212">
        <v>215</v>
      </c>
      <c r="AO120" s="2219"/>
      <c r="AP120" s="2213"/>
      <c r="AQ120" s="2219"/>
      <c r="AR120" s="2213"/>
      <c r="AS120" s="2213"/>
      <c r="AT120" s="2213"/>
      <c r="AU120" s="2213"/>
      <c r="AV120" s="2213"/>
      <c r="AW120" s="2217">
        <f t="shared" si="84"/>
        <v>5.3647900000815767</v>
      </c>
      <c r="AX120" s="2217">
        <f t="shared" si="85"/>
        <v>7324.867500006033</v>
      </c>
      <c r="AY120" s="2217">
        <f t="shared" si="66"/>
        <v>15.721500000076958</v>
      </c>
      <c r="AZ120" s="2212">
        <v>215</v>
      </c>
      <c r="BA120" s="2208"/>
      <c r="BB120" s="263"/>
      <c r="BC120" s="2208"/>
      <c r="BD120" s="263"/>
      <c r="BE120" s="263"/>
      <c r="BF120" s="263"/>
      <c r="BG120" s="263"/>
      <c r="BH120" s="2208"/>
      <c r="BI120" s="2217">
        <f t="shared" si="86"/>
        <v>10.238455000105432</v>
      </c>
      <c r="BJ120" s="2217">
        <f t="shared" si="76"/>
        <v>7324.867500006033</v>
      </c>
      <c r="BK120" s="2217">
        <f t="shared" si="67"/>
        <v>15.721500000076958</v>
      </c>
      <c r="BL120" s="2212">
        <v>215</v>
      </c>
      <c r="BM120" s="2208"/>
      <c r="BN120" s="263"/>
      <c r="BO120" s="2208"/>
      <c r="BP120" s="263"/>
      <c r="BQ120" s="263"/>
      <c r="BR120" s="263"/>
      <c r="BS120" s="263"/>
      <c r="BT120" s="2208"/>
      <c r="BU120" s="2217">
        <f t="shared" si="87"/>
        <v>-10.042919038502733</v>
      </c>
      <c r="BV120" s="2217">
        <f t="shared" si="68"/>
        <v>8889.4423710992069</v>
      </c>
      <c r="BW120" s="2217">
        <f t="shared" si="77"/>
        <v>1.4285010926105315</v>
      </c>
      <c r="BX120" s="2212">
        <v>215</v>
      </c>
      <c r="BY120" s="2219"/>
      <c r="BZ120" s="2213"/>
      <c r="CA120" s="2219"/>
      <c r="CB120" s="2213"/>
      <c r="CC120" s="2213"/>
      <c r="CD120" s="2213"/>
      <c r="CE120" s="2213"/>
      <c r="CF120" s="2208"/>
      <c r="CG120" s="2217">
        <f t="shared" si="88"/>
        <v>-9.8714989073894692</v>
      </c>
      <c r="CH120" s="2217">
        <f t="shared" si="69"/>
        <v>8889.4423710992069</v>
      </c>
      <c r="CI120" s="2217">
        <f t="shared" si="78"/>
        <v>1.4285010926105315</v>
      </c>
      <c r="CJ120" s="2212">
        <v>215</v>
      </c>
      <c r="CK120" s="2219"/>
      <c r="CL120" s="2213"/>
      <c r="CM120" s="2219"/>
      <c r="CN120" s="2213"/>
      <c r="CO120" s="2213"/>
      <c r="CP120" s="2213"/>
      <c r="CQ120" s="2213"/>
      <c r="CR120" s="2208"/>
      <c r="CS120" s="2217">
        <f t="shared" si="89"/>
        <v>9.9240250001038923</v>
      </c>
      <c r="CT120" s="2217">
        <f t="shared" si="79"/>
        <v>7324.867500006033</v>
      </c>
      <c r="CU120" s="2217">
        <f t="shared" si="70"/>
        <v>15.721500000076958</v>
      </c>
      <c r="CV120" s="2212">
        <v>215</v>
      </c>
      <c r="CW120" s="2208"/>
      <c r="CX120" s="263"/>
      <c r="CY120" s="2208"/>
      <c r="CZ120" s="263"/>
      <c r="DA120" s="263"/>
      <c r="DB120" s="263"/>
      <c r="DC120" s="263"/>
      <c r="DD120" s="2208"/>
    </row>
    <row r="121" spans="1:108">
      <c r="A121" s="2217">
        <f t="shared" si="80"/>
        <v>-9.5051335982804641</v>
      </c>
      <c r="B121" s="2217">
        <f t="shared" si="71"/>
        <v>8888.0138700065963</v>
      </c>
      <c r="C121" s="2217">
        <f t="shared" si="72"/>
        <v>1.5607533927995973</v>
      </c>
      <c r="D121" s="2212">
        <v>214</v>
      </c>
      <c r="E121" s="2219"/>
      <c r="F121" s="2213"/>
      <c r="G121" s="2219"/>
      <c r="H121" s="2213"/>
      <c r="I121" s="2213"/>
      <c r="J121" s="2213"/>
      <c r="K121" s="2213"/>
      <c r="L121" s="2213"/>
      <c r="M121" s="2217">
        <f t="shared" si="81"/>
        <v>-9.3958808607844926</v>
      </c>
      <c r="N121" s="2217">
        <f t="shared" si="63"/>
        <v>8888.0138700065963</v>
      </c>
      <c r="O121" s="2217">
        <f t="shared" si="73"/>
        <v>1.5607533927995973</v>
      </c>
      <c r="P121" s="2212">
        <v>214</v>
      </c>
      <c r="Q121" s="2219"/>
      <c r="R121" s="2213"/>
      <c r="S121" s="2219"/>
      <c r="T121" s="2213"/>
      <c r="U121" s="2213"/>
      <c r="V121" s="2213"/>
      <c r="W121" s="2213"/>
      <c r="X121" s="2213"/>
      <c r="Y121" s="2217">
        <f t="shared" si="82"/>
        <v>-9.2554130554325287</v>
      </c>
      <c r="Z121" s="2217">
        <f t="shared" si="64"/>
        <v>8888.0138700065963</v>
      </c>
      <c r="AA121" s="2217">
        <f t="shared" si="74"/>
        <v>1.5607533927995973</v>
      </c>
      <c r="AB121" s="2212">
        <v>214</v>
      </c>
      <c r="AC121" s="2219"/>
      <c r="AD121" s="2213"/>
      <c r="AE121" s="2219"/>
      <c r="AF121" s="2213"/>
      <c r="AG121" s="2213"/>
      <c r="AH121" s="2213"/>
      <c r="AI121" s="2213"/>
      <c r="AJ121" s="2213"/>
      <c r="AK121" s="2217">
        <f t="shared" si="83"/>
        <v>-9.9265370143363558</v>
      </c>
      <c r="AL121" s="2217">
        <f t="shared" si="65"/>
        <v>8888.0138700065963</v>
      </c>
      <c r="AM121" s="2217">
        <f t="shared" si="75"/>
        <v>1.5607533927995973</v>
      </c>
      <c r="AN121" s="2212">
        <v>214</v>
      </c>
      <c r="AO121" s="2219"/>
      <c r="AP121" s="2213"/>
      <c r="AQ121" s="2219"/>
      <c r="AR121" s="2213"/>
      <c r="AS121" s="2213"/>
      <c r="AT121" s="2213"/>
      <c r="AU121" s="2213"/>
      <c r="AV121" s="2213"/>
      <c r="AW121" s="2217">
        <f t="shared" si="84"/>
        <v>5.1033940000801898</v>
      </c>
      <c r="AX121" s="2217">
        <f t="shared" si="85"/>
        <v>7309.146000005956</v>
      </c>
      <c r="AY121" s="2217">
        <f t="shared" si="66"/>
        <v>15.47490000007565</v>
      </c>
      <c r="AZ121" s="2212">
        <v>214</v>
      </c>
      <c r="BA121" s="2208"/>
      <c r="BB121" s="263"/>
      <c r="BC121" s="2208"/>
      <c r="BD121" s="263"/>
      <c r="BE121" s="263"/>
      <c r="BF121" s="263"/>
      <c r="BG121" s="263"/>
      <c r="BH121" s="2208"/>
      <c r="BI121" s="2217">
        <f t="shared" si="86"/>
        <v>9.9006130001036396</v>
      </c>
      <c r="BJ121" s="2217">
        <f t="shared" si="76"/>
        <v>7309.146000005956</v>
      </c>
      <c r="BK121" s="2217">
        <f t="shared" si="67"/>
        <v>15.47490000007565</v>
      </c>
      <c r="BL121" s="2212">
        <v>214</v>
      </c>
      <c r="BM121" s="2208"/>
      <c r="BN121" s="263"/>
      <c r="BO121" s="2208"/>
      <c r="BP121" s="263"/>
      <c r="BQ121" s="263"/>
      <c r="BR121" s="263"/>
      <c r="BS121" s="263"/>
      <c r="BT121" s="2208"/>
      <c r="BU121" s="2217">
        <f t="shared" si="87"/>
        <v>-9.9265370143363558</v>
      </c>
      <c r="BV121" s="2217">
        <f t="shared" si="68"/>
        <v>8888.0138700065963</v>
      </c>
      <c r="BW121" s="2217">
        <f t="shared" si="77"/>
        <v>1.5607533927995973</v>
      </c>
      <c r="BX121" s="2212">
        <v>214</v>
      </c>
      <c r="BY121" s="2219"/>
      <c r="BZ121" s="2213"/>
      <c r="CA121" s="2219"/>
      <c r="CB121" s="2213"/>
      <c r="CC121" s="2213"/>
      <c r="CD121" s="2213"/>
      <c r="CE121" s="2213"/>
      <c r="CF121" s="2208"/>
      <c r="CG121" s="2217">
        <f t="shared" si="88"/>
        <v>-9.7392466072004034</v>
      </c>
      <c r="CH121" s="2217">
        <f t="shared" si="69"/>
        <v>8888.0138700065963</v>
      </c>
      <c r="CI121" s="2217">
        <f t="shared" si="78"/>
        <v>1.5607533927995973</v>
      </c>
      <c r="CJ121" s="2212">
        <v>214</v>
      </c>
      <c r="CK121" s="2219"/>
      <c r="CL121" s="2213"/>
      <c r="CM121" s="2219"/>
      <c r="CN121" s="2213"/>
      <c r="CO121" s="2213"/>
      <c r="CP121" s="2213"/>
      <c r="CQ121" s="2213"/>
      <c r="CR121" s="2208"/>
      <c r="CS121" s="2217">
        <f t="shared" si="89"/>
        <v>9.5911150001021284</v>
      </c>
      <c r="CT121" s="2217">
        <f t="shared" si="79"/>
        <v>7309.146000005956</v>
      </c>
      <c r="CU121" s="2217">
        <f t="shared" si="70"/>
        <v>15.47490000007565</v>
      </c>
      <c r="CV121" s="2212">
        <v>214</v>
      </c>
      <c r="CW121" s="2208"/>
      <c r="CX121" s="263"/>
      <c r="CY121" s="2208"/>
      <c r="CZ121" s="263"/>
      <c r="DA121" s="263"/>
      <c r="DB121" s="263"/>
      <c r="DC121" s="263"/>
      <c r="DD121" s="2208"/>
    </row>
    <row r="122" spans="1:108">
      <c r="A122" s="2217">
        <f t="shared" si="80"/>
        <v>-9.3517305489652252</v>
      </c>
      <c r="B122" s="2217">
        <f t="shared" si="71"/>
        <v>8886.4531166137967</v>
      </c>
      <c r="C122" s="2217">
        <f t="shared" si="72"/>
        <v>1.6941473487258918</v>
      </c>
      <c r="D122" s="2212">
        <v>213</v>
      </c>
      <c r="E122" s="2219"/>
      <c r="F122" s="2213"/>
      <c r="G122" s="2219"/>
      <c r="H122" s="2213"/>
      <c r="I122" s="2213"/>
      <c r="J122" s="2213"/>
      <c r="K122" s="2213"/>
      <c r="L122" s="2213"/>
      <c r="M122" s="2217">
        <f t="shared" si="81"/>
        <v>-9.233140234554412</v>
      </c>
      <c r="N122" s="2217">
        <f t="shared" si="63"/>
        <v>8886.4531166137967</v>
      </c>
      <c r="O122" s="2217">
        <f t="shared" si="73"/>
        <v>1.6941473487258918</v>
      </c>
      <c r="P122" s="2212">
        <v>213</v>
      </c>
      <c r="Q122" s="2219"/>
      <c r="R122" s="2213"/>
      <c r="S122" s="2219"/>
      <c r="T122" s="2213"/>
      <c r="U122" s="2213"/>
      <c r="V122" s="2213"/>
      <c r="W122" s="2213"/>
      <c r="X122" s="2213"/>
      <c r="Y122" s="2217">
        <f t="shared" si="82"/>
        <v>-9.0806669731690821</v>
      </c>
      <c r="Z122" s="2217">
        <f t="shared" si="64"/>
        <v>8886.4531166137967</v>
      </c>
      <c r="AA122" s="2217">
        <f t="shared" si="74"/>
        <v>1.6941473487258918</v>
      </c>
      <c r="AB122" s="2212">
        <v>213</v>
      </c>
      <c r="AC122" s="2219"/>
      <c r="AD122" s="2213"/>
      <c r="AE122" s="2219"/>
      <c r="AF122" s="2213"/>
      <c r="AG122" s="2213"/>
      <c r="AH122" s="2213"/>
      <c r="AI122" s="2213"/>
      <c r="AJ122" s="2213"/>
      <c r="AK122" s="2217">
        <f t="shared" si="83"/>
        <v>-9.8091503331212166</v>
      </c>
      <c r="AL122" s="2217">
        <f t="shared" si="65"/>
        <v>8886.4531166137967</v>
      </c>
      <c r="AM122" s="2217">
        <f t="shared" si="75"/>
        <v>1.6941473487258918</v>
      </c>
      <c r="AN122" s="2212">
        <v>213</v>
      </c>
      <c r="AO122" s="2219"/>
      <c r="AP122" s="2213"/>
      <c r="AQ122" s="2219"/>
      <c r="AR122" s="2213"/>
      <c r="AS122" s="2213"/>
      <c r="AT122" s="2213"/>
      <c r="AU122" s="2213"/>
      <c r="AV122" s="2213"/>
      <c r="AW122" s="2217">
        <f t="shared" si="84"/>
        <v>4.8458140000845908</v>
      </c>
      <c r="AX122" s="2217">
        <f t="shared" si="85"/>
        <v>7293.6711000058804</v>
      </c>
      <c r="AY122" s="2217">
        <f t="shared" si="66"/>
        <v>15.231900000079804</v>
      </c>
      <c r="AZ122" s="2212">
        <v>213</v>
      </c>
      <c r="BA122" s="2208"/>
      <c r="BB122" s="263"/>
      <c r="BC122" s="2208"/>
      <c r="BD122" s="263"/>
      <c r="BE122" s="263"/>
      <c r="BF122" s="263"/>
      <c r="BG122" s="263"/>
      <c r="BH122" s="2208"/>
      <c r="BI122" s="2217">
        <f t="shared" si="86"/>
        <v>9.5677030001093328</v>
      </c>
      <c r="BJ122" s="2217">
        <f t="shared" si="76"/>
        <v>7293.6711000058804</v>
      </c>
      <c r="BK122" s="2217">
        <f t="shared" si="67"/>
        <v>15.231900000079804</v>
      </c>
      <c r="BL122" s="2212">
        <v>213</v>
      </c>
      <c r="BM122" s="2208"/>
      <c r="BN122" s="263"/>
      <c r="BO122" s="2208"/>
      <c r="BP122" s="263"/>
      <c r="BQ122" s="263"/>
      <c r="BR122" s="263"/>
      <c r="BS122" s="263"/>
      <c r="BT122" s="2208"/>
      <c r="BU122" s="2217">
        <f t="shared" si="87"/>
        <v>-9.8091503331212166</v>
      </c>
      <c r="BV122" s="2217">
        <f t="shared" si="68"/>
        <v>8886.4531166137967</v>
      </c>
      <c r="BW122" s="2217">
        <f t="shared" si="77"/>
        <v>1.6941473487258918</v>
      </c>
      <c r="BX122" s="2212">
        <v>213</v>
      </c>
      <c r="BY122" s="2219"/>
      <c r="BZ122" s="2213"/>
      <c r="CA122" s="2219"/>
      <c r="CB122" s="2213"/>
      <c r="CC122" s="2213"/>
      <c r="CD122" s="2213"/>
      <c r="CE122" s="2213"/>
      <c r="CF122" s="2208"/>
      <c r="CG122" s="2217">
        <f t="shared" si="88"/>
        <v>-9.6058526512741089</v>
      </c>
      <c r="CH122" s="2217">
        <f t="shared" si="69"/>
        <v>8886.4531166137967</v>
      </c>
      <c r="CI122" s="2217">
        <f t="shared" si="78"/>
        <v>1.6941473487258918</v>
      </c>
      <c r="CJ122" s="2212">
        <v>213</v>
      </c>
      <c r="CK122" s="2219"/>
      <c r="CL122" s="2213"/>
      <c r="CM122" s="2219"/>
      <c r="CN122" s="2213"/>
      <c r="CO122" s="2213"/>
      <c r="CP122" s="2213"/>
      <c r="CQ122" s="2213"/>
      <c r="CR122" s="2208"/>
      <c r="CS122" s="2217">
        <f t="shared" si="89"/>
        <v>9.263065000107737</v>
      </c>
      <c r="CT122" s="2217">
        <f t="shared" si="79"/>
        <v>7293.6711000058804</v>
      </c>
      <c r="CU122" s="2217">
        <f t="shared" si="70"/>
        <v>15.231900000079804</v>
      </c>
      <c r="CV122" s="2212">
        <v>213</v>
      </c>
      <c r="CW122" s="2208"/>
      <c r="CX122" s="263"/>
      <c r="CY122" s="2208"/>
      <c r="CZ122" s="263"/>
      <c r="DA122" s="263"/>
      <c r="DB122" s="263"/>
      <c r="DC122" s="263"/>
      <c r="DD122" s="2208"/>
    </row>
    <row r="123" spans="1:108">
      <c r="A123" s="2217">
        <f t="shared" si="80"/>
        <v>-9.1970145955584499</v>
      </c>
      <c r="B123" s="2217">
        <f t="shared" si="71"/>
        <v>8884.7589692650708</v>
      </c>
      <c r="C123" s="2217">
        <f t="shared" si="72"/>
        <v>1.8286829603839578</v>
      </c>
      <c r="D123" s="2212">
        <v>212</v>
      </c>
      <c r="E123" s="2219"/>
      <c r="F123" s="2213"/>
      <c r="G123" s="2219"/>
      <c r="H123" s="2213"/>
      <c r="I123" s="2213"/>
      <c r="J123" s="2213"/>
      <c r="K123" s="2213"/>
      <c r="L123" s="2213"/>
      <c r="M123" s="2217">
        <f t="shared" si="81"/>
        <v>-9.0690067883315724</v>
      </c>
      <c r="N123" s="2217">
        <f t="shared" si="63"/>
        <v>8884.7589692650708</v>
      </c>
      <c r="O123" s="2217">
        <f t="shared" si="73"/>
        <v>1.8286829603839578</v>
      </c>
      <c r="P123" s="2212">
        <v>212</v>
      </c>
      <c r="Q123" s="2219"/>
      <c r="R123" s="2213"/>
      <c r="S123" s="2219"/>
      <c r="T123" s="2213"/>
      <c r="U123" s="2213"/>
      <c r="V123" s="2213"/>
      <c r="W123" s="2213"/>
      <c r="X123" s="2213"/>
      <c r="Y123" s="2217">
        <f t="shared" si="82"/>
        <v>-8.9044253218970155</v>
      </c>
      <c r="Z123" s="2217">
        <f t="shared" si="64"/>
        <v>8884.7589692650708</v>
      </c>
      <c r="AA123" s="2217">
        <f t="shared" si="74"/>
        <v>1.8286829603839578</v>
      </c>
      <c r="AB123" s="2212">
        <v>212</v>
      </c>
      <c r="AC123" s="2219"/>
      <c r="AD123" s="2213"/>
      <c r="AE123" s="2219"/>
      <c r="AF123" s="2213"/>
      <c r="AG123" s="2213"/>
      <c r="AH123" s="2213"/>
      <c r="AI123" s="2213"/>
      <c r="AJ123" s="2213"/>
      <c r="AK123" s="2217">
        <f t="shared" si="83"/>
        <v>-9.6907589948621187</v>
      </c>
      <c r="AL123" s="2217">
        <f t="shared" si="65"/>
        <v>8884.7589692650708</v>
      </c>
      <c r="AM123" s="2217">
        <f t="shared" si="75"/>
        <v>1.8286829603839578</v>
      </c>
      <c r="AN123" s="2212">
        <v>212</v>
      </c>
      <c r="AO123" s="2219"/>
      <c r="AP123" s="2213"/>
      <c r="AQ123" s="2219"/>
      <c r="AR123" s="2213"/>
      <c r="AS123" s="2213"/>
      <c r="AT123" s="2213"/>
      <c r="AU123" s="2213"/>
      <c r="AV123" s="2213"/>
      <c r="AW123" s="2217">
        <f t="shared" si="84"/>
        <v>4.5920500000812901</v>
      </c>
      <c r="AX123" s="2217">
        <f t="shared" si="85"/>
        <v>7278.4392000058006</v>
      </c>
      <c r="AY123" s="2217">
        <f t="shared" si="66"/>
        <v>14.992500000076689</v>
      </c>
      <c r="AZ123" s="2212">
        <v>212</v>
      </c>
      <c r="BA123" s="2208"/>
      <c r="BB123" s="263"/>
      <c r="BC123" s="2208"/>
      <c r="BD123" s="263"/>
      <c r="BE123" s="263"/>
      <c r="BF123" s="263"/>
      <c r="BG123" s="263"/>
      <c r="BH123" s="2208"/>
      <c r="BI123" s="2217">
        <f t="shared" si="86"/>
        <v>9.2397250001050644</v>
      </c>
      <c r="BJ123" s="2217">
        <f t="shared" si="76"/>
        <v>7278.4392000058006</v>
      </c>
      <c r="BK123" s="2217">
        <f t="shared" si="67"/>
        <v>14.992500000076689</v>
      </c>
      <c r="BL123" s="2212">
        <v>212</v>
      </c>
      <c r="BM123" s="2208"/>
      <c r="BN123" s="263"/>
      <c r="BO123" s="2208"/>
      <c r="BP123" s="263"/>
      <c r="BQ123" s="263"/>
      <c r="BR123" s="263"/>
      <c r="BS123" s="263"/>
      <c r="BT123" s="2208"/>
      <c r="BU123" s="2217">
        <f t="shared" si="87"/>
        <v>-9.6907589948621187</v>
      </c>
      <c r="BV123" s="2217">
        <f t="shared" si="68"/>
        <v>8884.7589692650708</v>
      </c>
      <c r="BW123" s="2217">
        <f t="shared" si="77"/>
        <v>1.8286829603839578</v>
      </c>
      <c r="BX123" s="2212">
        <v>212</v>
      </c>
      <c r="BY123" s="2219"/>
      <c r="BZ123" s="2213"/>
      <c r="CA123" s="2219"/>
      <c r="CB123" s="2213"/>
      <c r="CC123" s="2213"/>
      <c r="CD123" s="2213"/>
      <c r="CE123" s="2213"/>
      <c r="CF123" s="2208"/>
      <c r="CG123" s="2217">
        <f t="shared" si="88"/>
        <v>-9.4713170396160429</v>
      </c>
      <c r="CH123" s="2217">
        <f t="shared" si="69"/>
        <v>8884.7589692650708</v>
      </c>
      <c r="CI123" s="2217">
        <f t="shared" si="78"/>
        <v>1.8286829603839578</v>
      </c>
      <c r="CJ123" s="2212">
        <v>212</v>
      </c>
      <c r="CK123" s="2219"/>
      <c r="CL123" s="2213"/>
      <c r="CM123" s="2219"/>
      <c r="CN123" s="2213"/>
      <c r="CO123" s="2213"/>
      <c r="CP123" s="2213"/>
      <c r="CQ123" s="2213"/>
      <c r="CR123" s="2208"/>
      <c r="CS123" s="2217">
        <f t="shared" si="89"/>
        <v>8.9398750001035303</v>
      </c>
      <c r="CT123" s="2217">
        <f t="shared" si="79"/>
        <v>7278.4392000058006</v>
      </c>
      <c r="CU123" s="2217">
        <f t="shared" si="70"/>
        <v>14.992500000076689</v>
      </c>
      <c r="CV123" s="2212">
        <v>212</v>
      </c>
      <c r="CW123" s="2208"/>
      <c r="CX123" s="263"/>
      <c r="CY123" s="2208"/>
      <c r="CZ123" s="263"/>
      <c r="DA123" s="263"/>
      <c r="DB123" s="263"/>
      <c r="DC123" s="263"/>
      <c r="DD123" s="2208"/>
    </row>
    <row r="124" spans="1:108">
      <c r="A124" s="2217">
        <f t="shared" si="80"/>
        <v>-9.0409857380559515</v>
      </c>
      <c r="B124" s="2217">
        <f t="shared" si="71"/>
        <v>8882.9302863046869</v>
      </c>
      <c r="C124" s="2217">
        <f t="shared" si="72"/>
        <v>1.9643602277774335</v>
      </c>
      <c r="D124" s="2212">
        <v>211</v>
      </c>
      <c r="E124" s="2219"/>
      <c r="F124" s="2213"/>
      <c r="G124" s="2219"/>
      <c r="H124" s="2213"/>
      <c r="I124" s="2213"/>
      <c r="J124" s="2213"/>
      <c r="K124" s="2213"/>
      <c r="L124" s="2213"/>
      <c r="M124" s="2217">
        <f t="shared" si="81"/>
        <v>-8.9034805221115327</v>
      </c>
      <c r="N124" s="2217">
        <f t="shared" si="63"/>
        <v>8882.9302863046869</v>
      </c>
      <c r="O124" s="2217">
        <f t="shared" si="73"/>
        <v>1.9643602277774335</v>
      </c>
      <c r="P124" s="2212">
        <v>211</v>
      </c>
      <c r="Q124" s="2219"/>
      <c r="R124" s="2213"/>
      <c r="S124" s="2219"/>
      <c r="T124" s="2213"/>
      <c r="U124" s="2213"/>
      <c r="V124" s="2213"/>
      <c r="W124" s="2213"/>
      <c r="X124" s="2213"/>
      <c r="Y124" s="2217">
        <f t="shared" si="82"/>
        <v>-8.7266881016115629</v>
      </c>
      <c r="Z124" s="2217">
        <f t="shared" si="64"/>
        <v>8882.9302863046869</v>
      </c>
      <c r="AA124" s="2217">
        <f t="shared" si="74"/>
        <v>1.9643602277774335</v>
      </c>
      <c r="AB124" s="2212">
        <v>211</v>
      </c>
      <c r="AC124" s="2219"/>
      <c r="AD124" s="2213"/>
      <c r="AE124" s="2219"/>
      <c r="AF124" s="2213"/>
      <c r="AG124" s="2213"/>
      <c r="AH124" s="2213"/>
      <c r="AI124" s="2213"/>
      <c r="AJ124" s="2213"/>
      <c r="AK124" s="2217">
        <f t="shared" si="83"/>
        <v>-9.5713629995558591</v>
      </c>
      <c r="AL124" s="2217">
        <f t="shared" si="65"/>
        <v>8882.9302863046869</v>
      </c>
      <c r="AM124" s="2217">
        <f t="shared" si="75"/>
        <v>1.9643602277774335</v>
      </c>
      <c r="AN124" s="2212">
        <v>211</v>
      </c>
      <c r="AO124" s="2219"/>
      <c r="AP124" s="2213"/>
      <c r="AQ124" s="2219"/>
      <c r="AR124" s="2213"/>
      <c r="AS124" s="2213"/>
      <c r="AT124" s="2213"/>
      <c r="AU124" s="2213"/>
      <c r="AV124" s="2213"/>
      <c r="AW124" s="2217">
        <f t="shared" si="84"/>
        <v>4.3421020000808852</v>
      </c>
      <c r="AX124" s="2217">
        <f t="shared" si="85"/>
        <v>7263.4467000057239</v>
      </c>
      <c r="AY124" s="2217">
        <f t="shared" si="66"/>
        <v>14.756700000076307</v>
      </c>
      <c r="AZ124" s="2212">
        <v>211</v>
      </c>
      <c r="BA124" s="2208"/>
      <c r="BB124" s="263"/>
      <c r="BC124" s="2208"/>
      <c r="BD124" s="263"/>
      <c r="BE124" s="263"/>
      <c r="BF124" s="263"/>
      <c r="BG124" s="263"/>
      <c r="BH124" s="2208"/>
      <c r="BI124" s="2217">
        <f t="shared" si="86"/>
        <v>8.9166790001045406</v>
      </c>
      <c r="BJ124" s="2217">
        <f t="shared" si="76"/>
        <v>7263.4467000057239</v>
      </c>
      <c r="BK124" s="2217">
        <f t="shared" si="67"/>
        <v>14.756700000076307</v>
      </c>
      <c r="BL124" s="2212">
        <v>211</v>
      </c>
      <c r="BM124" s="2208"/>
      <c r="BN124" s="263"/>
      <c r="BO124" s="2208"/>
      <c r="BP124" s="263"/>
      <c r="BQ124" s="263"/>
      <c r="BR124" s="263"/>
      <c r="BS124" s="263"/>
      <c r="BT124" s="2208"/>
      <c r="BU124" s="2217">
        <f t="shared" si="87"/>
        <v>-9.5713629995558591</v>
      </c>
      <c r="BV124" s="2217">
        <f t="shared" si="68"/>
        <v>8882.9302863046869</v>
      </c>
      <c r="BW124" s="2217">
        <f t="shared" si="77"/>
        <v>1.9643602277774335</v>
      </c>
      <c r="BX124" s="2212">
        <v>211</v>
      </c>
      <c r="BY124" s="2219"/>
      <c r="BZ124" s="2213"/>
      <c r="CA124" s="2219"/>
      <c r="CB124" s="2213"/>
      <c r="CC124" s="2213"/>
      <c r="CD124" s="2213"/>
      <c r="CE124" s="2213"/>
      <c r="CF124" s="2208"/>
      <c r="CG124" s="2217">
        <f t="shared" si="88"/>
        <v>-9.3356397722225672</v>
      </c>
      <c r="CH124" s="2217">
        <f t="shared" si="69"/>
        <v>8882.9302863046869</v>
      </c>
      <c r="CI124" s="2217">
        <f t="shared" si="78"/>
        <v>1.9643602277774335</v>
      </c>
      <c r="CJ124" s="2212">
        <v>211</v>
      </c>
      <c r="CK124" s="2219"/>
      <c r="CL124" s="2213"/>
      <c r="CM124" s="2219"/>
      <c r="CN124" s="2213"/>
      <c r="CO124" s="2213"/>
      <c r="CP124" s="2213"/>
      <c r="CQ124" s="2213"/>
      <c r="CR124" s="2208"/>
      <c r="CS124" s="2217">
        <f t="shared" si="89"/>
        <v>8.6215450001030156</v>
      </c>
      <c r="CT124" s="2217">
        <f t="shared" si="79"/>
        <v>7263.4467000057239</v>
      </c>
      <c r="CU124" s="2217">
        <f t="shared" si="70"/>
        <v>14.756700000076307</v>
      </c>
      <c r="CV124" s="2212">
        <v>211</v>
      </c>
      <c r="CW124" s="2208"/>
      <c r="CX124" s="263"/>
      <c r="CY124" s="2208"/>
      <c r="CZ124" s="263"/>
      <c r="DA124" s="263"/>
      <c r="DB124" s="263"/>
      <c r="DC124" s="263"/>
      <c r="DD124" s="2208"/>
    </row>
    <row r="125" spans="1:108">
      <c r="A125" s="2217">
        <f t="shared" si="80"/>
        <v>-8.8836439764577335</v>
      </c>
      <c r="B125" s="2217">
        <f t="shared" si="71"/>
        <v>8880.9659260769095</v>
      </c>
      <c r="C125" s="2217">
        <f t="shared" si="72"/>
        <v>2.1011791509063187</v>
      </c>
      <c r="D125" s="2212">
        <v>210</v>
      </c>
      <c r="E125" s="2219"/>
      <c r="F125" s="2213"/>
      <c r="G125" s="2219"/>
      <c r="H125" s="2213"/>
      <c r="I125" s="2213"/>
      <c r="J125" s="2213"/>
      <c r="K125" s="2213"/>
      <c r="L125" s="2213"/>
      <c r="M125" s="2217">
        <f t="shared" si="81"/>
        <v>-8.7365614358942913</v>
      </c>
      <c r="N125" s="2217">
        <f t="shared" si="63"/>
        <v>8880.9659260769095</v>
      </c>
      <c r="O125" s="2217">
        <f t="shared" si="73"/>
        <v>2.1011791509063187</v>
      </c>
      <c r="P125" s="2212">
        <v>210</v>
      </c>
      <c r="Q125" s="2219"/>
      <c r="R125" s="2213"/>
      <c r="S125" s="2219"/>
      <c r="T125" s="2213"/>
      <c r="U125" s="2213"/>
      <c r="V125" s="2213"/>
      <c r="W125" s="2213"/>
      <c r="X125" s="2213"/>
      <c r="Y125" s="2217">
        <f t="shared" si="82"/>
        <v>-8.5474553123127226</v>
      </c>
      <c r="Z125" s="2217">
        <f t="shared" si="64"/>
        <v>8880.9659260769095</v>
      </c>
      <c r="AA125" s="2217">
        <f t="shared" si="74"/>
        <v>2.1011791509063187</v>
      </c>
      <c r="AB125" s="2212">
        <v>210</v>
      </c>
      <c r="AC125" s="2219"/>
      <c r="AD125" s="2213"/>
      <c r="AE125" s="2219"/>
      <c r="AF125" s="2213"/>
      <c r="AG125" s="2213"/>
      <c r="AH125" s="2213"/>
      <c r="AI125" s="2213"/>
      <c r="AJ125" s="2213"/>
      <c r="AK125" s="2217">
        <f t="shared" si="83"/>
        <v>-9.4509623472024398</v>
      </c>
      <c r="AL125" s="2217">
        <f t="shared" si="65"/>
        <v>8880.9659260769095</v>
      </c>
      <c r="AM125" s="2217">
        <f t="shared" si="75"/>
        <v>2.1011791509063187</v>
      </c>
      <c r="AN125" s="2212">
        <v>210</v>
      </c>
      <c r="AO125" s="2219"/>
      <c r="AP125" s="2213"/>
      <c r="AQ125" s="2219"/>
      <c r="AR125" s="2213"/>
      <c r="AS125" s="2213"/>
      <c r="AT125" s="2213"/>
      <c r="AU125" s="2213"/>
      <c r="AV125" s="2213"/>
      <c r="AW125" s="2217">
        <f t="shared" si="84"/>
        <v>4.0959700000795234</v>
      </c>
      <c r="AX125" s="2217">
        <f t="shared" si="85"/>
        <v>7248.6900000056476</v>
      </c>
      <c r="AY125" s="2217">
        <f t="shared" si="66"/>
        <v>14.524500000075022</v>
      </c>
      <c r="AZ125" s="2212">
        <v>210</v>
      </c>
      <c r="BA125" s="2208"/>
      <c r="BB125" s="263"/>
      <c r="BC125" s="2208"/>
      <c r="BD125" s="263"/>
      <c r="BE125" s="263"/>
      <c r="BF125" s="263"/>
      <c r="BG125" s="263"/>
      <c r="BH125" s="2208"/>
      <c r="BI125" s="2217">
        <f t="shared" si="86"/>
        <v>8.5985650001027807</v>
      </c>
      <c r="BJ125" s="2217">
        <f t="shared" si="76"/>
        <v>7248.6900000056476</v>
      </c>
      <c r="BK125" s="2217">
        <f t="shared" si="67"/>
        <v>14.524500000075022</v>
      </c>
      <c r="BL125" s="2212">
        <v>210</v>
      </c>
      <c r="BM125" s="2208"/>
      <c r="BN125" s="263"/>
      <c r="BO125" s="2208"/>
      <c r="BP125" s="263"/>
      <c r="BQ125" s="263"/>
      <c r="BR125" s="263"/>
      <c r="BS125" s="263"/>
      <c r="BT125" s="2208"/>
      <c r="BU125" s="2217">
        <f t="shared" si="87"/>
        <v>-9.4509623472024398</v>
      </c>
      <c r="BV125" s="2217">
        <f t="shared" si="68"/>
        <v>8880.9659260769095</v>
      </c>
      <c r="BW125" s="2217">
        <f t="shared" si="77"/>
        <v>2.1011791509063187</v>
      </c>
      <c r="BX125" s="2212">
        <v>210</v>
      </c>
      <c r="BY125" s="2219"/>
      <c r="BZ125" s="2213"/>
      <c r="CA125" s="2219"/>
      <c r="CB125" s="2213"/>
      <c r="CC125" s="2213"/>
      <c r="CD125" s="2213"/>
      <c r="CE125" s="2213"/>
      <c r="CF125" s="2208"/>
      <c r="CG125" s="2217">
        <f t="shared" si="88"/>
        <v>-9.198820849093682</v>
      </c>
      <c r="CH125" s="2217">
        <f t="shared" si="69"/>
        <v>8880.9659260769095</v>
      </c>
      <c r="CI125" s="2217">
        <f t="shared" si="78"/>
        <v>2.1011791509063187</v>
      </c>
      <c r="CJ125" s="2212">
        <v>210</v>
      </c>
      <c r="CK125" s="2219"/>
      <c r="CL125" s="2213"/>
      <c r="CM125" s="2219"/>
      <c r="CN125" s="2213"/>
      <c r="CO125" s="2213"/>
      <c r="CP125" s="2213"/>
      <c r="CQ125" s="2213"/>
      <c r="CR125" s="2208"/>
      <c r="CS125" s="2217">
        <f t="shared" si="89"/>
        <v>8.3080750001012795</v>
      </c>
      <c r="CT125" s="2217">
        <f t="shared" si="79"/>
        <v>7248.6900000056476</v>
      </c>
      <c r="CU125" s="2217">
        <f t="shared" si="70"/>
        <v>14.524500000075022</v>
      </c>
      <c r="CV125" s="2212">
        <v>210</v>
      </c>
      <c r="CW125" s="2208"/>
      <c r="CX125" s="263"/>
      <c r="CY125" s="2208"/>
      <c r="CZ125" s="263"/>
      <c r="DA125" s="263"/>
      <c r="DB125" s="263"/>
      <c r="DC125" s="263"/>
      <c r="DD125" s="2208"/>
    </row>
    <row r="126" spans="1:108">
      <c r="A126" s="2217">
        <f t="shared" si="80"/>
        <v>-8.7249893107679792</v>
      </c>
      <c r="B126" s="2217">
        <f t="shared" si="71"/>
        <v>8878.8647469260031</v>
      </c>
      <c r="C126" s="2217">
        <f t="shared" si="72"/>
        <v>2.2391397297669755</v>
      </c>
      <c r="D126" s="2212">
        <v>209</v>
      </c>
      <c r="E126" s="2219"/>
      <c r="F126" s="2213"/>
      <c r="G126" s="2219"/>
      <c r="H126" s="2213"/>
      <c r="I126" s="2213"/>
      <c r="J126" s="2213"/>
      <c r="K126" s="2213"/>
      <c r="L126" s="2213"/>
      <c r="M126" s="2217">
        <f t="shared" si="81"/>
        <v>-8.5682495296842909</v>
      </c>
      <c r="N126" s="2217">
        <f t="shared" si="63"/>
        <v>8878.8647469260031</v>
      </c>
      <c r="O126" s="2217">
        <f t="shared" si="73"/>
        <v>2.2391397297669755</v>
      </c>
      <c r="P126" s="2212">
        <v>209</v>
      </c>
      <c r="Q126" s="2219"/>
      <c r="R126" s="2213"/>
      <c r="S126" s="2219"/>
      <c r="T126" s="2213"/>
      <c r="U126" s="2213"/>
      <c r="V126" s="2213"/>
      <c r="W126" s="2213"/>
      <c r="X126" s="2213"/>
      <c r="Y126" s="2217">
        <f t="shared" si="82"/>
        <v>-8.3667269540052622</v>
      </c>
      <c r="Z126" s="2217">
        <f t="shared" si="64"/>
        <v>8878.8647469260031</v>
      </c>
      <c r="AA126" s="2217">
        <f t="shared" si="74"/>
        <v>2.2391397297669755</v>
      </c>
      <c r="AB126" s="2212">
        <v>209</v>
      </c>
      <c r="AC126" s="2219"/>
      <c r="AD126" s="2213"/>
      <c r="AE126" s="2219"/>
      <c r="AF126" s="2213"/>
      <c r="AG126" s="2213"/>
      <c r="AH126" s="2213"/>
      <c r="AI126" s="2213"/>
      <c r="AJ126" s="2213"/>
      <c r="AK126" s="2217">
        <f t="shared" si="83"/>
        <v>-9.3295570378050634</v>
      </c>
      <c r="AL126" s="2217">
        <f t="shared" si="65"/>
        <v>8878.8647469260031</v>
      </c>
      <c r="AM126" s="2217">
        <f t="shared" si="75"/>
        <v>2.2391397297669755</v>
      </c>
      <c r="AN126" s="2212">
        <v>209</v>
      </c>
      <c r="AO126" s="2219"/>
      <c r="AP126" s="2213"/>
      <c r="AQ126" s="2219"/>
      <c r="AR126" s="2213"/>
      <c r="AS126" s="2213"/>
      <c r="AT126" s="2213"/>
      <c r="AU126" s="2213"/>
      <c r="AV126" s="2213"/>
      <c r="AW126" s="2217">
        <f t="shared" si="84"/>
        <v>3.8536540000829884</v>
      </c>
      <c r="AX126" s="2217">
        <f t="shared" si="85"/>
        <v>7234.1655000055725</v>
      </c>
      <c r="AY126" s="2217">
        <f t="shared" si="66"/>
        <v>14.295900000078291</v>
      </c>
      <c r="AZ126" s="2212">
        <v>209</v>
      </c>
      <c r="BA126" s="2208"/>
      <c r="BB126" s="263"/>
      <c r="BC126" s="2208"/>
      <c r="BD126" s="263"/>
      <c r="BE126" s="263"/>
      <c r="BF126" s="263"/>
      <c r="BG126" s="263"/>
      <c r="BH126" s="2208"/>
      <c r="BI126" s="2217">
        <f t="shared" si="86"/>
        <v>8.2853830001072595</v>
      </c>
      <c r="BJ126" s="2217">
        <f t="shared" si="76"/>
        <v>7234.1655000055725</v>
      </c>
      <c r="BK126" s="2217">
        <f t="shared" si="67"/>
        <v>14.295900000078291</v>
      </c>
      <c r="BL126" s="2212">
        <v>209</v>
      </c>
      <c r="BM126" s="2208"/>
      <c r="BN126" s="263"/>
      <c r="BO126" s="2208"/>
      <c r="BP126" s="263"/>
      <c r="BQ126" s="263"/>
      <c r="BR126" s="263"/>
      <c r="BS126" s="263"/>
      <c r="BT126" s="2208"/>
      <c r="BU126" s="2217">
        <f t="shared" si="87"/>
        <v>-9.3295570378050634</v>
      </c>
      <c r="BV126" s="2217">
        <f t="shared" si="68"/>
        <v>8878.8647469260031</v>
      </c>
      <c r="BW126" s="2217">
        <f t="shared" si="77"/>
        <v>2.2391397297669755</v>
      </c>
      <c r="BX126" s="2212">
        <v>209</v>
      </c>
      <c r="BY126" s="2219"/>
      <c r="BZ126" s="2213"/>
      <c r="CA126" s="2219"/>
      <c r="CB126" s="2213"/>
      <c r="CC126" s="2213"/>
      <c r="CD126" s="2213"/>
      <c r="CE126" s="2213"/>
      <c r="CF126" s="2208"/>
      <c r="CG126" s="2217">
        <f t="shared" si="88"/>
        <v>-9.0608602702330252</v>
      </c>
      <c r="CH126" s="2217">
        <f t="shared" si="69"/>
        <v>8878.8647469260031</v>
      </c>
      <c r="CI126" s="2217">
        <f t="shared" si="78"/>
        <v>2.2391397297669755</v>
      </c>
      <c r="CJ126" s="2212">
        <v>209</v>
      </c>
      <c r="CK126" s="2219"/>
      <c r="CL126" s="2213"/>
      <c r="CM126" s="2219"/>
      <c r="CN126" s="2213"/>
      <c r="CO126" s="2213"/>
      <c r="CP126" s="2213"/>
      <c r="CQ126" s="2213"/>
      <c r="CR126" s="2208"/>
      <c r="CS126" s="2217">
        <f t="shared" si="89"/>
        <v>7.9994650001056939</v>
      </c>
      <c r="CT126" s="2217">
        <f t="shared" si="79"/>
        <v>7234.1655000055725</v>
      </c>
      <c r="CU126" s="2217">
        <f t="shared" si="70"/>
        <v>14.295900000078291</v>
      </c>
      <c r="CV126" s="2212">
        <v>209</v>
      </c>
      <c r="CW126" s="2208"/>
      <c r="CX126" s="263"/>
      <c r="CY126" s="2208"/>
      <c r="CZ126" s="263"/>
      <c r="DA126" s="263"/>
      <c r="DB126" s="263"/>
      <c r="DC126" s="263"/>
      <c r="DD126" s="2208"/>
    </row>
    <row r="127" spans="1:108">
      <c r="A127" s="2217">
        <f t="shared" si="80"/>
        <v>-8.5650217409783185</v>
      </c>
      <c r="B127" s="2217">
        <f t="shared" si="71"/>
        <v>8876.6256071962362</v>
      </c>
      <c r="C127" s="2217">
        <f t="shared" si="72"/>
        <v>2.3782419643666799</v>
      </c>
      <c r="D127" s="2212">
        <v>208</v>
      </c>
      <c r="E127" s="2219"/>
      <c r="F127" s="2213"/>
      <c r="G127" s="2219"/>
      <c r="H127" s="2213"/>
      <c r="I127" s="2213"/>
      <c r="J127" s="2213"/>
      <c r="K127" s="2213"/>
      <c r="L127" s="2213"/>
      <c r="M127" s="2217">
        <f t="shared" si="81"/>
        <v>-8.3985448034726513</v>
      </c>
      <c r="N127" s="2217">
        <f t="shared" si="63"/>
        <v>8876.6256071962362</v>
      </c>
      <c r="O127" s="2217">
        <f t="shared" si="73"/>
        <v>2.3782419643666799</v>
      </c>
      <c r="P127" s="2212">
        <v>208</v>
      </c>
      <c r="Q127" s="2219"/>
      <c r="R127" s="2213"/>
      <c r="S127" s="2219"/>
      <c r="T127" s="2213"/>
      <c r="U127" s="2213"/>
      <c r="V127" s="2213"/>
      <c r="W127" s="2213"/>
      <c r="X127" s="2213"/>
      <c r="Y127" s="2217">
        <f t="shared" si="82"/>
        <v>-8.1845030266796499</v>
      </c>
      <c r="Z127" s="2217">
        <f t="shared" si="64"/>
        <v>8876.6256071962362</v>
      </c>
      <c r="AA127" s="2217">
        <f t="shared" si="74"/>
        <v>2.3782419643666799</v>
      </c>
      <c r="AB127" s="2212">
        <v>208</v>
      </c>
      <c r="AC127" s="2219"/>
      <c r="AD127" s="2213"/>
      <c r="AE127" s="2219"/>
      <c r="AF127" s="2213"/>
      <c r="AG127" s="2213"/>
      <c r="AH127" s="2213"/>
      <c r="AI127" s="2213"/>
      <c r="AJ127" s="2213"/>
      <c r="AK127" s="2217">
        <f t="shared" si="83"/>
        <v>-9.2071470713573227</v>
      </c>
      <c r="AL127" s="2217">
        <f t="shared" si="65"/>
        <v>8876.6256071962362</v>
      </c>
      <c r="AM127" s="2217">
        <f t="shared" si="75"/>
        <v>2.3782419643666799</v>
      </c>
      <c r="AN127" s="2212">
        <v>208</v>
      </c>
      <c r="AO127" s="2219"/>
      <c r="AP127" s="2213"/>
      <c r="AQ127" s="2219"/>
      <c r="AR127" s="2213"/>
      <c r="AS127" s="2213"/>
      <c r="AT127" s="2213"/>
      <c r="AU127" s="2213"/>
      <c r="AV127" s="2213"/>
      <c r="AW127" s="2217">
        <f t="shared" si="84"/>
        <v>3.6151540000797109</v>
      </c>
      <c r="AX127" s="2217">
        <f t="shared" si="85"/>
        <v>7219.8696000054942</v>
      </c>
      <c r="AY127" s="2217">
        <f t="shared" si="66"/>
        <v>14.070900000075198</v>
      </c>
      <c r="AZ127" s="2212">
        <v>208</v>
      </c>
      <c r="BA127" s="2208"/>
      <c r="BB127" s="263"/>
      <c r="BC127" s="2208"/>
      <c r="BD127" s="263"/>
      <c r="BE127" s="263"/>
      <c r="BF127" s="263"/>
      <c r="BG127" s="263"/>
      <c r="BH127" s="2208"/>
      <c r="BI127" s="2217">
        <f t="shared" si="86"/>
        <v>7.9771330001030236</v>
      </c>
      <c r="BJ127" s="2217">
        <f t="shared" si="76"/>
        <v>7219.8696000054942</v>
      </c>
      <c r="BK127" s="2217">
        <f t="shared" si="67"/>
        <v>14.070900000075198</v>
      </c>
      <c r="BL127" s="2212">
        <v>208</v>
      </c>
      <c r="BM127" s="2208"/>
      <c r="BN127" s="263"/>
      <c r="BO127" s="2208"/>
      <c r="BP127" s="263"/>
      <c r="BQ127" s="263"/>
      <c r="BR127" s="263"/>
      <c r="BS127" s="263"/>
      <c r="BT127" s="2208"/>
      <c r="BU127" s="2217">
        <f t="shared" si="87"/>
        <v>-9.2071470713573227</v>
      </c>
      <c r="BV127" s="2217">
        <f t="shared" si="68"/>
        <v>8876.6256071962362</v>
      </c>
      <c r="BW127" s="2217">
        <f t="shared" si="77"/>
        <v>2.3782419643666799</v>
      </c>
      <c r="BX127" s="2212">
        <v>208</v>
      </c>
      <c r="BY127" s="2219"/>
      <c r="BZ127" s="2213"/>
      <c r="CA127" s="2219"/>
      <c r="CB127" s="2213"/>
      <c r="CC127" s="2213"/>
      <c r="CD127" s="2213"/>
      <c r="CE127" s="2213"/>
      <c r="CF127" s="2208"/>
      <c r="CG127" s="2217">
        <f t="shared" si="88"/>
        <v>-8.9217580356333208</v>
      </c>
      <c r="CH127" s="2217">
        <f t="shared" si="69"/>
        <v>8876.6256071962362</v>
      </c>
      <c r="CI127" s="2217">
        <f t="shared" si="78"/>
        <v>2.3782419643666799</v>
      </c>
      <c r="CJ127" s="2212">
        <v>208</v>
      </c>
      <c r="CK127" s="2219"/>
      <c r="CL127" s="2213"/>
      <c r="CM127" s="2219"/>
      <c r="CN127" s="2213"/>
      <c r="CO127" s="2213"/>
      <c r="CP127" s="2213"/>
      <c r="CQ127" s="2213"/>
      <c r="CR127" s="2208"/>
      <c r="CS127" s="2217">
        <f t="shared" si="89"/>
        <v>7.6957150001015187</v>
      </c>
      <c r="CT127" s="2217">
        <f t="shared" si="79"/>
        <v>7219.8696000054942</v>
      </c>
      <c r="CU127" s="2217">
        <f t="shared" si="70"/>
        <v>14.070900000075198</v>
      </c>
      <c r="CV127" s="2212">
        <v>208</v>
      </c>
      <c r="CW127" s="2208"/>
      <c r="CX127" s="263"/>
      <c r="CY127" s="2208"/>
      <c r="CZ127" s="263"/>
      <c r="DA127" s="263"/>
      <c r="DB127" s="263"/>
      <c r="DC127" s="263"/>
      <c r="DD127" s="2208"/>
    </row>
    <row r="128" spans="1:108">
      <c r="A128" s="2217">
        <f t="shared" si="80"/>
        <v>-8.4037412670971214</v>
      </c>
      <c r="B128" s="2217">
        <f t="shared" si="71"/>
        <v>8874.2473652318695</v>
      </c>
      <c r="C128" s="2217">
        <f t="shared" si="72"/>
        <v>2.5184858546981559</v>
      </c>
      <c r="D128" s="2212">
        <v>207</v>
      </c>
      <c r="E128" s="2219"/>
      <c r="F128" s="2213"/>
      <c r="G128" s="2219"/>
      <c r="H128" s="2213"/>
      <c r="I128" s="2213"/>
      <c r="J128" s="2213"/>
      <c r="K128" s="2213"/>
      <c r="L128" s="2213"/>
      <c r="M128" s="2217">
        <f t="shared" si="81"/>
        <v>-8.2274472572682509</v>
      </c>
      <c r="N128" s="2217">
        <f t="shared" si="63"/>
        <v>8874.2473652318695</v>
      </c>
      <c r="O128" s="2217">
        <f t="shared" si="73"/>
        <v>2.5184858546981559</v>
      </c>
      <c r="P128" s="2212">
        <v>207</v>
      </c>
      <c r="Q128" s="2219"/>
      <c r="R128" s="2213"/>
      <c r="S128" s="2219"/>
      <c r="T128" s="2213"/>
      <c r="U128" s="2213"/>
      <c r="V128" s="2213"/>
      <c r="W128" s="2213"/>
      <c r="X128" s="2213"/>
      <c r="Y128" s="2217">
        <f t="shared" si="82"/>
        <v>-8.0007835303454158</v>
      </c>
      <c r="Z128" s="2217">
        <f t="shared" si="64"/>
        <v>8874.2473652318695</v>
      </c>
      <c r="AA128" s="2217">
        <f t="shared" si="74"/>
        <v>2.5184858546981559</v>
      </c>
      <c r="AB128" s="2212">
        <v>207</v>
      </c>
      <c r="AC128" s="2219"/>
      <c r="AD128" s="2213"/>
      <c r="AE128" s="2219"/>
      <c r="AF128" s="2213"/>
      <c r="AG128" s="2213"/>
      <c r="AH128" s="2213"/>
      <c r="AI128" s="2213"/>
      <c r="AJ128" s="2213"/>
      <c r="AK128" s="2217">
        <f t="shared" si="83"/>
        <v>-9.0837324478656232</v>
      </c>
      <c r="AL128" s="2217">
        <f t="shared" si="65"/>
        <v>8874.2473652318695</v>
      </c>
      <c r="AM128" s="2217">
        <f t="shared" si="75"/>
        <v>2.5184858546981559</v>
      </c>
      <c r="AN128" s="2212">
        <v>207</v>
      </c>
      <c r="AO128" s="2219"/>
      <c r="AP128" s="2213"/>
      <c r="AQ128" s="2219"/>
      <c r="AR128" s="2213"/>
      <c r="AS128" s="2213"/>
      <c r="AT128" s="2213"/>
      <c r="AU128" s="2213"/>
      <c r="AV128" s="2213"/>
      <c r="AW128" s="2217">
        <f t="shared" si="84"/>
        <v>3.3804700000802956</v>
      </c>
      <c r="AX128" s="2217">
        <f t="shared" si="85"/>
        <v>7205.7987000054191</v>
      </c>
      <c r="AY128" s="2217">
        <f t="shared" si="66"/>
        <v>13.84950000007575</v>
      </c>
      <c r="AZ128" s="2212">
        <v>207</v>
      </c>
      <c r="BA128" s="2208"/>
      <c r="BB128" s="263"/>
      <c r="BC128" s="2208"/>
      <c r="BD128" s="263"/>
      <c r="BE128" s="263"/>
      <c r="BF128" s="263"/>
      <c r="BG128" s="263"/>
      <c r="BH128" s="2208"/>
      <c r="BI128" s="2217">
        <f t="shared" si="86"/>
        <v>7.6738150001037795</v>
      </c>
      <c r="BJ128" s="2217">
        <f t="shared" si="76"/>
        <v>7205.7987000054191</v>
      </c>
      <c r="BK128" s="2217">
        <f t="shared" si="67"/>
        <v>13.84950000007575</v>
      </c>
      <c r="BL128" s="2212">
        <v>207</v>
      </c>
      <c r="BM128" s="2208"/>
      <c r="BN128" s="263"/>
      <c r="BO128" s="2208"/>
      <c r="BP128" s="263"/>
      <c r="BQ128" s="263"/>
      <c r="BR128" s="263"/>
      <c r="BS128" s="263"/>
      <c r="BT128" s="2208"/>
      <c r="BU128" s="2217">
        <f t="shared" si="87"/>
        <v>-9.0837324478656232</v>
      </c>
      <c r="BV128" s="2217">
        <f t="shared" si="68"/>
        <v>8874.2473652318695</v>
      </c>
      <c r="BW128" s="2217">
        <f t="shared" si="77"/>
        <v>2.5184858546981559</v>
      </c>
      <c r="BX128" s="2212">
        <v>207</v>
      </c>
      <c r="BY128" s="2219"/>
      <c r="BZ128" s="2213"/>
      <c r="CA128" s="2219"/>
      <c r="CB128" s="2213"/>
      <c r="CC128" s="2213"/>
      <c r="CD128" s="2213"/>
      <c r="CE128" s="2213"/>
      <c r="CF128" s="2208"/>
      <c r="CG128" s="2217">
        <f t="shared" si="88"/>
        <v>-8.7815141453018448</v>
      </c>
      <c r="CH128" s="2217">
        <f t="shared" si="69"/>
        <v>8874.2473652318695</v>
      </c>
      <c r="CI128" s="2217">
        <f t="shared" si="78"/>
        <v>2.5184858546981559</v>
      </c>
      <c r="CJ128" s="2212">
        <v>207</v>
      </c>
      <c r="CK128" s="2219"/>
      <c r="CL128" s="2213"/>
      <c r="CM128" s="2219"/>
      <c r="CN128" s="2213"/>
      <c r="CO128" s="2213"/>
      <c r="CP128" s="2213"/>
      <c r="CQ128" s="2213"/>
      <c r="CR128" s="2208"/>
      <c r="CS128" s="2217">
        <f t="shared" si="89"/>
        <v>7.3968250001022646</v>
      </c>
      <c r="CT128" s="2217">
        <f t="shared" si="79"/>
        <v>7205.7987000054191</v>
      </c>
      <c r="CU128" s="2217">
        <f t="shared" si="70"/>
        <v>13.84950000007575</v>
      </c>
      <c r="CV128" s="2212">
        <v>207</v>
      </c>
      <c r="CW128" s="2208"/>
      <c r="CX128" s="263"/>
      <c r="CY128" s="2208"/>
      <c r="CZ128" s="263"/>
      <c r="DA128" s="263"/>
      <c r="DB128" s="263"/>
      <c r="DC128" s="263"/>
      <c r="DD128" s="2208"/>
    </row>
    <row r="129" spans="1:108">
      <c r="A129" s="2217">
        <f t="shared" si="80"/>
        <v>-8.2411478891222956</v>
      </c>
      <c r="B129" s="2217">
        <f t="shared" si="71"/>
        <v>8871.7288793771713</v>
      </c>
      <c r="C129" s="2217">
        <f t="shared" si="72"/>
        <v>2.6598714007632225</v>
      </c>
      <c r="D129" s="2212">
        <v>206</v>
      </c>
      <c r="E129" s="2219"/>
      <c r="F129" s="2213"/>
      <c r="G129" s="2219"/>
      <c r="H129" s="2213"/>
      <c r="I129" s="2213"/>
      <c r="J129" s="2213"/>
      <c r="K129" s="2213"/>
      <c r="L129" s="2213"/>
      <c r="M129" s="2217">
        <f t="shared" si="81"/>
        <v>-8.0549568910688691</v>
      </c>
      <c r="N129" s="2217">
        <f t="shared" si="63"/>
        <v>8871.7288793771713</v>
      </c>
      <c r="O129" s="2217">
        <f t="shared" si="73"/>
        <v>2.6598714007632225</v>
      </c>
      <c r="P129" s="2212">
        <v>206</v>
      </c>
      <c r="Q129" s="2219"/>
      <c r="R129" s="2213"/>
      <c r="S129" s="2219"/>
      <c r="T129" s="2213"/>
      <c r="U129" s="2213"/>
      <c r="V129" s="2213"/>
      <c r="W129" s="2213"/>
      <c r="X129" s="2213"/>
      <c r="Y129" s="2217">
        <f t="shared" si="82"/>
        <v>-7.8155684650001795</v>
      </c>
      <c r="Z129" s="2217">
        <f t="shared" si="64"/>
        <v>8871.7288793771713</v>
      </c>
      <c r="AA129" s="2217">
        <f t="shared" si="74"/>
        <v>2.6598714007632225</v>
      </c>
      <c r="AB129" s="2212">
        <v>206</v>
      </c>
      <c r="AC129" s="2219"/>
      <c r="AD129" s="2213"/>
      <c r="AE129" s="2219"/>
      <c r="AF129" s="2213"/>
      <c r="AG129" s="2213"/>
      <c r="AH129" s="2213"/>
      <c r="AI129" s="2213"/>
      <c r="AJ129" s="2213"/>
      <c r="AK129" s="2217">
        <f t="shared" si="83"/>
        <v>-8.9593131673283644</v>
      </c>
      <c r="AL129" s="2217">
        <f t="shared" si="65"/>
        <v>8871.7288793771713</v>
      </c>
      <c r="AM129" s="2217">
        <f t="shared" si="75"/>
        <v>2.6598714007632225</v>
      </c>
      <c r="AN129" s="2212">
        <v>206</v>
      </c>
      <c r="AO129" s="2219"/>
      <c r="AP129" s="2213"/>
      <c r="AQ129" s="2219"/>
      <c r="AR129" s="2213"/>
      <c r="AS129" s="2213"/>
      <c r="AT129" s="2213"/>
      <c r="AU129" s="2213"/>
      <c r="AV129" s="2213"/>
      <c r="AW129" s="2217">
        <f t="shared" si="84"/>
        <v>3.1496020000808862</v>
      </c>
      <c r="AX129" s="2217">
        <f t="shared" si="85"/>
        <v>7191.9492000053433</v>
      </c>
      <c r="AY129" s="2217">
        <f t="shared" si="66"/>
        <v>13.631700000076307</v>
      </c>
      <c r="AZ129" s="2212">
        <v>206</v>
      </c>
      <c r="BA129" s="2208"/>
      <c r="BB129" s="263"/>
      <c r="BC129" s="2208"/>
      <c r="BD129" s="263"/>
      <c r="BE129" s="263"/>
      <c r="BF129" s="263"/>
      <c r="BG129" s="263"/>
      <c r="BH129" s="2208"/>
      <c r="BI129" s="2217">
        <f t="shared" si="86"/>
        <v>7.3754290001045426</v>
      </c>
      <c r="BJ129" s="2217">
        <f t="shared" si="76"/>
        <v>7191.9492000053433</v>
      </c>
      <c r="BK129" s="2217">
        <f t="shared" si="67"/>
        <v>13.631700000076307</v>
      </c>
      <c r="BL129" s="2212">
        <v>206</v>
      </c>
      <c r="BM129" s="2208"/>
      <c r="BN129" s="263"/>
      <c r="BO129" s="2208"/>
      <c r="BP129" s="263"/>
      <c r="BQ129" s="263"/>
      <c r="BR129" s="263"/>
      <c r="BS129" s="263"/>
      <c r="BT129" s="2208"/>
      <c r="BU129" s="2217">
        <f t="shared" si="87"/>
        <v>-8.9593131673283644</v>
      </c>
      <c r="BV129" s="2217">
        <f t="shared" si="68"/>
        <v>8871.7288793771713</v>
      </c>
      <c r="BW129" s="2217">
        <f t="shared" si="77"/>
        <v>2.6598714007632225</v>
      </c>
      <c r="BX129" s="2212">
        <v>206</v>
      </c>
      <c r="BY129" s="2219"/>
      <c r="BZ129" s="2213"/>
      <c r="CA129" s="2219"/>
      <c r="CB129" s="2213"/>
      <c r="CC129" s="2213"/>
      <c r="CD129" s="2213"/>
      <c r="CE129" s="2213"/>
      <c r="CF129" s="2208"/>
      <c r="CG129" s="2217">
        <f t="shared" si="88"/>
        <v>-8.6401285992367782</v>
      </c>
      <c r="CH129" s="2217">
        <f t="shared" si="69"/>
        <v>8871.7288793771713</v>
      </c>
      <c r="CI129" s="2217">
        <f t="shared" si="78"/>
        <v>2.6598714007632225</v>
      </c>
      <c r="CJ129" s="2212">
        <v>206</v>
      </c>
      <c r="CK129" s="2219"/>
      <c r="CL129" s="2213"/>
      <c r="CM129" s="2219"/>
      <c r="CN129" s="2213"/>
      <c r="CO129" s="2213"/>
      <c r="CP129" s="2213"/>
      <c r="CQ129" s="2213"/>
      <c r="CR129" s="2208"/>
      <c r="CS129" s="2217">
        <f t="shared" si="89"/>
        <v>7.1027950001030149</v>
      </c>
      <c r="CT129" s="2217">
        <f t="shared" si="79"/>
        <v>7191.9492000053433</v>
      </c>
      <c r="CU129" s="2217">
        <f t="shared" si="70"/>
        <v>13.631700000076307</v>
      </c>
      <c r="CV129" s="2212">
        <v>206</v>
      </c>
      <c r="CW129" s="2208"/>
      <c r="CX129" s="263"/>
      <c r="CY129" s="2208"/>
      <c r="CZ129" s="263"/>
      <c r="DA129" s="263"/>
      <c r="DB129" s="263"/>
      <c r="DC129" s="263"/>
      <c r="DD129" s="2208"/>
    </row>
    <row r="130" spans="1:108">
      <c r="A130" s="2217">
        <f t="shared" si="80"/>
        <v>-8.0772416070496558</v>
      </c>
      <c r="B130" s="2217">
        <f t="shared" si="71"/>
        <v>8869.0690079764081</v>
      </c>
      <c r="C130" s="2217">
        <f t="shared" si="72"/>
        <v>2.8023986025655176</v>
      </c>
      <c r="D130" s="2212">
        <v>205</v>
      </c>
      <c r="E130" s="2219"/>
      <c r="F130" s="2213"/>
      <c r="G130" s="2219"/>
      <c r="H130" s="2213"/>
      <c r="I130" s="2213"/>
      <c r="J130" s="2213"/>
      <c r="K130" s="2213"/>
      <c r="L130" s="2213"/>
      <c r="M130" s="2217">
        <f t="shared" si="81"/>
        <v>-7.8810737048700688</v>
      </c>
      <c r="N130" s="2217">
        <f t="shared" si="63"/>
        <v>8869.0690079764081</v>
      </c>
      <c r="O130" s="2217">
        <f t="shared" si="73"/>
        <v>2.8023986025655176</v>
      </c>
      <c r="P130" s="2212">
        <v>205</v>
      </c>
      <c r="Q130" s="2219"/>
      <c r="R130" s="2213"/>
      <c r="S130" s="2219"/>
      <c r="T130" s="2213"/>
      <c r="U130" s="2213"/>
      <c r="V130" s="2213"/>
      <c r="W130" s="2213"/>
      <c r="X130" s="2213"/>
      <c r="Y130" s="2217">
        <f t="shared" si="82"/>
        <v>-7.6288578306391726</v>
      </c>
      <c r="Z130" s="2217">
        <f t="shared" si="64"/>
        <v>8869.0690079764081</v>
      </c>
      <c r="AA130" s="2217">
        <f t="shared" si="74"/>
        <v>2.8023986025655176</v>
      </c>
      <c r="AB130" s="2212">
        <v>205</v>
      </c>
      <c r="AC130" s="2219"/>
      <c r="AD130" s="2213"/>
      <c r="AE130" s="2219"/>
      <c r="AF130" s="2213"/>
      <c r="AG130" s="2213"/>
      <c r="AH130" s="2213"/>
      <c r="AI130" s="2213"/>
      <c r="AJ130" s="2213"/>
      <c r="AK130" s="2217">
        <f t="shared" si="83"/>
        <v>-8.8338892297423453</v>
      </c>
      <c r="AL130" s="2217">
        <f t="shared" si="65"/>
        <v>8869.0690079764081</v>
      </c>
      <c r="AM130" s="2217">
        <f t="shared" si="75"/>
        <v>2.8023986025655176</v>
      </c>
      <c r="AN130" s="2212">
        <v>205</v>
      </c>
      <c r="AO130" s="2219"/>
      <c r="AP130" s="2213"/>
      <c r="AQ130" s="2219"/>
      <c r="AR130" s="2213"/>
      <c r="AS130" s="2213"/>
      <c r="AT130" s="2213"/>
      <c r="AU130" s="2213"/>
      <c r="AV130" s="2213"/>
      <c r="AW130" s="2217">
        <f t="shared" si="84"/>
        <v>2.9225500000824471</v>
      </c>
      <c r="AX130" s="2217">
        <f t="shared" si="85"/>
        <v>7178.317500005267</v>
      </c>
      <c r="AY130" s="2217">
        <f t="shared" si="66"/>
        <v>13.41750000007778</v>
      </c>
      <c r="AZ130" s="2212">
        <v>205</v>
      </c>
      <c r="BA130" s="2208"/>
      <c r="BB130" s="263"/>
      <c r="BC130" s="2208"/>
      <c r="BD130" s="263"/>
      <c r="BE130" s="263"/>
      <c r="BF130" s="263"/>
      <c r="BG130" s="263"/>
      <c r="BH130" s="2208"/>
      <c r="BI130" s="2217">
        <f t="shared" si="86"/>
        <v>7.08197500010656</v>
      </c>
      <c r="BJ130" s="2217">
        <f t="shared" si="76"/>
        <v>7178.317500005267</v>
      </c>
      <c r="BK130" s="2217">
        <f t="shared" si="67"/>
        <v>13.41750000007778</v>
      </c>
      <c r="BL130" s="2212">
        <v>205</v>
      </c>
      <c r="BM130" s="2208"/>
      <c r="BN130" s="263"/>
      <c r="BO130" s="2208"/>
      <c r="BP130" s="263"/>
      <c r="BQ130" s="263"/>
      <c r="BR130" s="263"/>
      <c r="BS130" s="263"/>
      <c r="BT130" s="2208"/>
      <c r="BU130" s="2217">
        <f t="shared" si="87"/>
        <v>-8.8338892297423453</v>
      </c>
      <c r="BV130" s="2217">
        <f t="shared" si="68"/>
        <v>8869.0690079764081</v>
      </c>
      <c r="BW130" s="2217">
        <f t="shared" si="77"/>
        <v>2.8023986025655176</v>
      </c>
      <c r="BX130" s="2212">
        <v>205</v>
      </c>
      <c r="BY130" s="2219"/>
      <c r="BZ130" s="2213"/>
      <c r="CA130" s="2219"/>
      <c r="CB130" s="2213"/>
      <c r="CC130" s="2213"/>
      <c r="CD130" s="2213"/>
      <c r="CE130" s="2213"/>
      <c r="CF130" s="2208"/>
      <c r="CG130" s="2217">
        <f t="shared" si="88"/>
        <v>-8.4976013974344831</v>
      </c>
      <c r="CH130" s="2217">
        <f t="shared" si="69"/>
        <v>8869.0690079764081</v>
      </c>
      <c r="CI130" s="2217">
        <f t="shared" si="78"/>
        <v>2.8023986025655176</v>
      </c>
      <c r="CJ130" s="2212">
        <v>205</v>
      </c>
      <c r="CK130" s="2219"/>
      <c r="CL130" s="2213"/>
      <c r="CM130" s="2219"/>
      <c r="CN130" s="2213"/>
      <c r="CO130" s="2213"/>
      <c r="CP130" s="2213"/>
      <c r="CQ130" s="2213"/>
      <c r="CR130" s="2208"/>
      <c r="CS130" s="2217">
        <f t="shared" si="89"/>
        <v>6.8136250001050023</v>
      </c>
      <c r="CT130" s="2217">
        <f t="shared" si="79"/>
        <v>7178.317500005267</v>
      </c>
      <c r="CU130" s="2217">
        <f t="shared" si="70"/>
        <v>13.41750000007778</v>
      </c>
      <c r="CV130" s="2212">
        <v>205</v>
      </c>
      <c r="CW130" s="2208"/>
      <c r="CX130" s="263"/>
      <c r="CY130" s="2208"/>
      <c r="CZ130" s="263"/>
      <c r="DA130" s="263"/>
      <c r="DB130" s="263"/>
      <c r="DC130" s="263"/>
      <c r="DD130" s="2208"/>
    </row>
    <row r="131" spans="1:108">
      <c r="A131" s="2217">
        <f t="shared" si="80"/>
        <v>-7.9120224208812946</v>
      </c>
      <c r="B131" s="2217">
        <f t="shared" si="71"/>
        <v>8866.2666093738426</v>
      </c>
      <c r="C131" s="2217">
        <f t="shared" si="72"/>
        <v>2.9460674601032224</v>
      </c>
      <c r="D131" s="2212">
        <v>204</v>
      </c>
      <c r="E131" s="2219"/>
      <c r="F131" s="2213"/>
      <c r="G131" s="2219"/>
      <c r="H131" s="2213"/>
      <c r="I131" s="2213"/>
      <c r="J131" s="2213"/>
      <c r="K131" s="2213"/>
      <c r="L131" s="2213"/>
      <c r="M131" s="2217">
        <f t="shared" si="81"/>
        <v>-7.7057976986740693</v>
      </c>
      <c r="N131" s="2217">
        <f t="shared" si="63"/>
        <v>8866.2666093738426</v>
      </c>
      <c r="O131" s="2217">
        <f t="shared" si="73"/>
        <v>2.9460674601032224</v>
      </c>
      <c r="P131" s="2212">
        <v>204</v>
      </c>
      <c r="Q131" s="2219"/>
      <c r="R131" s="2213"/>
      <c r="S131" s="2219"/>
      <c r="T131" s="2213"/>
      <c r="U131" s="2213"/>
      <c r="V131" s="2213"/>
      <c r="W131" s="2213"/>
      <c r="X131" s="2213"/>
      <c r="Y131" s="2217">
        <f t="shared" si="82"/>
        <v>-7.4406516272647796</v>
      </c>
      <c r="Z131" s="2217">
        <f t="shared" si="64"/>
        <v>8866.2666093738426</v>
      </c>
      <c r="AA131" s="2217">
        <f t="shared" si="74"/>
        <v>2.9460674601032224</v>
      </c>
      <c r="AB131" s="2212">
        <v>204</v>
      </c>
      <c r="AC131" s="2219"/>
      <c r="AD131" s="2213"/>
      <c r="AE131" s="2219"/>
      <c r="AF131" s="2213"/>
      <c r="AG131" s="2213"/>
      <c r="AH131" s="2213"/>
      <c r="AI131" s="2213"/>
      <c r="AJ131" s="2213"/>
      <c r="AK131" s="2217">
        <f t="shared" si="83"/>
        <v>-8.7074606351091646</v>
      </c>
      <c r="AL131" s="2217">
        <f t="shared" si="65"/>
        <v>8866.2666093738426</v>
      </c>
      <c r="AM131" s="2217">
        <f t="shared" si="75"/>
        <v>2.9460674601032224</v>
      </c>
      <c r="AN131" s="2212">
        <v>204</v>
      </c>
      <c r="AO131" s="2219"/>
      <c r="AP131" s="2213"/>
      <c r="AQ131" s="2219"/>
      <c r="AR131" s="2213"/>
      <c r="AS131" s="2213"/>
      <c r="AT131" s="2213"/>
      <c r="AU131" s="2213"/>
      <c r="AV131" s="2213"/>
      <c r="AW131" s="2217">
        <f t="shared" si="84"/>
        <v>2.6993140000801574</v>
      </c>
      <c r="AX131" s="2217">
        <f t="shared" si="85"/>
        <v>7164.9000000051892</v>
      </c>
      <c r="AY131" s="2217">
        <f t="shared" si="66"/>
        <v>13.20690000007562</v>
      </c>
      <c r="AZ131" s="2212">
        <v>204</v>
      </c>
      <c r="BA131" s="2208"/>
      <c r="BB131" s="263"/>
      <c r="BC131" s="2208"/>
      <c r="BD131" s="263"/>
      <c r="BE131" s="263"/>
      <c r="BF131" s="263"/>
      <c r="BG131" s="263"/>
      <c r="BH131" s="2208"/>
      <c r="BI131" s="2217">
        <f t="shared" si="86"/>
        <v>6.7934530001036002</v>
      </c>
      <c r="BJ131" s="2217">
        <f t="shared" si="76"/>
        <v>7164.9000000051892</v>
      </c>
      <c r="BK131" s="2217">
        <f t="shared" si="67"/>
        <v>13.20690000007562</v>
      </c>
      <c r="BL131" s="2212">
        <v>204</v>
      </c>
      <c r="BM131" s="2208"/>
      <c r="BN131" s="263"/>
      <c r="BO131" s="2208"/>
      <c r="BP131" s="263"/>
      <c r="BQ131" s="263"/>
      <c r="BR131" s="263"/>
      <c r="BS131" s="263"/>
      <c r="BT131" s="2208"/>
      <c r="BU131" s="2217">
        <f t="shared" si="87"/>
        <v>-8.7074606351091646</v>
      </c>
      <c r="BV131" s="2217">
        <f t="shared" si="68"/>
        <v>8866.2666093738426</v>
      </c>
      <c r="BW131" s="2217">
        <f t="shared" si="77"/>
        <v>2.9460674601032224</v>
      </c>
      <c r="BX131" s="2212">
        <v>204</v>
      </c>
      <c r="BY131" s="2219"/>
      <c r="BZ131" s="2213"/>
      <c r="CA131" s="2219"/>
      <c r="CB131" s="2213"/>
      <c r="CC131" s="2213"/>
      <c r="CD131" s="2213"/>
      <c r="CE131" s="2213"/>
      <c r="CF131" s="2208"/>
      <c r="CG131" s="2217">
        <f t="shared" si="88"/>
        <v>-8.3539325398967783</v>
      </c>
      <c r="CH131" s="2217">
        <f t="shared" si="69"/>
        <v>8866.2666093738426</v>
      </c>
      <c r="CI131" s="2217">
        <f t="shared" si="78"/>
        <v>2.9460674601032224</v>
      </c>
      <c r="CJ131" s="2212">
        <v>204</v>
      </c>
      <c r="CK131" s="2219"/>
      <c r="CL131" s="2213"/>
      <c r="CM131" s="2219"/>
      <c r="CN131" s="2213"/>
      <c r="CO131" s="2213"/>
      <c r="CP131" s="2213"/>
      <c r="CQ131" s="2213"/>
      <c r="CR131" s="2208"/>
      <c r="CS131" s="2217">
        <f t="shared" si="89"/>
        <v>6.5293150001020877</v>
      </c>
      <c r="CT131" s="2217">
        <f t="shared" si="79"/>
        <v>7164.9000000051892</v>
      </c>
      <c r="CU131" s="2217">
        <f t="shared" si="70"/>
        <v>13.20690000007562</v>
      </c>
      <c r="CV131" s="2212">
        <v>204</v>
      </c>
      <c r="CW131" s="2208"/>
      <c r="CX131" s="263"/>
      <c r="CY131" s="2208"/>
      <c r="CZ131" s="263"/>
      <c r="DA131" s="263"/>
      <c r="DB131" s="263"/>
      <c r="DC131" s="263"/>
      <c r="DD131" s="2208"/>
    </row>
    <row r="132" spans="1:108">
      <c r="A132" s="2217">
        <f t="shared" si="80"/>
        <v>-7.7454903306213971</v>
      </c>
      <c r="B132" s="2217">
        <f t="shared" si="71"/>
        <v>8863.3205419137394</v>
      </c>
      <c r="C132" s="2217">
        <f t="shared" si="72"/>
        <v>3.0908779733726988</v>
      </c>
      <c r="D132" s="2212">
        <v>203</v>
      </c>
      <c r="E132" s="2219"/>
      <c r="F132" s="2213"/>
      <c r="G132" s="2219"/>
      <c r="H132" s="2213"/>
      <c r="I132" s="2213"/>
      <c r="J132" s="2213"/>
      <c r="K132" s="2213"/>
      <c r="L132" s="2213"/>
      <c r="M132" s="2217">
        <f t="shared" si="81"/>
        <v>-7.5291288724853089</v>
      </c>
      <c r="N132" s="2217">
        <f t="shared" si="63"/>
        <v>8863.3205419137394</v>
      </c>
      <c r="O132" s="2217">
        <f t="shared" si="73"/>
        <v>3.0908779733726988</v>
      </c>
      <c r="P132" s="2212">
        <v>203</v>
      </c>
      <c r="Q132" s="2219"/>
      <c r="R132" s="2213"/>
      <c r="S132" s="2219"/>
      <c r="T132" s="2213"/>
      <c r="U132" s="2213"/>
      <c r="V132" s="2213"/>
      <c r="W132" s="2213"/>
      <c r="X132" s="2213"/>
      <c r="Y132" s="2217">
        <f t="shared" si="82"/>
        <v>-7.2509498548817648</v>
      </c>
      <c r="Z132" s="2217">
        <f t="shared" si="64"/>
        <v>8863.3205419137394</v>
      </c>
      <c r="AA132" s="2217">
        <f t="shared" si="74"/>
        <v>3.0908779733726988</v>
      </c>
      <c r="AB132" s="2212">
        <v>203</v>
      </c>
      <c r="AC132" s="2219"/>
      <c r="AD132" s="2213"/>
      <c r="AE132" s="2219"/>
      <c r="AF132" s="2213"/>
      <c r="AG132" s="2213"/>
      <c r="AH132" s="2213"/>
      <c r="AI132" s="2213"/>
      <c r="AJ132" s="2213"/>
      <c r="AK132" s="2217">
        <f t="shared" si="83"/>
        <v>-8.5800273834320251</v>
      </c>
      <c r="AL132" s="2217">
        <f t="shared" si="65"/>
        <v>8863.3205419137394</v>
      </c>
      <c r="AM132" s="2217">
        <f t="shared" si="75"/>
        <v>3.0908779733726988</v>
      </c>
      <c r="AN132" s="2212">
        <v>203</v>
      </c>
      <c r="AO132" s="2219"/>
      <c r="AP132" s="2213"/>
      <c r="AQ132" s="2219"/>
      <c r="AR132" s="2213"/>
      <c r="AS132" s="2213"/>
      <c r="AT132" s="2213"/>
      <c r="AU132" s="2213"/>
      <c r="AV132" s="2213"/>
      <c r="AW132" s="2217">
        <f t="shared" si="84"/>
        <v>2.4798940000788381</v>
      </c>
      <c r="AX132" s="2217">
        <f t="shared" si="85"/>
        <v>7151.6931000051136</v>
      </c>
      <c r="AY132" s="2217">
        <f t="shared" si="66"/>
        <v>12.999900000074376</v>
      </c>
      <c r="AZ132" s="2212">
        <v>203</v>
      </c>
      <c r="BA132" s="2208"/>
      <c r="BB132" s="263"/>
      <c r="BC132" s="2208"/>
      <c r="BD132" s="263"/>
      <c r="BE132" s="263"/>
      <c r="BF132" s="263"/>
      <c r="BG132" s="263"/>
      <c r="BH132" s="2208"/>
      <c r="BI132" s="2217">
        <f t="shared" si="86"/>
        <v>6.5098630001018947</v>
      </c>
      <c r="BJ132" s="2217">
        <f t="shared" si="76"/>
        <v>7151.6931000051136</v>
      </c>
      <c r="BK132" s="2217">
        <f t="shared" si="67"/>
        <v>12.999900000074376</v>
      </c>
      <c r="BL132" s="2212">
        <v>203</v>
      </c>
      <c r="BM132" s="2208"/>
      <c r="BN132" s="263"/>
      <c r="BO132" s="2208"/>
      <c r="BP132" s="263"/>
      <c r="BQ132" s="263"/>
      <c r="BR132" s="263"/>
      <c r="BS132" s="263"/>
      <c r="BT132" s="2208"/>
      <c r="BU132" s="2217">
        <f t="shared" si="87"/>
        <v>-8.5800273834320251</v>
      </c>
      <c r="BV132" s="2217">
        <f t="shared" si="68"/>
        <v>8863.3205419137394</v>
      </c>
      <c r="BW132" s="2217">
        <f t="shared" si="77"/>
        <v>3.0908779733726988</v>
      </c>
      <c r="BX132" s="2212">
        <v>203</v>
      </c>
      <c r="BY132" s="2219"/>
      <c r="BZ132" s="2213"/>
      <c r="CA132" s="2219"/>
      <c r="CB132" s="2213"/>
      <c r="CC132" s="2213"/>
      <c r="CD132" s="2213"/>
      <c r="CE132" s="2213"/>
      <c r="CF132" s="2208"/>
      <c r="CG132" s="2217">
        <f t="shared" si="88"/>
        <v>-8.2091220266273019</v>
      </c>
      <c r="CH132" s="2217">
        <f t="shared" si="69"/>
        <v>8863.3205419137394</v>
      </c>
      <c r="CI132" s="2217">
        <f t="shared" si="78"/>
        <v>3.0908779733726988</v>
      </c>
      <c r="CJ132" s="2212">
        <v>203</v>
      </c>
      <c r="CK132" s="2219"/>
      <c r="CL132" s="2213"/>
      <c r="CM132" s="2219"/>
      <c r="CN132" s="2213"/>
      <c r="CO132" s="2213"/>
      <c r="CP132" s="2213"/>
      <c r="CQ132" s="2213"/>
      <c r="CR132" s="2208"/>
      <c r="CS132" s="2217">
        <f t="shared" si="89"/>
        <v>6.2498650001004101</v>
      </c>
      <c r="CT132" s="2217">
        <f t="shared" si="79"/>
        <v>7151.6931000051136</v>
      </c>
      <c r="CU132" s="2217">
        <f t="shared" si="70"/>
        <v>12.999900000074376</v>
      </c>
      <c r="CV132" s="2212">
        <v>203</v>
      </c>
      <c r="CW132" s="2208"/>
      <c r="CX132" s="263"/>
      <c r="CY132" s="2208"/>
      <c r="CZ132" s="263"/>
      <c r="DA132" s="263"/>
      <c r="DB132" s="263"/>
      <c r="DC132" s="263"/>
      <c r="DD132" s="2208"/>
    </row>
    <row r="133" spans="1:108">
      <c r="A133" s="2217">
        <f t="shared" si="80"/>
        <v>-7.5776453362657783</v>
      </c>
      <c r="B133" s="2217">
        <f t="shared" si="71"/>
        <v>8860.2296639403667</v>
      </c>
      <c r="C133" s="2217">
        <f t="shared" si="72"/>
        <v>3.2368301423775847</v>
      </c>
      <c r="D133" s="2212">
        <v>202</v>
      </c>
      <c r="E133" s="2219"/>
      <c r="F133" s="2213"/>
      <c r="G133" s="2219"/>
      <c r="H133" s="2213"/>
      <c r="I133" s="2213"/>
      <c r="J133" s="2213"/>
      <c r="K133" s="2213"/>
      <c r="L133" s="2213"/>
      <c r="M133" s="2217">
        <f t="shared" si="81"/>
        <v>-7.3510672262993477</v>
      </c>
      <c r="N133" s="2217">
        <f t="shared" si="63"/>
        <v>8860.2296639403667</v>
      </c>
      <c r="O133" s="2217">
        <f t="shared" si="73"/>
        <v>3.2368301423775847</v>
      </c>
      <c r="P133" s="2212">
        <v>202</v>
      </c>
      <c r="Q133" s="2219"/>
      <c r="R133" s="2213"/>
      <c r="S133" s="2219"/>
      <c r="T133" s="2213"/>
      <c r="U133" s="2213"/>
      <c r="V133" s="2213"/>
      <c r="W133" s="2213"/>
      <c r="X133" s="2213"/>
      <c r="Y133" s="2217">
        <f t="shared" si="82"/>
        <v>-7.0597525134853649</v>
      </c>
      <c r="Z133" s="2217">
        <f t="shared" si="64"/>
        <v>8860.2296639403667</v>
      </c>
      <c r="AA133" s="2217">
        <f t="shared" si="74"/>
        <v>3.2368301423775847</v>
      </c>
      <c r="AB133" s="2212">
        <v>202</v>
      </c>
      <c r="AC133" s="2219"/>
      <c r="AD133" s="2213"/>
      <c r="AE133" s="2219"/>
      <c r="AF133" s="2213"/>
      <c r="AG133" s="2213"/>
      <c r="AH133" s="2213"/>
      <c r="AI133" s="2213"/>
      <c r="AJ133" s="2213"/>
      <c r="AK133" s="2217">
        <f t="shared" si="83"/>
        <v>-8.4515894747077276</v>
      </c>
      <c r="AL133" s="2217">
        <f t="shared" si="65"/>
        <v>8860.2296639403667</v>
      </c>
      <c r="AM133" s="2217">
        <f t="shared" si="75"/>
        <v>3.2368301423775847</v>
      </c>
      <c r="AN133" s="2212">
        <v>202</v>
      </c>
      <c r="AO133" s="2219"/>
      <c r="AP133" s="2213"/>
      <c r="AQ133" s="2219"/>
      <c r="AR133" s="2213"/>
      <c r="AS133" s="2213"/>
      <c r="AT133" s="2213"/>
      <c r="AU133" s="2213"/>
      <c r="AV133" s="2213"/>
      <c r="AW133" s="2217">
        <f t="shared" si="84"/>
        <v>2.2642900000794537</v>
      </c>
      <c r="AX133" s="2217">
        <f t="shared" si="85"/>
        <v>7138.6932000050392</v>
      </c>
      <c r="AY133" s="2217">
        <f t="shared" si="66"/>
        <v>12.796500000074957</v>
      </c>
      <c r="AZ133" s="2212">
        <v>202</v>
      </c>
      <c r="BA133" s="2208"/>
      <c r="BB133" s="263"/>
      <c r="BC133" s="2208"/>
      <c r="BD133" s="263"/>
      <c r="BE133" s="263"/>
      <c r="BF133" s="263"/>
      <c r="BG133" s="263"/>
      <c r="BH133" s="2208"/>
      <c r="BI133" s="2217">
        <f t="shared" si="86"/>
        <v>6.2312050001026904</v>
      </c>
      <c r="BJ133" s="2217">
        <f t="shared" si="76"/>
        <v>7138.6932000050392</v>
      </c>
      <c r="BK133" s="2217">
        <f t="shared" si="67"/>
        <v>12.796500000074957</v>
      </c>
      <c r="BL133" s="2212">
        <v>202</v>
      </c>
      <c r="BM133" s="2208"/>
      <c r="BN133" s="263"/>
      <c r="BO133" s="2208"/>
      <c r="BP133" s="263"/>
      <c r="BQ133" s="263"/>
      <c r="BR133" s="263"/>
      <c r="BS133" s="263"/>
      <c r="BT133" s="2208"/>
      <c r="BU133" s="2217">
        <f t="shared" si="87"/>
        <v>-8.4515894747077276</v>
      </c>
      <c r="BV133" s="2217">
        <f t="shared" si="68"/>
        <v>8860.2296639403667</v>
      </c>
      <c r="BW133" s="2217">
        <f t="shared" si="77"/>
        <v>3.2368301423775847</v>
      </c>
      <c r="BX133" s="2212">
        <v>202</v>
      </c>
      <c r="BY133" s="2219"/>
      <c r="BZ133" s="2213"/>
      <c r="CA133" s="2219"/>
      <c r="CB133" s="2213"/>
      <c r="CC133" s="2213"/>
      <c r="CD133" s="2213"/>
      <c r="CE133" s="2213"/>
      <c r="CF133" s="2208"/>
      <c r="CG133" s="2217">
        <f t="shared" si="88"/>
        <v>-8.063169857622416</v>
      </c>
      <c r="CH133" s="2217">
        <f t="shared" si="69"/>
        <v>8860.2296639403667</v>
      </c>
      <c r="CI133" s="2217">
        <f t="shared" si="78"/>
        <v>3.2368301423775847</v>
      </c>
      <c r="CJ133" s="2212">
        <v>202</v>
      </c>
      <c r="CK133" s="2219"/>
      <c r="CL133" s="2213"/>
      <c r="CM133" s="2219"/>
      <c r="CN133" s="2213"/>
      <c r="CO133" s="2213"/>
      <c r="CP133" s="2213"/>
      <c r="CQ133" s="2213"/>
      <c r="CR133" s="2208"/>
      <c r="CS133" s="2217">
        <f t="shared" si="89"/>
        <v>5.9752750001011918</v>
      </c>
      <c r="CT133" s="2217">
        <f t="shared" si="79"/>
        <v>7138.6932000050392</v>
      </c>
      <c r="CU133" s="2217">
        <f t="shared" si="70"/>
        <v>12.796500000074957</v>
      </c>
      <c r="CV133" s="2212">
        <v>202</v>
      </c>
      <c r="CW133" s="2208"/>
      <c r="CX133" s="263"/>
      <c r="CY133" s="2208"/>
      <c r="CZ133" s="263"/>
      <c r="DA133" s="263"/>
      <c r="DB133" s="263"/>
      <c r="DC133" s="263"/>
      <c r="DD133" s="2208"/>
    </row>
    <row r="134" spans="1:108">
      <c r="A134" s="2217">
        <f t="shared" si="80"/>
        <v>-7.4084874378165306</v>
      </c>
      <c r="B134" s="2217">
        <f t="shared" si="71"/>
        <v>8856.9928337979891</v>
      </c>
      <c r="C134" s="2217">
        <f t="shared" si="72"/>
        <v>3.3839239671160612</v>
      </c>
      <c r="D134" s="2212">
        <v>201</v>
      </c>
      <c r="E134" s="2219"/>
      <c r="F134" s="2213"/>
      <c r="G134" s="2219"/>
      <c r="H134" s="2213"/>
      <c r="I134" s="2213"/>
      <c r="J134" s="2213"/>
      <c r="K134" s="2213"/>
      <c r="L134" s="2213"/>
      <c r="M134" s="2217">
        <f t="shared" si="81"/>
        <v>-7.1716127601184061</v>
      </c>
      <c r="N134" s="2217">
        <f t="shared" si="63"/>
        <v>8856.9928337979891</v>
      </c>
      <c r="O134" s="2217">
        <f t="shared" si="73"/>
        <v>3.3839239671160612</v>
      </c>
      <c r="P134" s="2212">
        <v>201</v>
      </c>
      <c r="Q134" s="2219"/>
      <c r="R134" s="2213"/>
      <c r="S134" s="2219"/>
      <c r="T134" s="2213"/>
      <c r="U134" s="2213"/>
      <c r="V134" s="2213"/>
      <c r="W134" s="2213"/>
      <c r="X134" s="2213"/>
      <c r="Y134" s="2217">
        <f t="shared" si="82"/>
        <v>-6.8670596030779603</v>
      </c>
      <c r="Z134" s="2217">
        <f t="shared" si="64"/>
        <v>8856.9928337979891</v>
      </c>
      <c r="AA134" s="2217">
        <f t="shared" si="74"/>
        <v>3.3839239671160612</v>
      </c>
      <c r="AB134" s="2212">
        <v>201</v>
      </c>
      <c r="AC134" s="2219"/>
      <c r="AD134" s="2213"/>
      <c r="AE134" s="2219"/>
      <c r="AF134" s="2213"/>
      <c r="AG134" s="2213"/>
      <c r="AH134" s="2213"/>
      <c r="AI134" s="2213"/>
      <c r="AJ134" s="2213"/>
      <c r="AK134" s="2217">
        <f t="shared" si="83"/>
        <v>-8.3221469089378672</v>
      </c>
      <c r="AL134" s="2217">
        <f t="shared" si="65"/>
        <v>8856.9928337979891</v>
      </c>
      <c r="AM134" s="2217">
        <f t="shared" si="75"/>
        <v>3.3839239671160612</v>
      </c>
      <c r="AN134" s="2212">
        <v>201</v>
      </c>
      <c r="AO134" s="2219"/>
      <c r="AP134" s="2213"/>
      <c r="AQ134" s="2219"/>
      <c r="AR134" s="2213"/>
      <c r="AS134" s="2213"/>
      <c r="AT134" s="2213"/>
      <c r="AU134" s="2213"/>
      <c r="AV134" s="2213"/>
      <c r="AW134" s="2217">
        <f t="shared" si="84"/>
        <v>2.0525020000810397</v>
      </c>
      <c r="AX134" s="2217">
        <f t="shared" si="85"/>
        <v>7125.8967000049643</v>
      </c>
      <c r="AY134" s="2217">
        <f t="shared" si="66"/>
        <v>12.596700000076453</v>
      </c>
      <c r="AZ134" s="2212">
        <v>201</v>
      </c>
      <c r="BA134" s="2208"/>
      <c r="BB134" s="263"/>
      <c r="BC134" s="2208"/>
      <c r="BD134" s="263"/>
      <c r="BE134" s="263"/>
      <c r="BF134" s="263"/>
      <c r="BG134" s="263"/>
      <c r="BH134" s="2208"/>
      <c r="BI134" s="2217">
        <f t="shared" si="86"/>
        <v>5.9574790001047404</v>
      </c>
      <c r="BJ134" s="2217">
        <f t="shared" si="76"/>
        <v>7125.8967000049643</v>
      </c>
      <c r="BK134" s="2217">
        <f t="shared" si="67"/>
        <v>12.596700000076453</v>
      </c>
      <c r="BL134" s="2212">
        <v>201</v>
      </c>
      <c r="BM134" s="2208"/>
      <c r="BN134" s="263"/>
      <c r="BO134" s="2208"/>
      <c r="BP134" s="263"/>
      <c r="BQ134" s="263"/>
      <c r="BR134" s="263"/>
      <c r="BS134" s="263"/>
      <c r="BT134" s="2208"/>
      <c r="BU134" s="2217">
        <f t="shared" si="87"/>
        <v>-8.3221469089378672</v>
      </c>
      <c r="BV134" s="2217">
        <f t="shared" si="68"/>
        <v>8856.9928337979891</v>
      </c>
      <c r="BW134" s="2217">
        <f t="shared" si="77"/>
        <v>3.3839239671160612</v>
      </c>
      <c r="BX134" s="2212">
        <v>201</v>
      </c>
      <c r="BY134" s="2219"/>
      <c r="BZ134" s="2213"/>
      <c r="CA134" s="2219"/>
      <c r="CB134" s="2213"/>
      <c r="CC134" s="2213"/>
      <c r="CD134" s="2213"/>
      <c r="CE134" s="2213"/>
      <c r="CF134" s="2208"/>
      <c r="CG134" s="2217">
        <f t="shared" si="88"/>
        <v>-7.9160760328839395</v>
      </c>
      <c r="CH134" s="2217">
        <f t="shared" si="69"/>
        <v>8856.9928337979891</v>
      </c>
      <c r="CI134" s="2217">
        <f t="shared" si="78"/>
        <v>3.3839239671160612</v>
      </c>
      <c r="CJ134" s="2212">
        <v>201</v>
      </c>
      <c r="CK134" s="2219"/>
      <c r="CL134" s="2213"/>
      <c r="CM134" s="2219"/>
      <c r="CN134" s="2213"/>
      <c r="CO134" s="2213"/>
      <c r="CP134" s="2213"/>
      <c r="CQ134" s="2213"/>
      <c r="CR134" s="2208"/>
      <c r="CS134" s="2217">
        <f t="shared" si="89"/>
        <v>5.7055450001032106</v>
      </c>
      <c r="CT134" s="2217">
        <f t="shared" si="79"/>
        <v>7125.8967000049643</v>
      </c>
      <c r="CU134" s="2217">
        <f t="shared" si="70"/>
        <v>12.596700000076453</v>
      </c>
      <c r="CV134" s="2212">
        <v>201</v>
      </c>
      <c r="CW134" s="2208"/>
      <c r="CX134" s="263"/>
      <c r="CY134" s="2208"/>
      <c r="CZ134" s="263"/>
      <c r="DA134" s="263"/>
      <c r="DB134" s="263"/>
      <c r="DC134" s="263"/>
      <c r="DD134" s="2208"/>
    </row>
    <row r="135" spans="1:108">
      <c r="A135" s="2217">
        <f t="shared" si="80"/>
        <v>-7.2380166352673783</v>
      </c>
      <c r="B135" s="2217">
        <f t="shared" si="71"/>
        <v>8853.608909830873</v>
      </c>
      <c r="C135" s="2217">
        <f t="shared" si="72"/>
        <v>3.5321594475935854</v>
      </c>
      <c r="D135" s="2212">
        <v>200</v>
      </c>
      <c r="E135" s="2219"/>
      <c r="F135" s="2213"/>
      <c r="G135" s="2219"/>
      <c r="H135" s="2213"/>
      <c r="I135" s="2213"/>
      <c r="J135" s="2213"/>
      <c r="K135" s="2213"/>
      <c r="L135" s="2213"/>
      <c r="M135" s="2217">
        <f t="shared" si="81"/>
        <v>-6.9907654739358263</v>
      </c>
      <c r="N135" s="2217">
        <f t="shared" si="63"/>
        <v>8853.608909830873</v>
      </c>
      <c r="O135" s="2217">
        <f t="shared" si="73"/>
        <v>3.5321594475935854</v>
      </c>
      <c r="P135" s="2212">
        <v>200</v>
      </c>
      <c r="Q135" s="2219"/>
      <c r="R135" s="2213"/>
      <c r="S135" s="2219"/>
      <c r="T135" s="2213"/>
      <c r="U135" s="2213"/>
      <c r="V135" s="2213"/>
      <c r="W135" s="2213"/>
      <c r="X135" s="2213"/>
      <c r="Y135" s="2217">
        <f t="shared" si="82"/>
        <v>-6.6728711236524036</v>
      </c>
      <c r="Z135" s="2217">
        <f t="shared" si="64"/>
        <v>8853.608909830873</v>
      </c>
      <c r="AA135" s="2217">
        <f t="shared" si="74"/>
        <v>3.5321594475935854</v>
      </c>
      <c r="AB135" s="2212">
        <v>200</v>
      </c>
      <c r="AC135" s="2219"/>
      <c r="AD135" s="2213"/>
      <c r="AE135" s="2219"/>
      <c r="AF135" s="2213"/>
      <c r="AG135" s="2213"/>
      <c r="AH135" s="2213"/>
      <c r="AI135" s="2213"/>
      <c r="AJ135" s="2213"/>
      <c r="AK135" s="2217">
        <f t="shared" si="83"/>
        <v>-8.1916996861176461</v>
      </c>
      <c r="AL135" s="2217">
        <f t="shared" si="65"/>
        <v>8853.608909830873</v>
      </c>
      <c r="AM135" s="2217">
        <f t="shared" si="75"/>
        <v>3.5321594475935854</v>
      </c>
      <c r="AN135" s="2212">
        <v>200</v>
      </c>
      <c r="AO135" s="2219"/>
      <c r="AP135" s="2213"/>
      <c r="AQ135" s="2219"/>
      <c r="AR135" s="2213"/>
      <c r="AS135" s="2213"/>
      <c r="AT135" s="2213"/>
      <c r="AU135" s="2213"/>
      <c r="AV135" s="2213"/>
      <c r="AW135" s="2217">
        <f t="shared" si="84"/>
        <v>1.8445300000797396</v>
      </c>
      <c r="AX135" s="2217">
        <f t="shared" si="85"/>
        <v>7113.3000000048878</v>
      </c>
      <c r="AY135" s="2217">
        <f t="shared" si="66"/>
        <v>12.400500000075226</v>
      </c>
      <c r="AZ135" s="2212">
        <v>200</v>
      </c>
      <c r="BA135" s="2208"/>
      <c r="BB135" s="263"/>
      <c r="BC135" s="2208"/>
      <c r="BD135" s="263"/>
      <c r="BE135" s="263"/>
      <c r="BF135" s="263"/>
      <c r="BG135" s="263"/>
      <c r="BH135" s="2208"/>
      <c r="BI135" s="2217">
        <f t="shared" si="86"/>
        <v>5.6886850001030602</v>
      </c>
      <c r="BJ135" s="2217">
        <f t="shared" si="76"/>
        <v>7113.3000000048878</v>
      </c>
      <c r="BK135" s="2217">
        <f t="shared" si="67"/>
        <v>12.400500000075226</v>
      </c>
      <c r="BL135" s="2212">
        <v>200</v>
      </c>
      <c r="BM135" s="2208"/>
      <c r="BN135" s="263"/>
      <c r="BO135" s="2208"/>
      <c r="BP135" s="263"/>
      <c r="BQ135" s="263"/>
      <c r="BR135" s="263"/>
      <c r="BS135" s="263"/>
      <c r="BT135" s="2208"/>
      <c r="BU135" s="2217">
        <f t="shared" si="87"/>
        <v>-8.1916996861176461</v>
      </c>
      <c r="BV135" s="2217">
        <f t="shared" si="68"/>
        <v>8853.608909830873</v>
      </c>
      <c r="BW135" s="2217">
        <f t="shared" si="77"/>
        <v>3.5321594475935854</v>
      </c>
      <c r="BX135" s="2212">
        <v>200</v>
      </c>
      <c r="BY135" s="2219"/>
      <c r="BZ135" s="2213"/>
      <c r="CA135" s="2219"/>
      <c r="CB135" s="2213"/>
      <c r="CC135" s="2213"/>
      <c r="CD135" s="2213"/>
      <c r="CE135" s="2213"/>
      <c r="CF135" s="2208"/>
      <c r="CG135" s="2217">
        <f t="shared" si="88"/>
        <v>-7.7678405524064154</v>
      </c>
      <c r="CH135" s="2217">
        <f t="shared" si="69"/>
        <v>8853.608909830873</v>
      </c>
      <c r="CI135" s="2217">
        <f t="shared" si="78"/>
        <v>3.5321594475935854</v>
      </c>
      <c r="CJ135" s="2212">
        <v>200</v>
      </c>
      <c r="CK135" s="2219"/>
      <c r="CL135" s="2213"/>
      <c r="CM135" s="2219"/>
      <c r="CN135" s="2213"/>
      <c r="CO135" s="2213"/>
      <c r="CP135" s="2213"/>
      <c r="CQ135" s="2213"/>
      <c r="CR135" s="2208"/>
      <c r="CS135" s="2217">
        <f t="shared" si="89"/>
        <v>5.4406750001015567</v>
      </c>
      <c r="CT135" s="2217">
        <f t="shared" si="79"/>
        <v>7113.3000000048878</v>
      </c>
      <c r="CU135" s="2217">
        <f t="shared" si="70"/>
        <v>12.400500000075226</v>
      </c>
      <c r="CV135" s="2212">
        <v>200</v>
      </c>
      <c r="CW135" s="2208"/>
      <c r="CX135" s="263"/>
      <c r="CY135" s="2208"/>
      <c r="CZ135" s="263"/>
      <c r="DA135" s="263"/>
      <c r="DB135" s="263"/>
      <c r="DC135" s="263"/>
      <c r="DD135" s="2208"/>
    </row>
    <row r="136" spans="1:108">
      <c r="A136" s="2217">
        <f t="shared" si="80"/>
        <v>-7.0662329286287795</v>
      </c>
      <c r="B136" s="2217">
        <f t="shared" si="71"/>
        <v>8850.0767503832794</v>
      </c>
      <c r="C136" s="2217">
        <f t="shared" si="72"/>
        <v>3.6815365838010621</v>
      </c>
      <c r="D136" s="2212">
        <v>199</v>
      </c>
      <c r="E136" s="2219"/>
      <c r="F136" s="2213"/>
      <c r="G136" s="2219"/>
      <c r="H136" s="2213"/>
      <c r="I136" s="2213"/>
      <c r="J136" s="2213"/>
      <c r="K136" s="2213"/>
      <c r="L136" s="2213"/>
      <c r="M136" s="2217">
        <f t="shared" si="81"/>
        <v>-6.8085253677627051</v>
      </c>
      <c r="N136" s="2217">
        <f t="shared" si="63"/>
        <v>8850.0767503832794</v>
      </c>
      <c r="O136" s="2217">
        <f t="shared" si="73"/>
        <v>3.6815365838010621</v>
      </c>
      <c r="P136" s="2212">
        <v>199</v>
      </c>
      <c r="Q136" s="2219"/>
      <c r="R136" s="2213"/>
      <c r="S136" s="2219"/>
      <c r="T136" s="2213"/>
      <c r="U136" s="2213"/>
      <c r="V136" s="2213"/>
      <c r="W136" s="2213"/>
      <c r="X136" s="2213"/>
      <c r="Y136" s="2217">
        <f t="shared" si="82"/>
        <v>-6.4771870752206091</v>
      </c>
      <c r="Z136" s="2217">
        <f t="shared" si="64"/>
        <v>8850.0767503832794</v>
      </c>
      <c r="AA136" s="2217">
        <f t="shared" si="74"/>
        <v>3.6815365838010621</v>
      </c>
      <c r="AB136" s="2212">
        <v>199</v>
      </c>
      <c r="AC136" s="2219"/>
      <c r="AD136" s="2213"/>
      <c r="AE136" s="2219"/>
      <c r="AF136" s="2213"/>
      <c r="AG136" s="2213"/>
      <c r="AH136" s="2213"/>
      <c r="AI136" s="2213"/>
      <c r="AJ136" s="2213"/>
      <c r="AK136" s="2217">
        <f t="shared" si="83"/>
        <v>-8.0602478062550666</v>
      </c>
      <c r="AL136" s="2217">
        <f t="shared" si="65"/>
        <v>8850.0767503832794</v>
      </c>
      <c r="AM136" s="2217">
        <f t="shared" si="75"/>
        <v>3.6815365838010621</v>
      </c>
      <c r="AN136" s="2212">
        <v>199</v>
      </c>
      <c r="AO136" s="2219"/>
      <c r="AP136" s="2213"/>
      <c r="AQ136" s="2219"/>
      <c r="AR136" s="2213"/>
      <c r="AS136" s="2213"/>
      <c r="AT136" s="2213"/>
      <c r="AU136" s="2213"/>
      <c r="AV136" s="2213"/>
      <c r="AW136" s="2217">
        <f t="shared" si="84"/>
        <v>1.6403740000794098</v>
      </c>
      <c r="AX136" s="2217">
        <f t="shared" si="85"/>
        <v>7100.8995000048126</v>
      </c>
      <c r="AY136" s="2217">
        <f t="shared" si="66"/>
        <v>12.207900000074915</v>
      </c>
      <c r="AZ136" s="2212">
        <v>199</v>
      </c>
      <c r="BA136" s="2208"/>
      <c r="BB136" s="263"/>
      <c r="BC136" s="2208"/>
      <c r="BD136" s="263"/>
      <c r="BE136" s="263"/>
      <c r="BF136" s="263"/>
      <c r="BG136" s="263"/>
      <c r="BH136" s="2208"/>
      <c r="BI136" s="2217">
        <f t="shared" si="86"/>
        <v>5.4248230001026343</v>
      </c>
      <c r="BJ136" s="2217">
        <f t="shared" si="76"/>
        <v>7100.8995000048126</v>
      </c>
      <c r="BK136" s="2217">
        <f t="shared" si="67"/>
        <v>12.207900000074915</v>
      </c>
      <c r="BL136" s="2212">
        <v>199</v>
      </c>
      <c r="BM136" s="2208"/>
      <c r="BN136" s="263"/>
      <c r="BO136" s="2208"/>
      <c r="BP136" s="263"/>
      <c r="BQ136" s="263"/>
      <c r="BR136" s="263"/>
      <c r="BS136" s="263"/>
      <c r="BT136" s="2208"/>
      <c r="BU136" s="2217">
        <f t="shared" si="87"/>
        <v>-8.0602478062550666</v>
      </c>
      <c r="BV136" s="2217">
        <f t="shared" si="68"/>
        <v>8850.0767503832794</v>
      </c>
      <c r="BW136" s="2217">
        <f t="shared" si="77"/>
        <v>3.6815365838010621</v>
      </c>
      <c r="BX136" s="2212">
        <v>199</v>
      </c>
      <c r="BY136" s="2219"/>
      <c r="BZ136" s="2213"/>
      <c r="CA136" s="2219"/>
      <c r="CB136" s="2213"/>
      <c r="CC136" s="2213"/>
      <c r="CD136" s="2213"/>
      <c r="CE136" s="2213"/>
      <c r="CF136" s="2208"/>
      <c r="CG136" s="2217">
        <f t="shared" si="88"/>
        <v>-7.6184634161989386</v>
      </c>
      <c r="CH136" s="2217">
        <f t="shared" si="69"/>
        <v>8850.0767503832794</v>
      </c>
      <c r="CI136" s="2217">
        <f t="shared" si="78"/>
        <v>3.6815365838010621</v>
      </c>
      <c r="CJ136" s="2212">
        <v>199</v>
      </c>
      <c r="CK136" s="2219"/>
      <c r="CL136" s="2213"/>
      <c r="CM136" s="2219"/>
      <c r="CN136" s="2213"/>
      <c r="CO136" s="2213"/>
      <c r="CP136" s="2213"/>
      <c r="CQ136" s="2213"/>
      <c r="CR136" s="2208"/>
      <c r="CS136" s="2217">
        <f t="shared" si="89"/>
        <v>5.1806650001011363</v>
      </c>
      <c r="CT136" s="2217">
        <f t="shared" si="79"/>
        <v>7100.8995000048126</v>
      </c>
      <c r="CU136" s="2217">
        <f t="shared" si="70"/>
        <v>12.207900000074915</v>
      </c>
      <c r="CV136" s="2212">
        <v>199</v>
      </c>
      <c r="CW136" s="2208"/>
      <c r="CX136" s="263"/>
      <c r="CY136" s="2208"/>
      <c r="CZ136" s="263"/>
      <c r="DA136" s="263"/>
      <c r="DB136" s="263"/>
      <c r="DC136" s="263"/>
      <c r="DD136" s="2208"/>
    </row>
    <row r="137" spans="1:108">
      <c r="A137" s="2217">
        <f t="shared" si="80"/>
        <v>-6.8931363178944602</v>
      </c>
      <c r="B137" s="2217">
        <f t="shared" si="71"/>
        <v>8846.3952137994784</v>
      </c>
      <c r="C137" s="2217">
        <f t="shared" si="72"/>
        <v>3.8320553757439484</v>
      </c>
      <c r="D137" s="2212">
        <v>198</v>
      </c>
      <c r="E137" s="2219"/>
      <c r="F137" s="2213"/>
      <c r="G137" s="2219"/>
      <c r="H137" s="2213"/>
      <c r="I137" s="2213"/>
      <c r="J137" s="2213"/>
      <c r="K137" s="2213"/>
      <c r="L137" s="2213"/>
      <c r="M137" s="2217">
        <f t="shared" si="81"/>
        <v>-6.624892441592384</v>
      </c>
      <c r="N137" s="2217">
        <f t="shared" si="63"/>
        <v>8846.3952137994784</v>
      </c>
      <c r="O137" s="2217">
        <f t="shared" si="73"/>
        <v>3.8320553757439484</v>
      </c>
      <c r="P137" s="2212">
        <v>198</v>
      </c>
      <c r="Q137" s="2219"/>
      <c r="R137" s="2213"/>
      <c r="S137" s="2219"/>
      <c r="T137" s="2213"/>
      <c r="U137" s="2213"/>
      <c r="V137" s="2213"/>
      <c r="W137" s="2213"/>
      <c r="X137" s="2213"/>
      <c r="Y137" s="2217">
        <f t="shared" si="82"/>
        <v>-6.2800074577754277</v>
      </c>
      <c r="Z137" s="2217">
        <f t="shared" si="64"/>
        <v>8846.3952137994784</v>
      </c>
      <c r="AA137" s="2217">
        <f t="shared" si="74"/>
        <v>3.8320553757439484</v>
      </c>
      <c r="AB137" s="2212">
        <v>198</v>
      </c>
      <c r="AC137" s="2219"/>
      <c r="AD137" s="2213"/>
      <c r="AE137" s="2219"/>
      <c r="AF137" s="2213"/>
      <c r="AG137" s="2213"/>
      <c r="AH137" s="2213"/>
      <c r="AI137" s="2213"/>
      <c r="AJ137" s="2213"/>
      <c r="AK137" s="2217">
        <f t="shared" si="83"/>
        <v>-7.9277912693453265</v>
      </c>
      <c r="AL137" s="2217">
        <f t="shared" si="65"/>
        <v>8846.3952137994784</v>
      </c>
      <c r="AM137" s="2217">
        <f t="shared" si="75"/>
        <v>3.8320553757439484</v>
      </c>
      <c r="AN137" s="2212">
        <v>198</v>
      </c>
      <c r="AO137" s="2219"/>
      <c r="AP137" s="2213"/>
      <c r="AQ137" s="2219"/>
      <c r="AR137" s="2213"/>
      <c r="AS137" s="2213"/>
      <c r="AT137" s="2213"/>
      <c r="AU137" s="2213"/>
      <c r="AV137" s="2213"/>
      <c r="AW137" s="2217">
        <f t="shared" si="84"/>
        <v>1.4400340000781213</v>
      </c>
      <c r="AX137" s="2217">
        <f t="shared" si="85"/>
        <v>7088.6916000047377</v>
      </c>
      <c r="AY137" s="2217">
        <f t="shared" si="66"/>
        <v>12.0189000000737</v>
      </c>
      <c r="AZ137" s="2212">
        <v>198</v>
      </c>
      <c r="BA137" s="2208"/>
      <c r="BB137" s="263"/>
      <c r="BC137" s="2208"/>
      <c r="BD137" s="263"/>
      <c r="BE137" s="263"/>
      <c r="BF137" s="263"/>
      <c r="BG137" s="263"/>
      <c r="BH137" s="2208"/>
      <c r="BI137" s="2217">
        <f t="shared" si="86"/>
        <v>5.1658930001009686</v>
      </c>
      <c r="BJ137" s="2217">
        <f t="shared" si="76"/>
        <v>7088.6916000047377</v>
      </c>
      <c r="BK137" s="2217">
        <f t="shared" si="67"/>
        <v>12.0189000000737</v>
      </c>
      <c r="BL137" s="2212">
        <v>198</v>
      </c>
      <c r="BM137" s="2208"/>
      <c r="BN137" s="263"/>
      <c r="BO137" s="2208"/>
      <c r="BP137" s="263"/>
      <c r="BQ137" s="263"/>
      <c r="BR137" s="263"/>
      <c r="BS137" s="263"/>
      <c r="BT137" s="2208"/>
      <c r="BU137" s="2217">
        <f t="shared" si="87"/>
        <v>-7.9277912693453265</v>
      </c>
      <c r="BV137" s="2217">
        <f t="shared" si="68"/>
        <v>8846.3952137994784</v>
      </c>
      <c r="BW137" s="2217">
        <f t="shared" si="77"/>
        <v>3.8320553757439484</v>
      </c>
      <c r="BX137" s="2212">
        <v>198</v>
      </c>
      <c r="BY137" s="2219"/>
      <c r="BZ137" s="2213"/>
      <c r="CA137" s="2219"/>
      <c r="CB137" s="2213"/>
      <c r="CC137" s="2213"/>
      <c r="CD137" s="2213"/>
      <c r="CE137" s="2213"/>
      <c r="CF137" s="2208"/>
      <c r="CG137" s="2217">
        <f t="shared" si="88"/>
        <v>-7.4679446242560523</v>
      </c>
      <c r="CH137" s="2217">
        <f t="shared" si="69"/>
        <v>8846.3952137994784</v>
      </c>
      <c r="CI137" s="2217">
        <f t="shared" si="78"/>
        <v>3.8320553757439484</v>
      </c>
      <c r="CJ137" s="2212">
        <v>198</v>
      </c>
      <c r="CK137" s="2219"/>
      <c r="CL137" s="2213"/>
      <c r="CM137" s="2219"/>
      <c r="CN137" s="2213"/>
      <c r="CO137" s="2213"/>
      <c r="CP137" s="2213"/>
      <c r="CQ137" s="2213"/>
      <c r="CR137" s="2208"/>
      <c r="CS137" s="2217">
        <f t="shared" si="89"/>
        <v>4.9255150000994945</v>
      </c>
      <c r="CT137" s="2217">
        <f t="shared" si="79"/>
        <v>7088.6916000047377</v>
      </c>
      <c r="CU137" s="2217">
        <f t="shared" si="70"/>
        <v>12.0189000000737</v>
      </c>
      <c r="CV137" s="2212">
        <v>198</v>
      </c>
      <c r="CW137" s="2208"/>
      <c r="CX137" s="263"/>
      <c r="CY137" s="2208"/>
      <c r="CZ137" s="263"/>
      <c r="DA137" s="263"/>
      <c r="DB137" s="263"/>
      <c r="DC137" s="263"/>
      <c r="DD137" s="2208"/>
    </row>
    <row r="138" spans="1:108">
      <c r="A138" s="2217">
        <f t="shared" si="80"/>
        <v>-6.7187268030623279</v>
      </c>
      <c r="B138" s="2217">
        <f t="shared" si="71"/>
        <v>8842.5631584237344</v>
      </c>
      <c r="C138" s="2217">
        <f t="shared" si="72"/>
        <v>3.9837158234240633</v>
      </c>
      <c r="D138" s="2212">
        <v>197</v>
      </c>
      <c r="E138" s="2219"/>
      <c r="F138" s="2213"/>
      <c r="G138" s="2219"/>
      <c r="H138" s="2213"/>
      <c r="I138" s="2213"/>
      <c r="J138" s="2213"/>
      <c r="K138" s="2213"/>
      <c r="L138" s="2213"/>
      <c r="M138" s="2217">
        <f t="shared" si="81"/>
        <v>-6.4398666954226433</v>
      </c>
      <c r="N138" s="2217">
        <f t="shared" si="63"/>
        <v>8842.5631584237344</v>
      </c>
      <c r="O138" s="2217">
        <f t="shared" si="73"/>
        <v>3.9837158234240633</v>
      </c>
      <c r="P138" s="2212">
        <v>197</v>
      </c>
      <c r="Q138" s="2219"/>
      <c r="R138" s="2213"/>
      <c r="S138" s="2219"/>
      <c r="T138" s="2213"/>
      <c r="U138" s="2213"/>
      <c r="V138" s="2213"/>
      <c r="W138" s="2213"/>
      <c r="X138" s="2213"/>
      <c r="Y138" s="2217">
        <f t="shared" si="82"/>
        <v>-6.0813322713144773</v>
      </c>
      <c r="Z138" s="2217">
        <f t="shared" si="64"/>
        <v>8842.5631584237344</v>
      </c>
      <c r="AA138" s="2217">
        <f t="shared" si="74"/>
        <v>3.9837158234240633</v>
      </c>
      <c r="AB138" s="2212">
        <v>197</v>
      </c>
      <c r="AC138" s="2219"/>
      <c r="AD138" s="2213"/>
      <c r="AE138" s="2219"/>
      <c r="AF138" s="2213"/>
      <c r="AG138" s="2213"/>
      <c r="AH138" s="2213"/>
      <c r="AI138" s="2213"/>
      <c r="AJ138" s="2213"/>
      <c r="AK138" s="2217">
        <f t="shared" si="83"/>
        <v>-7.7943300753868261</v>
      </c>
      <c r="AL138" s="2217">
        <f t="shared" si="65"/>
        <v>8842.5631584237344</v>
      </c>
      <c r="AM138" s="2217">
        <f t="shared" si="75"/>
        <v>3.9837158234240633</v>
      </c>
      <c r="AN138" s="2212">
        <v>197</v>
      </c>
      <c r="AO138" s="2219"/>
      <c r="AP138" s="2213"/>
      <c r="AQ138" s="2219"/>
      <c r="AR138" s="2213"/>
      <c r="AS138" s="2213"/>
      <c r="AT138" s="2213"/>
      <c r="AU138" s="2213"/>
      <c r="AV138" s="2213"/>
      <c r="AW138" s="2217">
        <f t="shared" si="84"/>
        <v>1.2435100000797323</v>
      </c>
      <c r="AX138" s="2217">
        <f t="shared" si="85"/>
        <v>7076.672700004664</v>
      </c>
      <c r="AY138" s="2217">
        <f t="shared" si="66"/>
        <v>11.833500000075219</v>
      </c>
      <c r="AZ138" s="2212">
        <v>197</v>
      </c>
      <c r="BA138" s="2208"/>
      <c r="BB138" s="263"/>
      <c r="BC138" s="2208"/>
      <c r="BD138" s="263"/>
      <c r="BE138" s="263"/>
      <c r="BF138" s="263"/>
      <c r="BG138" s="263"/>
      <c r="BH138" s="2208"/>
      <c r="BI138" s="2217">
        <f t="shared" si="86"/>
        <v>4.9118950001030512</v>
      </c>
      <c r="BJ138" s="2217">
        <f t="shared" si="76"/>
        <v>7076.672700004664</v>
      </c>
      <c r="BK138" s="2217">
        <f t="shared" si="67"/>
        <v>11.833500000075219</v>
      </c>
      <c r="BL138" s="2212">
        <v>197</v>
      </c>
      <c r="BM138" s="2208"/>
      <c r="BN138" s="263"/>
      <c r="BO138" s="2208"/>
      <c r="BP138" s="263"/>
      <c r="BQ138" s="263"/>
      <c r="BR138" s="263"/>
      <c r="BS138" s="263"/>
      <c r="BT138" s="2208"/>
      <c r="BU138" s="2217">
        <f t="shared" si="87"/>
        <v>-7.7943300753868261</v>
      </c>
      <c r="BV138" s="2217">
        <f t="shared" si="68"/>
        <v>8842.5631584237344</v>
      </c>
      <c r="BW138" s="2217">
        <f t="shared" si="77"/>
        <v>3.9837158234240633</v>
      </c>
      <c r="BX138" s="2212">
        <v>197</v>
      </c>
      <c r="BY138" s="2219"/>
      <c r="BZ138" s="2213"/>
      <c r="CA138" s="2219"/>
      <c r="CB138" s="2213"/>
      <c r="CC138" s="2213"/>
      <c r="CD138" s="2213"/>
      <c r="CE138" s="2213"/>
      <c r="CF138" s="2208"/>
      <c r="CG138" s="2217">
        <f t="shared" si="88"/>
        <v>-7.3162841765759374</v>
      </c>
      <c r="CH138" s="2217">
        <f t="shared" si="69"/>
        <v>8842.5631584237344</v>
      </c>
      <c r="CI138" s="2217">
        <f t="shared" si="78"/>
        <v>3.9837158234240633</v>
      </c>
      <c r="CJ138" s="2212">
        <v>197</v>
      </c>
      <c r="CK138" s="2219"/>
      <c r="CL138" s="2213"/>
      <c r="CM138" s="2219"/>
      <c r="CN138" s="2213"/>
      <c r="CO138" s="2213"/>
      <c r="CP138" s="2213"/>
      <c r="CQ138" s="2213"/>
      <c r="CR138" s="2208"/>
      <c r="CS138" s="2217">
        <f t="shared" si="89"/>
        <v>4.6752250001015465</v>
      </c>
      <c r="CT138" s="2217">
        <f t="shared" si="79"/>
        <v>7076.672700004664</v>
      </c>
      <c r="CU138" s="2217">
        <f t="shared" si="70"/>
        <v>11.833500000075219</v>
      </c>
      <c r="CV138" s="2212">
        <v>197</v>
      </c>
      <c r="CW138" s="2208"/>
      <c r="CX138" s="263"/>
      <c r="CY138" s="2208"/>
      <c r="CZ138" s="263"/>
      <c r="DA138" s="263"/>
      <c r="DB138" s="263"/>
      <c r="DC138" s="263"/>
      <c r="DD138" s="2208"/>
    </row>
    <row r="139" spans="1:108">
      <c r="A139" s="2217">
        <f t="shared" si="80"/>
        <v>-6.5430043841386585</v>
      </c>
      <c r="B139" s="2217">
        <f t="shared" si="71"/>
        <v>8838.5794426003104</v>
      </c>
      <c r="C139" s="2217">
        <f t="shared" si="72"/>
        <v>4.1365179268359498</v>
      </c>
      <c r="D139" s="2212">
        <v>196</v>
      </c>
      <c r="E139" s="2219"/>
      <c r="F139" s="2213"/>
      <c r="G139" s="2219"/>
      <c r="H139" s="2213"/>
      <c r="I139" s="2213"/>
      <c r="J139" s="2213"/>
      <c r="K139" s="2213"/>
      <c r="L139" s="2213"/>
      <c r="M139" s="2217">
        <f t="shared" si="81"/>
        <v>-6.2534481292601418</v>
      </c>
      <c r="N139" s="2217">
        <f t="shared" si="63"/>
        <v>8838.5794426003104</v>
      </c>
      <c r="O139" s="2217">
        <f t="shared" si="73"/>
        <v>4.1365179268359498</v>
      </c>
      <c r="P139" s="2212">
        <v>196</v>
      </c>
      <c r="Q139" s="2219"/>
      <c r="R139" s="2213"/>
      <c r="S139" s="2219"/>
      <c r="T139" s="2213"/>
      <c r="U139" s="2213"/>
      <c r="V139" s="2213"/>
      <c r="W139" s="2213"/>
      <c r="X139" s="2213"/>
      <c r="Y139" s="2217">
        <f t="shared" si="82"/>
        <v>-5.881161515844906</v>
      </c>
      <c r="Z139" s="2217">
        <f t="shared" si="64"/>
        <v>8838.5794426003104</v>
      </c>
      <c r="AA139" s="2217">
        <f t="shared" si="74"/>
        <v>4.1365179268359498</v>
      </c>
      <c r="AB139" s="2212">
        <v>196</v>
      </c>
      <c r="AC139" s="2219"/>
      <c r="AD139" s="2213"/>
      <c r="AE139" s="2219"/>
      <c r="AF139" s="2213"/>
      <c r="AG139" s="2213"/>
      <c r="AH139" s="2213"/>
      <c r="AI139" s="2213"/>
      <c r="AJ139" s="2213"/>
      <c r="AK139" s="2217">
        <f t="shared" si="83"/>
        <v>-7.659864224384366</v>
      </c>
      <c r="AL139" s="2217">
        <f t="shared" si="65"/>
        <v>8838.5794426003104</v>
      </c>
      <c r="AM139" s="2217">
        <f t="shared" si="75"/>
        <v>4.1365179268359498</v>
      </c>
      <c r="AN139" s="2212">
        <v>196</v>
      </c>
      <c r="AO139" s="2219"/>
      <c r="AP139" s="2213"/>
      <c r="AQ139" s="2219"/>
      <c r="AR139" s="2213"/>
      <c r="AS139" s="2213"/>
      <c r="AT139" s="2213"/>
      <c r="AU139" s="2213"/>
      <c r="AV139" s="2213"/>
      <c r="AW139" s="2217">
        <f t="shared" si="84"/>
        <v>1.0508020000803846</v>
      </c>
      <c r="AX139" s="2217">
        <f t="shared" si="85"/>
        <v>7064.8392000045887</v>
      </c>
      <c r="AY139" s="2217">
        <f t="shared" si="66"/>
        <v>11.651700000075834</v>
      </c>
      <c r="AZ139" s="2212">
        <v>196</v>
      </c>
      <c r="BA139" s="2208"/>
      <c r="BB139" s="263"/>
      <c r="BC139" s="2208"/>
      <c r="BD139" s="263"/>
      <c r="BE139" s="263"/>
      <c r="BF139" s="263"/>
      <c r="BG139" s="263"/>
      <c r="BH139" s="2208"/>
      <c r="BI139" s="2217">
        <f t="shared" si="86"/>
        <v>4.6628290001038941</v>
      </c>
      <c r="BJ139" s="2217">
        <f t="shared" si="76"/>
        <v>7064.8392000045887</v>
      </c>
      <c r="BK139" s="2217">
        <f t="shared" si="67"/>
        <v>11.651700000075834</v>
      </c>
      <c r="BL139" s="2212">
        <v>196</v>
      </c>
      <c r="BM139" s="2208"/>
      <c r="BN139" s="263"/>
      <c r="BO139" s="2208"/>
      <c r="BP139" s="263"/>
      <c r="BQ139" s="263"/>
      <c r="BR139" s="263"/>
      <c r="BS139" s="263"/>
      <c r="BT139" s="2208"/>
      <c r="BU139" s="2217">
        <f t="shared" si="87"/>
        <v>-7.659864224384366</v>
      </c>
      <c r="BV139" s="2217">
        <f t="shared" si="68"/>
        <v>8838.5794426003104</v>
      </c>
      <c r="BW139" s="2217">
        <f t="shared" si="77"/>
        <v>4.1365179268359498</v>
      </c>
      <c r="BX139" s="2212">
        <v>196</v>
      </c>
      <c r="BY139" s="2219"/>
      <c r="BZ139" s="2213"/>
      <c r="CA139" s="2219"/>
      <c r="CB139" s="2213"/>
      <c r="CC139" s="2213"/>
      <c r="CD139" s="2213"/>
      <c r="CE139" s="2213"/>
      <c r="CF139" s="2208"/>
      <c r="CG139" s="2217">
        <f t="shared" si="88"/>
        <v>-7.1634820731640509</v>
      </c>
      <c r="CH139" s="2217">
        <f t="shared" si="69"/>
        <v>8838.5794426003104</v>
      </c>
      <c r="CI139" s="2217">
        <f t="shared" si="78"/>
        <v>4.1365179268359498</v>
      </c>
      <c r="CJ139" s="2212">
        <v>196</v>
      </c>
      <c r="CK139" s="2219"/>
      <c r="CL139" s="2213"/>
      <c r="CM139" s="2219"/>
      <c r="CN139" s="2213"/>
      <c r="CO139" s="2213"/>
      <c r="CP139" s="2213"/>
      <c r="CQ139" s="2213"/>
      <c r="CR139" s="2208"/>
      <c r="CS139" s="2217">
        <f t="shared" si="89"/>
        <v>4.4297950001023771</v>
      </c>
      <c r="CT139" s="2217">
        <f t="shared" si="79"/>
        <v>7064.8392000045887</v>
      </c>
      <c r="CU139" s="2217">
        <f t="shared" si="70"/>
        <v>11.651700000075834</v>
      </c>
      <c r="CV139" s="2212">
        <v>196</v>
      </c>
      <c r="CW139" s="2208"/>
      <c r="CX139" s="263"/>
      <c r="CY139" s="2208"/>
      <c r="CZ139" s="263"/>
      <c r="DA139" s="263"/>
      <c r="DB139" s="263"/>
      <c r="DC139" s="263"/>
      <c r="DD139" s="2208"/>
    </row>
    <row r="140" spans="1:108">
      <c r="A140" s="2217">
        <f t="shared" si="80"/>
        <v>-6.3659690611171769</v>
      </c>
      <c r="B140" s="2217">
        <f t="shared" si="71"/>
        <v>8834.4429246734744</v>
      </c>
      <c r="C140" s="2217">
        <f t="shared" si="72"/>
        <v>4.2904616859850648</v>
      </c>
      <c r="D140" s="2212">
        <v>195</v>
      </c>
      <c r="E140" s="2219"/>
      <c r="F140" s="2213"/>
      <c r="G140" s="2219"/>
      <c r="H140" s="2213"/>
      <c r="I140" s="2213"/>
      <c r="J140" s="2213"/>
      <c r="K140" s="2213"/>
      <c r="L140" s="2213"/>
      <c r="M140" s="2217">
        <f t="shared" si="81"/>
        <v>-6.0656367430982217</v>
      </c>
      <c r="N140" s="2217">
        <f t="shared" si="63"/>
        <v>8834.4429246734744</v>
      </c>
      <c r="O140" s="2217">
        <f t="shared" si="73"/>
        <v>4.2904616859850648</v>
      </c>
      <c r="P140" s="2212">
        <v>195</v>
      </c>
      <c r="Q140" s="2219"/>
      <c r="R140" s="2213"/>
      <c r="S140" s="2219"/>
      <c r="T140" s="2213"/>
      <c r="U140" s="2213"/>
      <c r="V140" s="2213"/>
      <c r="W140" s="2213"/>
      <c r="X140" s="2213"/>
      <c r="Y140" s="2217">
        <f t="shared" si="82"/>
        <v>-5.6794951913595657</v>
      </c>
      <c r="Z140" s="2217">
        <f t="shared" si="64"/>
        <v>8834.4429246734744</v>
      </c>
      <c r="AA140" s="2217">
        <f t="shared" si="74"/>
        <v>4.2904616859850648</v>
      </c>
      <c r="AB140" s="2212">
        <v>195</v>
      </c>
      <c r="AC140" s="2219"/>
      <c r="AD140" s="2213"/>
      <c r="AE140" s="2219"/>
      <c r="AF140" s="2213"/>
      <c r="AG140" s="2213"/>
      <c r="AH140" s="2213"/>
      <c r="AI140" s="2213"/>
      <c r="AJ140" s="2213"/>
      <c r="AK140" s="2217">
        <f t="shared" si="83"/>
        <v>-7.5243937163331438</v>
      </c>
      <c r="AL140" s="2217">
        <f t="shared" si="65"/>
        <v>8834.4429246734744</v>
      </c>
      <c r="AM140" s="2217">
        <f t="shared" si="75"/>
        <v>4.2904616859850648</v>
      </c>
      <c r="AN140" s="2212">
        <v>195</v>
      </c>
      <c r="AO140" s="2219"/>
      <c r="AP140" s="2213"/>
      <c r="AQ140" s="2219"/>
      <c r="AR140" s="2213"/>
      <c r="AS140" s="2213"/>
      <c r="AT140" s="2213"/>
      <c r="AU140" s="2213"/>
      <c r="AV140" s="2213"/>
      <c r="AW140" s="2217">
        <f t="shared" si="84"/>
        <v>0.86191000007622343</v>
      </c>
      <c r="AX140" s="2217">
        <f t="shared" si="85"/>
        <v>7053.1875000045129</v>
      </c>
      <c r="AY140" s="2217">
        <f t="shared" si="66"/>
        <v>11.473500000071908</v>
      </c>
      <c r="AZ140" s="2212">
        <v>195</v>
      </c>
      <c r="BA140" s="2208"/>
      <c r="BB140" s="263"/>
      <c r="BC140" s="2208"/>
      <c r="BD140" s="263"/>
      <c r="BE140" s="263"/>
      <c r="BF140" s="263"/>
      <c r="BG140" s="263"/>
      <c r="BH140" s="2208"/>
      <c r="BI140" s="2217">
        <f t="shared" si="86"/>
        <v>4.4186950000985146</v>
      </c>
      <c r="BJ140" s="2217">
        <f t="shared" si="76"/>
        <v>7053.1875000045129</v>
      </c>
      <c r="BK140" s="2217">
        <f t="shared" si="67"/>
        <v>11.473500000071908</v>
      </c>
      <c r="BL140" s="2212">
        <v>195</v>
      </c>
      <c r="BM140" s="2208"/>
      <c r="BN140" s="263"/>
      <c r="BO140" s="2208"/>
      <c r="BP140" s="263"/>
      <c r="BQ140" s="263"/>
      <c r="BR140" s="263"/>
      <c r="BS140" s="263"/>
      <c r="BT140" s="2208"/>
      <c r="BU140" s="2217">
        <f t="shared" si="87"/>
        <v>-7.5243937163331438</v>
      </c>
      <c r="BV140" s="2217">
        <f t="shared" si="68"/>
        <v>8834.4429246734744</v>
      </c>
      <c r="BW140" s="2217">
        <f t="shared" si="77"/>
        <v>4.2904616859850648</v>
      </c>
      <c r="BX140" s="2212">
        <v>195</v>
      </c>
      <c r="BY140" s="2219"/>
      <c r="BZ140" s="2213"/>
      <c r="CA140" s="2219"/>
      <c r="CB140" s="2213"/>
      <c r="CC140" s="2213"/>
      <c r="CD140" s="2213"/>
      <c r="CE140" s="2213"/>
      <c r="CF140" s="2208"/>
      <c r="CG140" s="2217">
        <f t="shared" si="88"/>
        <v>-7.0095383140149359</v>
      </c>
      <c r="CH140" s="2217">
        <f t="shared" si="69"/>
        <v>8834.4429246734744</v>
      </c>
      <c r="CI140" s="2217">
        <f t="shared" si="78"/>
        <v>4.2904616859850648</v>
      </c>
      <c r="CJ140" s="2212">
        <v>195</v>
      </c>
      <c r="CK140" s="2219"/>
      <c r="CL140" s="2213"/>
      <c r="CM140" s="2219"/>
      <c r="CN140" s="2213"/>
      <c r="CO140" s="2213"/>
      <c r="CP140" s="2213"/>
      <c r="CQ140" s="2213"/>
      <c r="CR140" s="2208"/>
      <c r="CS140" s="2217">
        <f t="shared" si="89"/>
        <v>4.1892250000970765</v>
      </c>
      <c r="CT140" s="2217">
        <f t="shared" si="79"/>
        <v>7053.1875000045129</v>
      </c>
      <c r="CU140" s="2217">
        <f t="shared" si="70"/>
        <v>11.473500000071908</v>
      </c>
      <c r="CV140" s="2212">
        <v>195</v>
      </c>
      <c r="CW140" s="2208"/>
      <c r="CX140" s="263"/>
      <c r="CY140" s="2208"/>
      <c r="CZ140" s="263"/>
      <c r="DA140" s="263"/>
      <c r="DB140" s="263"/>
      <c r="DC140" s="263"/>
      <c r="DD140" s="2208"/>
    </row>
    <row r="141" spans="1:108">
      <c r="A141" s="2217">
        <f t="shared" si="80"/>
        <v>-6.1876208340041572</v>
      </c>
      <c r="B141" s="2217">
        <f t="shared" si="71"/>
        <v>8830.1524629874893</v>
      </c>
      <c r="C141" s="2217">
        <f t="shared" si="72"/>
        <v>4.4455471008659515</v>
      </c>
      <c r="D141" s="2212">
        <v>194</v>
      </c>
      <c r="E141" s="2219"/>
      <c r="F141" s="2213"/>
      <c r="G141" s="2219"/>
      <c r="H141" s="2213"/>
      <c r="I141" s="2213"/>
      <c r="J141" s="2213"/>
      <c r="K141" s="2213"/>
      <c r="L141" s="2213"/>
      <c r="M141" s="2217">
        <f t="shared" si="81"/>
        <v>-5.8764325369435397</v>
      </c>
      <c r="N141" s="2217">
        <f t="shared" si="63"/>
        <v>8830.1524629874893</v>
      </c>
      <c r="O141" s="2217">
        <f t="shared" si="73"/>
        <v>4.4455471008659515</v>
      </c>
      <c r="P141" s="2212">
        <v>194</v>
      </c>
      <c r="Q141" s="2219"/>
      <c r="R141" s="2213"/>
      <c r="S141" s="2219"/>
      <c r="T141" s="2213"/>
      <c r="U141" s="2213"/>
      <c r="V141" s="2213"/>
      <c r="W141" s="2213"/>
      <c r="X141" s="2213"/>
      <c r="Y141" s="2217">
        <f t="shared" si="82"/>
        <v>-5.4763332978656036</v>
      </c>
      <c r="Z141" s="2217">
        <f t="shared" si="64"/>
        <v>8830.1524629874893</v>
      </c>
      <c r="AA141" s="2217">
        <f t="shared" si="74"/>
        <v>4.4455471008659515</v>
      </c>
      <c r="AB141" s="2212">
        <v>194</v>
      </c>
      <c r="AC141" s="2219"/>
      <c r="AD141" s="2213"/>
      <c r="AE141" s="2219"/>
      <c r="AF141" s="2213"/>
      <c r="AG141" s="2213"/>
      <c r="AH141" s="2213"/>
      <c r="AI141" s="2213"/>
      <c r="AJ141" s="2213"/>
      <c r="AK141" s="2217">
        <f t="shared" si="83"/>
        <v>-7.3879185512379637</v>
      </c>
      <c r="AL141" s="2217">
        <f t="shared" si="65"/>
        <v>8830.1524629874893</v>
      </c>
      <c r="AM141" s="2217">
        <f t="shared" si="75"/>
        <v>4.4455471008659515</v>
      </c>
      <c r="AN141" s="2212">
        <v>194</v>
      </c>
      <c r="AO141" s="2219"/>
      <c r="AP141" s="2213"/>
      <c r="AQ141" s="2219"/>
      <c r="AR141" s="2213"/>
      <c r="AS141" s="2213"/>
      <c r="AT141" s="2213"/>
      <c r="AU141" s="2213"/>
      <c r="AV141" s="2213"/>
      <c r="AW141" s="2217">
        <f t="shared" si="84"/>
        <v>0.67683400007881644</v>
      </c>
      <c r="AX141" s="2217">
        <f t="shared" si="85"/>
        <v>7041.714000004441</v>
      </c>
      <c r="AY141" s="2217">
        <f t="shared" si="66"/>
        <v>11.298900000074354</v>
      </c>
      <c r="AZ141" s="2212">
        <v>194</v>
      </c>
      <c r="BA141" s="2208"/>
      <c r="BB141" s="263"/>
      <c r="BC141" s="2208"/>
      <c r="BD141" s="263"/>
      <c r="BE141" s="263"/>
      <c r="BF141" s="263"/>
      <c r="BG141" s="263"/>
      <c r="BH141" s="2208"/>
      <c r="BI141" s="2217">
        <f t="shared" si="86"/>
        <v>4.179493000101866</v>
      </c>
      <c r="BJ141" s="2217">
        <f t="shared" si="76"/>
        <v>7041.714000004441</v>
      </c>
      <c r="BK141" s="2217">
        <f t="shared" si="67"/>
        <v>11.298900000074354</v>
      </c>
      <c r="BL141" s="2212">
        <v>194</v>
      </c>
      <c r="BM141" s="2208"/>
      <c r="BN141" s="263"/>
      <c r="BO141" s="2208"/>
      <c r="BP141" s="263"/>
      <c r="BQ141" s="263"/>
      <c r="BR141" s="263"/>
      <c r="BS141" s="263"/>
      <c r="BT141" s="2208"/>
      <c r="BU141" s="2217">
        <f t="shared" si="87"/>
        <v>-7.3879185512379637</v>
      </c>
      <c r="BV141" s="2217">
        <f t="shared" si="68"/>
        <v>8830.1524629874893</v>
      </c>
      <c r="BW141" s="2217">
        <f t="shared" si="77"/>
        <v>4.4455471008659515</v>
      </c>
      <c r="BX141" s="2212">
        <v>194</v>
      </c>
      <c r="BY141" s="2219"/>
      <c r="BZ141" s="2213"/>
      <c r="CA141" s="2219"/>
      <c r="CB141" s="2213"/>
      <c r="CC141" s="2213"/>
      <c r="CD141" s="2213"/>
      <c r="CE141" s="2213"/>
      <c r="CF141" s="2208"/>
      <c r="CG141" s="2217">
        <f t="shared" si="88"/>
        <v>-6.8544528991340492</v>
      </c>
      <c r="CH141" s="2217">
        <f t="shared" si="69"/>
        <v>8830.1524629874893</v>
      </c>
      <c r="CI141" s="2217">
        <f t="shared" si="78"/>
        <v>4.4455471008659515</v>
      </c>
      <c r="CJ141" s="2212">
        <v>194</v>
      </c>
      <c r="CK141" s="2219"/>
      <c r="CL141" s="2213"/>
      <c r="CM141" s="2219"/>
      <c r="CN141" s="2213"/>
      <c r="CO141" s="2213"/>
      <c r="CP141" s="2213"/>
      <c r="CQ141" s="2213"/>
      <c r="CR141" s="2208"/>
      <c r="CS141" s="2217">
        <f t="shared" si="89"/>
        <v>3.9535150001003796</v>
      </c>
      <c r="CT141" s="2217">
        <f t="shared" si="79"/>
        <v>7041.714000004441</v>
      </c>
      <c r="CU141" s="2217">
        <f t="shared" si="70"/>
        <v>11.298900000074354</v>
      </c>
      <c r="CV141" s="2212">
        <v>194</v>
      </c>
      <c r="CW141" s="2208"/>
      <c r="CX141" s="263"/>
      <c r="CY141" s="2208"/>
      <c r="CZ141" s="263"/>
      <c r="DA141" s="263"/>
      <c r="DB141" s="263"/>
      <c r="DC141" s="263"/>
      <c r="DD141" s="2208"/>
    </row>
    <row r="142" spans="1:108">
      <c r="A142" s="2217">
        <f t="shared" si="80"/>
        <v>-6.0079597027933245</v>
      </c>
      <c r="B142" s="2217">
        <f t="shared" si="71"/>
        <v>8825.7069158866234</v>
      </c>
      <c r="C142" s="2217">
        <f t="shared" si="72"/>
        <v>4.6017741714840668</v>
      </c>
      <c r="D142" s="2212">
        <v>193</v>
      </c>
      <c r="E142" s="2219"/>
      <c r="F142" s="2213"/>
      <c r="G142" s="2219"/>
      <c r="H142" s="2213"/>
      <c r="I142" s="2213"/>
      <c r="J142" s="2213"/>
      <c r="K142" s="2213"/>
      <c r="L142" s="2213"/>
      <c r="M142" s="2217">
        <f t="shared" si="81"/>
        <v>-5.6858355107894392</v>
      </c>
      <c r="N142" s="2217">
        <f t="shared" si="63"/>
        <v>8825.7069158866234</v>
      </c>
      <c r="O142" s="2217">
        <f t="shared" si="73"/>
        <v>4.6017741714840668</v>
      </c>
      <c r="P142" s="2212">
        <v>193</v>
      </c>
      <c r="Q142" s="2219"/>
      <c r="R142" s="2213"/>
      <c r="S142" s="2219"/>
      <c r="T142" s="2213"/>
      <c r="U142" s="2213"/>
      <c r="V142" s="2213"/>
      <c r="W142" s="2213"/>
      <c r="X142" s="2213"/>
      <c r="Y142" s="2217">
        <f t="shared" si="82"/>
        <v>-5.2716758353558726</v>
      </c>
      <c r="Z142" s="2217">
        <f t="shared" si="64"/>
        <v>8825.7069158866234</v>
      </c>
      <c r="AA142" s="2217">
        <f t="shared" si="74"/>
        <v>4.6017741714840668</v>
      </c>
      <c r="AB142" s="2212">
        <v>193</v>
      </c>
      <c r="AC142" s="2219"/>
      <c r="AD142" s="2213"/>
      <c r="AE142" s="2219"/>
      <c r="AF142" s="2213"/>
      <c r="AG142" s="2213"/>
      <c r="AH142" s="2213"/>
      <c r="AI142" s="2213"/>
      <c r="AJ142" s="2213"/>
      <c r="AK142" s="2217">
        <f t="shared" si="83"/>
        <v>-7.2504387290940224</v>
      </c>
      <c r="AL142" s="2217">
        <f t="shared" si="65"/>
        <v>8825.7069158866234</v>
      </c>
      <c r="AM142" s="2217">
        <f t="shared" si="75"/>
        <v>4.6017741714840668</v>
      </c>
      <c r="AN142" s="2212">
        <v>193</v>
      </c>
      <c r="AO142" s="2219"/>
      <c r="AP142" s="2213"/>
      <c r="AQ142" s="2219"/>
      <c r="AR142" s="2213"/>
      <c r="AS142" s="2213"/>
      <c r="AT142" s="2213"/>
      <c r="AU142" s="2213"/>
      <c r="AV142" s="2213"/>
      <c r="AW142" s="2217">
        <f t="shared" si="84"/>
        <v>0.49557400008045072</v>
      </c>
      <c r="AX142" s="2217">
        <f t="shared" si="85"/>
        <v>7030.4151000043666</v>
      </c>
      <c r="AY142" s="2217">
        <f t="shared" si="66"/>
        <v>11.127900000075897</v>
      </c>
      <c r="AZ142" s="2212">
        <v>193</v>
      </c>
      <c r="BA142" s="2208"/>
      <c r="BB142" s="263"/>
      <c r="BC142" s="2208"/>
      <c r="BD142" s="263"/>
      <c r="BE142" s="263"/>
      <c r="BF142" s="263"/>
      <c r="BG142" s="263"/>
      <c r="BH142" s="2208"/>
      <c r="BI142" s="2217">
        <f t="shared" si="86"/>
        <v>3.9452230001039794</v>
      </c>
      <c r="BJ142" s="2217">
        <f t="shared" si="76"/>
        <v>7030.4151000043666</v>
      </c>
      <c r="BK142" s="2217">
        <f t="shared" si="67"/>
        <v>11.127900000075897</v>
      </c>
      <c r="BL142" s="2212">
        <v>193</v>
      </c>
      <c r="BM142" s="2208"/>
      <c r="BN142" s="263"/>
      <c r="BO142" s="2208"/>
      <c r="BP142" s="263"/>
      <c r="BQ142" s="263"/>
      <c r="BR142" s="263"/>
      <c r="BS142" s="263"/>
      <c r="BT142" s="2208"/>
      <c r="BU142" s="2217">
        <f t="shared" si="87"/>
        <v>-7.2504387290940224</v>
      </c>
      <c r="BV142" s="2217">
        <f t="shared" si="68"/>
        <v>8825.7069158866234</v>
      </c>
      <c r="BW142" s="2217">
        <f t="shared" si="77"/>
        <v>4.6017741714840668</v>
      </c>
      <c r="BX142" s="2212">
        <v>193</v>
      </c>
      <c r="BY142" s="2219"/>
      <c r="BZ142" s="2213"/>
      <c r="CA142" s="2219"/>
      <c r="CB142" s="2213"/>
      <c r="CC142" s="2213"/>
      <c r="CD142" s="2213"/>
      <c r="CE142" s="2213"/>
      <c r="CF142" s="2208"/>
      <c r="CG142" s="2217">
        <f t="shared" si="88"/>
        <v>-6.698225828515934</v>
      </c>
      <c r="CH142" s="2217">
        <f t="shared" si="69"/>
        <v>8825.7069158866234</v>
      </c>
      <c r="CI142" s="2217">
        <f t="shared" si="78"/>
        <v>4.6017741714840668</v>
      </c>
      <c r="CJ142" s="2212">
        <v>193</v>
      </c>
      <c r="CK142" s="2219"/>
      <c r="CL142" s="2213"/>
      <c r="CM142" s="2219"/>
      <c r="CN142" s="2213"/>
      <c r="CO142" s="2213"/>
      <c r="CP142" s="2213"/>
      <c r="CQ142" s="2213"/>
      <c r="CR142" s="2208"/>
      <c r="CS142" s="2217">
        <f t="shared" si="89"/>
        <v>3.7226650001024613</v>
      </c>
      <c r="CT142" s="2217">
        <f t="shared" si="79"/>
        <v>7030.4151000043666</v>
      </c>
      <c r="CU142" s="2217">
        <f t="shared" si="70"/>
        <v>11.127900000075897</v>
      </c>
      <c r="CV142" s="2212">
        <v>193</v>
      </c>
      <c r="CW142" s="2208"/>
      <c r="CX142" s="263"/>
      <c r="CY142" s="2208"/>
      <c r="CZ142" s="263"/>
      <c r="DA142" s="263"/>
      <c r="DB142" s="263"/>
      <c r="DC142" s="263"/>
      <c r="DD142" s="2208"/>
    </row>
    <row r="143" spans="1:108">
      <c r="A143" s="2217">
        <f t="shared" si="80"/>
        <v>-5.8269856674888629</v>
      </c>
      <c r="B143" s="2217">
        <f t="shared" si="71"/>
        <v>8821.1051417151393</v>
      </c>
      <c r="C143" s="2217">
        <f t="shared" si="72"/>
        <v>4.7591428978357726</v>
      </c>
      <c r="D143" s="2212">
        <v>192</v>
      </c>
      <c r="E143" s="2219"/>
      <c r="F143" s="2213"/>
      <c r="G143" s="2219"/>
      <c r="H143" s="2213"/>
      <c r="I143" s="2213"/>
      <c r="J143" s="2213"/>
      <c r="K143" s="2213"/>
      <c r="L143" s="2213"/>
      <c r="M143" s="2217">
        <f t="shared" si="81"/>
        <v>-5.4938456646403582</v>
      </c>
      <c r="N143" s="2217">
        <f t="shared" si="63"/>
        <v>8821.1051417151393</v>
      </c>
      <c r="O143" s="2217">
        <f t="shared" si="73"/>
        <v>4.7591428978357726</v>
      </c>
      <c r="P143" s="2212">
        <v>192</v>
      </c>
      <c r="Q143" s="2219"/>
      <c r="R143" s="2213"/>
      <c r="S143" s="2219"/>
      <c r="T143" s="2213"/>
      <c r="U143" s="2213"/>
      <c r="V143" s="2213"/>
      <c r="W143" s="2213"/>
      <c r="X143" s="2213"/>
      <c r="Y143" s="2217">
        <f t="shared" si="82"/>
        <v>-5.0655228038351385</v>
      </c>
      <c r="Z143" s="2217">
        <f t="shared" si="64"/>
        <v>8821.1051417151393</v>
      </c>
      <c r="AA143" s="2217">
        <f t="shared" si="74"/>
        <v>4.7591428978357726</v>
      </c>
      <c r="AB143" s="2212">
        <v>192</v>
      </c>
      <c r="AC143" s="2219"/>
      <c r="AD143" s="2213"/>
      <c r="AE143" s="2219"/>
      <c r="AF143" s="2213"/>
      <c r="AG143" s="2213"/>
      <c r="AH143" s="2213"/>
      <c r="AI143" s="2213"/>
      <c r="AJ143" s="2213"/>
      <c r="AK143" s="2217">
        <f t="shared" si="83"/>
        <v>-7.111954249904521</v>
      </c>
      <c r="AL143" s="2217">
        <f t="shared" si="65"/>
        <v>8821.1051417151393</v>
      </c>
      <c r="AM143" s="2217">
        <f t="shared" si="75"/>
        <v>4.7591428978357726</v>
      </c>
      <c r="AN143" s="2212">
        <v>192</v>
      </c>
      <c r="AO143" s="2219"/>
      <c r="AP143" s="2213"/>
      <c r="AQ143" s="2219"/>
      <c r="AR143" s="2213"/>
      <c r="AS143" s="2213"/>
      <c r="AT143" s="2213"/>
      <c r="AU143" s="2213"/>
      <c r="AV143" s="2213"/>
      <c r="AW143" s="2217">
        <f t="shared" si="84"/>
        <v>0.31813000007727155</v>
      </c>
      <c r="AX143" s="2217">
        <f t="shared" si="85"/>
        <v>7019.2872000042908</v>
      </c>
      <c r="AY143" s="2217">
        <f t="shared" si="66"/>
        <v>10.960500000072898</v>
      </c>
      <c r="AZ143" s="2212">
        <v>192</v>
      </c>
      <c r="BA143" s="2208"/>
      <c r="BB143" s="263"/>
      <c r="BC143" s="2208"/>
      <c r="BD143" s="263"/>
      <c r="BE143" s="263"/>
      <c r="BF143" s="263"/>
      <c r="BG143" s="263"/>
      <c r="BH143" s="2208"/>
      <c r="BI143" s="2217">
        <f t="shared" si="86"/>
        <v>3.7158850000998704</v>
      </c>
      <c r="BJ143" s="2217">
        <f t="shared" si="76"/>
        <v>7019.2872000042908</v>
      </c>
      <c r="BK143" s="2217">
        <f t="shared" si="67"/>
        <v>10.960500000072898</v>
      </c>
      <c r="BL143" s="2212">
        <v>192</v>
      </c>
      <c r="BM143" s="2208"/>
      <c r="BN143" s="263"/>
      <c r="BO143" s="2208"/>
      <c r="BP143" s="263"/>
      <c r="BQ143" s="263"/>
      <c r="BR143" s="263"/>
      <c r="BS143" s="263"/>
      <c r="BT143" s="2208"/>
      <c r="BU143" s="2217">
        <f t="shared" si="87"/>
        <v>-7.111954249904521</v>
      </c>
      <c r="BV143" s="2217">
        <f t="shared" si="68"/>
        <v>8821.1051417151393</v>
      </c>
      <c r="BW143" s="2217">
        <f t="shared" si="77"/>
        <v>4.7591428978357726</v>
      </c>
      <c r="BX143" s="2212">
        <v>192</v>
      </c>
      <c r="BY143" s="2219"/>
      <c r="BZ143" s="2213"/>
      <c r="CA143" s="2219"/>
      <c r="CB143" s="2213"/>
      <c r="CC143" s="2213"/>
      <c r="CD143" s="2213"/>
      <c r="CE143" s="2213"/>
      <c r="CF143" s="2208"/>
      <c r="CG143" s="2217">
        <f t="shared" si="88"/>
        <v>-6.5408571021642281</v>
      </c>
      <c r="CH143" s="2217">
        <f t="shared" si="69"/>
        <v>8821.1051417151393</v>
      </c>
      <c r="CI143" s="2217">
        <f t="shared" si="78"/>
        <v>4.7591428978357726</v>
      </c>
      <c r="CJ143" s="2212">
        <v>192</v>
      </c>
      <c r="CK143" s="2219"/>
      <c r="CL143" s="2213"/>
      <c r="CM143" s="2219"/>
      <c r="CN143" s="2213"/>
      <c r="CO143" s="2213"/>
      <c r="CP143" s="2213"/>
      <c r="CQ143" s="2213"/>
      <c r="CR143" s="2208"/>
      <c r="CS143" s="2217">
        <f t="shared" si="89"/>
        <v>3.4966750000984117</v>
      </c>
      <c r="CT143" s="2217">
        <f t="shared" si="79"/>
        <v>7019.2872000042908</v>
      </c>
      <c r="CU143" s="2217">
        <f t="shared" si="70"/>
        <v>10.960500000072898</v>
      </c>
      <c r="CV143" s="2212">
        <v>192</v>
      </c>
      <c r="CW143" s="2208"/>
      <c r="CX143" s="263"/>
      <c r="CY143" s="2208"/>
      <c r="CZ143" s="263"/>
      <c r="DA143" s="263"/>
      <c r="DB143" s="263"/>
      <c r="DC143" s="263"/>
      <c r="DD143" s="2208"/>
    </row>
    <row r="144" spans="1:108">
      <c r="A144" s="2217">
        <f t="shared" si="80"/>
        <v>-5.6446987280907717</v>
      </c>
      <c r="B144" s="2217">
        <f t="shared" si="71"/>
        <v>8816.3459988173036</v>
      </c>
      <c r="C144" s="2217">
        <f t="shared" si="72"/>
        <v>4.917653279921069</v>
      </c>
      <c r="D144" s="2212">
        <v>191</v>
      </c>
      <c r="E144" s="2219"/>
      <c r="F144" s="2213"/>
      <c r="G144" s="2219"/>
      <c r="H144" s="2213"/>
      <c r="I144" s="2213"/>
      <c r="J144" s="2213"/>
      <c r="K144" s="2213"/>
      <c r="L144" s="2213"/>
      <c r="M144" s="2217">
        <f t="shared" si="81"/>
        <v>-5.3004629984962968</v>
      </c>
      <c r="N144" s="2217">
        <f t="shared" si="63"/>
        <v>8816.3459988173036</v>
      </c>
      <c r="O144" s="2217">
        <f t="shared" si="73"/>
        <v>4.917653279921069</v>
      </c>
      <c r="P144" s="2212">
        <v>191</v>
      </c>
      <c r="Q144" s="2219"/>
      <c r="R144" s="2213"/>
      <c r="S144" s="2219"/>
      <c r="T144" s="2213"/>
      <c r="U144" s="2213"/>
      <c r="V144" s="2213"/>
      <c r="W144" s="2213"/>
      <c r="X144" s="2213"/>
      <c r="Y144" s="2217">
        <f t="shared" si="82"/>
        <v>-4.8578742033033997</v>
      </c>
      <c r="Z144" s="2217">
        <f t="shared" si="64"/>
        <v>8816.3459988173036</v>
      </c>
      <c r="AA144" s="2217">
        <f t="shared" si="74"/>
        <v>4.917653279921069</v>
      </c>
      <c r="AB144" s="2212">
        <v>191</v>
      </c>
      <c r="AC144" s="2219"/>
      <c r="AD144" s="2213"/>
      <c r="AE144" s="2219"/>
      <c r="AF144" s="2213"/>
      <c r="AG144" s="2213"/>
      <c r="AH144" s="2213"/>
      <c r="AI144" s="2213"/>
      <c r="AJ144" s="2213"/>
      <c r="AK144" s="2217">
        <f t="shared" si="83"/>
        <v>-6.9724651136694602</v>
      </c>
      <c r="AL144" s="2217">
        <f t="shared" si="65"/>
        <v>8816.3459988173036</v>
      </c>
      <c r="AM144" s="2217">
        <f t="shared" si="75"/>
        <v>4.917653279921069</v>
      </c>
      <c r="AN144" s="2212">
        <v>191</v>
      </c>
      <c r="AO144" s="2219"/>
      <c r="AP144" s="2213"/>
      <c r="AQ144" s="2219"/>
      <c r="AR144" s="2213"/>
      <c r="AS144" s="2213"/>
      <c r="AT144" s="2213"/>
      <c r="AU144" s="2213"/>
      <c r="AV144" s="2213"/>
      <c r="AW144" s="2217">
        <f t="shared" si="84"/>
        <v>0.14450200007602731</v>
      </c>
      <c r="AX144" s="2217">
        <f t="shared" si="85"/>
        <v>7008.3267000042179</v>
      </c>
      <c r="AY144" s="2217">
        <f t="shared" si="66"/>
        <v>10.796700000071723</v>
      </c>
      <c r="AZ144" s="2212">
        <v>191</v>
      </c>
      <c r="BA144" s="2208"/>
      <c r="BB144" s="263"/>
      <c r="BC144" s="2208"/>
      <c r="BD144" s="263"/>
      <c r="BE144" s="263"/>
      <c r="BF144" s="263"/>
      <c r="BG144" s="263"/>
      <c r="BH144" s="2208"/>
      <c r="BI144" s="2217">
        <f t="shared" si="86"/>
        <v>3.491479000098261</v>
      </c>
      <c r="BJ144" s="2217">
        <f t="shared" si="76"/>
        <v>7008.3267000042179</v>
      </c>
      <c r="BK144" s="2217">
        <f t="shared" si="67"/>
        <v>10.796700000071723</v>
      </c>
      <c r="BL144" s="2212">
        <v>191</v>
      </c>
      <c r="BM144" s="2208"/>
      <c r="BN144" s="263"/>
      <c r="BO144" s="2208"/>
      <c r="BP144" s="263"/>
      <c r="BQ144" s="263"/>
      <c r="BR144" s="263"/>
      <c r="BS144" s="263"/>
      <c r="BT144" s="2208"/>
      <c r="BU144" s="2217">
        <f t="shared" si="87"/>
        <v>-6.9724651136694602</v>
      </c>
      <c r="BV144" s="2217">
        <f t="shared" si="68"/>
        <v>8816.3459988173036</v>
      </c>
      <c r="BW144" s="2217">
        <f t="shared" si="77"/>
        <v>4.917653279921069</v>
      </c>
      <c r="BX144" s="2212">
        <v>191</v>
      </c>
      <c r="BY144" s="2219"/>
      <c r="BZ144" s="2213"/>
      <c r="CA144" s="2219"/>
      <c r="CB144" s="2213"/>
      <c r="CC144" s="2213"/>
      <c r="CD144" s="2213"/>
      <c r="CE144" s="2213"/>
      <c r="CF144" s="2208"/>
      <c r="CG144" s="2217">
        <f t="shared" si="88"/>
        <v>-6.3823467200789317</v>
      </c>
      <c r="CH144" s="2217">
        <f t="shared" si="69"/>
        <v>8816.3459988173036</v>
      </c>
      <c r="CI144" s="2217">
        <f t="shared" si="78"/>
        <v>4.917653279921069</v>
      </c>
      <c r="CJ144" s="2212">
        <v>191</v>
      </c>
      <c r="CK144" s="2219"/>
      <c r="CL144" s="2213"/>
      <c r="CM144" s="2219"/>
      <c r="CN144" s="2213"/>
      <c r="CO144" s="2213"/>
      <c r="CP144" s="2213"/>
      <c r="CQ144" s="2213"/>
      <c r="CR144" s="2208"/>
      <c r="CS144" s="2217">
        <f t="shared" si="89"/>
        <v>3.2755450000968267</v>
      </c>
      <c r="CT144" s="2217">
        <f t="shared" si="79"/>
        <v>7008.3267000042179</v>
      </c>
      <c r="CU144" s="2217">
        <f t="shared" si="70"/>
        <v>10.796700000071723</v>
      </c>
      <c r="CV144" s="2212">
        <v>191</v>
      </c>
      <c r="CW144" s="2208"/>
      <c r="CX144" s="263"/>
      <c r="CY144" s="2208"/>
      <c r="CZ144" s="263"/>
      <c r="DA144" s="263"/>
      <c r="DB144" s="263"/>
      <c r="DC144" s="263"/>
      <c r="DD144" s="2208"/>
    </row>
    <row r="145" spans="1:108">
      <c r="A145" s="2217">
        <f t="shared" si="80"/>
        <v>-5.4610988845969599</v>
      </c>
      <c r="B145" s="2217">
        <f t="shared" si="71"/>
        <v>8811.4283455373825</v>
      </c>
      <c r="C145" s="2217">
        <f t="shared" si="72"/>
        <v>5.0773053177417751</v>
      </c>
      <c r="D145" s="2212">
        <v>190</v>
      </c>
      <c r="E145" s="2219"/>
      <c r="F145" s="2213"/>
      <c r="G145" s="2219"/>
      <c r="H145" s="2213"/>
      <c r="I145" s="2213"/>
      <c r="J145" s="2213"/>
      <c r="K145" s="2213"/>
      <c r="L145" s="2213"/>
      <c r="M145" s="2217">
        <f t="shared" si="81"/>
        <v>-5.1056875123550354</v>
      </c>
      <c r="N145" s="2217">
        <f t="shared" si="63"/>
        <v>8811.4283455373825</v>
      </c>
      <c r="O145" s="2217">
        <f t="shared" si="73"/>
        <v>5.0773053177417751</v>
      </c>
      <c r="P145" s="2212">
        <v>190</v>
      </c>
      <c r="Q145" s="2219"/>
      <c r="R145" s="2213"/>
      <c r="S145" s="2219"/>
      <c r="T145" s="2213"/>
      <c r="U145" s="2213"/>
      <c r="V145" s="2213"/>
      <c r="W145" s="2213"/>
      <c r="X145" s="2213"/>
      <c r="Y145" s="2217">
        <f t="shared" si="82"/>
        <v>-4.6487300337582749</v>
      </c>
      <c r="Z145" s="2217">
        <f t="shared" si="64"/>
        <v>8811.4283455373825</v>
      </c>
      <c r="AA145" s="2217">
        <f t="shared" si="74"/>
        <v>5.0773053177417751</v>
      </c>
      <c r="AB145" s="2212">
        <v>190</v>
      </c>
      <c r="AC145" s="2219"/>
      <c r="AD145" s="2213"/>
      <c r="AE145" s="2219"/>
      <c r="AF145" s="2213"/>
      <c r="AG145" s="2213"/>
      <c r="AH145" s="2213"/>
      <c r="AI145" s="2213"/>
      <c r="AJ145" s="2213"/>
      <c r="AK145" s="2217">
        <f t="shared" si="83"/>
        <v>-6.8319713203872388</v>
      </c>
      <c r="AL145" s="2217">
        <f t="shared" si="65"/>
        <v>8811.4283455373825</v>
      </c>
      <c r="AM145" s="2217">
        <f t="shared" si="75"/>
        <v>5.0773053177417751</v>
      </c>
      <c r="AN145" s="2212">
        <v>190</v>
      </c>
      <c r="AO145" s="2219"/>
      <c r="AP145" s="2213"/>
      <c r="AQ145" s="2219"/>
      <c r="AR145" s="2213"/>
      <c r="AS145" s="2213"/>
      <c r="AT145" s="2213"/>
      <c r="AU145" s="2213"/>
      <c r="AV145" s="2213"/>
      <c r="AW145" s="2217">
        <f t="shared" si="84"/>
        <v>-2.5309999922319193E-2</v>
      </c>
      <c r="AX145" s="2217">
        <f t="shared" si="85"/>
        <v>6997.5300000041461</v>
      </c>
      <c r="AY145" s="2217">
        <f t="shared" si="66"/>
        <v>10.636500000073283</v>
      </c>
      <c r="AZ145" s="2212">
        <v>190</v>
      </c>
      <c r="BA145" s="2208"/>
      <c r="BB145" s="263"/>
      <c r="BC145" s="2208"/>
      <c r="BD145" s="263"/>
      <c r="BE145" s="263"/>
      <c r="BF145" s="263"/>
      <c r="BG145" s="263"/>
      <c r="BH145" s="2208"/>
      <c r="BI145" s="2217">
        <f t="shared" si="86"/>
        <v>3.272005000100398</v>
      </c>
      <c r="BJ145" s="2217">
        <f t="shared" si="76"/>
        <v>6997.5300000041461</v>
      </c>
      <c r="BK145" s="2217">
        <f t="shared" si="67"/>
        <v>10.636500000073283</v>
      </c>
      <c r="BL145" s="2212">
        <v>190</v>
      </c>
      <c r="BM145" s="2208"/>
      <c r="BN145" s="263"/>
      <c r="BO145" s="2208"/>
      <c r="BP145" s="263"/>
      <c r="BQ145" s="263"/>
      <c r="BR145" s="263"/>
      <c r="BS145" s="263"/>
      <c r="BT145" s="2208"/>
      <c r="BU145" s="2217">
        <f t="shared" si="87"/>
        <v>-6.8319713203872388</v>
      </c>
      <c r="BV145" s="2217">
        <f t="shared" si="68"/>
        <v>8811.4283455373825</v>
      </c>
      <c r="BW145" s="2217">
        <f t="shared" si="77"/>
        <v>5.0773053177417751</v>
      </c>
      <c r="BX145" s="2212">
        <v>190</v>
      </c>
      <c r="BY145" s="2219"/>
      <c r="BZ145" s="2213"/>
      <c r="CA145" s="2219"/>
      <c r="CB145" s="2213"/>
      <c r="CC145" s="2213"/>
      <c r="CD145" s="2213"/>
      <c r="CE145" s="2213"/>
      <c r="CF145" s="2208"/>
      <c r="CG145" s="2217">
        <f t="shared" si="88"/>
        <v>-6.2226946822582256</v>
      </c>
      <c r="CH145" s="2217">
        <f t="shared" si="69"/>
        <v>8811.4283455373825</v>
      </c>
      <c r="CI145" s="2217">
        <f t="shared" si="78"/>
        <v>5.0773053177417751</v>
      </c>
      <c r="CJ145" s="2212">
        <v>190</v>
      </c>
      <c r="CK145" s="2219"/>
      <c r="CL145" s="2213"/>
      <c r="CM145" s="2219"/>
      <c r="CN145" s="2213"/>
      <c r="CO145" s="2213"/>
      <c r="CP145" s="2213"/>
      <c r="CQ145" s="2213"/>
      <c r="CR145" s="2208"/>
      <c r="CS145" s="2217">
        <f t="shared" si="89"/>
        <v>3.0592750000989337</v>
      </c>
      <c r="CT145" s="2217">
        <f t="shared" si="79"/>
        <v>6997.5300000041461</v>
      </c>
      <c r="CU145" s="2217">
        <f t="shared" si="70"/>
        <v>10.636500000073283</v>
      </c>
      <c r="CV145" s="2212">
        <v>190</v>
      </c>
      <c r="CW145" s="2208"/>
      <c r="CX145" s="263"/>
      <c r="CY145" s="2208"/>
      <c r="CZ145" s="263"/>
      <c r="DA145" s="263"/>
      <c r="DB145" s="263"/>
      <c r="DC145" s="263"/>
      <c r="DD145" s="2208"/>
    </row>
    <row r="146" spans="1:108">
      <c r="A146" s="2217">
        <f t="shared" si="80"/>
        <v>-5.2761861370095184</v>
      </c>
      <c r="B146" s="2217">
        <f t="shared" si="71"/>
        <v>8806.3510402196407</v>
      </c>
      <c r="C146" s="2217">
        <f t="shared" si="72"/>
        <v>5.2380990112960717</v>
      </c>
      <c r="D146" s="2212">
        <v>189</v>
      </c>
      <c r="E146" s="2219"/>
      <c r="F146" s="2213"/>
      <c r="G146" s="2219"/>
      <c r="H146" s="2213"/>
      <c r="I146" s="2213"/>
      <c r="J146" s="2213"/>
      <c r="K146" s="2213"/>
      <c r="L146" s="2213"/>
      <c r="M146" s="2217">
        <f t="shared" si="81"/>
        <v>-4.9095192062187936</v>
      </c>
      <c r="N146" s="2217">
        <f t="shared" si="63"/>
        <v>8806.3510402196407</v>
      </c>
      <c r="O146" s="2217">
        <f t="shared" si="73"/>
        <v>5.2380990112960717</v>
      </c>
      <c r="P146" s="2212">
        <v>189</v>
      </c>
      <c r="Q146" s="2219"/>
      <c r="R146" s="2213"/>
      <c r="S146" s="2219"/>
      <c r="T146" s="2213"/>
      <c r="U146" s="2213"/>
      <c r="V146" s="2213"/>
      <c r="W146" s="2213"/>
      <c r="X146" s="2213"/>
      <c r="Y146" s="2217">
        <f t="shared" si="82"/>
        <v>-4.4380902952021462</v>
      </c>
      <c r="Z146" s="2217">
        <f t="shared" si="64"/>
        <v>8806.3510402196407</v>
      </c>
      <c r="AA146" s="2217">
        <f t="shared" si="74"/>
        <v>5.2380990112960717</v>
      </c>
      <c r="AB146" s="2212">
        <v>189</v>
      </c>
      <c r="AC146" s="2219"/>
      <c r="AD146" s="2213"/>
      <c r="AE146" s="2219"/>
      <c r="AF146" s="2213"/>
      <c r="AG146" s="2213"/>
      <c r="AH146" s="2213"/>
      <c r="AI146" s="2213"/>
      <c r="AJ146" s="2213"/>
      <c r="AK146" s="2217">
        <f t="shared" si="83"/>
        <v>-6.690472870059458</v>
      </c>
      <c r="AL146" s="2217">
        <f t="shared" si="65"/>
        <v>8806.3510402196407</v>
      </c>
      <c r="AM146" s="2217">
        <f t="shared" si="75"/>
        <v>5.2380990112960717</v>
      </c>
      <c r="AN146" s="2212">
        <v>189</v>
      </c>
      <c r="AO146" s="2219"/>
      <c r="AP146" s="2213"/>
      <c r="AQ146" s="2219"/>
      <c r="AR146" s="2213"/>
      <c r="AS146" s="2213"/>
      <c r="AT146" s="2213"/>
      <c r="AU146" s="2213"/>
      <c r="AV146" s="2213"/>
      <c r="AW146" s="2217">
        <f t="shared" si="84"/>
        <v>-0.19130599992258723</v>
      </c>
      <c r="AX146" s="2217">
        <f t="shared" si="85"/>
        <v>6986.8935000040728</v>
      </c>
      <c r="AY146" s="2217">
        <f t="shared" si="66"/>
        <v>10.47990000007303</v>
      </c>
      <c r="AZ146" s="2212">
        <v>189</v>
      </c>
      <c r="BA146" s="2208"/>
      <c r="BB146" s="263"/>
      <c r="BC146" s="2208"/>
      <c r="BD146" s="263"/>
      <c r="BE146" s="263"/>
      <c r="BF146" s="263"/>
      <c r="BG146" s="263"/>
      <c r="BH146" s="2208"/>
      <c r="BI146" s="2217">
        <f t="shared" si="86"/>
        <v>3.0574630001000518</v>
      </c>
      <c r="BJ146" s="2217">
        <f t="shared" si="76"/>
        <v>6986.8935000040728</v>
      </c>
      <c r="BK146" s="2217">
        <f t="shared" si="67"/>
        <v>10.47990000007303</v>
      </c>
      <c r="BL146" s="2212">
        <v>189</v>
      </c>
      <c r="BM146" s="2208"/>
      <c r="BN146" s="263"/>
      <c r="BO146" s="2208"/>
      <c r="BP146" s="263"/>
      <c r="BQ146" s="263"/>
      <c r="BR146" s="263"/>
      <c r="BS146" s="263"/>
      <c r="BT146" s="2208"/>
      <c r="BU146" s="2217">
        <f t="shared" si="87"/>
        <v>-6.690472870059458</v>
      </c>
      <c r="BV146" s="2217">
        <f t="shared" si="68"/>
        <v>8806.3510402196407</v>
      </c>
      <c r="BW146" s="2217">
        <f t="shared" si="77"/>
        <v>5.2380990112960717</v>
      </c>
      <c r="BX146" s="2212">
        <v>189</v>
      </c>
      <c r="BY146" s="2219"/>
      <c r="BZ146" s="2213"/>
      <c r="CA146" s="2219"/>
      <c r="CB146" s="2213"/>
      <c r="CC146" s="2213"/>
      <c r="CD146" s="2213"/>
      <c r="CE146" s="2213"/>
      <c r="CF146" s="2208"/>
      <c r="CG146" s="2217">
        <f t="shared" si="88"/>
        <v>-6.061900988703929</v>
      </c>
      <c r="CH146" s="2217">
        <f t="shared" si="69"/>
        <v>8806.3510402196407</v>
      </c>
      <c r="CI146" s="2217">
        <f t="shared" si="78"/>
        <v>5.2380990112960717</v>
      </c>
      <c r="CJ146" s="2212">
        <v>189</v>
      </c>
      <c r="CK146" s="2219"/>
      <c r="CL146" s="2213"/>
      <c r="CM146" s="2219"/>
      <c r="CN146" s="2213"/>
      <c r="CO146" s="2213"/>
      <c r="CP146" s="2213"/>
      <c r="CQ146" s="2213"/>
      <c r="CR146" s="2208"/>
      <c r="CS146" s="2217">
        <f t="shared" si="89"/>
        <v>2.8478650000985919</v>
      </c>
      <c r="CT146" s="2217">
        <f t="shared" si="79"/>
        <v>6986.8935000040728</v>
      </c>
      <c r="CU146" s="2217">
        <f t="shared" si="70"/>
        <v>10.47990000007303</v>
      </c>
      <c r="CV146" s="2212">
        <v>189</v>
      </c>
      <c r="CW146" s="2208"/>
      <c r="CX146" s="263"/>
      <c r="CY146" s="2208"/>
      <c r="CZ146" s="263"/>
      <c r="DA146" s="263"/>
      <c r="DB146" s="263"/>
      <c r="DC146" s="263"/>
      <c r="DD146" s="2208"/>
    </row>
    <row r="147" spans="1:108">
      <c r="A147" s="2217">
        <f t="shared" si="80"/>
        <v>-5.0899604853242648</v>
      </c>
      <c r="B147" s="2217">
        <f t="shared" si="71"/>
        <v>8801.1129412083446</v>
      </c>
      <c r="C147" s="2217">
        <f t="shared" si="72"/>
        <v>5.4000343605875969</v>
      </c>
      <c r="D147" s="2212">
        <v>188</v>
      </c>
      <c r="E147" s="2219"/>
      <c r="F147" s="2213"/>
      <c r="G147" s="2219"/>
      <c r="H147" s="2213"/>
      <c r="I147" s="2213"/>
      <c r="J147" s="2213"/>
      <c r="K147" s="2213"/>
      <c r="L147" s="2213"/>
      <c r="M147" s="2217">
        <f t="shared" si="81"/>
        <v>-4.7119580800831322</v>
      </c>
      <c r="N147" s="2217">
        <f t="shared" si="63"/>
        <v>8801.1129412083446</v>
      </c>
      <c r="O147" s="2217">
        <f t="shared" si="73"/>
        <v>5.4000343605875969</v>
      </c>
      <c r="P147" s="2212">
        <v>188</v>
      </c>
      <c r="Q147" s="2219"/>
      <c r="R147" s="2213"/>
      <c r="S147" s="2219"/>
      <c r="T147" s="2213"/>
      <c r="U147" s="2213"/>
      <c r="V147" s="2213"/>
      <c r="W147" s="2213"/>
      <c r="X147" s="2213"/>
      <c r="Y147" s="2217">
        <f t="shared" si="82"/>
        <v>-4.2259549876302485</v>
      </c>
      <c r="Z147" s="2217">
        <f t="shared" si="64"/>
        <v>8801.1129412083446</v>
      </c>
      <c r="AA147" s="2217">
        <f t="shared" si="74"/>
        <v>5.4000343605875969</v>
      </c>
      <c r="AB147" s="2212">
        <v>188</v>
      </c>
      <c r="AC147" s="2219"/>
      <c r="AD147" s="2213"/>
      <c r="AE147" s="2219"/>
      <c r="AF147" s="2213"/>
      <c r="AG147" s="2213"/>
      <c r="AH147" s="2213"/>
      <c r="AI147" s="2213"/>
      <c r="AJ147" s="2213"/>
      <c r="AK147" s="2217">
        <f t="shared" si="83"/>
        <v>-6.5479697626829161</v>
      </c>
      <c r="AL147" s="2217">
        <f t="shared" si="65"/>
        <v>8801.1129412083446</v>
      </c>
      <c r="AM147" s="2217">
        <f t="shared" si="75"/>
        <v>5.4000343605875969</v>
      </c>
      <c r="AN147" s="2212">
        <v>188</v>
      </c>
      <c r="AO147" s="2219"/>
      <c r="AP147" s="2213"/>
      <c r="AQ147" s="2219"/>
      <c r="AR147" s="2213"/>
      <c r="AS147" s="2213"/>
      <c r="AT147" s="2213"/>
      <c r="AU147" s="2213"/>
      <c r="AV147" s="2213"/>
      <c r="AW147" s="2217">
        <f t="shared" si="84"/>
        <v>-0.35348599992092211</v>
      </c>
      <c r="AX147" s="2217">
        <f t="shared" si="85"/>
        <v>6976.4136000039998</v>
      </c>
      <c r="AY147" s="2217">
        <f t="shared" si="66"/>
        <v>10.326900000074602</v>
      </c>
      <c r="AZ147" s="2212">
        <v>188</v>
      </c>
      <c r="BA147" s="2208"/>
      <c r="BB147" s="263"/>
      <c r="BC147" s="2208"/>
      <c r="BD147" s="263"/>
      <c r="BE147" s="263"/>
      <c r="BF147" s="263"/>
      <c r="BG147" s="263"/>
      <c r="BH147" s="2208"/>
      <c r="BI147" s="2217">
        <f t="shared" si="86"/>
        <v>2.8478530001022051</v>
      </c>
      <c r="BJ147" s="2217">
        <f t="shared" si="76"/>
        <v>6976.4136000039998</v>
      </c>
      <c r="BK147" s="2217">
        <f t="shared" si="67"/>
        <v>10.326900000074602</v>
      </c>
      <c r="BL147" s="2212">
        <v>188</v>
      </c>
      <c r="BM147" s="2208"/>
      <c r="BN147" s="263"/>
      <c r="BO147" s="2208"/>
      <c r="BP147" s="263"/>
      <c r="BQ147" s="263"/>
      <c r="BR147" s="263"/>
      <c r="BS147" s="263"/>
      <c r="BT147" s="2208"/>
      <c r="BU147" s="2217">
        <f t="shared" si="87"/>
        <v>-6.5479697626829161</v>
      </c>
      <c r="BV147" s="2217">
        <f t="shared" si="68"/>
        <v>8801.1129412083446</v>
      </c>
      <c r="BW147" s="2217">
        <f t="shared" si="77"/>
        <v>5.4000343605875969</v>
      </c>
      <c r="BX147" s="2212">
        <v>188</v>
      </c>
      <c r="BY147" s="2219"/>
      <c r="BZ147" s="2213"/>
      <c r="CA147" s="2219"/>
      <c r="CB147" s="2213"/>
      <c r="CC147" s="2213"/>
      <c r="CD147" s="2213"/>
      <c r="CE147" s="2213"/>
      <c r="CF147" s="2208"/>
      <c r="CG147" s="2217">
        <f t="shared" si="88"/>
        <v>-5.8999656394124038</v>
      </c>
      <c r="CH147" s="2217">
        <f t="shared" si="69"/>
        <v>8801.1129412083446</v>
      </c>
      <c r="CI147" s="2217">
        <f t="shared" si="78"/>
        <v>5.4000343605875969</v>
      </c>
      <c r="CJ147" s="2212">
        <v>188</v>
      </c>
      <c r="CK147" s="2219"/>
      <c r="CL147" s="2213"/>
      <c r="CM147" s="2219"/>
      <c r="CN147" s="2213"/>
      <c r="CO147" s="2213"/>
      <c r="CP147" s="2213"/>
      <c r="CQ147" s="2213"/>
      <c r="CR147" s="2208"/>
      <c r="CS147" s="2217">
        <f t="shared" si="89"/>
        <v>2.6413150001007129</v>
      </c>
      <c r="CT147" s="2217">
        <f t="shared" si="79"/>
        <v>6976.4136000039998</v>
      </c>
      <c r="CU147" s="2217">
        <f t="shared" si="70"/>
        <v>10.326900000074602</v>
      </c>
      <c r="CV147" s="2212">
        <v>188</v>
      </c>
      <c r="CW147" s="2208"/>
      <c r="CX147" s="263"/>
      <c r="CY147" s="2208"/>
      <c r="CZ147" s="263"/>
      <c r="DA147" s="263"/>
      <c r="DB147" s="263"/>
      <c r="DC147" s="263"/>
      <c r="DD147" s="2208"/>
    </row>
    <row r="148" spans="1:108">
      <c r="A148" s="2217">
        <f t="shared" si="80"/>
        <v>-4.9024219295474731</v>
      </c>
      <c r="B148" s="2217">
        <f t="shared" si="71"/>
        <v>8795.712906847757</v>
      </c>
      <c r="C148" s="2217">
        <f t="shared" si="72"/>
        <v>5.5631113656108937</v>
      </c>
      <c r="D148" s="2212">
        <v>187</v>
      </c>
      <c r="E148" s="2219"/>
      <c r="F148" s="2213"/>
      <c r="G148" s="2219"/>
      <c r="H148" s="2213"/>
      <c r="I148" s="2213"/>
      <c r="J148" s="2213"/>
      <c r="K148" s="2213"/>
      <c r="L148" s="2213"/>
      <c r="M148" s="2217">
        <f t="shared" si="81"/>
        <v>-4.5130041339547109</v>
      </c>
      <c r="N148" s="2217">
        <f t="shared" si="63"/>
        <v>8795.712906847757</v>
      </c>
      <c r="O148" s="2217">
        <f t="shared" si="73"/>
        <v>5.5631113656108937</v>
      </c>
      <c r="P148" s="2212">
        <v>187</v>
      </c>
      <c r="Q148" s="2219"/>
      <c r="R148" s="2213"/>
      <c r="S148" s="2219"/>
      <c r="T148" s="2213"/>
      <c r="U148" s="2213"/>
      <c r="V148" s="2213"/>
      <c r="W148" s="2213"/>
      <c r="X148" s="2213"/>
      <c r="Y148" s="2217">
        <f t="shared" si="82"/>
        <v>-4.0123241110497299</v>
      </c>
      <c r="Z148" s="2217">
        <f t="shared" si="64"/>
        <v>8795.712906847757</v>
      </c>
      <c r="AA148" s="2217">
        <f t="shared" si="74"/>
        <v>5.5631113656108937</v>
      </c>
      <c r="AB148" s="2212">
        <v>187</v>
      </c>
      <c r="AC148" s="2219"/>
      <c r="AD148" s="2213"/>
      <c r="AE148" s="2219"/>
      <c r="AF148" s="2213"/>
      <c r="AG148" s="2213"/>
      <c r="AH148" s="2213"/>
      <c r="AI148" s="2213"/>
      <c r="AJ148" s="2213"/>
      <c r="AK148" s="2217">
        <f t="shared" si="83"/>
        <v>-6.4044619982624145</v>
      </c>
      <c r="AL148" s="2217">
        <f t="shared" si="65"/>
        <v>8795.712906847757</v>
      </c>
      <c r="AM148" s="2217">
        <f t="shared" si="75"/>
        <v>5.5631113656108937</v>
      </c>
      <c r="AN148" s="2212">
        <v>187</v>
      </c>
      <c r="AO148" s="2219"/>
      <c r="AP148" s="2213"/>
      <c r="AQ148" s="2219"/>
      <c r="AR148" s="2213"/>
      <c r="AS148" s="2213"/>
      <c r="AT148" s="2213"/>
      <c r="AU148" s="2213"/>
      <c r="AV148" s="2213"/>
      <c r="AW148" s="2217">
        <f t="shared" si="84"/>
        <v>-0.51184999992503499</v>
      </c>
      <c r="AX148" s="2217">
        <f t="shared" si="85"/>
        <v>6966.0867000039252</v>
      </c>
      <c r="AY148" s="2217">
        <f t="shared" si="66"/>
        <v>10.177500000070722</v>
      </c>
      <c r="AZ148" s="2212">
        <v>187</v>
      </c>
      <c r="BA148" s="2208"/>
      <c r="BB148" s="263"/>
      <c r="BC148" s="2208"/>
      <c r="BD148" s="263"/>
      <c r="BE148" s="263"/>
      <c r="BF148" s="263"/>
      <c r="BG148" s="263"/>
      <c r="BH148" s="2208"/>
      <c r="BI148" s="2217">
        <f t="shared" si="86"/>
        <v>2.6431750000968908</v>
      </c>
      <c r="BJ148" s="2217">
        <f t="shared" si="76"/>
        <v>6966.0867000039252</v>
      </c>
      <c r="BK148" s="2217">
        <f t="shared" si="67"/>
        <v>10.177500000070722</v>
      </c>
      <c r="BL148" s="2212">
        <v>187</v>
      </c>
      <c r="BM148" s="2208"/>
      <c r="BN148" s="263"/>
      <c r="BO148" s="2208"/>
      <c r="BP148" s="263"/>
      <c r="BQ148" s="263"/>
      <c r="BR148" s="263"/>
      <c r="BS148" s="263"/>
      <c r="BT148" s="2208"/>
      <c r="BU148" s="2217">
        <f t="shared" si="87"/>
        <v>-6.4044619982624145</v>
      </c>
      <c r="BV148" s="2217">
        <f t="shared" si="68"/>
        <v>8795.712906847757</v>
      </c>
      <c r="BW148" s="2217">
        <f t="shared" si="77"/>
        <v>5.5631113656108937</v>
      </c>
      <c r="BX148" s="2212">
        <v>187</v>
      </c>
      <c r="BY148" s="2219"/>
      <c r="BZ148" s="2213"/>
      <c r="CA148" s="2219"/>
      <c r="CB148" s="2213"/>
      <c r="CC148" s="2213"/>
      <c r="CD148" s="2213"/>
      <c r="CE148" s="2213"/>
      <c r="CF148" s="2208"/>
      <c r="CG148" s="2217">
        <f t="shared" si="88"/>
        <v>-5.736888634389107</v>
      </c>
      <c r="CH148" s="2217">
        <f t="shared" si="69"/>
        <v>8795.712906847757</v>
      </c>
      <c r="CI148" s="2217">
        <f t="shared" si="78"/>
        <v>5.5631113656108937</v>
      </c>
      <c r="CJ148" s="2212">
        <v>187</v>
      </c>
      <c r="CK148" s="2219"/>
      <c r="CL148" s="2213"/>
      <c r="CM148" s="2219"/>
      <c r="CN148" s="2213"/>
      <c r="CO148" s="2213"/>
      <c r="CP148" s="2213"/>
      <c r="CQ148" s="2213"/>
      <c r="CR148" s="2208"/>
      <c r="CS148" s="2217">
        <f t="shared" si="89"/>
        <v>2.4396250000954751</v>
      </c>
      <c r="CT148" s="2217">
        <f t="shared" si="79"/>
        <v>6966.0867000039252</v>
      </c>
      <c r="CU148" s="2217">
        <f t="shared" si="70"/>
        <v>10.177500000070722</v>
      </c>
      <c r="CV148" s="2212">
        <v>187</v>
      </c>
      <c r="CW148" s="2208"/>
      <c r="CX148" s="263"/>
      <c r="CY148" s="2208"/>
      <c r="CZ148" s="263"/>
      <c r="DA148" s="263"/>
      <c r="DB148" s="263"/>
      <c r="DC148" s="263"/>
      <c r="DD148" s="2208"/>
    </row>
    <row r="149" spans="1:108">
      <c r="A149" s="2217">
        <f t="shared" si="80"/>
        <v>-4.7135704696728693</v>
      </c>
      <c r="B149" s="2217">
        <f t="shared" si="71"/>
        <v>8790.1497954821461</v>
      </c>
      <c r="C149" s="2217">
        <f t="shared" si="72"/>
        <v>5.7273300263714191</v>
      </c>
      <c r="D149" s="2212">
        <v>186</v>
      </c>
      <c r="E149" s="2219"/>
      <c r="F149" s="2213"/>
      <c r="G149" s="2219"/>
      <c r="H149" s="2213"/>
      <c r="I149" s="2213"/>
      <c r="J149" s="2213"/>
      <c r="K149" s="2213"/>
      <c r="L149" s="2213"/>
      <c r="M149" s="2217">
        <f t="shared" si="81"/>
        <v>-4.3126573678268691</v>
      </c>
      <c r="N149" s="2217">
        <f t="shared" si="63"/>
        <v>8790.1497954821461</v>
      </c>
      <c r="O149" s="2217">
        <f t="shared" si="73"/>
        <v>5.7273300263714191</v>
      </c>
      <c r="P149" s="2212">
        <v>186</v>
      </c>
      <c r="Q149" s="2219"/>
      <c r="R149" s="2213"/>
      <c r="S149" s="2219"/>
      <c r="T149" s="2213"/>
      <c r="U149" s="2213"/>
      <c r="V149" s="2213"/>
      <c r="W149" s="2213"/>
      <c r="X149" s="2213"/>
      <c r="Y149" s="2217">
        <f t="shared" si="82"/>
        <v>-3.7971976654534414</v>
      </c>
      <c r="Z149" s="2217">
        <f t="shared" si="64"/>
        <v>8790.1497954821461</v>
      </c>
      <c r="AA149" s="2217">
        <f t="shared" si="74"/>
        <v>5.7273300263714191</v>
      </c>
      <c r="AB149" s="2212">
        <v>186</v>
      </c>
      <c r="AC149" s="2219"/>
      <c r="AD149" s="2213"/>
      <c r="AE149" s="2219"/>
      <c r="AF149" s="2213"/>
      <c r="AG149" s="2213"/>
      <c r="AH149" s="2213"/>
      <c r="AI149" s="2213"/>
      <c r="AJ149" s="2213"/>
      <c r="AK149" s="2217">
        <f t="shared" si="83"/>
        <v>-6.2599495767931526</v>
      </c>
      <c r="AL149" s="2217">
        <f t="shared" si="65"/>
        <v>8790.1497954821461</v>
      </c>
      <c r="AM149" s="2217">
        <f t="shared" si="75"/>
        <v>5.7273300263714191</v>
      </c>
      <c r="AN149" s="2212">
        <v>186</v>
      </c>
      <c r="AO149" s="2219"/>
      <c r="AP149" s="2213"/>
      <c r="AQ149" s="2219"/>
      <c r="AR149" s="2213"/>
      <c r="AS149" s="2213"/>
      <c r="AT149" s="2213"/>
      <c r="AU149" s="2213"/>
      <c r="AV149" s="2213"/>
      <c r="AW149" s="2217">
        <f t="shared" si="84"/>
        <v>-0.66639799992432103</v>
      </c>
      <c r="AX149" s="2217">
        <f t="shared" si="85"/>
        <v>6955.9092000038545</v>
      </c>
      <c r="AY149" s="2217">
        <f t="shared" si="66"/>
        <v>10.031700000071396</v>
      </c>
      <c r="AZ149" s="2212">
        <v>186</v>
      </c>
      <c r="BA149" s="2208"/>
      <c r="BB149" s="263"/>
      <c r="BC149" s="2208"/>
      <c r="BD149" s="263"/>
      <c r="BE149" s="263"/>
      <c r="BF149" s="263"/>
      <c r="BG149" s="263"/>
      <c r="BH149" s="2208"/>
      <c r="BI149" s="2217">
        <f t="shared" si="86"/>
        <v>2.4434290000978134</v>
      </c>
      <c r="BJ149" s="2217">
        <f t="shared" si="76"/>
        <v>6955.9092000038545</v>
      </c>
      <c r="BK149" s="2217">
        <f t="shared" si="67"/>
        <v>10.031700000071396</v>
      </c>
      <c r="BL149" s="2212">
        <v>186</v>
      </c>
      <c r="BM149" s="2208"/>
      <c r="BN149" s="263"/>
      <c r="BO149" s="2208"/>
      <c r="BP149" s="263"/>
      <c r="BQ149" s="263"/>
      <c r="BR149" s="263"/>
      <c r="BS149" s="263"/>
      <c r="BT149" s="2208"/>
      <c r="BU149" s="2217">
        <f t="shared" si="87"/>
        <v>-6.2599495767931526</v>
      </c>
      <c r="BV149" s="2217">
        <f t="shared" si="68"/>
        <v>8790.1497954821461</v>
      </c>
      <c r="BW149" s="2217">
        <f t="shared" si="77"/>
        <v>5.7273300263714191</v>
      </c>
      <c r="BX149" s="2212">
        <v>186</v>
      </c>
      <c r="BY149" s="2219"/>
      <c r="BZ149" s="2213"/>
      <c r="CA149" s="2219"/>
      <c r="CB149" s="2213"/>
      <c r="CC149" s="2213"/>
      <c r="CD149" s="2213"/>
      <c r="CE149" s="2213"/>
      <c r="CF149" s="2208"/>
      <c r="CG149" s="2217">
        <f t="shared" si="88"/>
        <v>-5.5726699736285816</v>
      </c>
      <c r="CH149" s="2217">
        <f t="shared" si="69"/>
        <v>8790.1497954821461</v>
      </c>
      <c r="CI149" s="2217">
        <f t="shared" si="78"/>
        <v>5.7273300263714191</v>
      </c>
      <c r="CJ149" s="2212">
        <v>186</v>
      </c>
      <c r="CK149" s="2219"/>
      <c r="CL149" s="2213"/>
      <c r="CM149" s="2219"/>
      <c r="CN149" s="2213"/>
      <c r="CO149" s="2213"/>
      <c r="CP149" s="2213"/>
      <c r="CQ149" s="2213"/>
      <c r="CR149" s="2208"/>
      <c r="CS149" s="2217">
        <f t="shared" si="89"/>
        <v>2.2427950000963843</v>
      </c>
      <c r="CT149" s="2217">
        <f t="shared" si="79"/>
        <v>6955.9092000038545</v>
      </c>
      <c r="CU149" s="2217">
        <f t="shared" si="70"/>
        <v>10.031700000071396</v>
      </c>
      <c r="CV149" s="2212">
        <v>186</v>
      </c>
      <c r="CW149" s="2208"/>
      <c r="CX149" s="263"/>
      <c r="CY149" s="2208"/>
      <c r="CZ149" s="263"/>
      <c r="DA149" s="263"/>
      <c r="DB149" s="263"/>
      <c r="DC149" s="263"/>
      <c r="DD149" s="2208"/>
    </row>
    <row r="150" spans="1:108">
      <c r="A150" s="2217">
        <f t="shared" si="80"/>
        <v>-4.5234061057046357</v>
      </c>
      <c r="B150" s="2217">
        <f t="shared" si="71"/>
        <v>8784.4224654557747</v>
      </c>
      <c r="C150" s="2217">
        <f t="shared" si="72"/>
        <v>5.8926903428655351</v>
      </c>
      <c r="D150" s="2212">
        <v>185</v>
      </c>
      <c r="E150" s="2219"/>
      <c r="F150" s="2213"/>
      <c r="G150" s="2219"/>
      <c r="H150" s="2213"/>
      <c r="I150" s="2213"/>
      <c r="J150" s="2213"/>
      <c r="K150" s="2213"/>
      <c r="L150" s="2213"/>
      <c r="M150" s="2217">
        <f t="shared" si="81"/>
        <v>-4.1109177817040479</v>
      </c>
      <c r="N150" s="2217">
        <f t="shared" si="63"/>
        <v>8784.4224654557747</v>
      </c>
      <c r="O150" s="2217">
        <f t="shared" si="73"/>
        <v>5.8926903428655351</v>
      </c>
      <c r="P150" s="2212">
        <v>185</v>
      </c>
      <c r="Q150" s="2219"/>
      <c r="R150" s="2213"/>
      <c r="S150" s="2219"/>
      <c r="T150" s="2213"/>
      <c r="U150" s="2213"/>
      <c r="V150" s="2213"/>
      <c r="W150" s="2213"/>
      <c r="X150" s="2213"/>
      <c r="Y150" s="2217">
        <f t="shared" si="82"/>
        <v>-3.580575650846149</v>
      </c>
      <c r="Z150" s="2217">
        <f t="shared" si="64"/>
        <v>8784.4224654557747</v>
      </c>
      <c r="AA150" s="2217">
        <f t="shared" si="74"/>
        <v>5.8926903428655351</v>
      </c>
      <c r="AB150" s="2212">
        <v>185</v>
      </c>
      <c r="AC150" s="2219"/>
      <c r="AD150" s="2213"/>
      <c r="AE150" s="2219"/>
      <c r="AF150" s="2213"/>
      <c r="AG150" s="2213"/>
      <c r="AH150" s="2213"/>
      <c r="AI150" s="2213"/>
      <c r="AJ150" s="2213"/>
      <c r="AK150" s="2217">
        <f t="shared" si="83"/>
        <v>-6.1144324982783305</v>
      </c>
      <c r="AL150" s="2217">
        <f t="shared" si="65"/>
        <v>8784.4224654557747</v>
      </c>
      <c r="AM150" s="2217">
        <f t="shared" si="75"/>
        <v>5.8926903428655351</v>
      </c>
      <c r="AN150" s="2212">
        <v>185</v>
      </c>
      <c r="AO150" s="2219"/>
      <c r="AP150" s="2213"/>
      <c r="AQ150" s="2219"/>
      <c r="AR150" s="2213"/>
      <c r="AS150" s="2213"/>
      <c r="AT150" s="2213"/>
      <c r="AU150" s="2213"/>
      <c r="AV150" s="2213"/>
      <c r="AW150" s="2217">
        <f t="shared" si="84"/>
        <v>-0.81712999992263669</v>
      </c>
      <c r="AX150" s="2217">
        <f t="shared" si="85"/>
        <v>6945.8775000037831</v>
      </c>
      <c r="AY150" s="2217">
        <f t="shared" si="66"/>
        <v>9.8895000000729851</v>
      </c>
      <c r="AZ150" s="2212">
        <v>185</v>
      </c>
      <c r="BA150" s="2208"/>
      <c r="BB150" s="263"/>
      <c r="BC150" s="2208"/>
      <c r="BD150" s="263"/>
      <c r="BE150" s="263"/>
      <c r="BF150" s="263"/>
      <c r="BG150" s="263"/>
      <c r="BH150" s="2208"/>
      <c r="BI150" s="2217">
        <f t="shared" si="86"/>
        <v>2.2486150000999903</v>
      </c>
      <c r="BJ150" s="2217">
        <f t="shared" si="76"/>
        <v>6945.8775000037831</v>
      </c>
      <c r="BK150" s="2217">
        <f t="shared" si="67"/>
        <v>9.8895000000729851</v>
      </c>
      <c r="BL150" s="2212">
        <v>185</v>
      </c>
      <c r="BM150" s="2208"/>
      <c r="BN150" s="263"/>
      <c r="BO150" s="2208"/>
      <c r="BP150" s="263"/>
      <c r="BQ150" s="263"/>
      <c r="BR150" s="263"/>
      <c r="BS150" s="263"/>
      <c r="BT150" s="2208"/>
      <c r="BU150" s="2217">
        <f t="shared" si="87"/>
        <v>-6.1144324982783305</v>
      </c>
      <c r="BV150" s="2217">
        <f t="shared" si="68"/>
        <v>8784.4224654557747</v>
      </c>
      <c r="BW150" s="2217">
        <f t="shared" si="77"/>
        <v>5.8926903428655351</v>
      </c>
      <c r="BX150" s="2212">
        <v>185</v>
      </c>
      <c r="BY150" s="2219"/>
      <c r="BZ150" s="2213"/>
      <c r="CA150" s="2219"/>
      <c r="CB150" s="2213"/>
      <c r="CC150" s="2213"/>
      <c r="CD150" s="2213"/>
      <c r="CE150" s="2213"/>
      <c r="CF150" s="2208"/>
      <c r="CG150" s="2217">
        <f t="shared" si="88"/>
        <v>-5.4073096571344657</v>
      </c>
      <c r="CH150" s="2217">
        <f t="shared" si="69"/>
        <v>8784.4224654557747</v>
      </c>
      <c r="CI150" s="2217">
        <f t="shared" si="78"/>
        <v>5.8926903428655351</v>
      </c>
      <c r="CJ150" s="2212">
        <v>185</v>
      </c>
      <c r="CK150" s="2219"/>
      <c r="CL150" s="2213"/>
      <c r="CM150" s="2219"/>
      <c r="CN150" s="2213"/>
      <c r="CO150" s="2213"/>
      <c r="CP150" s="2213"/>
      <c r="CQ150" s="2213"/>
      <c r="CR150" s="2208"/>
      <c r="CS150" s="2217">
        <f t="shared" si="89"/>
        <v>2.0508250000985306</v>
      </c>
      <c r="CT150" s="2217">
        <f t="shared" si="79"/>
        <v>6945.8775000037831</v>
      </c>
      <c r="CU150" s="2217">
        <f t="shared" si="70"/>
        <v>9.8895000000729851</v>
      </c>
      <c r="CV150" s="2212">
        <v>185</v>
      </c>
      <c r="CW150" s="2208"/>
      <c r="CX150" s="263"/>
      <c r="CY150" s="2208"/>
      <c r="CZ150" s="263"/>
      <c r="DA150" s="263"/>
      <c r="DB150" s="263"/>
      <c r="DC150" s="263"/>
      <c r="DD150" s="2208"/>
    </row>
    <row r="151" spans="1:108">
      <c r="A151" s="2217">
        <f t="shared" si="80"/>
        <v>-4.3319288376427734</v>
      </c>
      <c r="B151" s="2217">
        <f t="shared" si="71"/>
        <v>8778.5297751129092</v>
      </c>
      <c r="C151" s="2217">
        <f t="shared" si="72"/>
        <v>6.0591923150932416</v>
      </c>
      <c r="D151" s="2212">
        <v>184</v>
      </c>
      <c r="E151" s="2219"/>
      <c r="F151" s="2213"/>
      <c r="G151" s="2219"/>
      <c r="H151" s="2213"/>
      <c r="I151" s="2213"/>
      <c r="J151" s="2213"/>
      <c r="K151" s="2213"/>
      <c r="L151" s="2213"/>
      <c r="M151" s="2217">
        <f t="shared" si="81"/>
        <v>-3.9077853755862462</v>
      </c>
      <c r="N151" s="2217">
        <f t="shared" si="63"/>
        <v>8778.5297751129092</v>
      </c>
      <c r="O151" s="2217">
        <f t="shared" si="73"/>
        <v>6.0591923150932416</v>
      </c>
      <c r="P151" s="2212">
        <v>184</v>
      </c>
      <c r="Q151" s="2219"/>
      <c r="R151" s="2213"/>
      <c r="S151" s="2219"/>
      <c r="T151" s="2213"/>
      <c r="U151" s="2213"/>
      <c r="V151" s="2213"/>
      <c r="W151" s="2213"/>
      <c r="X151" s="2213"/>
      <c r="Y151" s="2217">
        <f t="shared" si="82"/>
        <v>-3.3624580672278537</v>
      </c>
      <c r="Z151" s="2217">
        <f t="shared" si="64"/>
        <v>8778.5297751129092</v>
      </c>
      <c r="AA151" s="2217">
        <f t="shared" si="74"/>
        <v>6.0591923150932416</v>
      </c>
      <c r="AB151" s="2212">
        <v>184</v>
      </c>
      <c r="AC151" s="2219"/>
      <c r="AD151" s="2213"/>
      <c r="AE151" s="2219"/>
      <c r="AF151" s="2213"/>
      <c r="AG151" s="2213"/>
      <c r="AH151" s="2213"/>
      <c r="AI151" s="2213"/>
      <c r="AJ151" s="2213"/>
      <c r="AK151" s="2217">
        <f t="shared" si="83"/>
        <v>-5.9679107627179491</v>
      </c>
      <c r="AL151" s="2217">
        <f t="shared" si="65"/>
        <v>8778.5297751129092</v>
      </c>
      <c r="AM151" s="2217">
        <f t="shared" si="75"/>
        <v>6.0591923150932416</v>
      </c>
      <c r="AN151" s="2212">
        <v>184</v>
      </c>
      <c r="AO151" s="2219"/>
      <c r="AP151" s="2213"/>
      <c r="AQ151" s="2219"/>
      <c r="AR151" s="2213"/>
      <c r="AS151" s="2213"/>
      <c r="AT151" s="2213"/>
      <c r="AU151" s="2213"/>
      <c r="AV151" s="2213"/>
      <c r="AW151" s="2217">
        <f t="shared" si="84"/>
        <v>-0.96404599992383844</v>
      </c>
      <c r="AX151" s="2217">
        <f t="shared" si="85"/>
        <v>6935.9880000037101</v>
      </c>
      <c r="AY151" s="2217">
        <f t="shared" si="66"/>
        <v>9.7509000000718515</v>
      </c>
      <c r="AZ151" s="2212">
        <v>184</v>
      </c>
      <c r="BA151" s="2208"/>
      <c r="BB151" s="263"/>
      <c r="BC151" s="2208"/>
      <c r="BD151" s="263"/>
      <c r="BE151" s="263"/>
      <c r="BF151" s="263"/>
      <c r="BG151" s="263"/>
      <c r="BH151" s="2208"/>
      <c r="BI151" s="2217">
        <f t="shared" si="86"/>
        <v>2.058733000098437</v>
      </c>
      <c r="BJ151" s="2217">
        <f t="shared" si="76"/>
        <v>6935.9880000037101</v>
      </c>
      <c r="BK151" s="2217">
        <f t="shared" si="67"/>
        <v>9.7509000000718515</v>
      </c>
      <c r="BL151" s="2212">
        <v>184</v>
      </c>
      <c r="BM151" s="2208"/>
      <c r="BN151" s="263"/>
      <c r="BO151" s="2208"/>
      <c r="BP151" s="263"/>
      <c r="BQ151" s="263"/>
      <c r="BR151" s="263"/>
      <c r="BS151" s="263"/>
      <c r="BT151" s="2208"/>
      <c r="BU151" s="2217">
        <f t="shared" si="87"/>
        <v>-5.9679107627179491</v>
      </c>
      <c r="BV151" s="2217">
        <f t="shared" si="68"/>
        <v>8778.5297751129092</v>
      </c>
      <c r="BW151" s="2217">
        <f t="shared" si="77"/>
        <v>6.0591923150932416</v>
      </c>
      <c r="BX151" s="2212">
        <v>184</v>
      </c>
      <c r="BY151" s="2219"/>
      <c r="BZ151" s="2213"/>
      <c r="CA151" s="2219"/>
      <c r="CB151" s="2213"/>
      <c r="CC151" s="2213"/>
      <c r="CD151" s="2213"/>
      <c r="CE151" s="2213"/>
      <c r="CF151" s="2208"/>
      <c r="CG151" s="2217">
        <f t="shared" si="88"/>
        <v>-5.2408076849067591</v>
      </c>
      <c r="CH151" s="2217">
        <f t="shared" si="69"/>
        <v>8778.5297751129092</v>
      </c>
      <c r="CI151" s="2217">
        <f t="shared" si="78"/>
        <v>6.0591923150932416</v>
      </c>
      <c r="CJ151" s="2212">
        <v>184</v>
      </c>
      <c r="CK151" s="2219"/>
      <c r="CL151" s="2213"/>
      <c r="CM151" s="2219"/>
      <c r="CN151" s="2213"/>
      <c r="CO151" s="2213"/>
      <c r="CP151" s="2213"/>
      <c r="CQ151" s="2213"/>
      <c r="CR151" s="2208"/>
      <c r="CS151" s="2217">
        <f t="shared" si="89"/>
        <v>1.8637150000969989</v>
      </c>
      <c r="CT151" s="2217">
        <f t="shared" si="79"/>
        <v>6935.9880000037101</v>
      </c>
      <c r="CU151" s="2217">
        <f t="shared" si="70"/>
        <v>9.7509000000718515</v>
      </c>
      <c r="CV151" s="2212">
        <v>184</v>
      </c>
      <c r="CW151" s="2208"/>
      <c r="CX151" s="263"/>
      <c r="CY151" s="2208"/>
      <c r="CZ151" s="263"/>
      <c r="DA151" s="263"/>
      <c r="DB151" s="263"/>
      <c r="DC151" s="263"/>
      <c r="DD151" s="2208"/>
    </row>
    <row r="152" spans="1:108">
      <c r="A152" s="2217">
        <f t="shared" si="80"/>
        <v>-4.1391386654830979</v>
      </c>
      <c r="B152" s="2217">
        <f t="shared" si="71"/>
        <v>8772.470582797816</v>
      </c>
      <c r="C152" s="2217">
        <f t="shared" si="72"/>
        <v>6.2268359430581768</v>
      </c>
      <c r="D152" s="2212">
        <v>183</v>
      </c>
      <c r="E152" s="2219"/>
      <c r="F152" s="2213"/>
      <c r="G152" s="2219"/>
      <c r="H152" s="2213"/>
      <c r="I152" s="2213"/>
      <c r="J152" s="2213"/>
      <c r="K152" s="2213"/>
      <c r="L152" s="2213"/>
      <c r="M152" s="2217">
        <f t="shared" si="81"/>
        <v>-3.7032601494690249</v>
      </c>
      <c r="N152" s="2217">
        <f t="shared" si="63"/>
        <v>8772.470582797816</v>
      </c>
      <c r="O152" s="2217">
        <f t="shared" si="73"/>
        <v>6.2268359430581768</v>
      </c>
      <c r="P152" s="2212">
        <v>183</v>
      </c>
      <c r="Q152" s="2219"/>
      <c r="R152" s="2213"/>
      <c r="S152" s="2219"/>
      <c r="T152" s="2213"/>
      <c r="U152" s="2213"/>
      <c r="V152" s="2213"/>
      <c r="W152" s="2213"/>
      <c r="X152" s="2213"/>
      <c r="Y152" s="2217">
        <f t="shared" si="82"/>
        <v>-3.1428449145937893</v>
      </c>
      <c r="Z152" s="2217">
        <f t="shared" si="64"/>
        <v>8772.470582797816</v>
      </c>
      <c r="AA152" s="2217">
        <f t="shared" si="74"/>
        <v>6.2268359430581768</v>
      </c>
      <c r="AB152" s="2212">
        <v>183</v>
      </c>
      <c r="AC152" s="2219"/>
      <c r="AD152" s="2213"/>
      <c r="AE152" s="2219"/>
      <c r="AF152" s="2213"/>
      <c r="AG152" s="2213"/>
      <c r="AH152" s="2213"/>
      <c r="AI152" s="2213"/>
      <c r="AJ152" s="2213"/>
      <c r="AK152" s="2217">
        <f t="shared" si="83"/>
        <v>-5.8203843701088056</v>
      </c>
      <c r="AL152" s="2217">
        <f t="shared" si="65"/>
        <v>8772.470582797816</v>
      </c>
      <c r="AM152" s="2217">
        <f t="shared" si="75"/>
        <v>6.2268359430581768</v>
      </c>
      <c r="AN152" s="2212">
        <v>183</v>
      </c>
      <c r="AO152" s="2219"/>
      <c r="AP152" s="2213"/>
      <c r="AQ152" s="2219"/>
      <c r="AR152" s="2213"/>
      <c r="AS152" s="2213"/>
      <c r="AT152" s="2213"/>
      <c r="AU152" s="2213"/>
      <c r="AV152" s="2213"/>
      <c r="AW152" s="2217">
        <f t="shared" si="84"/>
        <v>-1.1071459999240698</v>
      </c>
      <c r="AX152" s="2217">
        <f t="shared" si="85"/>
        <v>6926.2371000036383</v>
      </c>
      <c r="AY152" s="2217">
        <f t="shared" si="66"/>
        <v>9.6159000000716333</v>
      </c>
      <c r="AZ152" s="2212">
        <v>183</v>
      </c>
      <c r="BA152" s="2208"/>
      <c r="BB152" s="263"/>
      <c r="BC152" s="2208"/>
      <c r="BD152" s="263"/>
      <c r="BE152" s="263"/>
      <c r="BF152" s="263"/>
      <c r="BG152" s="263"/>
      <c r="BH152" s="2208"/>
      <c r="BI152" s="2217">
        <f t="shared" si="86"/>
        <v>1.8737830000981379</v>
      </c>
      <c r="BJ152" s="2217">
        <f t="shared" si="76"/>
        <v>6926.2371000036383</v>
      </c>
      <c r="BK152" s="2217">
        <f t="shared" si="67"/>
        <v>9.6159000000716333</v>
      </c>
      <c r="BL152" s="2212">
        <v>183</v>
      </c>
      <c r="BM152" s="2208"/>
      <c r="BN152" s="263"/>
      <c r="BO152" s="2208"/>
      <c r="BP152" s="263"/>
      <c r="BQ152" s="263"/>
      <c r="BR152" s="263"/>
      <c r="BS152" s="263"/>
      <c r="BT152" s="2208"/>
      <c r="BU152" s="2217">
        <f t="shared" si="87"/>
        <v>-5.8203843701088056</v>
      </c>
      <c r="BV152" s="2217">
        <f t="shared" si="68"/>
        <v>8772.470582797816</v>
      </c>
      <c r="BW152" s="2217">
        <f t="shared" si="77"/>
        <v>6.2268359430581768</v>
      </c>
      <c r="BX152" s="2212">
        <v>183</v>
      </c>
      <c r="BY152" s="2219"/>
      <c r="BZ152" s="2213"/>
      <c r="CA152" s="2219"/>
      <c r="CB152" s="2213"/>
      <c r="CC152" s="2213"/>
      <c r="CD152" s="2213"/>
      <c r="CE152" s="2213"/>
      <c r="CF152" s="2208"/>
      <c r="CG152" s="2217">
        <f t="shared" si="88"/>
        <v>-5.0731640569418239</v>
      </c>
      <c r="CH152" s="2217">
        <f t="shared" si="69"/>
        <v>8772.470582797816</v>
      </c>
      <c r="CI152" s="2217">
        <f t="shared" si="78"/>
        <v>6.2268359430581768</v>
      </c>
      <c r="CJ152" s="2212">
        <v>183</v>
      </c>
      <c r="CK152" s="2219"/>
      <c r="CL152" s="2213"/>
      <c r="CM152" s="2219"/>
      <c r="CN152" s="2213"/>
      <c r="CO152" s="2213"/>
      <c r="CP152" s="2213"/>
      <c r="CQ152" s="2213"/>
      <c r="CR152" s="2208"/>
      <c r="CS152" s="2217">
        <f t="shared" si="89"/>
        <v>1.6814650000967042</v>
      </c>
      <c r="CT152" s="2217">
        <f t="shared" si="79"/>
        <v>6926.2371000036383</v>
      </c>
      <c r="CU152" s="2217">
        <f t="shared" si="70"/>
        <v>9.6159000000716333</v>
      </c>
      <c r="CV152" s="2212">
        <v>183</v>
      </c>
      <c r="CW152" s="2208"/>
      <c r="CX152" s="263"/>
      <c r="CY152" s="2208"/>
      <c r="CZ152" s="263"/>
      <c r="DA152" s="263"/>
      <c r="DB152" s="263"/>
      <c r="DC152" s="263"/>
      <c r="DD152" s="2208"/>
    </row>
    <row r="153" spans="1:108">
      <c r="A153" s="2217">
        <f t="shared" si="80"/>
        <v>-3.9450355892318854</v>
      </c>
      <c r="B153" s="2217">
        <f t="shared" si="71"/>
        <v>8766.2437468547578</v>
      </c>
      <c r="C153" s="2217">
        <f t="shared" si="72"/>
        <v>6.3956212267548835</v>
      </c>
      <c r="D153" s="2212">
        <v>182</v>
      </c>
      <c r="E153" s="2219"/>
      <c r="F153" s="2213"/>
      <c r="G153" s="2219"/>
      <c r="H153" s="2213"/>
      <c r="I153" s="2213"/>
      <c r="J153" s="2213"/>
      <c r="K153" s="2213"/>
      <c r="L153" s="2213"/>
      <c r="M153" s="2217">
        <f t="shared" si="81"/>
        <v>-3.4973421033590428</v>
      </c>
      <c r="N153" s="2217">
        <f t="shared" si="63"/>
        <v>8766.2437468547578</v>
      </c>
      <c r="O153" s="2217">
        <f t="shared" si="73"/>
        <v>6.3956212267548835</v>
      </c>
      <c r="P153" s="2212">
        <v>182</v>
      </c>
      <c r="Q153" s="2219"/>
      <c r="R153" s="2213"/>
      <c r="S153" s="2219"/>
      <c r="T153" s="2213"/>
      <c r="U153" s="2213"/>
      <c r="V153" s="2213"/>
      <c r="W153" s="2213"/>
      <c r="X153" s="2213"/>
      <c r="Y153" s="2217">
        <f t="shared" si="82"/>
        <v>-2.9217361929511032</v>
      </c>
      <c r="Z153" s="2217">
        <f t="shared" si="64"/>
        <v>8766.2437468547578</v>
      </c>
      <c r="AA153" s="2217">
        <f t="shared" si="74"/>
        <v>6.3956212267548835</v>
      </c>
      <c r="AB153" s="2212">
        <v>182</v>
      </c>
      <c r="AC153" s="2219"/>
      <c r="AD153" s="2213"/>
      <c r="AE153" s="2219"/>
      <c r="AF153" s="2213"/>
      <c r="AG153" s="2213"/>
      <c r="AH153" s="2213"/>
      <c r="AI153" s="2213"/>
      <c r="AJ153" s="2213"/>
      <c r="AK153" s="2217">
        <f t="shared" si="83"/>
        <v>-5.6718533204557042</v>
      </c>
      <c r="AL153" s="2217">
        <f t="shared" si="65"/>
        <v>8766.2437468547578</v>
      </c>
      <c r="AM153" s="2217">
        <f t="shared" si="75"/>
        <v>6.3956212267548835</v>
      </c>
      <c r="AN153" s="2212">
        <v>182</v>
      </c>
      <c r="AO153" s="2219"/>
      <c r="AP153" s="2213"/>
      <c r="AQ153" s="2219"/>
      <c r="AR153" s="2213"/>
      <c r="AS153" s="2213"/>
      <c r="AT153" s="2213"/>
      <c r="AU153" s="2213"/>
      <c r="AV153" s="2213"/>
      <c r="AW153" s="2217">
        <f t="shared" si="84"/>
        <v>-1.2464299999242936</v>
      </c>
      <c r="AX153" s="2217">
        <f t="shared" si="85"/>
        <v>6916.6212000035666</v>
      </c>
      <c r="AY153" s="2217">
        <f t="shared" si="66"/>
        <v>9.4845000000714208</v>
      </c>
      <c r="AZ153" s="2212">
        <v>182</v>
      </c>
      <c r="BA153" s="2208"/>
      <c r="BB153" s="263"/>
      <c r="BC153" s="2208"/>
      <c r="BD153" s="263"/>
      <c r="BE153" s="263"/>
      <c r="BF153" s="263"/>
      <c r="BG153" s="263"/>
      <c r="BH153" s="2208"/>
      <c r="BI153" s="2217">
        <f t="shared" si="86"/>
        <v>1.6937650000978461</v>
      </c>
      <c r="BJ153" s="2217">
        <f t="shared" si="76"/>
        <v>6916.6212000035666</v>
      </c>
      <c r="BK153" s="2217">
        <f t="shared" si="67"/>
        <v>9.4845000000714208</v>
      </c>
      <c r="BL153" s="2212">
        <v>182</v>
      </c>
      <c r="BM153" s="2208"/>
      <c r="BN153" s="263"/>
      <c r="BO153" s="2208"/>
      <c r="BP153" s="263"/>
      <c r="BQ153" s="263"/>
      <c r="BR153" s="263"/>
      <c r="BS153" s="263"/>
      <c r="BT153" s="2208"/>
      <c r="BU153" s="2217">
        <f t="shared" si="87"/>
        <v>-5.6718533204557042</v>
      </c>
      <c r="BV153" s="2217">
        <f t="shared" si="68"/>
        <v>8766.2437468547578</v>
      </c>
      <c r="BW153" s="2217">
        <f t="shared" si="77"/>
        <v>6.3956212267548835</v>
      </c>
      <c r="BX153" s="2212">
        <v>182</v>
      </c>
      <c r="BY153" s="2219"/>
      <c r="BZ153" s="2213"/>
      <c r="CA153" s="2219"/>
      <c r="CB153" s="2213"/>
      <c r="CC153" s="2213"/>
      <c r="CD153" s="2213"/>
      <c r="CE153" s="2213"/>
      <c r="CF153" s="2208"/>
      <c r="CG153" s="2217">
        <f t="shared" si="88"/>
        <v>-4.9043787732451172</v>
      </c>
      <c r="CH153" s="2217">
        <f t="shared" si="69"/>
        <v>8766.2437468547578</v>
      </c>
      <c r="CI153" s="2217">
        <f t="shared" si="78"/>
        <v>6.3956212267548835</v>
      </c>
      <c r="CJ153" s="2212">
        <v>182</v>
      </c>
      <c r="CK153" s="2219"/>
      <c r="CL153" s="2213"/>
      <c r="CM153" s="2219"/>
      <c r="CN153" s="2213"/>
      <c r="CO153" s="2213"/>
      <c r="CP153" s="2213"/>
      <c r="CQ153" s="2213"/>
      <c r="CR153" s="2208"/>
      <c r="CS153" s="2217">
        <f t="shared" si="89"/>
        <v>1.5040750000964174</v>
      </c>
      <c r="CT153" s="2217">
        <f t="shared" si="79"/>
        <v>6916.6212000035666</v>
      </c>
      <c r="CU153" s="2217">
        <f t="shared" si="70"/>
        <v>9.4845000000714208</v>
      </c>
      <c r="CV153" s="2212">
        <v>182</v>
      </c>
      <c r="CW153" s="2208"/>
      <c r="CX153" s="263"/>
      <c r="CY153" s="2208"/>
      <c r="CZ153" s="263"/>
      <c r="DA153" s="263"/>
      <c r="DB153" s="263"/>
      <c r="DC153" s="263"/>
      <c r="DD153" s="2208"/>
    </row>
    <row r="154" spans="1:108">
      <c r="A154" s="2217">
        <f t="shared" si="80"/>
        <v>-3.7496196088849514</v>
      </c>
      <c r="B154" s="2217">
        <f t="shared" si="71"/>
        <v>8759.8481256280029</v>
      </c>
      <c r="C154" s="2217">
        <f t="shared" si="72"/>
        <v>6.5655481661869999</v>
      </c>
      <c r="D154" s="2212">
        <v>181</v>
      </c>
      <c r="E154" s="2219"/>
      <c r="F154" s="2213"/>
      <c r="G154" s="2219"/>
      <c r="H154" s="2213"/>
      <c r="I154" s="2213"/>
      <c r="J154" s="2213"/>
      <c r="K154" s="2213"/>
      <c r="L154" s="2213"/>
      <c r="M154" s="2217">
        <f t="shared" si="81"/>
        <v>-3.2900312372518616</v>
      </c>
      <c r="N154" s="2217">
        <f t="shared" si="63"/>
        <v>8759.8481256280029</v>
      </c>
      <c r="O154" s="2217">
        <f t="shared" si="73"/>
        <v>6.5655481661869999</v>
      </c>
      <c r="P154" s="2212">
        <v>181</v>
      </c>
      <c r="Q154" s="2219"/>
      <c r="R154" s="2213"/>
      <c r="S154" s="2219"/>
      <c r="T154" s="2213"/>
      <c r="U154" s="2213"/>
      <c r="V154" s="2213"/>
      <c r="W154" s="2213"/>
      <c r="X154" s="2213"/>
      <c r="Y154" s="2217">
        <f t="shared" si="82"/>
        <v>-2.6991319022950311</v>
      </c>
      <c r="Z154" s="2217">
        <f t="shared" si="64"/>
        <v>8759.8481256280029</v>
      </c>
      <c r="AA154" s="2217">
        <f t="shared" si="74"/>
        <v>6.5655481661869999</v>
      </c>
      <c r="AB154" s="2212">
        <v>181</v>
      </c>
      <c r="AC154" s="2219"/>
      <c r="AD154" s="2213"/>
      <c r="AE154" s="2219"/>
      <c r="AF154" s="2213"/>
      <c r="AG154" s="2213"/>
      <c r="AH154" s="2213"/>
      <c r="AI154" s="2213"/>
      <c r="AJ154" s="2213"/>
      <c r="AK154" s="2217">
        <f t="shared" si="83"/>
        <v>-5.5223176137554413</v>
      </c>
      <c r="AL154" s="2217">
        <f t="shared" si="65"/>
        <v>8759.8481256280029</v>
      </c>
      <c r="AM154" s="2217">
        <f t="shared" si="75"/>
        <v>6.5655481661869999</v>
      </c>
      <c r="AN154" s="2212">
        <v>181</v>
      </c>
      <c r="AO154" s="2219"/>
      <c r="AP154" s="2213"/>
      <c r="AQ154" s="2219"/>
      <c r="AR154" s="2213"/>
      <c r="AS154" s="2213"/>
      <c r="AT154" s="2213"/>
      <c r="AU154" s="2213"/>
      <c r="AV154" s="2213"/>
      <c r="AW154" s="2217">
        <f t="shared" si="84"/>
        <v>-1.3818979999245133</v>
      </c>
      <c r="AX154" s="2217">
        <f t="shared" si="85"/>
        <v>6907.1367000034952</v>
      </c>
      <c r="AY154" s="2217">
        <f t="shared" si="66"/>
        <v>9.3567000000712142</v>
      </c>
      <c r="AZ154" s="2212">
        <v>181</v>
      </c>
      <c r="BA154" s="2208"/>
      <c r="BB154" s="263"/>
      <c r="BC154" s="2208"/>
      <c r="BD154" s="263"/>
      <c r="BE154" s="263"/>
      <c r="BF154" s="263"/>
      <c r="BG154" s="263"/>
      <c r="BH154" s="2208"/>
      <c r="BI154" s="2217">
        <f t="shared" si="86"/>
        <v>1.5186790000975634</v>
      </c>
      <c r="BJ154" s="2217">
        <f t="shared" si="76"/>
        <v>6907.1367000034952</v>
      </c>
      <c r="BK154" s="2217">
        <f t="shared" si="67"/>
        <v>9.3567000000712142</v>
      </c>
      <c r="BL154" s="2212">
        <v>181</v>
      </c>
      <c r="BM154" s="2208"/>
      <c r="BN154" s="263"/>
      <c r="BO154" s="2208"/>
      <c r="BP154" s="263"/>
      <c r="BQ154" s="263"/>
      <c r="BR154" s="263"/>
      <c r="BS154" s="263"/>
      <c r="BT154" s="2208"/>
      <c r="BU154" s="2217">
        <f t="shared" si="87"/>
        <v>-5.5223176137554413</v>
      </c>
      <c r="BV154" s="2217">
        <f t="shared" si="68"/>
        <v>8759.8481256280029</v>
      </c>
      <c r="BW154" s="2217">
        <f t="shared" si="77"/>
        <v>6.5655481661869999</v>
      </c>
      <c r="BX154" s="2212">
        <v>181</v>
      </c>
      <c r="BY154" s="2219"/>
      <c r="BZ154" s="2213"/>
      <c r="CA154" s="2219"/>
      <c r="CB154" s="2213"/>
      <c r="CC154" s="2213"/>
      <c r="CD154" s="2213"/>
      <c r="CE154" s="2213"/>
      <c r="CF154" s="2208"/>
      <c r="CG154" s="2217">
        <f t="shared" si="88"/>
        <v>-4.7344518338130008</v>
      </c>
      <c r="CH154" s="2217">
        <f t="shared" si="69"/>
        <v>8759.8481256280029</v>
      </c>
      <c r="CI154" s="2217">
        <f t="shared" si="78"/>
        <v>6.5655481661869999</v>
      </c>
      <c r="CJ154" s="2212">
        <v>181</v>
      </c>
      <c r="CK154" s="2219"/>
      <c r="CL154" s="2213"/>
      <c r="CM154" s="2219"/>
      <c r="CN154" s="2213"/>
      <c r="CO154" s="2213"/>
      <c r="CP154" s="2213"/>
      <c r="CQ154" s="2213"/>
      <c r="CR154" s="2208"/>
      <c r="CS154" s="2217">
        <f t="shared" si="89"/>
        <v>1.3315450000961384</v>
      </c>
      <c r="CT154" s="2217">
        <f t="shared" si="79"/>
        <v>6907.1367000034952</v>
      </c>
      <c r="CU154" s="2217">
        <f t="shared" si="70"/>
        <v>9.3567000000712142</v>
      </c>
      <c r="CV154" s="2212">
        <v>181</v>
      </c>
      <c r="CW154" s="2208"/>
      <c r="CX154" s="263"/>
      <c r="CY154" s="2208"/>
      <c r="CZ154" s="263"/>
      <c r="DA154" s="263"/>
      <c r="DB154" s="263"/>
      <c r="DC154" s="263"/>
      <c r="DD154" s="2208"/>
    </row>
    <row r="155" spans="1:108">
      <c r="A155" s="2217">
        <f t="shared" si="80"/>
        <v>-3.5528907244443886</v>
      </c>
      <c r="B155" s="2217">
        <f t="shared" si="71"/>
        <v>8753.2825774618159</v>
      </c>
      <c r="C155" s="2217">
        <f t="shared" si="72"/>
        <v>6.7366167613527068</v>
      </c>
      <c r="D155" s="2212">
        <v>180</v>
      </c>
      <c r="E155" s="2219"/>
      <c r="F155" s="2213"/>
      <c r="G155" s="2219"/>
      <c r="H155" s="2213"/>
      <c r="I155" s="2213"/>
      <c r="J155" s="2213"/>
      <c r="K155" s="2213"/>
      <c r="L155" s="2213"/>
      <c r="M155" s="2217">
        <f t="shared" si="81"/>
        <v>-3.0813275511496983</v>
      </c>
      <c r="N155" s="2217">
        <f t="shared" si="63"/>
        <v>8753.2825774618159</v>
      </c>
      <c r="O155" s="2217">
        <f t="shared" si="73"/>
        <v>6.7366167613527068</v>
      </c>
      <c r="P155" s="2212">
        <v>180</v>
      </c>
      <c r="Q155" s="2219"/>
      <c r="R155" s="2213"/>
      <c r="S155" s="2219"/>
      <c r="T155" s="2213"/>
      <c r="U155" s="2213"/>
      <c r="V155" s="2213"/>
      <c r="W155" s="2213"/>
      <c r="X155" s="2213"/>
      <c r="Y155" s="2217">
        <f t="shared" si="82"/>
        <v>-2.4750320426279551</v>
      </c>
      <c r="Z155" s="2217">
        <f t="shared" si="64"/>
        <v>8753.2825774618159</v>
      </c>
      <c r="AA155" s="2217">
        <f t="shared" si="74"/>
        <v>6.7366167613527068</v>
      </c>
      <c r="AB155" s="2212">
        <v>180</v>
      </c>
      <c r="AC155" s="2219"/>
      <c r="AD155" s="2213"/>
      <c r="AE155" s="2219"/>
      <c r="AF155" s="2213"/>
      <c r="AG155" s="2213"/>
      <c r="AH155" s="2213"/>
      <c r="AI155" s="2213"/>
      <c r="AJ155" s="2213"/>
      <c r="AK155" s="2217">
        <f t="shared" si="83"/>
        <v>-5.371777250009619</v>
      </c>
      <c r="AL155" s="2217">
        <f t="shared" si="65"/>
        <v>8753.2825774618159</v>
      </c>
      <c r="AM155" s="2217">
        <f t="shared" si="75"/>
        <v>6.7366167613527068</v>
      </c>
      <c r="AN155" s="2212">
        <v>180</v>
      </c>
      <c r="AO155" s="2219"/>
      <c r="AP155" s="2213"/>
      <c r="AQ155" s="2219"/>
      <c r="AR155" s="2213"/>
      <c r="AS155" s="2213"/>
      <c r="AT155" s="2213"/>
      <c r="AU155" s="2213"/>
      <c r="AV155" s="2213"/>
      <c r="AW155" s="2217">
        <f t="shared" si="84"/>
        <v>-1.5135499999256901</v>
      </c>
      <c r="AX155" s="2217">
        <f t="shared" si="85"/>
        <v>6897.780000003424</v>
      </c>
      <c r="AY155" s="2217">
        <f t="shared" si="66"/>
        <v>9.2325000000701039</v>
      </c>
      <c r="AZ155" s="2212">
        <v>180</v>
      </c>
      <c r="BA155" s="2208"/>
      <c r="BB155" s="263"/>
      <c r="BC155" s="2208"/>
      <c r="BD155" s="263"/>
      <c r="BE155" s="263"/>
      <c r="BF155" s="263"/>
      <c r="BG155" s="263"/>
      <c r="BH155" s="2208"/>
      <c r="BI155" s="2217">
        <f t="shared" si="86"/>
        <v>1.3485250000960427</v>
      </c>
      <c r="BJ155" s="2217">
        <f t="shared" si="76"/>
        <v>6897.780000003424</v>
      </c>
      <c r="BK155" s="2217">
        <f t="shared" si="67"/>
        <v>9.2325000000701039</v>
      </c>
      <c r="BL155" s="2212">
        <v>180</v>
      </c>
      <c r="BM155" s="2208"/>
      <c r="BN155" s="263"/>
      <c r="BO155" s="2208"/>
      <c r="BP155" s="263"/>
      <c r="BQ155" s="263"/>
      <c r="BR155" s="263"/>
      <c r="BS155" s="263"/>
      <c r="BT155" s="2208"/>
      <c r="BU155" s="2217">
        <f t="shared" si="87"/>
        <v>-5.371777250009619</v>
      </c>
      <c r="BV155" s="2217">
        <f t="shared" si="68"/>
        <v>8753.2825774618159</v>
      </c>
      <c r="BW155" s="2217">
        <f t="shared" si="77"/>
        <v>6.7366167613527068</v>
      </c>
      <c r="BX155" s="2212">
        <v>180</v>
      </c>
      <c r="BY155" s="2219"/>
      <c r="BZ155" s="2213"/>
      <c r="CA155" s="2219"/>
      <c r="CB155" s="2213"/>
      <c r="CC155" s="2213"/>
      <c r="CD155" s="2213"/>
      <c r="CE155" s="2213"/>
      <c r="CF155" s="2208"/>
      <c r="CG155" s="2217">
        <f t="shared" si="88"/>
        <v>-4.5633832386472939</v>
      </c>
      <c r="CH155" s="2217">
        <f t="shared" si="69"/>
        <v>8753.2825774618159</v>
      </c>
      <c r="CI155" s="2217">
        <f t="shared" si="78"/>
        <v>6.7366167613527068</v>
      </c>
      <c r="CJ155" s="2212">
        <v>180</v>
      </c>
      <c r="CK155" s="2219"/>
      <c r="CL155" s="2213"/>
      <c r="CM155" s="2219"/>
      <c r="CN155" s="2213"/>
      <c r="CO155" s="2213"/>
      <c r="CP155" s="2213"/>
      <c r="CQ155" s="2213"/>
      <c r="CR155" s="2208"/>
      <c r="CS155" s="2217">
        <f t="shared" si="89"/>
        <v>1.1638750000946398</v>
      </c>
      <c r="CT155" s="2217">
        <f t="shared" si="79"/>
        <v>6897.780000003424</v>
      </c>
      <c r="CU155" s="2217">
        <f t="shared" si="70"/>
        <v>9.2325000000701039</v>
      </c>
      <c r="CV155" s="2212">
        <v>180</v>
      </c>
      <c r="CW155" s="2208"/>
      <c r="CX155" s="263"/>
      <c r="CY155" s="2208"/>
      <c r="CZ155" s="263"/>
      <c r="DA155" s="263"/>
      <c r="DB155" s="263"/>
      <c r="DC155" s="263"/>
      <c r="DD155" s="2208"/>
    </row>
    <row r="156" spans="1:108">
      <c r="A156" s="2217">
        <f t="shared" si="80"/>
        <v>-3.3548489359039211</v>
      </c>
      <c r="B156" s="2217">
        <f t="shared" si="71"/>
        <v>8746.5459607004632</v>
      </c>
      <c r="C156" s="2217">
        <f t="shared" si="72"/>
        <v>6.9088270122574613</v>
      </c>
      <c r="D156" s="2212">
        <v>179</v>
      </c>
      <c r="E156" s="2219"/>
      <c r="F156" s="2213"/>
      <c r="G156" s="2219"/>
      <c r="H156" s="2213"/>
      <c r="I156" s="2213"/>
      <c r="J156" s="2213"/>
      <c r="K156" s="2213"/>
      <c r="L156" s="2213"/>
      <c r="M156" s="2217">
        <f t="shared" si="81"/>
        <v>-2.8712310450458975</v>
      </c>
      <c r="N156" s="2217">
        <f t="shared" si="63"/>
        <v>8746.5459607004632</v>
      </c>
      <c r="O156" s="2217">
        <f t="shared" si="73"/>
        <v>6.9088270122574613</v>
      </c>
      <c r="P156" s="2212">
        <v>179</v>
      </c>
      <c r="Q156" s="2219"/>
      <c r="R156" s="2213"/>
      <c r="S156" s="2219"/>
      <c r="T156" s="2213"/>
      <c r="U156" s="2213"/>
      <c r="V156" s="2213"/>
      <c r="W156" s="2213"/>
      <c r="X156" s="2213"/>
      <c r="Y156" s="2217">
        <f t="shared" si="82"/>
        <v>-2.2494366139427253</v>
      </c>
      <c r="Z156" s="2217">
        <f t="shared" si="64"/>
        <v>8746.5459607004632</v>
      </c>
      <c r="AA156" s="2217">
        <f t="shared" si="74"/>
        <v>6.9088270122574613</v>
      </c>
      <c r="AB156" s="2212">
        <v>179</v>
      </c>
      <c r="AC156" s="2219"/>
      <c r="AD156" s="2213"/>
      <c r="AE156" s="2219"/>
      <c r="AF156" s="2213"/>
      <c r="AG156" s="2213"/>
      <c r="AH156" s="2213"/>
      <c r="AI156" s="2213"/>
      <c r="AJ156" s="2213"/>
      <c r="AK156" s="2217">
        <f t="shared" si="83"/>
        <v>-5.2202322292134351</v>
      </c>
      <c r="AL156" s="2217">
        <f t="shared" si="65"/>
        <v>8746.5459607004632</v>
      </c>
      <c r="AM156" s="2217">
        <f t="shared" si="75"/>
        <v>6.9088270122574613</v>
      </c>
      <c r="AN156" s="2212">
        <v>179</v>
      </c>
      <c r="AO156" s="2219"/>
      <c r="AP156" s="2213"/>
      <c r="AQ156" s="2219"/>
      <c r="AR156" s="2213"/>
      <c r="AS156" s="2213"/>
      <c r="AT156" s="2213"/>
      <c r="AU156" s="2213"/>
      <c r="AV156" s="2213"/>
      <c r="AW156" s="2217">
        <f t="shared" si="84"/>
        <v>-1.6413859999258964</v>
      </c>
      <c r="AX156" s="2217">
        <f t="shared" si="85"/>
        <v>6888.5475000033539</v>
      </c>
      <c r="AY156" s="2217">
        <f t="shared" si="66"/>
        <v>9.1119000000699089</v>
      </c>
      <c r="AZ156" s="2212">
        <v>179</v>
      </c>
      <c r="BA156" s="2208"/>
      <c r="BB156" s="263"/>
      <c r="BC156" s="2208"/>
      <c r="BD156" s="263"/>
      <c r="BE156" s="263"/>
      <c r="BF156" s="263"/>
      <c r="BG156" s="263"/>
      <c r="BH156" s="2208"/>
      <c r="BI156" s="2217">
        <f t="shared" si="86"/>
        <v>1.1833030000957763</v>
      </c>
      <c r="BJ156" s="2217">
        <f t="shared" si="76"/>
        <v>6888.5475000033539</v>
      </c>
      <c r="BK156" s="2217">
        <f t="shared" si="67"/>
        <v>9.1119000000699089</v>
      </c>
      <c r="BL156" s="2212">
        <v>179</v>
      </c>
      <c r="BM156" s="2208"/>
      <c r="BN156" s="263"/>
      <c r="BO156" s="2208"/>
      <c r="BP156" s="263"/>
      <c r="BQ156" s="263"/>
      <c r="BR156" s="263"/>
      <c r="BS156" s="263"/>
      <c r="BT156" s="2208"/>
      <c r="BU156" s="2217">
        <f t="shared" si="87"/>
        <v>-5.2202322292134351</v>
      </c>
      <c r="BV156" s="2217">
        <f t="shared" si="68"/>
        <v>8746.5459607004632</v>
      </c>
      <c r="BW156" s="2217">
        <f t="shared" si="77"/>
        <v>6.9088270122574613</v>
      </c>
      <c r="BX156" s="2212">
        <v>179</v>
      </c>
      <c r="BY156" s="2219"/>
      <c r="BZ156" s="2213"/>
      <c r="CA156" s="2219"/>
      <c r="CB156" s="2213"/>
      <c r="CC156" s="2213"/>
      <c r="CD156" s="2213"/>
      <c r="CE156" s="2213"/>
      <c r="CF156" s="2208"/>
      <c r="CG156" s="2217">
        <f t="shared" si="88"/>
        <v>-4.3911729877425394</v>
      </c>
      <c r="CH156" s="2217">
        <f t="shared" si="69"/>
        <v>8746.5459607004632</v>
      </c>
      <c r="CI156" s="2217">
        <f t="shared" si="78"/>
        <v>6.9088270122574613</v>
      </c>
      <c r="CJ156" s="2212">
        <v>179</v>
      </c>
      <c r="CK156" s="2219"/>
      <c r="CL156" s="2213"/>
      <c r="CM156" s="2219"/>
      <c r="CN156" s="2213"/>
      <c r="CO156" s="2213"/>
      <c r="CP156" s="2213"/>
      <c r="CQ156" s="2213"/>
      <c r="CR156" s="2208"/>
      <c r="CS156" s="2217">
        <f t="shared" si="89"/>
        <v>1.0010650000943766</v>
      </c>
      <c r="CT156" s="2217">
        <f t="shared" si="79"/>
        <v>6888.5475000033539</v>
      </c>
      <c r="CU156" s="2217">
        <f t="shared" si="70"/>
        <v>9.1119000000699089</v>
      </c>
      <c r="CV156" s="2212">
        <v>179</v>
      </c>
      <c r="CW156" s="2208"/>
      <c r="CX156" s="263"/>
      <c r="CY156" s="2208"/>
      <c r="CZ156" s="263"/>
      <c r="DA156" s="263"/>
      <c r="DB156" s="263"/>
      <c r="DC156" s="263"/>
      <c r="DD156" s="2208"/>
    </row>
    <row r="157" spans="1:108">
      <c r="A157" s="2217">
        <f t="shared" si="80"/>
        <v>-3.1554942432740081</v>
      </c>
      <c r="B157" s="2217">
        <f t="shared" si="71"/>
        <v>8739.6371336882057</v>
      </c>
      <c r="C157" s="2217">
        <f t="shared" si="72"/>
        <v>7.0821789188921684</v>
      </c>
      <c r="D157" s="2212">
        <v>178</v>
      </c>
      <c r="E157" s="2219"/>
      <c r="F157" s="2213"/>
      <c r="G157" s="2219"/>
      <c r="H157" s="2213"/>
      <c r="I157" s="2213"/>
      <c r="J157" s="2213"/>
      <c r="K157" s="2213"/>
      <c r="L157" s="2213"/>
      <c r="M157" s="2217">
        <f t="shared" si="81"/>
        <v>-2.6597417189515546</v>
      </c>
      <c r="N157" s="2217">
        <f t="shared" si="63"/>
        <v>8739.6371336882057</v>
      </c>
      <c r="O157" s="2217">
        <f t="shared" si="73"/>
        <v>7.0821789188921684</v>
      </c>
      <c r="P157" s="2212">
        <v>178</v>
      </c>
      <c r="Q157" s="2219"/>
      <c r="R157" s="2213"/>
      <c r="S157" s="2219"/>
      <c r="T157" s="2213"/>
      <c r="U157" s="2213"/>
      <c r="V157" s="2213"/>
      <c r="W157" s="2213"/>
      <c r="X157" s="2213"/>
      <c r="Y157" s="2217">
        <f t="shared" si="82"/>
        <v>-2.0223456162512594</v>
      </c>
      <c r="Z157" s="2217">
        <f t="shared" si="64"/>
        <v>8739.6371336882057</v>
      </c>
      <c r="AA157" s="2217">
        <f t="shared" si="74"/>
        <v>7.0821789188921684</v>
      </c>
      <c r="AB157" s="2212">
        <v>178</v>
      </c>
      <c r="AC157" s="2219"/>
      <c r="AD157" s="2213"/>
      <c r="AE157" s="2219"/>
      <c r="AF157" s="2213"/>
      <c r="AG157" s="2213"/>
      <c r="AH157" s="2213"/>
      <c r="AI157" s="2213"/>
      <c r="AJ157" s="2213"/>
      <c r="AK157" s="2217">
        <f t="shared" si="83"/>
        <v>-5.0676825513748929</v>
      </c>
      <c r="AL157" s="2217">
        <f t="shared" si="65"/>
        <v>8739.6371336882057</v>
      </c>
      <c r="AM157" s="2217">
        <f t="shared" si="75"/>
        <v>7.0821789188921684</v>
      </c>
      <c r="AN157" s="2212">
        <v>178</v>
      </c>
      <c r="AO157" s="2219"/>
      <c r="AP157" s="2213"/>
      <c r="AQ157" s="2219"/>
      <c r="AR157" s="2213"/>
      <c r="AS157" s="2213"/>
      <c r="AT157" s="2213"/>
      <c r="AU157" s="2213"/>
      <c r="AV157" s="2213"/>
      <c r="AW157" s="2217">
        <f t="shared" si="84"/>
        <v>-1.7654059999251341</v>
      </c>
      <c r="AX157" s="2217">
        <f t="shared" si="85"/>
        <v>6879.435600003284</v>
      </c>
      <c r="AY157" s="2217">
        <f t="shared" si="66"/>
        <v>8.9949000000706292</v>
      </c>
      <c r="AZ157" s="2212">
        <v>178</v>
      </c>
      <c r="BA157" s="2208"/>
      <c r="BB157" s="263"/>
      <c r="BC157" s="2208"/>
      <c r="BD157" s="263"/>
      <c r="BE157" s="263"/>
      <c r="BF157" s="263"/>
      <c r="BG157" s="263"/>
      <c r="BH157" s="2208"/>
      <c r="BI157" s="2217">
        <f t="shared" si="86"/>
        <v>1.0230130000967623</v>
      </c>
      <c r="BJ157" s="2217">
        <f t="shared" si="76"/>
        <v>6879.435600003284</v>
      </c>
      <c r="BK157" s="2217">
        <f t="shared" si="67"/>
        <v>8.9949000000706292</v>
      </c>
      <c r="BL157" s="2212">
        <v>178</v>
      </c>
      <c r="BM157" s="2208"/>
      <c r="BN157" s="263"/>
      <c r="BO157" s="2208"/>
      <c r="BP157" s="263"/>
      <c r="BQ157" s="263"/>
      <c r="BR157" s="263"/>
      <c r="BS157" s="263"/>
      <c r="BT157" s="2208"/>
      <c r="BU157" s="2217">
        <f t="shared" si="87"/>
        <v>-5.0676825513748929</v>
      </c>
      <c r="BV157" s="2217">
        <f t="shared" si="68"/>
        <v>8739.6371336882057</v>
      </c>
      <c r="BW157" s="2217">
        <f t="shared" si="77"/>
        <v>7.0821789188921684</v>
      </c>
      <c r="BX157" s="2212">
        <v>178</v>
      </c>
      <c r="BY157" s="2219"/>
      <c r="BZ157" s="2213"/>
      <c r="CA157" s="2219"/>
      <c r="CB157" s="2213"/>
      <c r="CC157" s="2213"/>
      <c r="CD157" s="2213"/>
      <c r="CE157" s="2213"/>
      <c r="CF157" s="2208"/>
      <c r="CG157" s="2217">
        <f t="shared" si="88"/>
        <v>-4.2178210811078323</v>
      </c>
      <c r="CH157" s="2217">
        <f t="shared" si="69"/>
        <v>8739.6371336882057</v>
      </c>
      <c r="CI157" s="2217">
        <f t="shared" si="78"/>
        <v>7.0821789188921684</v>
      </c>
      <c r="CJ157" s="2212">
        <v>178</v>
      </c>
      <c r="CK157" s="2219"/>
      <c r="CL157" s="2213"/>
      <c r="CM157" s="2219"/>
      <c r="CN157" s="2213"/>
      <c r="CO157" s="2213"/>
      <c r="CP157" s="2213"/>
      <c r="CQ157" s="2213"/>
      <c r="CR157" s="2208"/>
      <c r="CS157" s="2217">
        <f t="shared" si="89"/>
        <v>0.84311500009534868</v>
      </c>
      <c r="CT157" s="2217">
        <f t="shared" si="79"/>
        <v>6879.435600003284</v>
      </c>
      <c r="CU157" s="2217">
        <f t="shared" si="70"/>
        <v>8.9949000000706292</v>
      </c>
      <c r="CV157" s="2212">
        <v>178</v>
      </c>
      <c r="CW157" s="2208"/>
      <c r="CX157" s="263"/>
      <c r="CY157" s="2208"/>
      <c r="CZ157" s="263"/>
      <c r="DA157" s="263"/>
      <c r="DB157" s="263"/>
      <c r="DC157" s="263"/>
      <c r="DD157" s="2208"/>
    </row>
    <row r="158" spans="1:108">
      <c r="A158" s="2217">
        <f t="shared" si="80"/>
        <v>-2.954826646546282</v>
      </c>
      <c r="B158" s="2217">
        <f t="shared" si="71"/>
        <v>8732.5549547693136</v>
      </c>
      <c r="C158" s="2217">
        <f t="shared" si="72"/>
        <v>7.2566724812641041</v>
      </c>
      <c r="D158" s="2212">
        <v>177</v>
      </c>
      <c r="E158" s="2219"/>
      <c r="F158" s="2213"/>
      <c r="G158" s="2219"/>
      <c r="H158" s="2213"/>
      <c r="I158" s="2213"/>
      <c r="J158" s="2213"/>
      <c r="K158" s="2213"/>
      <c r="L158" s="2213"/>
      <c r="M158" s="2217">
        <f t="shared" si="81"/>
        <v>-2.4468595728577931</v>
      </c>
      <c r="N158" s="2217">
        <f t="shared" si="63"/>
        <v>8732.5549547693136</v>
      </c>
      <c r="O158" s="2217">
        <f t="shared" si="73"/>
        <v>7.2566724812641041</v>
      </c>
      <c r="P158" s="2212">
        <v>177</v>
      </c>
      <c r="Q158" s="2219"/>
      <c r="R158" s="2213"/>
      <c r="S158" s="2219"/>
      <c r="T158" s="2213"/>
      <c r="U158" s="2213"/>
      <c r="V158" s="2213"/>
      <c r="W158" s="2213"/>
      <c r="X158" s="2213"/>
      <c r="Y158" s="2217">
        <f t="shared" si="82"/>
        <v>-1.7937590495440237</v>
      </c>
      <c r="Z158" s="2217">
        <f t="shared" si="64"/>
        <v>8732.5549547693136</v>
      </c>
      <c r="AA158" s="2217">
        <f t="shared" si="74"/>
        <v>7.2566724812641041</v>
      </c>
      <c r="AB158" s="2212">
        <v>177</v>
      </c>
      <c r="AC158" s="2219"/>
      <c r="AD158" s="2213"/>
      <c r="AE158" s="2219"/>
      <c r="AF158" s="2213"/>
      <c r="AG158" s="2213"/>
      <c r="AH158" s="2213"/>
      <c r="AI158" s="2213"/>
      <c r="AJ158" s="2213"/>
      <c r="AK158" s="2217">
        <f t="shared" si="83"/>
        <v>-4.9141282164875895</v>
      </c>
      <c r="AL158" s="2217">
        <f t="shared" si="65"/>
        <v>8732.5549547693136</v>
      </c>
      <c r="AM158" s="2217">
        <f t="shared" si="75"/>
        <v>7.2566724812641041</v>
      </c>
      <c r="AN158" s="2212">
        <v>177</v>
      </c>
      <c r="AO158" s="2219"/>
      <c r="AP158" s="2213"/>
      <c r="AQ158" s="2219"/>
      <c r="AR158" s="2213"/>
      <c r="AS158" s="2213"/>
      <c r="AT158" s="2213"/>
      <c r="AU158" s="2213"/>
      <c r="AV158" s="2213"/>
      <c r="AW158" s="2217">
        <f t="shared" si="84"/>
        <v>-1.8856099999253271</v>
      </c>
      <c r="AX158" s="2217">
        <f t="shared" si="85"/>
        <v>6870.4407000032134</v>
      </c>
      <c r="AY158" s="2217">
        <f t="shared" si="66"/>
        <v>8.8815000000704458</v>
      </c>
      <c r="AZ158" s="2212">
        <v>177</v>
      </c>
      <c r="BA158" s="2208"/>
      <c r="BB158" s="263"/>
      <c r="BC158" s="2208"/>
      <c r="BD158" s="263"/>
      <c r="BE158" s="263"/>
      <c r="BF158" s="263"/>
      <c r="BG158" s="263"/>
      <c r="BH158" s="2208"/>
      <c r="BI158" s="2217">
        <f t="shared" si="86"/>
        <v>0.86765500009651042</v>
      </c>
      <c r="BJ158" s="2217">
        <f t="shared" si="76"/>
        <v>6870.4407000032134</v>
      </c>
      <c r="BK158" s="2217">
        <f t="shared" si="67"/>
        <v>8.8815000000704458</v>
      </c>
      <c r="BL158" s="2212">
        <v>177</v>
      </c>
      <c r="BM158" s="2208"/>
      <c r="BN158" s="263"/>
      <c r="BO158" s="2208"/>
      <c r="BP158" s="263"/>
      <c r="BQ158" s="263"/>
      <c r="BR158" s="263"/>
      <c r="BS158" s="263"/>
      <c r="BT158" s="2208"/>
      <c r="BU158" s="2217">
        <f t="shared" si="87"/>
        <v>-4.9141282164875895</v>
      </c>
      <c r="BV158" s="2217">
        <f t="shared" si="68"/>
        <v>8732.5549547693136</v>
      </c>
      <c r="BW158" s="2217">
        <f t="shared" si="77"/>
        <v>7.2566724812641041</v>
      </c>
      <c r="BX158" s="2212">
        <v>177</v>
      </c>
      <c r="BY158" s="2219"/>
      <c r="BZ158" s="2213"/>
      <c r="CA158" s="2219"/>
      <c r="CB158" s="2213"/>
      <c r="CC158" s="2213"/>
      <c r="CD158" s="2213"/>
      <c r="CE158" s="2213"/>
      <c r="CF158" s="2208"/>
      <c r="CG158" s="2217">
        <f t="shared" si="88"/>
        <v>-4.0433275187358966</v>
      </c>
      <c r="CH158" s="2217">
        <f t="shared" si="69"/>
        <v>8732.5549547693136</v>
      </c>
      <c r="CI158" s="2217">
        <f t="shared" si="78"/>
        <v>7.2566724812641041</v>
      </c>
      <c r="CJ158" s="2212">
        <v>177</v>
      </c>
      <c r="CK158" s="2219"/>
      <c r="CL158" s="2213"/>
      <c r="CM158" s="2219"/>
      <c r="CN158" s="2213"/>
      <c r="CO158" s="2213"/>
      <c r="CP158" s="2213"/>
      <c r="CQ158" s="2213"/>
      <c r="CR158" s="2208"/>
      <c r="CS158" s="2217">
        <f t="shared" si="89"/>
        <v>0.69002500009510115</v>
      </c>
      <c r="CT158" s="2217">
        <f t="shared" si="79"/>
        <v>6870.4407000032134</v>
      </c>
      <c r="CU158" s="2217">
        <f t="shared" si="70"/>
        <v>8.8815000000704458</v>
      </c>
      <c r="CV158" s="2212">
        <v>177</v>
      </c>
      <c r="CW158" s="2208"/>
      <c r="CX158" s="263"/>
      <c r="CY158" s="2208"/>
      <c r="CZ158" s="263"/>
      <c r="DA158" s="263"/>
      <c r="DB158" s="263"/>
      <c r="DC158" s="263"/>
      <c r="DD158" s="2208"/>
    </row>
    <row r="159" spans="1:108">
      <c r="A159" s="2217">
        <f t="shared" si="80"/>
        <v>-2.7528461457249271</v>
      </c>
      <c r="B159" s="2217">
        <f t="shared" si="71"/>
        <v>8725.2982822880494</v>
      </c>
      <c r="C159" s="2217">
        <f t="shared" si="72"/>
        <v>7.4323076993696304</v>
      </c>
      <c r="D159" s="2212">
        <v>176</v>
      </c>
      <c r="E159" s="2219"/>
      <c r="F159" s="2213"/>
      <c r="G159" s="2219"/>
      <c r="H159" s="2213"/>
      <c r="I159" s="2213"/>
      <c r="J159" s="2213"/>
      <c r="K159" s="2213"/>
      <c r="L159" s="2213"/>
      <c r="M159" s="2217">
        <f t="shared" si="81"/>
        <v>-2.232584606769052</v>
      </c>
      <c r="N159" s="2217">
        <f t="shared" si="63"/>
        <v>8725.2982822880494</v>
      </c>
      <c r="O159" s="2217">
        <f t="shared" si="73"/>
        <v>7.4323076993696304</v>
      </c>
      <c r="P159" s="2212">
        <v>176</v>
      </c>
      <c r="Q159" s="2219"/>
      <c r="R159" s="2213"/>
      <c r="S159" s="2219"/>
      <c r="T159" s="2213"/>
      <c r="U159" s="2213"/>
      <c r="V159" s="2213"/>
      <c r="W159" s="2213"/>
      <c r="X159" s="2213"/>
      <c r="Y159" s="2217">
        <f t="shared" si="82"/>
        <v>-1.563676913825784</v>
      </c>
      <c r="Z159" s="2217">
        <f t="shared" si="64"/>
        <v>8725.2982822880494</v>
      </c>
      <c r="AA159" s="2217">
        <f t="shared" si="74"/>
        <v>7.4323076993696304</v>
      </c>
      <c r="AB159" s="2212">
        <v>176</v>
      </c>
      <c r="AC159" s="2219"/>
      <c r="AD159" s="2213"/>
      <c r="AE159" s="2219"/>
      <c r="AF159" s="2213"/>
      <c r="AG159" s="2213"/>
      <c r="AH159" s="2213"/>
      <c r="AI159" s="2213"/>
      <c r="AJ159" s="2213"/>
      <c r="AK159" s="2217">
        <f t="shared" si="83"/>
        <v>-4.7595692245547268</v>
      </c>
      <c r="AL159" s="2217">
        <f t="shared" si="65"/>
        <v>8725.2982822880494</v>
      </c>
      <c r="AM159" s="2217">
        <f t="shared" si="75"/>
        <v>7.4323076993696304</v>
      </c>
      <c r="AN159" s="2212">
        <v>176</v>
      </c>
      <c r="AO159" s="2219"/>
      <c r="AP159" s="2213"/>
      <c r="AQ159" s="2219"/>
      <c r="AR159" s="2213"/>
      <c r="AS159" s="2213"/>
      <c r="AT159" s="2213"/>
      <c r="AU159" s="2213"/>
      <c r="AV159" s="2213"/>
      <c r="AW159" s="2217">
        <f t="shared" si="84"/>
        <v>-2.0019979999274433</v>
      </c>
      <c r="AX159" s="2217">
        <f t="shared" si="85"/>
        <v>6861.5592000031429</v>
      </c>
      <c r="AY159" s="2217">
        <f t="shared" si="66"/>
        <v>8.7717000000684493</v>
      </c>
      <c r="AZ159" s="2212">
        <v>176</v>
      </c>
      <c r="BA159" s="2208"/>
      <c r="BB159" s="263"/>
      <c r="BC159" s="2208"/>
      <c r="BD159" s="263"/>
      <c r="BE159" s="263"/>
      <c r="BF159" s="263"/>
      <c r="BG159" s="263"/>
      <c r="BH159" s="2208"/>
      <c r="BI159" s="2217">
        <f t="shared" si="86"/>
        <v>0.71722900009377533</v>
      </c>
      <c r="BJ159" s="2217">
        <f t="shared" si="76"/>
        <v>6861.5592000031429</v>
      </c>
      <c r="BK159" s="2217">
        <f t="shared" si="67"/>
        <v>8.7717000000684493</v>
      </c>
      <c r="BL159" s="2212">
        <v>176</v>
      </c>
      <c r="BM159" s="2208"/>
      <c r="BN159" s="263"/>
      <c r="BO159" s="2208"/>
      <c r="BP159" s="263"/>
      <c r="BQ159" s="263"/>
      <c r="BR159" s="263"/>
      <c r="BS159" s="263"/>
      <c r="BT159" s="2208"/>
      <c r="BU159" s="2217">
        <f t="shared" si="87"/>
        <v>-4.7595692245547268</v>
      </c>
      <c r="BV159" s="2217">
        <f t="shared" si="68"/>
        <v>8725.2982822880494</v>
      </c>
      <c r="BW159" s="2217">
        <f t="shared" si="77"/>
        <v>7.4323076993696304</v>
      </c>
      <c r="BX159" s="2212">
        <v>176</v>
      </c>
      <c r="BY159" s="2219"/>
      <c r="BZ159" s="2213"/>
      <c r="CA159" s="2219"/>
      <c r="CB159" s="2213"/>
      <c r="CC159" s="2213"/>
      <c r="CD159" s="2213"/>
      <c r="CE159" s="2213"/>
      <c r="CF159" s="2208"/>
      <c r="CG159" s="2217">
        <f t="shared" si="88"/>
        <v>-3.8676923006303703</v>
      </c>
      <c r="CH159" s="2217">
        <f t="shared" si="69"/>
        <v>8725.2982822880494</v>
      </c>
      <c r="CI159" s="2217">
        <f t="shared" si="78"/>
        <v>7.4323076993696304</v>
      </c>
      <c r="CJ159" s="2212">
        <v>176</v>
      </c>
      <c r="CK159" s="2219"/>
      <c r="CL159" s="2213"/>
      <c r="CM159" s="2219"/>
      <c r="CN159" s="2213"/>
      <c r="CO159" s="2213"/>
      <c r="CP159" s="2213"/>
      <c r="CQ159" s="2213"/>
      <c r="CR159" s="2208"/>
      <c r="CS159" s="2217">
        <f t="shared" si="89"/>
        <v>0.54179500009240655</v>
      </c>
      <c r="CT159" s="2217">
        <f t="shared" si="79"/>
        <v>6861.5592000031429</v>
      </c>
      <c r="CU159" s="2217">
        <f t="shared" si="70"/>
        <v>8.7717000000684493</v>
      </c>
      <c r="CV159" s="2212">
        <v>176</v>
      </c>
      <c r="CW159" s="2208"/>
      <c r="CX159" s="263"/>
      <c r="CY159" s="2208"/>
      <c r="CZ159" s="263"/>
      <c r="DA159" s="263"/>
      <c r="DB159" s="263"/>
      <c r="DC159" s="263"/>
      <c r="DD159" s="2208"/>
    </row>
    <row r="160" spans="1:108">
      <c r="A160" s="2217">
        <f t="shared" si="80"/>
        <v>-2.5495527408099417</v>
      </c>
      <c r="B160" s="2217">
        <f t="shared" si="71"/>
        <v>8717.8659745886798</v>
      </c>
      <c r="C160" s="2217">
        <f t="shared" si="72"/>
        <v>7.6090845732087473</v>
      </c>
      <c r="D160" s="2212">
        <v>175</v>
      </c>
      <c r="E160" s="2219"/>
      <c r="F160" s="2213"/>
      <c r="G160" s="2219"/>
      <c r="H160" s="2213"/>
      <c r="I160" s="2213"/>
      <c r="J160" s="2213"/>
      <c r="K160" s="2213"/>
      <c r="L160" s="2213"/>
      <c r="M160" s="2217">
        <f t="shared" si="81"/>
        <v>-2.0169168206853296</v>
      </c>
      <c r="N160" s="2217">
        <f t="shared" si="63"/>
        <v>8717.8659745886798</v>
      </c>
      <c r="O160" s="2217">
        <f t="shared" si="73"/>
        <v>7.6090845732087473</v>
      </c>
      <c r="P160" s="2212">
        <v>175</v>
      </c>
      <c r="Q160" s="2219"/>
      <c r="R160" s="2213"/>
      <c r="S160" s="2219"/>
      <c r="T160" s="2213"/>
      <c r="U160" s="2213"/>
      <c r="V160" s="2213"/>
      <c r="W160" s="2213"/>
      <c r="X160" s="2213"/>
      <c r="Y160" s="2217">
        <f t="shared" si="82"/>
        <v>-1.3320992090965404</v>
      </c>
      <c r="Z160" s="2217">
        <f t="shared" si="64"/>
        <v>8717.8659745886798</v>
      </c>
      <c r="AA160" s="2217">
        <f t="shared" si="74"/>
        <v>7.6090845732087473</v>
      </c>
      <c r="AB160" s="2212">
        <v>175</v>
      </c>
      <c r="AC160" s="2219"/>
      <c r="AD160" s="2213"/>
      <c r="AE160" s="2219"/>
      <c r="AF160" s="2213"/>
      <c r="AG160" s="2213"/>
      <c r="AH160" s="2213"/>
      <c r="AI160" s="2213"/>
      <c r="AJ160" s="2213"/>
      <c r="AK160" s="2217">
        <f t="shared" si="83"/>
        <v>-4.6040055755763039</v>
      </c>
      <c r="AL160" s="2217">
        <f t="shared" si="65"/>
        <v>8717.8659745886798</v>
      </c>
      <c r="AM160" s="2217">
        <f t="shared" si="75"/>
        <v>7.6090845732087473</v>
      </c>
      <c r="AN160" s="2212">
        <v>175</v>
      </c>
      <c r="AO160" s="2219"/>
      <c r="AP160" s="2213"/>
      <c r="AQ160" s="2219"/>
      <c r="AR160" s="2213"/>
      <c r="AS160" s="2213"/>
      <c r="AT160" s="2213"/>
      <c r="AU160" s="2213"/>
      <c r="AV160" s="2213"/>
      <c r="AW160" s="2217">
        <f t="shared" si="84"/>
        <v>-2.1145699999276264</v>
      </c>
      <c r="AX160" s="2217">
        <f t="shared" si="85"/>
        <v>6852.7875000030745</v>
      </c>
      <c r="AY160" s="2217">
        <f t="shared" si="66"/>
        <v>8.6655000000682776</v>
      </c>
      <c r="AZ160" s="2212">
        <v>175</v>
      </c>
      <c r="BA160" s="2208"/>
      <c r="BB160" s="263"/>
      <c r="BC160" s="2208"/>
      <c r="BD160" s="263"/>
      <c r="BE160" s="263"/>
      <c r="BF160" s="263"/>
      <c r="BG160" s="263"/>
      <c r="BH160" s="2208"/>
      <c r="BI160" s="2217">
        <f t="shared" si="86"/>
        <v>0.57173500009353972</v>
      </c>
      <c r="BJ160" s="2217">
        <f t="shared" si="76"/>
        <v>6852.7875000030745</v>
      </c>
      <c r="BK160" s="2217">
        <f t="shared" si="67"/>
        <v>8.6655000000682776</v>
      </c>
      <c r="BL160" s="2212">
        <v>175</v>
      </c>
      <c r="BM160" s="2208"/>
      <c r="BN160" s="263"/>
      <c r="BO160" s="2208"/>
      <c r="BP160" s="263"/>
      <c r="BQ160" s="263"/>
      <c r="BR160" s="263"/>
      <c r="BS160" s="263"/>
      <c r="BT160" s="2208"/>
      <c r="BU160" s="2217">
        <f t="shared" si="87"/>
        <v>-4.6040055755763039</v>
      </c>
      <c r="BV160" s="2217">
        <f t="shared" si="68"/>
        <v>8717.8659745886798</v>
      </c>
      <c r="BW160" s="2217">
        <f t="shared" si="77"/>
        <v>7.6090845732087473</v>
      </c>
      <c r="BX160" s="2212">
        <v>175</v>
      </c>
      <c r="BY160" s="2219"/>
      <c r="BZ160" s="2213"/>
      <c r="CA160" s="2219"/>
      <c r="CB160" s="2213"/>
      <c r="CC160" s="2213"/>
      <c r="CD160" s="2213"/>
      <c r="CE160" s="2213"/>
      <c r="CF160" s="2208"/>
      <c r="CG160" s="2217">
        <f t="shared" si="88"/>
        <v>-3.6909154267912534</v>
      </c>
      <c r="CH160" s="2217">
        <f t="shared" si="69"/>
        <v>8717.8659745886798</v>
      </c>
      <c r="CI160" s="2217">
        <f t="shared" si="78"/>
        <v>7.6090845732087473</v>
      </c>
      <c r="CJ160" s="2212">
        <v>175</v>
      </c>
      <c r="CK160" s="2219"/>
      <c r="CL160" s="2213"/>
      <c r="CM160" s="2219"/>
      <c r="CN160" s="2213"/>
      <c r="CO160" s="2213"/>
      <c r="CP160" s="2213"/>
      <c r="CQ160" s="2213"/>
      <c r="CR160" s="2208"/>
      <c r="CS160" s="2217">
        <f t="shared" si="89"/>
        <v>0.39842500009217474</v>
      </c>
      <c r="CT160" s="2217">
        <f t="shared" si="79"/>
        <v>6852.7875000030745</v>
      </c>
      <c r="CU160" s="2217">
        <f t="shared" si="70"/>
        <v>8.6655000000682776</v>
      </c>
      <c r="CV160" s="2212">
        <v>175</v>
      </c>
      <c r="CW160" s="2208"/>
      <c r="CX160" s="263"/>
      <c r="CY160" s="2208"/>
      <c r="CZ160" s="263"/>
      <c r="DA160" s="263"/>
      <c r="DB160" s="263"/>
      <c r="DC160" s="263"/>
      <c r="DD160" s="2208"/>
    </row>
    <row r="161" spans="1:108">
      <c r="A161" s="2217">
        <f t="shared" si="80"/>
        <v>-2.344946431797144</v>
      </c>
      <c r="B161" s="2217">
        <f t="shared" si="71"/>
        <v>8710.2568900154711</v>
      </c>
      <c r="C161" s="2217">
        <f t="shared" si="72"/>
        <v>7.7870031027850928</v>
      </c>
      <c r="D161" s="2212">
        <v>174</v>
      </c>
      <c r="E161" s="2219"/>
      <c r="F161" s="2213"/>
      <c r="G161" s="2219"/>
      <c r="H161" s="2213"/>
      <c r="I161" s="2213"/>
      <c r="J161" s="2213"/>
      <c r="K161" s="2213"/>
      <c r="L161" s="2213"/>
      <c r="M161" s="2217">
        <f t="shared" si="81"/>
        <v>-1.7998562146021886</v>
      </c>
      <c r="N161" s="2217">
        <f t="shared" si="63"/>
        <v>8710.2568900154711</v>
      </c>
      <c r="O161" s="2217">
        <f t="shared" si="73"/>
        <v>7.7870031027850928</v>
      </c>
      <c r="P161" s="2212">
        <v>174</v>
      </c>
      <c r="Q161" s="2219"/>
      <c r="R161" s="2213"/>
      <c r="S161" s="2219"/>
      <c r="T161" s="2213"/>
      <c r="U161" s="2213"/>
      <c r="V161" s="2213"/>
      <c r="W161" s="2213"/>
      <c r="X161" s="2213"/>
      <c r="Y161" s="2217">
        <f t="shared" si="82"/>
        <v>-1.0990259353515288</v>
      </c>
      <c r="Z161" s="2217">
        <f t="shared" si="64"/>
        <v>8710.2568900154711</v>
      </c>
      <c r="AA161" s="2217">
        <f t="shared" si="74"/>
        <v>7.7870031027850928</v>
      </c>
      <c r="AB161" s="2212">
        <v>174</v>
      </c>
      <c r="AC161" s="2219"/>
      <c r="AD161" s="2213"/>
      <c r="AE161" s="2219"/>
      <c r="AF161" s="2213"/>
      <c r="AG161" s="2213"/>
      <c r="AH161" s="2213"/>
      <c r="AI161" s="2213"/>
      <c r="AJ161" s="2213"/>
      <c r="AK161" s="2217">
        <f t="shared" si="83"/>
        <v>-4.4474372695491198</v>
      </c>
      <c r="AL161" s="2217">
        <f t="shared" si="65"/>
        <v>8710.2568900154711</v>
      </c>
      <c r="AM161" s="2217">
        <f t="shared" si="75"/>
        <v>7.7870031027850928</v>
      </c>
      <c r="AN161" s="2212">
        <v>174</v>
      </c>
      <c r="AO161" s="2219"/>
      <c r="AP161" s="2213"/>
      <c r="AQ161" s="2219"/>
      <c r="AR161" s="2213"/>
      <c r="AS161" s="2213"/>
      <c r="AT161" s="2213"/>
      <c r="AU161" s="2213"/>
      <c r="AV161" s="2213"/>
      <c r="AW161" s="2217">
        <f t="shared" si="84"/>
        <v>-2.2233259999278019</v>
      </c>
      <c r="AX161" s="2217">
        <f t="shared" si="85"/>
        <v>6844.1220000030062</v>
      </c>
      <c r="AY161" s="2217">
        <f t="shared" si="66"/>
        <v>8.5629000000681117</v>
      </c>
      <c r="AZ161" s="2212">
        <v>174</v>
      </c>
      <c r="BA161" s="2208"/>
      <c r="BB161" s="263"/>
      <c r="BC161" s="2208"/>
      <c r="BD161" s="263"/>
      <c r="BE161" s="263"/>
      <c r="BF161" s="263"/>
      <c r="BG161" s="263"/>
      <c r="BH161" s="2208"/>
      <c r="BI161" s="2217">
        <f t="shared" si="86"/>
        <v>0.43117300009331316</v>
      </c>
      <c r="BJ161" s="2217">
        <f t="shared" si="76"/>
        <v>6844.1220000030062</v>
      </c>
      <c r="BK161" s="2217">
        <f t="shared" si="67"/>
        <v>8.5629000000681117</v>
      </c>
      <c r="BL161" s="2212">
        <v>174</v>
      </c>
      <c r="BM161" s="2208"/>
      <c r="BN161" s="263"/>
      <c r="BO161" s="2208"/>
      <c r="BP161" s="263"/>
      <c r="BQ161" s="263"/>
      <c r="BR161" s="263"/>
      <c r="BS161" s="263"/>
      <c r="BT161" s="2208"/>
      <c r="BU161" s="2217">
        <f t="shared" si="87"/>
        <v>-4.4474372695491198</v>
      </c>
      <c r="BV161" s="2217">
        <f t="shared" si="68"/>
        <v>8710.2568900154711</v>
      </c>
      <c r="BW161" s="2217">
        <f t="shared" si="77"/>
        <v>7.7870031027850928</v>
      </c>
      <c r="BX161" s="2212">
        <v>174</v>
      </c>
      <c r="BY161" s="2219"/>
      <c r="BZ161" s="2213"/>
      <c r="CA161" s="2219"/>
      <c r="CB161" s="2213"/>
      <c r="CC161" s="2213"/>
      <c r="CD161" s="2213"/>
      <c r="CE161" s="2213"/>
      <c r="CF161" s="2208"/>
      <c r="CG161" s="2217">
        <f t="shared" si="88"/>
        <v>-3.5129968972149079</v>
      </c>
      <c r="CH161" s="2217">
        <f t="shared" si="69"/>
        <v>8710.2568900154711</v>
      </c>
      <c r="CI161" s="2217">
        <f t="shared" si="78"/>
        <v>7.7870031027850928</v>
      </c>
      <c r="CJ161" s="2212">
        <v>174</v>
      </c>
      <c r="CK161" s="2219"/>
      <c r="CL161" s="2213"/>
      <c r="CM161" s="2219"/>
      <c r="CN161" s="2213"/>
      <c r="CO161" s="2213"/>
      <c r="CP161" s="2213"/>
      <c r="CQ161" s="2213"/>
      <c r="CR161" s="2208"/>
      <c r="CS161" s="2217">
        <f t="shared" si="89"/>
        <v>0.25991500009195079</v>
      </c>
      <c r="CT161" s="2217">
        <f t="shared" si="79"/>
        <v>6844.1220000030062</v>
      </c>
      <c r="CU161" s="2217">
        <f t="shared" si="70"/>
        <v>8.5629000000681117</v>
      </c>
      <c r="CV161" s="2212">
        <v>174</v>
      </c>
      <c r="CW161" s="2208"/>
      <c r="CX161" s="263"/>
      <c r="CY161" s="2208"/>
      <c r="CZ161" s="263"/>
      <c r="DA161" s="263"/>
      <c r="DB161" s="263"/>
      <c r="DC161" s="263"/>
      <c r="DD161" s="2208"/>
    </row>
    <row r="162" spans="1:108">
      <c r="A162" s="2217">
        <f t="shared" si="80"/>
        <v>-2.1390272186928101</v>
      </c>
      <c r="B162" s="2217">
        <f t="shared" si="71"/>
        <v>8702.469886912686</v>
      </c>
      <c r="C162" s="2217">
        <f t="shared" si="72"/>
        <v>7.9660632880932098</v>
      </c>
      <c r="D162" s="2212">
        <v>173</v>
      </c>
      <c r="E162" s="2219"/>
      <c r="F162" s="2213"/>
      <c r="G162" s="2219"/>
      <c r="H162" s="2213"/>
      <c r="I162" s="2213"/>
      <c r="J162" s="2213"/>
      <c r="K162" s="2213"/>
      <c r="L162" s="2213"/>
      <c r="M162" s="2217">
        <f t="shared" si="81"/>
        <v>-1.5814027885262849</v>
      </c>
      <c r="N162" s="2217">
        <f t="shared" si="63"/>
        <v>8702.469886912686</v>
      </c>
      <c r="O162" s="2217">
        <f t="shared" si="73"/>
        <v>7.9660632880932098</v>
      </c>
      <c r="P162" s="2212">
        <v>173</v>
      </c>
      <c r="Q162" s="2219"/>
      <c r="R162" s="2213"/>
      <c r="S162" s="2219"/>
      <c r="T162" s="2213"/>
      <c r="U162" s="2213"/>
      <c r="V162" s="2213"/>
      <c r="W162" s="2213"/>
      <c r="X162" s="2213"/>
      <c r="Y162" s="2217">
        <f t="shared" si="82"/>
        <v>-0.86445709259789538</v>
      </c>
      <c r="Z162" s="2217">
        <f t="shared" si="64"/>
        <v>8702.469886912686</v>
      </c>
      <c r="AA162" s="2217">
        <f t="shared" si="74"/>
        <v>7.9660632880932098</v>
      </c>
      <c r="AB162" s="2212">
        <v>173</v>
      </c>
      <c r="AC162" s="2219"/>
      <c r="AD162" s="2213"/>
      <c r="AE162" s="2219"/>
      <c r="AF162" s="2213"/>
      <c r="AG162" s="2213"/>
      <c r="AH162" s="2213"/>
      <c r="AI162" s="2213"/>
      <c r="AJ162" s="2213"/>
      <c r="AK162" s="2217">
        <f t="shared" si="83"/>
        <v>-4.2898643064779769</v>
      </c>
      <c r="AL162" s="2217">
        <f t="shared" si="65"/>
        <v>8702.469886912686</v>
      </c>
      <c r="AM162" s="2217">
        <f t="shared" si="75"/>
        <v>7.9660632880932098</v>
      </c>
      <c r="AN162" s="2212">
        <v>173</v>
      </c>
      <c r="AO162" s="2219"/>
      <c r="AP162" s="2213"/>
      <c r="AQ162" s="2219"/>
      <c r="AR162" s="2213"/>
      <c r="AS162" s="2213"/>
      <c r="AT162" s="2213"/>
      <c r="AU162" s="2213"/>
      <c r="AV162" s="2213"/>
      <c r="AW162" s="2217">
        <f t="shared" si="84"/>
        <v>-2.3282659999250797</v>
      </c>
      <c r="AX162" s="2217">
        <f t="shared" si="85"/>
        <v>6835.5591000029381</v>
      </c>
      <c r="AY162" s="2217">
        <f t="shared" si="66"/>
        <v>8.4639000000706801</v>
      </c>
      <c r="AZ162" s="2212">
        <v>173</v>
      </c>
      <c r="BA162" s="2208"/>
      <c r="BB162" s="263"/>
      <c r="BC162" s="2208"/>
      <c r="BD162" s="263"/>
      <c r="BE162" s="263"/>
      <c r="BF162" s="263"/>
      <c r="BG162" s="263"/>
      <c r="BH162" s="2208"/>
      <c r="BI162" s="2217">
        <f t="shared" si="86"/>
        <v>0.29554300009683132</v>
      </c>
      <c r="BJ162" s="2217">
        <f t="shared" si="76"/>
        <v>6835.5591000029381</v>
      </c>
      <c r="BK162" s="2217">
        <f t="shared" si="67"/>
        <v>8.4639000000706801</v>
      </c>
      <c r="BL162" s="2212">
        <v>173</v>
      </c>
      <c r="BM162" s="2208"/>
      <c r="BN162" s="263"/>
      <c r="BO162" s="2208"/>
      <c r="BP162" s="263"/>
      <c r="BQ162" s="263"/>
      <c r="BR162" s="263"/>
      <c r="BS162" s="263"/>
      <c r="BT162" s="2208"/>
      <c r="BU162" s="2217">
        <f t="shared" si="87"/>
        <v>-4.2898643064779769</v>
      </c>
      <c r="BV162" s="2217">
        <f t="shared" si="68"/>
        <v>8702.469886912686</v>
      </c>
      <c r="BW162" s="2217">
        <f t="shared" si="77"/>
        <v>7.9660632880932098</v>
      </c>
      <c r="BX162" s="2212">
        <v>173</v>
      </c>
      <c r="BY162" s="2219"/>
      <c r="BZ162" s="2213"/>
      <c r="CA162" s="2219"/>
      <c r="CB162" s="2213"/>
      <c r="CC162" s="2213"/>
      <c r="CD162" s="2213"/>
      <c r="CE162" s="2213"/>
      <c r="CF162" s="2208"/>
      <c r="CG162" s="2217">
        <f t="shared" si="88"/>
        <v>-3.3339367119067909</v>
      </c>
      <c r="CH162" s="2217">
        <f t="shared" si="69"/>
        <v>8702.469886912686</v>
      </c>
      <c r="CI162" s="2217">
        <f t="shared" si="78"/>
        <v>7.9660632880932098</v>
      </c>
      <c r="CJ162" s="2212">
        <v>173</v>
      </c>
      <c r="CK162" s="2219"/>
      <c r="CL162" s="2213"/>
      <c r="CM162" s="2219"/>
      <c r="CN162" s="2213"/>
      <c r="CO162" s="2213"/>
      <c r="CP162" s="2213"/>
      <c r="CQ162" s="2213"/>
      <c r="CR162" s="2208"/>
      <c r="CS162" s="2217">
        <f t="shared" si="89"/>
        <v>0.12626500009541886</v>
      </c>
      <c r="CT162" s="2217">
        <f t="shared" si="79"/>
        <v>6835.5591000029381</v>
      </c>
      <c r="CU162" s="2217">
        <f t="shared" si="70"/>
        <v>8.4639000000706801</v>
      </c>
      <c r="CV162" s="2212">
        <v>173</v>
      </c>
      <c r="CW162" s="2208"/>
      <c r="CX162" s="263"/>
      <c r="CY162" s="2208"/>
      <c r="CZ162" s="263"/>
      <c r="DA162" s="263"/>
      <c r="DB162" s="263"/>
      <c r="DC162" s="263"/>
      <c r="DD162" s="2208"/>
    </row>
    <row r="163" spans="1:108">
      <c r="A163" s="2217">
        <f t="shared" si="80"/>
        <v>-1.9317951014906622</v>
      </c>
      <c r="B163" s="2217">
        <f t="shared" si="71"/>
        <v>8694.5038236245928</v>
      </c>
      <c r="C163" s="2217">
        <f t="shared" si="72"/>
        <v>8.1462651291385555</v>
      </c>
      <c r="D163" s="2212">
        <v>172</v>
      </c>
      <c r="E163" s="2219"/>
      <c r="F163" s="2213"/>
      <c r="G163" s="2219"/>
      <c r="H163" s="2213"/>
      <c r="I163" s="2213"/>
      <c r="J163" s="2213"/>
      <c r="K163" s="2213"/>
      <c r="L163" s="2213"/>
      <c r="M163" s="2217">
        <f t="shared" si="81"/>
        <v>-1.3615565424509626</v>
      </c>
      <c r="N163" s="2217">
        <f t="shared" ref="N163:N226" si="90">N$27+(N$26*P163)-(N$25*(P163^2))+(N$24*(P163^3))</f>
        <v>8694.5038236245928</v>
      </c>
      <c r="O163" s="2217">
        <f t="shared" si="73"/>
        <v>8.1462651291385555</v>
      </c>
      <c r="P163" s="2212">
        <v>172</v>
      </c>
      <c r="Q163" s="2219"/>
      <c r="R163" s="2213"/>
      <c r="S163" s="2219"/>
      <c r="T163" s="2213"/>
      <c r="U163" s="2213"/>
      <c r="V163" s="2213"/>
      <c r="W163" s="2213"/>
      <c r="X163" s="2213"/>
      <c r="Y163" s="2217">
        <f t="shared" si="82"/>
        <v>-0.62839268082849209</v>
      </c>
      <c r="Z163" s="2217">
        <f t="shared" ref="Z163:Z226" si="91">Z$27+(Z$26*AB163)-(Z$25*(AB163^2))+(Z$24*(AB163^3))</f>
        <v>8694.5038236245928</v>
      </c>
      <c r="AA163" s="2217">
        <f t="shared" si="74"/>
        <v>8.1462651291385555</v>
      </c>
      <c r="AB163" s="2212">
        <v>172</v>
      </c>
      <c r="AC163" s="2219"/>
      <c r="AD163" s="2213"/>
      <c r="AE163" s="2219"/>
      <c r="AF163" s="2213"/>
      <c r="AG163" s="2213"/>
      <c r="AH163" s="2213"/>
      <c r="AI163" s="2213"/>
      <c r="AJ163" s="2213"/>
      <c r="AK163" s="2217">
        <f t="shared" si="83"/>
        <v>-4.1312866863580728</v>
      </c>
      <c r="AL163" s="2217">
        <f t="shared" ref="AL163:AL226" si="92">AL$27+(AL$26*AN163)-(AL$25*(AN163^2))+(AL$24*(AN163^3))</f>
        <v>8694.5038236245928</v>
      </c>
      <c r="AM163" s="2217">
        <f t="shared" si="75"/>
        <v>8.1462651291385555</v>
      </c>
      <c r="AN163" s="2212">
        <v>172</v>
      </c>
      <c r="AO163" s="2219"/>
      <c r="AP163" s="2213"/>
      <c r="AQ163" s="2219"/>
      <c r="AR163" s="2213"/>
      <c r="AS163" s="2213"/>
      <c r="AT163" s="2213"/>
      <c r="AU163" s="2213"/>
      <c r="AV163" s="2213"/>
      <c r="AW163" s="2217">
        <f t="shared" si="84"/>
        <v>-2.4293899999291</v>
      </c>
      <c r="AX163" s="2217">
        <f t="shared" si="85"/>
        <v>6827.0952000028674</v>
      </c>
      <c r="AY163" s="2217">
        <f t="shared" ref="AY163:AY226" si="93">AX163-AX164</f>
        <v>8.3685000000668879</v>
      </c>
      <c r="AZ163" s="2212">
        <v>172</v>
      </c>
      <c r="BA163" s="2208"/>
      <c r="BB163" s="263"/>
      <c r="BC163" s="2208"/>
      <c r="BD163" s="263"/>
      <c r="BE163" s="263"/>
      <c r="BF163" s="263"/>
      <c r="BG163" s="263"/>
      <c r="BH163" s="2208"/>
      <c r="BI163" s="2217">
        <f t="shared" si="86"/>
        <v>0.16484500009163661</v>
      </c>
      <c r="BJ163" s="2217">
        <f t="shared" si="76"/>
        <v>6827.0952000028674</v>
      </c>
      <c r="BK163" s="2217">
        <f t="shared" ref="BK163:BK226" si="94">BJ163-BJ164</f>
        <v>8.3685000000668879</v>
      </c>
      <c r="BL163" s="2212">
        <v>172</v>
      </c>
      <c r="BM163" s="2208"/>
      <c r="BN163" s="263"/>
      <c r="BO163" s="2208"/>
      <c r="BP163" s="263"/>
      <c r="BQ163" s="263"/>
      <c r="BR163" s="263"/>
      <c r="BS163" s="263"/>
      <c r="BT163" s="2208"/>
      <c r="BU163" s="2217">
        <f t="shared" si="87"/>
        <v>-4.1312866863580728</v>
      </c>
      <c r="BV163" s="2217">
        <f t="shared" ref="BV163:BV226" si="95">BV$27+(BV$26*BX163)-(BV$25*(BX163^2))+(BV$24*(BX163^3))</f>
        <v>8694.5038236245928</v>
      </c>
      <c r="BW163" s="2217">
        <f t="shared" si="77"/>
        <v>8.1462651291385555</v>
      </c>
      <c r="BX163" s="2212">
        <v>172</v>
      </c>
      <c r="BY163" s="2219"/>
      <c r="BZ163" s="2213"/>
      <c r="CA163" s="2219"/>
      <c r="CB163" s="2213"/>
      <c r="CC163" s="2213"/>
      <c r="CD163" s="2213"/>
      <c r="CE163" s="2213"/>
      <c r="CF163" s="2208"/>
      <c r="CG163" s="2217">
        <f t="shared" si="88"/>
        <v>-3.1537348708614452</v>
      </c>
      <c r="CH163" s="2217">
        <f t="shared" ref="CH163:CH226" si="96">CH$27+(CH$26*CJ163)-(CH$25*(CJ163^2))+(CH$24*(CJ163^3))</f>
        <v>8694.5038236245928</v>
      </c>
      <c r="CI163" s="2217">
        <f t="shared" si="78"/>
        <v>8.1462651291385555</v>
      </c>
      <c r="CJ163" s="2212">
        <v>172</v>
      </c>
      <c r="CK163" s="2219"/>
      <c r="CL163" s="2213"/>
      <c r="CM163" s="2219"/>
      <c r="CN163" s="2213"/>
      <c r="CO163" s="2213"/>
      <c r="CP163" s="2213"/>
      <c r="CQ163" s="2213"/>
      <c r="CR163" s="2208"/>
      <c r="CS163" s="2217">
        <f t="shared" si="89"/>
        <v>-2.524999909701009E-3</v>
      </c>
      <c r="CT163" s="2217">
        <f t="shared" si="79"/>
        <v>6827.0952000028674</v>
      </c>
      <c r="CU163" s="2217">
        <f t="shared" ref="CU163:CU226" si="97">CT163-CT164</f>
        <v>8.3685000000668879</v>
      </c>
      <c r="CV163" s="2212">
        <v>172</v>
      </c>
      <c r="CW163" s="2208"/>
      <c r="CX163" s="263"/>
      <c r="CY163" s="2208"/>
      <c r="CZ163" s="263"/>
      <c r="DA163" s="263"/>
      <c r="DB163" s="263"/>
      <c r="DC163" s="263"/>
      <c r="DD163" s="2208"/>
    </row>
    <row r="164" spans="1:108">
      <c r="A164" s="2217">
        <f t="shared" si="80"/>
        <v>-1.7232500801969781</v>
      </c>
      <c r="B164" s="2217">
        <f t="shared" ref="B164:B227" si="98">B$27+(B$26*D164)-(B$25*(D164^2))+(B$24*(D164^3))</f>
        <v>8686.3575584954542</v>
      </c>
      <c r="C164" s="2217">
        <f t="shared" ref="C164:C227" si="99">B164-B165</f>
        <v>8.3276086259156727</v>
      </c>
      <c r="D164" s="2212">
        <v>171</v>
      </c>
      <c r="E164" s="2219"/>
      <c r="F164" s="2213"/>
      <c r="G164" s="2219"/>
      <c r="H164" s="2213"/>
      <c r="I164" s="2213"/>
      <c r="J164" s="2213"/>
      <c r="K164" s="2213"/>
      <c r="L164" s="2213"/>
      <c r="M164" s="2217">
        <f t="shared" si="81"/>
        <v>-1.1403174763828794</v>
      </c>
      <c r="N164" s="2217">
        <f t="shared" si="90"/>
        <v>8686.3575584954542</v>
      </c>
      <c r="O164" s="2217">
        <f t="shared" ref="O164:O227" si="100">N164-N165</f>
        <v>8.3276086259156727</v>
      </c>
      <c r="P164" s="2212">
        <v>171</v>
      </c>
      <c r="Q164" s="2219"/>
      <c r="R164" s="2213"/>
      <c r="S164" s="2219"/>
      <c r="T164" s="2213"/>
      <c r="U164" s="2213"/>
      <c r="V164" s="2213"/>
      <c r="W164" s="2213"/>
      <c r="X164" s="2213"/>
      <c r="Y164" s="2217">
        <f t="shared" si="82"/>
        <v>-0.39083270005046877</v>
      </c>
      <c r="Z164" s="2217">
        <f t="shared" si="91"/>
        <v>8686.3575584954542</v>
      </c>
      <c r="AA164" s="2217">
        <f t="shared" ref="AA164:AA227" si="101">Z164-Z165</f>
        <v>8.3276086259156727</v>
      </c>
      <c r="AB164" s="2212">
        <v>171</v>
      </c>
      <c r="AC164" s="2219"/>
      <c r="AD164" s="2213"/>
      <c r="AE164" s="2219"/>
      <c r="AF164" s="2213"/>
      <c r="AG164" s="2213"/>
      <c r="AH164" s="2213"/>
      <c r="AI164" s="2213"/>
      <c r="AJ164" s="2213"/>
      <c r="AK164" s="2217">
        <f t="shared" si="83"/>
        <v>-3.97170440919421</v>
      </c>
      <c r="AL164" s="2217">
        <f t="shared" si="92"/>
        <v>8686.3575584954542</v>
      </c>
      <c r="AM164" s="2217">
        <f t="shared" ref="AM164:AM227" si="102">AL164-AL165</f>
        <v>8.3276086259156727</v>
      </c>
      <c r="AN164" s="2212">
        <v>171</v>
      </c>
      <c r="AO164" s="2219"/>
      <c r="AP164" s="2213"/>
      <c r="AQ164" s="2219"/>
      <c r="AR164" s="2213"/>
      <c r="AS164" s="2213"/>
      <c r="AT164" s="2213"/>
      <c r="AU164" s="2213"/>
      <c r="AV164" s="2213"/>
      <c r="AW164" s="2217">
        <f t="shared" si="84"/>
        <v>-2.5266979999282917</v>
      </c>
      <c r="AX164" s="2217">
        <f t="shared" si="85"/>
        <v>6818.7267000028005</v>
      </c>
      <c r="AY164" s="2217">
        <f t="shared" si="93"/>
        <v>8.2767000000676489</v>
      </c>
      <c r="AZ164" s="2212">
        <v>171</v>
      </c>
      <c r="BA164" s="2208"/>
      <c r="BB164" s="263"/>
      <c r="BC164" s="2208"/>
      <c r="BD164" s="263"/>
      <c r="BE164" s="263"/>
      <c r="BF164" s="263"/>
      <c r="BG164" s="263"/>
      <c r="BH164" s="2208"/>
      <c r="BI164" s="2217">
        <f t="shared" si="86"/>
        <v>3.9079000092678839E-2</v>
      </c>
      <c r="BJ164" s="2217">
        <f t="shared" ref="BJ164:BJ227" si="103">BJ$27+(BJ$26*BL164)-(BJ$25*(BL164^2))+(BJ$24*(BL164^3))</f>
        <v>6818.7267000028005</v>
      </c>
      <c r="BK164" s="2217">
        <f t="shared" si="94"/>
        <v>8.2767000000676489</v>
      </c>
      <c r="BL164" s="2212">
        <v>171</v>
      </c>
      <c r="BM164" s="2208"/>
      <c r="BN164" s="263"/>
      <c r="BO164" s="2208"/>
      <c r="BP164" s="263"/>
      <c r="BQ164" s="263"/>
      <c r="BR164" s="263"/>
      <c r="BS164" s="263"/>
      <c r="BT164" s="2208"/>
      <c r="BU164" s="2217">
        <f t="shared" si="87"/>
        <v>-3.97170440919421</v>
      </c>
      <c r="BV164" s="2217">
        <f t="shared" si="95"/>
        <v>8686.3575584954542</v>
      </c>
      <c r="BW164" s="2217">
        <f t="shared" ref="BW164:BW227" si="104">BV164-BV165</f>
        <v>8.3276086259156727</v>
      </c>
      <c r="BX164" s="2212">
        <v>171</v>
      </c>
      <c r="BY164" s="2219"/>
      <c r="BZ164" s="2213"/>
      <c r="CA164" s="2219"/>
      <c r="CB164" s="2213"/>
      <c r="CC164" s="2213"/>
      <c r="CD164" s="2213"/>
      <c r="CE164" s="2213"/>
      <c r="CF164" s="2208"/>
      <c r="CG164" s="2217">
        <f t="shared" si="88"/>
        <v>-2.972391374084328</v>
      </c>
      <c r="CH164" s="2217">
        <f t="shared" si="96"/>
        <v>8686.3575584954542</v>
      </c>
      <c r="CI164" s="2217">
        <f t="shared" ref="CI164:CI227" si="105">CH164-CH165</f>
        <v>8.3276086259156727</v>
      </c>
      <c r="CJ164" s="2212">
        <v>171</v>
      </c>
      <c r="CK164" s="2219"/>
      <c r="CL164" s="2213"/>
      <c r="CM164" s="2219"/>
      <c r="CN164" s="2213"/>
      <c r="CO164" s="2213"/>
      <c r="CP164" s="2213"/>
      <c r="CQ164" s="2213"/>
      <c r="CR164" s="2208"/>
      <c r="CS164" s="2217">
        <f t="shared" si="89"/>
        <v>-0.12645499990867393</v>
      </c>
      <c r="CT164" s="2217">
        <f t="shared" ref="CT164:CT227" si="106">CT$27+(CT$26*CV164)-(CT$25*(CV164^2))+(CT$24*(CV164^3))</f>
        <v>6818.7267000028005</v>
      </c>
      <c r="CU164" s="2217">
        <f t="shared" si="97"/>
        <v>8.2767000000676489</v>
      </c>
      <c r="CV164" s="2212">
        <v>171</v>
      </c>
      <c r="CW164" s="2208"/>
      <c r="CX164" s="263"/>
      <c r="CY164" s="2208"/>
      <c r="CZ164" s="263"/>
      <c r="DA164" s="263"/>
      <c r="DB164" s="263"/>
      <c r="DC164" s="263"/>
      <c r="DD164" s="2208"/>
    </row>
    <row r="165" spans="1:108">
      <c r="A165" s="2217">
        <f t="shared" ref="A165:A228" si="107">(C165*(B$7-B$9))-B$8</f>
        <v>-1.5133921548033875</v>
      </c>
      <c r="B165" s="2217">
        <f t="shared" si="98"/>
        <v>8678.0299498695385</v>
      </c>
      <c r="C165" s="2217">
        <f t="shared" si="99"/>
        <v>8.5100937784318376</v>
      </c>
      <c r="D165" s="2212">
        <v>170</v>
      </c>
      <c r="E165" s="2219"/>
      <c r="F165" s="2213"/>
      <c r="G165" s="2219"/>
      <c r="H165" s="2213"/>
      <c r="I165" s="2213"/>
      <c r="J165" s="2213"/>
      <c r="K165" s="2213"/>
      <c r="L165" s="2213"/>
      <c r="M165" s="2217">
        <f t="shared" ref="M165:M228" si="108">(O165*(N$7-N$9))-N$8</f>
        <v>-0.91768559031315888</v>
      </c>
      <c r="N165" s="2217">
        <f t="shared" si="90"/>
        <v>8678.0299498695385</v>
      </c>
      <c r="O165" s="2217">
        <f t="shared" si="100"/>
        <v>8.5100937784318376</v>
      </c>
      <c r="P165" s="2212">
        <v>170</v>
      </c>
      <c r="Q165" s="2219"/>
      <c r="R165" s="2213"/>
      <c r="S165" s="2219"/>
      <c r="T165" s="2213"/>
      <c r="U165" s="2213"/>
      <c r="V165" s="2213"/>
      <c r="W165" s="2213"/>
      <c r="X165" s="2213"/>
      <c r="Y165" s="2217">
        <f t="shared" ref="Y165:Y228" si="109">(AA165*(Z$7-Z$9))-Z$8</f>
        <v>-0.1517771502542935</v>
      </c>
      <c r="Z165" s="2217">
        <f t="shared" si="91"/>
        <v>8678.0299498695385</v>
      </c>
      <c r="AA165" s="2217">
        <f t="shared" si="101"/>
        <v>8.5100937784318376</v>
      </c>
      <c r="AB165" s="2212">
        <v>170</v>
      </c>
      <c r="AC165" s="2219"/>
      <c r="AD165" s="2213"/>
      <c r="AE165" s="2219"/>
      <c r="AF165" s="2213"/>
      <c r="AG165" s="2213"/>
      <c r="AH165" s="2213"/>
      <c r="AI165" s="2213"/>
      <c r="AJ165" s="2213"/>
      <c r="AK165" s="2217">
        <f t="shared" ref="AK165:AK228" si="110">(AM165*(AL$7-AL$9))-AL$8</f>
        <v>-3.8111174749799845</v>
      </c>
      <c r="AL165" s="2217">
        <f t="shared" si="92"/>
        <v>8678.0299498695385</v>
      </c>
      <c r="AM165" s="2217">
        <f t="shared" si="102"/>
        <v>8.5100937784318376</v>
      </c>
      <c r="AN165" s="2212">
        <v>170</v>
      </c>
      <c r="AO165" s="2219"/>
      <c r="AP165" s="2213"/>
      <c r="AQ165" s="2219"/>
      <c r="AR165" s="2213"/>
      <c r="AS165" s="2213"/>
      <c r="AT165" s="2213"/>
      <c r="AU165" s="2213"/>
      <c r="AV165" s="2213"/>
      <c r="AW165" s="2217">
        <f t="shared" ref="AW165:AW228" si="111">AY165*(AX$7-AX$9)-AX$8</f>
        <v>-2.6201899999284439</v>
      </c>
      <c r="AX165" s="2217">
        <f t="shared" ref="AX165:AX228" si="112">AX$27+(AX$26*AZ165)-(AX$25*(AZ165^2))+(AX$24*(AZ165^3))</f>
        <v>6810.4500000027328</v>
      </c>
      <c r="AY165" s="2217">
        <f t="shared" si="93"/>
        <v>8.1885000000675063</v>
      </c>
      <c r="AZ165" s="2212">
        <v>170</v>
      </c>
      <c r="BA165" s="2208"/>
      <c r="BB165" s="263"/>
      <c r="BC165" s="2208"/>
      <c r="BD165" s="263"/>
      <c r="BE165" s="263"/>
      <c r="BF165" s="263"/>
      <c r="BG165" s="263"/>
      <c r="BH165" s="2208"/>
      <c r="BI165" s="2217">
        <f t="shared" ref="BI165:BI228" si="113">BK165*(BJ$7-BJ$9)-BJ$8</f>
        <v>-8.175499990751689E-2</v>
      </c>
      <c r="BJ165" s="2217">
        <f t="shared" si="103"/>
        <v>6810.4500000027328</v>
      </c>
      <c r="BK165" s="2217">
        <f t="shared" si="94"/>
        <v>8.1885000000675063</v>
      </c>
      <c r="BL165" s="2212">
        <v>170</v>
      </c>
      <c r="BM165" s="2208"/>
      <c r="BN165" s="263"/>
      <c r="BO165" s="2208"/>
      <c r="BP165" s="263"/>
      <c r="BQ165" s="263"/>
      <c r="BR165" s="263"/>
      <c r="BS165" s="263"/>
      <c r="BT165" s="2208"/>
      <c r="BU165" s="2217">
        <f t="shared" ref="BU165:BU228" si="114">(BW165*(BV$7-BV$9))-BV$8</f>
        <v>-3.8111174749799845</v>
      </c>
      <c r="BV165" s="2217">
        <f t="shared" si="95"/>
        <v>8678.0299498695385</v>
      </c>
      <c r="BW165" s="2217">
        <f t="shared" si="104"/>
        <v>8.5100937784318376</v>
      </c>
      <c r="BX165" s="2212">
        <v>170</v>
      </c>
      <c r="BY165" s="2219"/>
      <c r="BZ165" s="2213"/>
      <c r="CA165" s="2219"/>
      <c r="CB165" s="2213"/>
      <c r="CC165" s="2213"/>
      <c r="CD165" s="2213"/>
      <c r="CE165" s="2213"/>
      <c r="CF165" s="2208"/>
      <c r="CG165" s="2217">
        <f t="shared" ref="CG165:CG228" si="115">(CI165*(CH$7-CH$9))-CH$8</f>
        <v>-2.7899062215681631</v>
      </c>
      <c r="CH165" s="2217">
        <f t="shared" si="96"/>
        <v>8678.0299498695385</v>
      </c>
      <c r="CI165" s="2217">
        <f t="shared" si="105"/>
        <v>8.5100937784318376</v>
      </c>
      <c r="CJ165" s="2212">
        <v>170</v>
      </c>
      <c r="CK165" s="2219"/>
      <c r="CL165" s="2213"/>
      <c r="CM165" s="2219"/>
      <c r="CN165" s="2213"/>
      <c r="CO165" s="2213"/>
      <c r="CP165" s="2213"/>
      <c r="CQ165" s="2213"/>
      <c r="CR165" s="2208"/>
      <c r="CS165" s="2217">
        <f t="shared" ref="CS165:CS228" si="116">CU165*(CT$7-CT$9)-CT$8</f>
        <v>-0.24552499990886645</v>
      </c>
      <c r="CT165" s="2217">
        <f t="shared" si="106"/>
        <v>6810.4500000027328</v>
      </c>
      <c r="CU165" s="2217">
        <f t="shared" si="97"/>
        <v>8.1885000000675063</v>
      </c>
      <c r="CV165" s="2212">
        <v>170</v>
      </c>
      <c r="CW165" s="2208"/>
      <c r="CX165" s="263"/>
      <c r="CY165" s="2208"/>
      <c r="CZ165" s="263"/>
      <c r="DA165" s="263"/>
      <c r="DB165" s="263"/>
      <c r="DC165" s="263"/>
      <c r="DD165" s="2208"/>
    </row>
    <row r="166" spans="1:108">
      <c r="A166" s="2217">
        <f t="shared" si="107"/>
        <v>-1.3022213253203532</v>
      </c>
      <c r="B166" s="2217">
        <f t="shared" si="98"/>
        <v>8669.5198560911067</v>
      </c>
      <c r="C166" s="2217">
        <f t="shared" si="99"/>
        <v>8.693720586677955</v>
      </c>
      <c r="D166" s="2212">
        <v>169</v>
      </c>
      <c r="E166" s="2219"/>
      <c r="F166" s="2213"/>
      <c r="G166" s="2219"/>
      <c r="H166" s="2213"/>
      <c r="I166" s="2213"/>
      <c r="J166" s="2213"/>
      <c r="K166" s="2213"/>
      <c r="L166" s="2213"/>
      <c r="M166" s="2217">
        <f t="shared" si="108"/>
        <v>-0.69366088425289618</v>
      </c>
      <c r="N166" s="2217">
        <f t="shared" si="90"/>
        <v>8669.5198560911067</v>
      </c>
      <c r="O166" s="2217">
        <f t="shared" si="100"/>
        <v>8.693720586677955</v>
      </c>
      <c r="P166" s="2212">
        <v>169</v>
      </c>
      <c r="Q166" s="2219"/>
      <c r="R166" s="2213"/>
      <c r="S166" s="2219"/>
      <c r="T166" s="2213"/>
      <c r="U166" s="2213"/>
      <c r="V166" s="2213"/>
      <c r="W166" s="2213"/>
      <c r="X166" s="2213"/>
      <c r="Y166" s="2217">
        <f t="shared" si="109"/>
        <v>8.8773968548121474E-2</v>
      </c>
      <c r="Z166" s="2217">
        <f t="shared" si="91"/>
        <v>8669.5198560911067</v>
      </c>
      <c r="AA166" s="2217">
        <f t="shared" si="101"/>
        <v>8.693720586677955</v>
      </c>
      <c r="AB166" s="2212">
        <v>169</v>
      </c>
      <c r="AC166" s="2219"/>
      <c r="AD166" s="2213"/>
      <c r="AE166" s="2219"/>
      <c r="AF166" s="2213"/>
      <c r="AG166" s="2213"/>
      <c r="AH166" s="2213"/>
      <c r="AI166" s="2213"/>
      <c r="AJ166" s="2213"/>
      <c r="AK166" s="2217">
        <f t="shared" si="110"/>
        <v>-3.6495258837234008</v>
      </c>
      <c r="AL166" s="2217">
        <f t="shared" si="92"/>
        <v>8669.5198560911067</v>
      </c>
      <c r="AM166" s="2217">
        <f t="shared" si="102"/>
        <v>8.693720586677955</v>
      </c>
      <c r="AN166" s="2212">
        <v>169</v>
      </c>
      <c r="AO166" s="2219"/>
      <c r="AP166" s="2213"/>
      <c r="AQ166" s="2219"/>
      <c r="AR166" s="2213"/>
      <c r="AS166" s="2213"/>
      <c r="AT166" s="2213"/>
      <c r="AU166" s="2213"/>
      <c r="AV166" s="2213"/>
      <c r="AW166" s="2217">
        <f t="shared" si="111"/>
        <v>-2.709865999927624</v>
      </c>
      <c r="AX166" s="2217">
        <f t="shared" si="112"/>
        <v>6802.2615000026653</v>
      </c>
      <c r="AY166" s="2217">
        <f t="shared" si="93"/>
        <v>8.103900000068279</v>
      </c>
      <c r="AZ166" s="2212">
        <v>169</v>
      </c>
      <c r="BA166" s="2208"/>
      <c r="BB166" s="263"/>
      <c r="BC166" s="2208"/>
      <c r="BD166" s="263"/>
      <c r="BE166" s="263"/>
      <c r="BF166" s="263"/>
      <c r="BG166" s="263"/>
      <c r="BH166" s="2208"/>
      <c r="BI166" s="2217">
        <f t="shared" si="113"/>
        <v>-0.19765699990645835</v>
      </c>
      <c r="BJ166" s="2217">
        <f t="shared" si="103"/>
        <v>6802.2615000026653</v>
      </c>
      <c r="BK166" s="2217">
        <f t="shared" si="94"/>
        <v>8.103900000068279</v>
      </c>
      <c r="BL166" s="2212">
        <v>169</v>
      </c>
      <c r="BM166" s="2208"/>
      <c r="BN166" s="263"/>
      <c r="BO166" s="2208"/>
      <c r="BP166" s="263"/>
      <c r="BQ166" s="263"/>
      <c r="BR166" s="263"/>
      <c r="BS166" s="263"/>
      <c r="BT166" s="2208"/>
      <c r="BU166" s="2217">
        <f t="shared" si="114"/>
        <v>-3.6495258837234008</v>
      </c>
      <c r="BV166" s="2217">
        <f t="shared" si="95"/>
        <v>8669.5198560911067</v>
      </c>
      <c r="BW166" s="2217">
        <f t="shared" si="104"/>
        <v>8.693720586677955</v>
      </c>
      <c r="BX166" s="2212">
        <v>169</v>
      </c>
      <c r="BY166" s="2219"/>
      <c r="BZ166" s="2213"/>
      <c r="CA166" s="2219"/>
      <c r="CB166" s="2213"/>
      <c r="CC166" s="2213"/>
      <c r="CD166" s="2213"/>
      <c r="CE166" s="2213"/>
      <c r="CF166" s="2208"/>
      <c r="CG166" s="2217">
        <f t="shared" si="115"/>
        <v>-2.6062794133220457</v>
      </c>
      <c r="CH166" s="2217">
        <f t="shared" si="96"/>
        <v>8669.5198560911067</v>
      </c>
      <c r="CI166" s="2217">
        <f t="shared" si="105"/>
        <v>8.693720586677955</v>
      </c>
      <c r="CJ166" s="2212">
        <v>169</v>
      </c>
      <c r="CK166" s="2219"/>
      <c r="CL166" s="2213"/>
      <c r="CM166" s="2219"/>
      <c r="CN166" s="2213"/>
      <c r="CO166" s="2213"/>
      <c r="CP166" s="2213"/>
      <c r="CQ166" s="2213"/>
      <c r="CR166" s="2208"/>
      <c r="CS166" s="2217">
        <f t="shared" si="116"/>
        <v>-0.35973499990782365</v>
      </c>
      <c r="CT166" s="2217">
        <f t="shared" si="106"/>
        <v>6802.2615000026653</v>
      </c>
      <c r="CU166" s="2217">
        <f t="shared" si="97"/>
        <v>8.103900000068279</v>
      </c>
      <c r="CV166" s="2212">
        <v>169</v>
      </c>
      <c r="CW166" s="2208"/>
      <c r="CX166" s="263"/>
      <c r="CY166" s="2208"/>
      <c r="CZ166" s="263"/>
      <c r="DA166" s="263"/>
      <c r="DB166" s="263"/>
      <c r="DC166" s="263"/>
      <c r="DD166" s="2208"/>
    </row>
    <row r="167" spans="1:108">
      <c r="A167" s="2217">
        <f t="shared" si="107"/>
        <v>-1.0897375917395049</v>
      </c>
      <c r="B167" s="2217">
        <f t="shared" si="98"/>
        <v>8660.8261355044287</v>
      </c>
      <c r="C167" s="2217">
        <f t="shared" si="99"/>
        <v>8.878489050661301</v>
      </c>
      <c r="D167" s="2212">
        <v>168</v>
      </c>
      <c r="E167" s="2219"/>
      <c r="F167" s="2213"/>
      <c r="G167" s="2219"/>
      <c r="H167" s="2213"/>
      <c r="I167" s="2213"/>
      <c r="J167" s="2213"/>
      <c r="K167" s="2213"/>
      <c r="L167" s="2213"/>
      <c r="M167" s="2217">
        <f t="shared" si="108"/>
        <v>-0.46824335819321306</v>
      </c>
      <c r="N167" s="2217">
        <f t="shared" si="90"/>
        <v>8660.8261355044287</v>
      </c>
      <c r="O167" s="2217">
        <f t="shared" si="100"/>
        <v>8.878489050661301</v>
      </c>
      <c r="P167" s="2212">
        <v>168</v>
      </c>
      <c r="Q167" s="2219"/>
      <c r="R167" s="2213"/>
      <c r="S167" s="2219"/>
      <c r="T167" s="2213"/>
      <c r="U167" s="2213"/>
      <c r="V167" s="2213"/>
      <c r="W167" s="2213"/>
      <c r="X167" s="2213"/>
      <c r="Y167" s="2217">
        <f t="shared" si="109"/>
        <v>0.33082065636630453</v>
      </c>
      <c r="Z167" s="2217">
        <f t="shared" si="91"/>
        <v>8660.8261355044287</v>
      </c>
      <c r="AA167" s="2217">
        <f t="shared" si="101"/>
        <v>8.878489050661301</v>
      </c>
      <c r="AB167" s="2212">
        <v>168</v>
      </c>
      <c r="AC167" s="2219"/>
      <c r="AD167" s="2213"/>
      <c r="AE167" s="2219"/>
      <c r="AF167" s="2213"/>
      <c r="AG167" s="2213"/>
      <c r="AH167" s="2213"/>
      <c r="AI167" s="2213"/>
      <c r="AJ167" s="2213"/>
      <c r="AK167" s="2217">
        <f t="shared" si="110"/>
        <v>-3.4869296354180568</v>
      </c>
      <c r="AL167" s="2217">
        <f t="shared" si="92"/>
        <v>8660.8261355044287</v>
      </c>
      <c r="AM167" s="2217">
        <f t="shared" si="102"/>
        <v>8.878489050661301</v>
      </c>
      <c r="AN167" s="2212">
        <v>168</v>
      </c>
      <c r="AO167" s="2219"/>
      <c r="AP167" s="2213"/>
      <c r="AQ167" s="2219"/>
      <c r="AR167" s="2213"/>
      <c r="AS167" s="2213"/>
      <c r="AT167" s="2213"/>
      <c r="AU167" s="2213"/>
      <c r="AV167" s="2213"/>
      <c r="AW167" s="2217">
        <f t="shared" si="111"/>
        <v>-2.795725999929692</v>
      </c>
      <c r="AX167" s="2217">
        <f t="shared" si="112"/>
        <v>6794.1576000025971</v>
      </c>
      <c r="AY167" s="2217">
        <f t="shared" si="93"/>
        <v>8.0229000000663291</v>
      </c>
      <c r="AZ167" s="2212">
        <v>168</v>
      </c>
      <c r="BA167" s="2208"/>
      <c r="BB167" s="263"/>
      <c r="BC167" s="2208"/>
      <c r="BD167" s="263"/>
      <c r="BE167" s="263"/>
      <c r="BF167" s="263"/>
      <c r="BG167" s="263"/>
      <c r="BH167" s="2208"/>
      <c r="BI167" s="2217">
        <f t="shared" si="113"/>
        <v>-0.30862699990912823</v>
      </c>
      <c r="BJ167" s="2217">
        <f t="shared" si="103"/>
        <v>6794.1576000025971</v>
      </c>
      <c r="BK167" s="2217">
        <f t="shared" si="94"/>
        <v>8.0229000000663291</v>
      </c>
      <c r="BL167" s="2212">
        <v>168</v>
      </c>
      <c r="BM167" s="2208"/>
      <c r="BN167" s="263"/>
      <c r="BO167" s="2208"/>
      <c r="BP167" s="263"/>
      <c r="BQ167" s="263"/>
      <c r="BR167" s="263"/>
      <c r="BS167" s="263"/>
      <c r="BT167" s="2208"/>
      <c r="BU167" s="2217">
        <f t="shared" si="114"/>
        <v>-3.4869296354180568</v>
      </c>
      <c r="BV167" s="2217">
        <f t="shared" si="95"/>
        <v>8660.8261355044287</v>
      </c>
      <c r="BW167" s="2217">
        <f t="shared" si="104"/>
        <v>8.878489050661301</v>
      </c>
      <c r="BX167" s="2212">
        <v>168</v>
      </c>
      <c r="BY167" s="2219"/>
      <c r="BZ167" s="2213"/>
      <c r="CA167" s="2219"/>
      <c r="CB167" s="2213"/>
      <c r="CC167" s="2213"/>
      <c r="CD167" s="2213"/>
      <c r="CE167" s="2213"/>
      <c r="CF167" s="2208"/>
      <c r="CG167" s="2217">
        <f t="shared" si="115"/>
        <v>-2.4215109493386997</v>
      </c>
      <c r="CH167" s="2217">
        <f t="shared" si="96"/>
        <v>8660.8261355044287</v>
      </c>
      <c r="CI167" s="2217">
        <f t="shared" si="105"/>
        <v>8.878489050661301</v>
      </c>
      <c r="CJ167" s="2212">
        <v>168</v>
      </c>
      <c r="CK167" s="2219"/>
      <c r="CL167" s="2213"/>
      <c r="CM167" s="2219"/>
      <c r="CN167" s="2213"/>
      <c r="CO167" s="2213"/>
      <c r="CP167" s="2213"/>
      <c r="CQ167" s="2213"/>
      <c r="CR167" s="2208"/>
      <c r="CS167" s="2217">
        <f t="shared" si="116"/>
        <v>-0.46908499991045538</v>
      </c>
      <c r="CT167" s="2217">
        <f t="shared" si="106"/>
        <v>6794.1576000025971</v>
      </c>
      <c r="CU167" s="2217">
        <f t="shared" si="97"/>
        <v>8.0229000000663291</v>
      </c>
      <c r="CV167" s="2212">
        <v>168</v>
      </c>
      <c r="CW167" s="2208"/>
      <c r="CX167" s="263"/>
      <c r="CY167" s="2208"/>
      <c r="CZ167" s="263"/>
      <c r="DA167" s="263"/>
      <c r="DB167" s="263"/>
      <c r="DC167" s="263"/>
      <c r="DD167" s="2208"/>
    </row>
    <row r="168" spans="1:108">
      <c r="A168" s="2217">
        <f t="shared" si="107"/>
        <v>-0.87594095406502781</v>
      </c>
      <c r="B168" s="2217">
        <f t="shared" si="98"/>
        <v>8651.9476464537674</v>
      </c>
      <c r="C168" s="2217">
        <f t="shared" si="99"/>
        <v>9.0643991703782376</v>
      </c>
      <c r="D168" s="2212">
        <v>167</v>
      </c>
      <c r="E168" s="2219"/>
      <c r="F168" s="2213"/>
      <c r="G168" s="2219"/>
      <c r="H168" s="2213"/>
      <c r="I168" s="2213"/>
      <c r="J168" s="2213"/>
      <c r="K168" s="2213"/>
      <c r="L168" s="2213"/>
      <c r="M168" s="2217">
        <f t="shared" si="108"/>
        <v>-0.2414330121385504</v>
      </c>
      <c r="N168" s="2217">
        <f t="shared" si="90"/>
        <v>8651.9476464537674</v>
      </c>
      <c r="O168" s="2217">
        <f t="shared" si="100"/>
        <v>9.0643991703782376</v>
      </c>
      <c r="P168" s="2212">
        <v>167</v>
      </c>
      <c r="Q168" s="2219"/>
      <c r="R168" s="2213"/>
      <c r="S168" s="2219"/>
      <c r="T168" s="2213"/>
      <c r="U168" s="2213"/>
      <c r="V168" s="2213"/>
      <c r="W168" s="2213"/>
      <c r="X168" s="2213"/>
      <c r="Y168" s="2217">
        <f t="shared" si="109"/>
        <v>0.57436291319549149</v>
      </c>
      <c r="Z168" s="2217">
        <f t="shared" si="91"/>
        <v>8651.9476464537674</v>
      </c>
      <c r="AA168" s="2217">
        <f t="shared" si="101"/>
        <v>9.0643991703782376</v>
      </c>
      <c r="AB168" s="2212">
        <v>167</v>
      </c>
      <c r="AC168" s="2219"/>
      <c r="AD168" s="2213"/>
      <c r="AE168" s="2219"/>
      <c r="AF168" s="2213"/>
      <c r="AG168" s="2213"/>
      <c r="AH168" s="2213"/>
      <c r="AI168" s="2213"/>
      <c r="AJ168" s="2213"/>
      <c r="AK168" s="2217">
        <f t="shared" si="110"/>
        <v>-3.3233287300671526</v>
      </c>
      <c r="AL168" s="2217">
        <f t="shared" si="92"/>
        <v>8651.9476464537674</v>
      </c>
      <c r="AM168" s="2217">
        <f t="shared" si="102"/>
        <v>9.0643991703782376</v>
      </c>
      <c r="AN168" s="2212">
        <v>167</v>
      </c>
      <c r="AO168" s="2219"/>
      <c r="AP168" s="2213"/>
      <c r="AQ168" s="2219"/>
      <c r="AR168" s="2213"/>
      <c r="AS168" s="2213"/>
      <c r="AT168" s="2213"/>
      <c r="AU168" s="2213"/>
      <c r="AV168" s="2213"/>
      <c r="AW168" s="2217">
        <f t="shared" si="111"/>
        <v>-2.877769999929825</v>
      </c>
      <c r="AX168" s="2217">
        <f t="shared" si="112"/>
        <v>6786.1347000025307</v>
      </c>
      <c r="AY168" s="2217">
        <f t="shared" si="93"/>
        <v>7.9455000000662039</v>
      </c>
      <c r="AZ168" s="2212">
        <v>167</v>
      </c>
      <c r="BA168" s="2208"/>
      <c r="BB168" s="263"/>
      <c r="BC168" s="2208"/>
      <c r="BD168" s="263"/>
      <c r="BE168" s="263"/>
      <c r="BF168" s="263"/>
      <c r="BG168" s="263"/>
      <c r="BH168" s="2208"/>
      <c r="BI168" s="2217">
        <f t="shared" si="113"/>
        <v>-0.41466499990930039</v>
      </c>
      <c r="BJ168" s="2217">
        <f t="shared" si="103"/>
        <v>6786.1347000025307</v>
      </c>
      <c r="BK168" s="2217">
        <f t="shared" si="94"/>
        <v>7.9455000000662039</v>
      </c>
      <c r="BL168" s="2212">
        <v>167</v>
      </c>
      <c r="BM168" s="2208"/>
      <c r="BN168" s="263"/>
      <c r="BO168" s="2208"/>
      <c r="BP168" s="263"/>
      <c r="BQ168" s="263"/>
      <c r="BR168" s="263"/>
      <c r="BS168" s="263"/>
      <c r="BT168" s="2208"/>
      <c r="BU168" s="2217">
        <f t="shared" si="114"/>
        <v>-3.3233287300671526</v>
      </c>
      <c r="BV168" s="2217">
        <f t="shared" si="95"/>
        <v>8651.9476464537674</v>
      </c>
      <c r="BW168" s="2217">
        <f t="shared" si="104"/>
        <v>9.0643991703782376</v>
      </c>
      <c r="BX168" s="2212">
        <v>167</v>
      </c>
      <c r="BY168" s="2219"/>
      <c r="BZ168" s="2213"/>
      <c r="CA168" s="2219"/>
      <c r="CB168" s="2213"/>
      <c r="CC168" s="2213"/>
      <c r="CD168" s="2213"/>
      <c r="CE168" s="2213"/>
      <c r="CF168" s="2208"/>
      <c r="CG168" s="2217">
        <f t="shared" si="115"/>
        <v>-2.2356008296217631</v>
      </c>
      <c r="CH168" s="2217">
        <f t="shared" si="96"/>
        <v>8651.9476464537674</v>
      </c>
      <c r="CI168" s="2217">
        <f t="shared" si="105"/>
        <v>9.0643991703782376</v>
      </c>
      <c r="CJ168" s="2212">
        <v>167</v>
      </c>
      <c r="CK168" s="2219"/>
      <c r="CL168" s="2213"/>
      <c r="CM168" s="2219"/>
      <c r="CN168" s="2213"/>
      <c r="CO168" s="2213"/>
      <c r="CP168" s="2213"/>
      <c r="CQ168" s="2213"/>
      <c r="CR168" s="2208"/>
      <c r="CS168" s="2217">
        <f t="shared" si="116"/>
        <v>-0.57357499991062433</v>
      </c>
      <c r="CT168" s="2217">
        <f t="shared" si="106"/>
        <v>6786.1347000025307</v>
      </c>
      <c r="CU168" s="2217">
        <f t="shared" si="97"/>
        <v>7.9455000000662039</v>
      </c>
      <c r="CV168" s="2212">
        <v>167</v>
      </c>
      <c r="CW168" s="2208"/>
      <c r="CX168" s="263"/>
      <c r="CY168" s="2208"/>
      <c r="CZ168" s="263"/>
      <c r="DA168" s="263"/>
      <c r="DB168" s="263"/>
      <c r="DC168" s="263"/>
      <c r="DD168" s="2208"/>
    </row>
    <row r="169" spans="1:108">
      <c r="A169" s="2217">
        <f t="shared" si="107"/>
        <v>-0.66083141229482933</v>
      </c>
      <c r="B169" s="2217">
        <f t="shared" si="98"/>
        <v>8642.8832472833892</v>
      </c>
      <c r="C169" s="2217">
        <f t="shared" si="99"/>
        <v>9.2514509458305838</v>
      </c>
      <c r="D169" s="2212">
        <v>166</v>
      </c>
      <c r="E169" s="2219"/>
      <c r="F169" s="2213"/>
      <c r="G169" s="2219"/>
      <c r="H169" s="2213"/>
      <c r="I169" s="2213"/>
      <c r="J169" s="2213"/>
      <c r="K169" s="2213"/>
      <c r="L169" s="2213"/>
      <c r="M169" s="2217">
        <f t="shared" si="108"/>
        <v>-1.3229846086689534E-2</v>
      </c>
      <c r="N169" s="2217">
        <f t="shared" si="90"/>
        <v>8642.8832472833892</v>
      </c>
      <c r="O169" s="2217">
        <f t="shared" si="100"/>
        <v>9.2514509458305838</v>
      </c>
      <c r="P169" s="2212">
        <v>166</v>
      </c>
      <c r="Q169" s="2219"/>
      <c r="R169" s="2213"/>
      <c r="S169" s="2219"/>
      <c r="T169" s="2213"/>
      <c r="U169" s="2213"/>
      <c r="V169" s="2213"/>
      <c r="W169" s="2213"/>
      <c r="X169" s="2213"/>
      <c r="Y169" s="2217">
        <f t="shared" si="109"/>
        <v>0.81940073903806443</v>
      </c>
      <c r="Z169" s="2217">
        <f t="shared" si="91"/>
        <v>8642.8832472833892</v>
      </c>
      <c r="AA169" s="2217">
        <f t="shared" si="101"/>
        <v>9.2514509458305838</v>
      </c>
      <c r="AB169" s="2212">
        <v>166</v>
      </c>
      <c r="AC169" s="2219"/>
      <c r="AD169" s="2213"/>
      <c r="AE169" s="2219"/>
      <c r="AF169" s="2213"/>
      <c r="AG169" s="2213"/>
      <c r="AH169" s="2213"/>
      <c r="AI169" s="2213"/>
      <c r="AJ169" s="2213"/>
      <c r="AK169" s="2217">
        <f t="shared" si="110"/>
        <v>-3.1587231676690877</v>
      </c>
      <c r="AL169" s="2217">
        <f t="shared" si="92"/>
        <v>8642.8832472833892</v>
      </c>
      <c r="AM169" s="2217">
        <f t="shared" si="102"/>
        <v>9.2514509458305838</v>
      </c>
      <c r="AN169" s="2212">
        <v>166</v>
      </c>
      <c r="AO169" s="2219"/>
      <c r="AP169" s="2213"/>
      <c r="AQ169" s="2219"/>
      <c r="AR169" s="2213"/>
      <c r="AS169" s="2213"/>
      <c r="AT169" s="2213"/>
      <c r="AU169" s="2213"/>
      <c r="AV169" s="2213"/>
      <c r="AW169" s="2217">
        <f t="shared" si="111"/>
        <v>-2.9559979999299504</v>
      </c>
      <c r="AX169" s="2217">
        <f t="shared" si="112"/>
        <v>6778.1892000024645</v>
      </c>
      <c r="AY169" s="2217">
        <f t="shared" si="93"/>
        <v>7.8717000000660846</v>
      </c>
      <c r="AZ169" s="2212">
        <v>166</v>
      </c>
      <c r="BA169" s="2208"/>
      <c r="BB169" s="263"/>
      <c r="BC169" s="2208"/>
      <c r="BD169" s="263"/>
      <c r="BE169" s="263"/>
      <c r="BF169" s="263"/>
      <c r="BG169" s="263"/>
      <c r="BH169" s="2208"/>
      <c r="BI169" s="2217">
        <f t="shared" si="113"/>
        <v>-0.51577099990946351</v>
      </c>
      <c r="BJ169" s="2217">
        <f t="shared" si="103"/>
        <v>6778.1892000024645</v>
      </c>
      <c r="BK169" s="2217">
        <f t="shared" si="94"/>
        <v>7.8717000000660846</v>
      </c>
      <c r="BL169" s="2212">
        <v>166</v>
      </c>
      <c r="BM169" s="2208"/>
      <c r="BN169" s="263"/>
      <c r="BO169" s="2208"/>
      <c r="BP169" s="263"/>
      <c r="BQ169" s="263"/>
      <c r="BR169" s="263"/>
      <c r="BS169" s="263"/>
      <c r="BT169" s="2208"/>
      <c r="BU169" s="2217">
        <f t="shared" si="114"/>
        <v>-3.1587231676690877</v>
      </c>
      <c r="BV169" s="2217">
        <f t="shared" si="95"/>
        <v>8642.8832472833892</v>
      </c>
      <c r="BW169" s="2217">
        <f t="shared" si="104"/>
        <v>9.2514509458305838</v>
      </c>
      <c r="BX169" s="2212">
        <v>166</v>
      </c>
      <c r="BY169" s="2219"/>
      <c r="BZ169" s="2213"/>
      <c r="CA169" s="2219"/>
      <c r="CB169" s="2213"/>
      <c r="CC169" s="2213"/>
      <c r="CD169" s="2213"/>
      <c r="CE169" s="2213"/>
      <c r="CF169" s="2208"/>
      <c r="CG169" s="2217">
        <f t="shared" si="115"/>
        <v>-2.0485490541694169</v>
      </c>
      <c r="CH169" s="2217">
        <f t="shared" si="96"/>
        <v>8642.8832472833892</v>
      </c>
      <c r="CI169" s="2217">
        <f t="shared" si="105"/>
        <v>9.2514509458305838</v>
      </c>
      <c r="CJ169" s="2212">
        <v>166</v>
      </c>
      <c r="CK169" s="2219"/>
      <c r="CL169" s="2213"/>
      <c r="CM169" s="2219"/>
      <c r="CN169" s="2213"/>
      <c r="CO169" s="2213"/>
      <c r="CP169" s="2213"/>
      <c r="CQ169" s="2213"/>
      <c r="CR169" s="2208"/>
      <c r="CS169" s="2217">
        <f t="shared" si="116"/>
        <v>-0.67320499991078542</v>
      </c>
      <c r="CT169" s="2217">
        <f t="shared" si="106"/>
        <v>6778.1892000024645</v>
      </c>
      <c r="CU169" s="2217">
        <f t="shared" si="97"/>
        <v>7.8717000000660846</v>
      </c>
      <c r="CV169" s="2212">
        <v>166</v>
      </c>
      <c r="CW169" s="2208"/>
      <c r="CX169" s="263"/>
      <c r="CY169" s="2208"/>
      <c r="CZ169" s="263"/>
      <c r="DA169" s="263"/>
      <c r="DB169" s="263"/>
      <c r="DC169" s="263"/>
      <c r="DD169" s="2208"/>
    </row>
    <row r="170" spans="1:108">
      <c r="A170" s="2217">
        <f t="shared" si="107"/>
        <v>-0.44440896643100203</v>
      </c>
      <c r="B170" s="2217">
        <f t="shared" si="98"/>
        <v>8633.6317963375586</v>
      </c>
      <c r="C170" s="2217">
        <f t="shared" si="99"/>
        <v>9.4396443770165206</v>
      </c>
      <c r="D170" s="2212">
        <v>165</v>
      </c>
      <c r="E170" s="2219"/>
      <c r="F170" s="2213"/>
      <c r="G170" s="2219"/>
      <c r="H170" s="2213"/>
      <c r="I170" s="2213"/>
      <c r="J170" s="2213"/>
      <c r="K170" s="2213"/>
      <c r="L170" s="2213"/>
      <c r="M170" s="2217">
        <f t="shared" si="108"/>
        <v>0.21636613996015441</v>
      </c>
      <c r="N170" s="2217">
        <f t="shared" si="90"/>
        <v>8633.6317963375586</v>
      </c>
      <c r="O170" s="2217">
        <f t="shared" si="100"/>
        <v>9.4396443770165206</v>
      </c>
      <c r="P170" s="2212">
        <v>165</v>
      </c>
      <c r="Q170" s="2219"/>
      <c r="R170" s="2213"/>
      <c r="S170" s="2219"/>
      <c r="T170" s="2213"/>
      <c r="U170" s="2213"/>
      <c r="V170" s="2213"/>
      <c r="W170" s="2213"/>
      <c r="X170" s="2213"/>
      <c r="Y170" s="2217">
        <f t="shared" si="109"/>
        <v>1.0659341338916413</v>
      </c>
      <c r="Z170" s="2217">
        <f t="shared" si="91"/>
        <v>8633.6317963375586</v>
      </c>
      <c r="AA170" s="2217">
        <f t="shared" si="101"/>
        <v>9.4396443770165206</v>
      </c>
      <c r="AB170" s="2212">
        <v>165</v>
      </c>
      <c r="AC170" s="2219"/>
      <c r="AD170" s="2213"/>
      <c r="AE170" s="2219"/>
      <c r="AF170" s="2213"/>
      <c r="AG170" s="2213"/>
      <c r="AH170" s="2213"/>
      <c r="AI170" s="2213"/>
      <c r="AJ170" s="2213"/>
      <c r="AK170" s="2217">
        <f t="shared" si="110"/>
        <v>-2.9931129482254644</v>
      </c>
      <c r="AL170" s="2217">
        <f t="shared" si="92"/>
        <v>8633.6317963375586</v>
      </c>
      <c r="AM170" s="2217">
        <f t="shared" si="102"/>
        <v>9.4396443770165206</v>
      </c>
      <c r="AN170" s="2212">
        <v>165</v>
      </c>
      <c r="AO170" s="2219"/>
      <c r="AP170" s="2213"/>
      <c r="AQ170" s="2219"/>
      <c r="AR170" s="2213"/>
      <c r="AS170" s="2213"/>
      <c r="AT170" s="2213"/>
      <c r="AU170" s="2213"/>
      <c r="AV170" s="2213"/>
      <c r="AW170" s="2217">
        <f t="shared" si="111"/>
        <v>-3.0304099999291072</v>
      </c>
      <c r="AX170" s="2217">
        <f t="shared" si="112"/>
        <v>6770.3175000023984</v>
      </c>
      <c r="AY170" s="2217">
        <f t="shared" si="93"/>
        <v>7.8015000000668806</v>
      </c>
      <c r="AZ170" s="2212">
        <v>165</v>
      </c>
      <c r="BA170" s="2208"/>
      <c r="BB170" s="263"/>
      <c r="BC170" s="2208"/>
      <c r="BD170" s="263"/>
      <c r="BE170" s="263"/>
      <c r="BF170" s="263"/>
      <c r="BG170" s="263"/>
      <c r="BH170" s="2208"/>
      <c r="BI170" s="2217">
        <f t="shared" si="113"/>
        <v>-0.61194499990837414</v>
      </c>
      <c r="BJ170" s="2217">
        <f t="shared" si="103"/>
        <v>6770.3175000023984</v>
      </c>
      <c r="BK170" s="2217">
        <f t="shared" si="94"/>
        <v>7.8015000000668806</v>
      </c>
      <c r="BL170" s="2212">
        <v>165</v>
      </c>
      <c r="BM170" s="2208"/>
      <c r="BN170" s="263"/>
      <c r="BO170" s="2208"/>
      <c r="BP170" s="263"/>
      <c r="BQ170" s="263"/>
      <c r="BR170" s="263"/>
      <c r="BS170" s="263"/>
      <c r="BT170" s="2208"/>
      <c r="BU170" s="2217">
        <f t="shared" si="114"/>
        <v>-2.9931129482254644</v>
      </c>
      <c r="BV170" s="2217">
        <f t="shared" si="95"/>
        <v>8633.6317963375586</v>
      </c>
      <c r="BW170" s="2217">
        <f t="shared" si="104"/>
        <v>9.4396443770165206</v>
      </c>
      <c r="BX170" s="2212">
        <v>165</v>
      </c>
      <c r="BY170" s="2219"/>
      <c r="BZ170" s="2213"/>
      <c r="CA170" s="2219"/>
      <c r="CB170" s="2213"/>
      <c r="CC170" s="2213"/>
      <c r="CD170" s="2213"/>
      <c r="CE170" s="2213"/>
      <c r="CF170" s="2208"/>
      <c r="CG170" s="2217">
        <f t="shared" si="115"/>
        <v>-1.8603556229834801</v>
      </c>
      <c r="CH170" s="2217">
        <f t="shared" si="96"/>
        <v>8633.6317963375586</v>
      </c>
      <c r="CI170" s="2217">
        <f t="shared" si="105"/>
        <v>9.4396443770165206</v>
      </c>
      <c r="CJ170" s="2212">
        <v>165</v>
      </c>
      <c r="CK170" s="2219"/>
      <c r="CL170" s="2213"/>
      <c r="CM170" s="2219"/>
      <c r="CN170" s="2213"/>
      <c r="CO170" s="2213"/>
      <c r="CP170" s="2213"/>
      <c r="CQ170" s="2213"/>
      <c r="CR170" s="2208"/>
      <c r="CS170" s="2217">
        <f t="shared" si="116"/>
        <v>-0.76797499990971119</v>
      </c>
      <c r="CT170" s="2217">
        <f t="shared" si="106"/>
        <v>6770.3175000023984</v>
      </c>
      <c r="CU170" s="2217">
        <f t="shared" si="97"/>
        <v>7.8015000000668806</v>
      </c>
      <c r="CV170" s="2212">
        <v>165</v>
      </c>
      <c r="CW170" s="2208"/>
      <c r="CX170" s="263"/>
      <c r="CY170" s="2208"/>
      <c r="CZ170" s="263"/>
      <c r="DA170" s="263"/>
      <c r="DB170" s="263"/>
      <c r="DC170" s="263"/>
      <c r="DD170" s="2208"/>
    </row>
    <row r="171" spans="1:108">
      <c r="A171" s="2217">
        <f t="shared" si="107"/>
        <v>-0.22667361647145512</v>
      </c>
      <c r="B171" s="2217">
        <f t="shared" si="98"/>
        <v>8624.1921519605421</v>
      </c>
      <c r="C171" s="2217">
        <f t="shared" si="99"/>
        <v>9.628979463937867</v>
      </c>
      <c r="D171" s="2212">
        <v>164</v>
      </c>
      <c r="E171" s="2219"/>
      <c r="F171" s="2213"/>
      <c r="G171" s="2219"/>
      <c r="H171" s="2213"/>
      <c r="I171" s="2213"/>
      <c r="J171" s="2213"/>
      <c r="K171" s="2213"/>
      <c r="L171" s="2213"/>
      <c r="M171" s="2217">
        <f t="shared" si="108"/>
        <v>0.44735494600419656</v>
      </c>
      <c r="N171" s="2217">
        <f t="shared" si="90"/>
        <v>8624.1921519605421</v>
      </c>
      <c r="O171" s="2217">
        <f t="shared" si="100"/>
        <v>9.628979463937867</v>
      </c>
      <c r="P171" s="2212">
        <v>164</v>
      </c>
      <c r="Q171" s="2219"/>
      <c r="R171" s="2213"/>
      <c r="S171" s="2219"/>
      <c r="T171" s="2213"/>
      <c r="U171" s="2213"/>
      <c r="V171" s="2213"/>
      <c r="W171" s="2213"/>
      <c r="X171" s="2213"/>
      <c r="Y171" s="2217">
        <f t="shared" si="109"/>
        <v>1.3139630977586059</v>
      </c>
      <c r="Z171" s="2217">
        <f t="shared" si="91"/>
        <v>8624.1921519605421</v>
      </c>
      <c r="AA171" s="2217">
        <f t="shared" si="101"/>
        <v>9.628979463937867</v>
      </c>
      <c r="AB171" s="2212">
        <v>164</v>
      </c>
      <c r="AC171" s="2219"/>
      <c r="AD171" s="2213"/>
      <c r="AE171" s="2219"/>
      <c r="AF171" s="2213"/>
      <c r="AG171" s="2213"/>
      <c r="AH171" s="2213"/>
      <c r="AI171" s="2213"/>
      <c r="AJ171" s="2213"/>
      <c r="AK171" s="2217">
        <f t="shared" si="110"/>
        <v>-2.8264980717346795</v>
      </c>
      <c r="AL171" s="2217">
        <f t="shared" si="92"/>
        <v>8624.1921519605421</v>
      </c>
      <c r="AM171" s="2217">
        <f t="shared" si="102"/>
        <v>9.628979463937867</v>
      </c>
      <c r="AN171" s="2212">
        <v>164</v>
      </c>
      <c r="AO171" s="2219"/>
      <c r="AP171" s="2213"/>
      <c r="AQ171" s="2219"/>
      <c r="AR171" s="2213"/>
      <c r="AS171" s="2213"/>
      <c r="AT171" s="2213"/>
      <c r="AU171" s="2213"/>
      <c r="AV171" s="2213"/>
      <c r="AW171" s="2217">
        <f t="shared" si="111"/>
        <v>-3.1010059999311483</v>
      </c>
      <c r="AX171" s="2217">
        <f t="shared" si="112"/>
        <v>6762.5160000023316</v>
      </c>
      <c r="AY171" s="2217">
        <f t="shared" si="93"/>
        <v>7.7349000000649539</v>
      </c>
      <c r="AZ171" s="2212">
        <v>164</v>
      </c>
      <c r="BA171" s="2208"/>
      <c r="BB171" s="263"/>
      <c r="BC171" s="2208"/>
      <c r="BD171" s="263"/>
      <c r="BE171" s="263"/>
      <c r="BF171" s="263"/>
      <c r="BG171" s="263"/>
      <c r="BH171" s="2208"/>
      <c r="BI171" s="2217">
        <f t="shared" si="113"/>
        <v>-0.70318699991101319</v>
      </c>
      <c r="BJ171" s="2217">
        <f t="shared" si="103"/>
        <v>6762.5160000023316</v>
      </c>
      <c r="BK171" s="2217">
        <f t="shared" si="94"/>
        <v>7.7349000000649539</v>
      </c>
      <c r="BL171" s="2212">
        <v>164</v>
      </c>
      <c r="BM171" s="2208"/>
      <c r="BN171" s="263"/>
      <c r="BO171" s="2208"/>
      <c r="BP171" s="263"/>
      <c r="BQ171" s="263"/>
      <c r="BR171" s="263"/>
      <c r="BS171" s="263"/>
      <c r="BT171" s="2208"/>
      <c r="BU171" s="2217">
        <f t="shared" si="114"/>
        <v>-2.8264980717346795</v>
      </c>
      <c r="BV171" s="2217">
        <f t="shared" si="95"/>
        <v>8624.1921519605421</v>
      </c>
      <c r="BW171" s="2217">
        <f t="shared" si="104"/>
        <v>9.628979463937867</v>
      </c>
      <c r="BX171" s="2212">
        <v>164</v>
      </c>
      <c r="BY171" s="2219"/>
      <c r="BZ171" s="2213"/>
      <c r="CA171" s="2219"/>
      <c r="CB171" s="2213"/>
      <c r="CC171" s="2213"/>
      <c r="CD171" s="2213"/>
      <c r="CE171" s="2213"/>
      <c r="CF171" s="2208"/>
      <c r="CG171" s="2217">
        <f t="shared" si="115"/>
        <v>-1.6710205360621337</v>
      </c>
      <c r="CH171" s="2217">
        <f t="shared" si="96"/>
        <v>8624.1921519605421</v>
      </c>
      <c r="CI171" s="2217">
        <f t="shared" si="105"/>
        <v>9.628979463937867</v>
      </c>
      <c r="CJ171" s="2212">
        <v>164</v>
      </c>
      <c r="CK171" s="2219"/>
      <c r="CL171" s="2213"/>
      <c r="CM171" s="2219"/>
      <c r="CN171" s="2213"/>
      <c r="CO171" s="2213"/>
      <c r="CP171" s="2213"/>
      <c r="CQ171" s="2213"/>
      <c r="CR171" s="2208"/>
      <c r="CS171" s="2217">
        <f t="shared" si="116"/>
        <v>-0.85788499991231149</v>
      </c>
      <c r="CT171" s="2217">
        <f t="shared" si="106"/>
        <v>6762.5160000023316</v>
      </c>
      <c r="CU171" s="2217">
        <f t="shared" si="97"/>
        <v>7.7349000000649539</v>
      </c>
      <c r="CV171" s="2212">
        <v>164</v>
      </c>
      <c r="CW171" s="2208"/>
      <c r="CX171" s="263"/>
      <c r="CY171" s="2208"/>
      <c r="CZ171" s="263"/>
      <c r="DA171" s="263"/>
      <c r="DB171" s="263"/>
      <c r="DC171" s="263"/>
      <c r="DD171" s="2208"/>
    </row>
    <row r="172" spans="1:108">
      <c r="A172" s="2217">
        <f t="shared" si="107"/>
        <v>-7.6253624161850553E-3</v>
      </c>
      <c r="B172" s="2217">
        <f t="shared" si="98"/>
        <v>8614.5631724966042</v>
      </c>
      <c r="C172" s="2217">
        <f t="shared" si="99"/>
        <v>9.8194562065946229</v>
      </c>
      <c r="D172" s="2212">
        <v>163</v>
      </c>
      <c r="E172" s="2219"/>
      <c r="F172" s="2213"/>
      <c r="G172" s="2219"/>
      <c r="H172" s="2213"/>
      <c r="I172" s="2213"/>
      <c r="J172" s="2213"/>
      <c r="K172" s="2213"/>
      <c r="L172" s="2213"/>
      <c r="M172" s="2217">
        <f t="shared" si="108"/>
        <v>0.67973657204543869</v>
      </c>
      <c r="N172" s="2217">
        <f t="shared" si="90"/>
        <v>8614.5631724966042</v>
      </c>
      <c r="O172" s="2217">
        <f t="shared" si="100"/>
        <v>9.8194562065946229</v>
      </c>
      <c r="P172" s="2212">
        <v>163</v>
      </c>
      <c r="Q172" s="2219"/>
      <c r="R172" s="2213"/>
      <c r="S172" s="2219"/>
      <c r="T172" s="2213"/>
      <c r="U172" s="2213"/>
      <c r="V172" s="2213"/>
      <c r="W172" s="2213"/>
      <c r="X172" s="2213"/>
      <c r="Y172" s="2217">
        <f t="shared" si="109"/>
        <v>1.5634876306389565</v>
      </c>
      <c r="Z172" s="2217">
        <f t="shared" si="91"/>
        <v>8614.5631724966042</v>
      </c>
      <c r="AA172" s="2217">
        <f t="shared" si="101"/>
        <v>9.8194562065946229</v>
      </c>
      <c r="AB172" s="2212">
        <v>163</v>
      </c>
      <c r="AC172" s="2219"/>
      <c r="AD172" s="2213"/>
      <c r="AE172" s="2219"/>
      <c r="AF172" s="2213"/>
      <c r="AG172" s="2213"/>
      <c r="AH172" s="2213"/>
      <c r="AI172" s="2213"/>
      <c r="AJ172" s="2213"/>
      <c r="AK172" s="2217">
        <f t="shared" si="110"/>
        <v>-2.658878538196733</v>
      </c>
      <c r="AL172" s="2217">
        <f t="shared" si="92"/>
        <v>8614.5631724966042</v>
      </c>
      <c r="AM172" s="2217">
        <f t="shared" si="102"/>
        <v>9.8194562065946229</v>
      </c>
      <c r="AN172" s="2212">
        <v>163</v>
      </c>
      <c r="AO172" s="2219"/>
      <c r="AP172" s="2213"/>
      <c r="AQ172" s="2219"/>
      <c r="AR172" s="2213"/>
      <c r="AS172" s="2213"/>
      <c r="AT172" s="2213"/>
      <c r="AU172" s="2213"/>
      <c r="AV172" s="2213"/>
      <c r="AW172" s="2217">
        <f t="shared" si="111"/>
        <v>-3.1677859999322209</v>
      </c>
      <c r="AX172" s="2217">
        <f t="shared" si="112"/>
        <v>6754.7811000022666</v>
      </c>
      <c r="AY172" s="2217">
        <f t="shared" si="93"/>
        <v>7.6719000000639426</v>
      </c>
      <c r="AZ172" s="2212">
        <v>163</v>
      </c>
      <c r="BA172" s="2208"/>
      <c r="BB172" s="263"/>
      <c r="BC172" s="2208"/>
      <c r="BD172" s="263"/>
      <c r="BE172" s="263"/>
      <c r="BF172" s="263"/>
      <c r="BG172" s="263"/>
      <c r="BH172" s="2208"/>
      <c r="BI172" s="2217">
        <f t="shared" si="113"/>
        <v>-0.78949699991239797</v>
      </c>
      <c r="BJ172" s="2217">
        <f t="shared" si="103"/>
        <v>6754.7811000022666</v>
      </c>
      <c r="BK172" s="2217">
        <f t="shared" si="94"/>
        <v>7.6719000000639426</v>
      </c>
      <c r="BL172" s="2212">
        <v>163</v>
      </c>
      <c r="BM172" s="2208"/>
      <c r="BN172" s="263"/>
      <c r="BO172" s="2208"/>
      <c r="BP172" s="263"/>
      <c r="BQ172" s="263"/>
      <c r="BR172" s="263"/>
      <c r="BS172" s="263"/>
      <c r="BT172" s="2208"/>
      <c r="BU172" s="2217">
        <f t="shared" si="114"/>
        <v>-2.658878538196733</v>
      </c>
      <c r="BV172" s="2217">
        <f t="shared" si="95"/>
        <v>8614.5631724966042</v>
      </c>
      <c r="BW172" s="2217">
        <f t="shared" si="104"/>
        <v>9.8194562065946229</v>
      </c>
      <c r="BX172" s="2212">
        <v>163</v>
      </c>
      <c r="BY172" s="2219"/>
      <c r="BZ172" s="2213"/>
      <c r="CA172" s="2219"/>
      <c r="CB172" s="2213"/>
      <c r="CC172" s="2213"/>
      <c r="CD172" s="2213"/>
      <c r="CE172" s="2213"/>
      <c r="CF172" s="2208"/>
      <c r="CG172" s="2217">
        <f t="shared" si="115"/>
        <v>-1.4805437934053778</v>
      </c>
      <c r="CH172" s="2217">
        <f t="shared" si="96"/>
        <v>8614.5631724966042</v>
      </c>
      <c r="CI172" s="2217">
        <f t="shared" si="105"/>
        <v>9.8194562065946229</v>
      </c>
      <c r="CJ172" s="2212">
        <v>163</v>
      </c>
      <c r="CK172" s="2219"/>
      <c r="CL172" s="2213"/>
      <c r="CM172" s="2219"/>
      <c r="CN172" s="2213"/>
      <c r="CO172" s="2213"/>
      <c r="CP172" s="2213"/>
      <c r="CQ172" s="2213"/>
      <c r="CR172" s="2208"/>
      <c r="CS172" s="2217">
        <f t="shared" si="116"/>
        <v>-0.94293499991367824</v>
      </c>
      <c r="CT172" s="2217">
        <f t="shared" si="106"/>
        <v>6754.7811000022666</v>
      </c>
      <c r="CU172" s="2217">
        <f t="shared" si="97"/>
        <v>7.6719000000639426</v>
      </c>
      <c r="CV172" s="2212">
        <v>163</v>
      </c>
      <c r="CW172" s="2208"/>
      <c r="CX172" s="263"/>
      <c r="CY172" s="2208"/>
      <c r="CZ172" s="263"/>
      <c r="DA172" s="263"/>
      <c r="DB172" s="263"/>
      <c r="DC172" s="263"/>
      <c r="DD172" s="2208"/>
    </row>
    <row r="173" spans="1:108">
      <c r="A173" s="2217">
        <f t="shared" si="107"/>
        <v>0.21273579573062129</v>
      </c>
      <c r="B173" s="2217">
        <f t="shared" si="98"/>
        <v>8604.7437162900096</v>
      </c>
      <c r="C173" s="2217">
        <f t="shared" si="99"/>
        <v>10.01107460498315</v>
      </c>
      <c r="D173" s="2212">
        <v>162</v>
      </c>
      <c r="E173" s="2219"/>
      <c r="F173" s="2213"/>
      <c r="G173" s="2219"/>
      <c r="H173" s="2213"/>
      <c r="I173" s="2213"/>
      <c r="J173" s="2213"/>
      <c r="K173" s="2213"/>
      <c r="L173" s="2213"/>
      <c r="M173" s="2217">
        <f t="shared" si="108"/>
        <v>0.91351101807944346</v>
      </c>
      <c r="N173" s="2217">
        <f t="shared" si="90"/>
        <v>8604.7437162900096</v>
      </c>
      <c r="O173" s="2217">
        <f t="shared" si="100"/>
        <v>10.01107460498315</v>
      </c>
      <c r="P173" s="2212">
        <v>162</v>
      </c>
      <c r="Q173" s="2219"/>
      <c r="R173" s="2213"/>
      <c r="S173" s="2219"/>
      <c r="T173" s="2213"/>
      <c r="U173" s="2213"/>
      <c r="V173" s="2213"/>
      <c r="W173" s="2213"/>
      <c r="X173" s="2213"/>
      <c r="Y173" s="2217">
        <f t="shared" si="109"/>
        <v>1.8145077325279271</v>
      </c>
      <c r="Z173" s="2217">
        <f t="shared" si="91"/>
        <v>8604.7437162900096</v>
      </c>
      <c r="AA173" s="2217">
        <f t="shared" si="101"/>
        <v>10.01107460498315</v>
      </c>
      <c r="AB173" s="2212">
        <v>162</v>
      </c>
      <c r="AC173" s="2219"/>
      <c r="AD173" s="2213"/>
      <c r="AE173" s="2219"/>
      <c r="AF173" s="2213"/>
      <c r="AG173" s="2213"/>
      <c r="AH173" s="2213"/>
      <c r="AI173" s="2213"/>
      <c r="AJ173" s="2213"/>
      <c r="AK173" s="2217">
        <f t="shared" si="110"/>
        <v>-2.4902543476148296</v>
      </c>
      <c r="AL173" s="2217">
        <f t="shared" si="92"/>
        <v>8604.7437162900096</v>
      </c>
      <c r="AM173" s="2217">
        <f t="shared" si="102"/>
        <v>10.01107460498315</v>
      </c>
      <c r="AN173" s="2212">
        <v>162</v>
      </c>
      <c r="AO173" s="2219"/>
      <c r="AP173" s="2213"/>
      <c r="AQ173" s="2219"/>
      <c r="AR173" s="2213"/>
      <c r="AS173" s="2213"/>
      <c r="AT173" s="2213"/>
      <c r="AU173" s="2213"/>
      <c r="AV173" s="2213"/>
      <c r="AW173" s="2217">
        <f t="shared" si="111"/>
        <v>-3.230749999932323</v>
      </c>
      <c r="AX173" s="2217">
        <f t="shared" si="112"/>
        <v>6747.1092000022027</v>
      </c>
      <c r="AY173" s="2217">
        <f t="shared" si="93"/>
        <v>7.6125000000638465</v>
      </c>
      <c r="AZ173" s="2212">
        <v>162</v>
      </c>
      <c r="BA173" s="2208"/>
      <c r="BB173" s="263"/>
      <c r="BC173" s="2208"/>
      <c r="BD173" s="263"/>
      <c r="BE173" s="263"/>
      <c r="BF173" s="263"/>
      <c r="BG173" s="263"/>
      <c r="BH173" s="2208"/>
      <c r="BI173" s="2217">
        <f t="shared" si="113"/>
        <v>-0.87087499991253026</v>
      </c>
      <c r="BJ173" s="2217">
        <f t="shared" si="103"/>
        <v>6747.1092000022027</v>
      </c>
      <c r="BK173" s="2217">
        <f t="shared" si="94"/>
        <v>7.6125000000638465</v>
      </c>
      <c r="BL173" s="2212">
        <v>162</v>
      </c>
      <c r="BM173" s="2208"/>
      <c r="BN173" s="263"/>
      <c r="BO173" s="2208"/>
      <c r="BP173" s="263"/>
      <c r="BQ173" s="263"/>
      <c r="BR173" s="263"/>
      <c r="BS173" s="263"/>
      <c r="BT173" s="2208"/>
      <c r="BU173" s="2217">
        <f t="shared" si="114"/>
        <v>-2.4902543476148296</v>
      </c>
      <c r="BV173" s="2217">
        <f t="shared" si="95"/>
        <v>8604.7437162900096</v>
      </c>
      <c r="BW173" s="2217">
        <f t="shared" si="104"/>
        <v>10.01107460498315</v>
      </c>
      <c r="BX173" s="2212">
        <v>162</v>
      </c>
      <c r="BY173" s="2219"/>
      <c r="BZ173" s="2213"/>
      <c r="CA173" s="2219"/>
      <c r="CB173" s="2213"/>
      <c r="CC173" s="2213"/>
      <c r="CD173" s="2213"/>
      <c r="CE173" s="2213"/>
      <c r="CF173" s="2208"/>
      <c r="CG173" s="2217">
        <f t="shared" si="115"/>
        <v>-1.2889253950168502</v>
      </c>
      <c r="CH173" s="2217">
        <f t="shared" si="96"/>
        <v>8604.7437162900096</v>
      </c>
      <c r="CI173" s="2217">
        <f t="shared" si="105"/>
        <v>10.01107460498315</v>
      </c>
      <c r="CJ173" s="2212">
        <v>162</v>
      </c>
      <c r="CK173" s="2219"/>
      <c r="CL173" s="2213"/>
      <c r="CM173" s="2219"/>
      <c r="CN173" s="2213"/>
      <c r="CO173" s="2213"/>
      <c r="CP173" s="2213"/>
      <c r="CQ173" s="2213"/>
      <c r="CR173" s="2208"/>
      <c r="CS173" s="2217">
        <f t="shared" si="116"/>
        <v>-1.0231249999138079</v>
      </c>
      <c r="CT173" s="2217">
        <f t="shared" si="106"/>
        <v>6747.1092000022027</v>
      </c>
      <c r="CU173" s="2217">
        <f t="shared" si="97"/>
        <v>7.6125000000638465</v>
      </c>
      <c r="CV173" s="2212">
        <v>162</v>
      </c>
      <c r="CW173" s="2208"/>
      <c r="CX173" s="263"/>
      <c r="CY173" s="2208"/>
      <c r="CZ173" s="263"/>
      <c r="DA173" s="263"/>
      <c r="DB173" s="263"/>
      <c r="DC173" s="263"/>
      <c r="DD173" s="2208"/>
    </row>
    <row r="174" spans="1:108">
      <c r="A174" s="2217">
        <f t="shared" si="107"/>
        <v>0.43440985797733234</v>
      </c>
      <c r="B174" s="2217">
        <f t="shared" si="98"/>
        <v>8594.7326416850265</v>
      </c>
      <c r="C174" s="2217">
        <f t="shared" si="99"/>
        <v>10.203834659110726</v>
      </c>
      <c r="D174" s="2212">
        <v>161</v>
      </c>
      <c r="E174" s="2219"/>
      <c r="F174" s="2213"/>
      <c r="G174" s="2219"/>
      <c r="H174" s="2213"/>
      <c r="I174" s="2213"/>
      <c r="J174" s="2213"/>
      <c r="K174" s="2213"/>
      <c r="L174" s="2213"/>
      <c r="M174" s="2217">
        <f t="shared" si="108"/>
        <v>1.1486782841150838</v>
      </c>
      <c r="N174" s="2217">
        <f t="shared" si="90"/>
        <v>8594.7326416850265</v>
      </c>
      <c r="O174" s="2217">
        <f t="shared" si="100"/>
        <v>10.203834659110726</v>
      </c>
      <c r="P174" s="2212">
        <v>161</v>
      </c>
      <c r="Q174" s="2219"/>
      <c r="R174" s="2213"/>
      <c r="S174" s="2219"/>
      <c r="T174" s="2213"/>
      <c r="U174" s="2213"/>
      <c r="V174" s="2213"/>
      <c r="W174" s="2213"/>
      <c r="X174" s="2213"/>
      <c r="Y174" s="2217">
        <f t="shared" si="109"/>
        <v>2.0670234034350496</v>
      </c>
      <c r="Z174" s="2217">
        <f t="shared" si="91"/>
        <v>8594.7326416850265</v>
      </c>
      <c r="AA174" s="2217">
        <f t="shared" si="101"/>
        <v>10.203834659110726</v>
      </c>
      <c r="AB174" s="2212">
        <v>161</v>
      </c>
      <c r="AC174" s="2219"/>
      <c r="AD174" s="2213"/>
      <c r="AE174" s="2219"/>
      <c r="AF174" s="2213"/>
      <c r="AG174" s="2213"/>
      <c r="AH174" s="2213"/>
      <c r="AI174" s="2213"/>
      <c r="AJ174" s="2213"/>
      <c r="AK174" s="2217">
        <f t="shared" si="110"/>
        <v>-2.3206254999825635</v>
      </c>
      <c r="AL174" s="2217">
        <f t="shared" si="92"/>
        <v>8594.7326416850265</v>
      </c>
      <c r="AM174" s="2217">
        <f t="shared" si="102"/>
        <v>10.203834659110726</v>
      </c>
      <c r="AN174" s="2212">
        <v>161</v>
      </c>
      <c r="AO174" s="2219"/>
      <c r="AP174" s="2213"/>
      <c r="AQ174" s="2219"/>
      <c r="AR174" s="2213"/>
      <c r="AS174" s="2213"/>
      <c r="AT174" s="2213"/>
      <c r="AU174" s="2213"/>
      <c r="AV174" s="2213"/>
      <c r="AW174" s="2217">
        <f t="shared" si="111"/>
        <v>-3.2898979999324194</v>
      </c>
      <c r="AX174" s="2217">
        <f t="shared" si="112"/>
        <v>6739.4967000021388</v>
      </c>
      <c r="AY174" s="2217">
        <f t="shared" si="93"/>
        <v>7.5567000000637563</v>
      </c>
      <c r="AZ174" s="2212">
        <v>161</v>
      </c>
      <c r="BA174" s="2208"/>
      <c r="BB174" s="263"/>
      <c r="BC174" s="2208"/>
      <c r="BD174" s="263"/>
      <c r="BE174" s="263"/>
      <c r="BF174" s="263"/>
      <c r="BG174" s="263"/>
      <c r="BH174" s="2208"/>
      <c r="BI174" s="2217">
        <f t="shared" si="113"/>
        <v>-0.94732099991265351</v>
      </c>
      <c r="BJ174" s="2217">
        <f t="shared" si="103"/>
        <v>6739.4967000021388</v>
      </c>
      <c r="BK174" s="2217">
        <f t="shared" si="94"/>
        <v>7.5567000000637563</v>
      </c>
      <c r="BL174" s="2212">
        <v>161</v>
      </c>
      <c r="BM174" s="2208"/>
      <c r="BN174" s="263"/>
      <c r="BO174" s="2208"/>
      <c r="BP174" s="263"/>
      <c r="BQ174" s="263"/>
      <c r="BR174" s="263"/>
      <c r="BS174" s="263"/>
      <c r="BT174" s="2208"/>
      <c r="BU174" s="2217">
        <f t="shared" si="114"/>
        <v>-2.3206254999825635</v>
      </c>
      <c r="BV174" s="2217">
        <f t="shared" si="95"/>
        <v>8594.7326416850265</v>
      </c>
      <c r="BW174" s="2217">
        <f t="shared" si="104"/>
        <v>10.203834659110726</v>
      </c>
      <c r="BX174" s="2212">
        <v>161</v>
      </c>
      <c r="BY174" s="2219"/>
      <c r="BZ174" s="2213"/>
      <c r="CA174" s="2219"/>
      <c r="CB174" s="2213"/>
      <c r="CC174" s="2213"/>
      <c r="CD174" s="2213"/>
      <c r="CE174" s="2213"/>
      <c r="CF174" s="2208"/>
      <c r="CG174" s="2217">
        <f t="shared" si="115"/>
        <v>-1.0961653408892751</v>
      </c>
      <c r="CH174" s="2217">
        <f t="shared" si="96"/>
        <v>8594.7326416850265</v>
      </c>
      <c r="CI174" s="2217">
        <f t="shared" si="105"/>
        <v>10.203834659110726</v>
      </c>
      <c r="CJ174" s="2212">
        <v>161</v>
      </c>
      <c r="CK174" s="2219"/>
      <c r="CL174" s="2213"/>
      <c r="CM174" s="2219"/>
      <c r="CN174" s="2213"/>
      <c r="CO174" s="2213"/>
      <c r="CP174" s="2213"/>
      <c r="CQ174" s="2213"/>
      <c r="CR174" s="2208"/>
      <c r="CS174" s="2217">
        <f t="shared" si="116"/>
        <v>-1.0984549999139297</v>
      </c>
      <c r="CT174" s="2217">
        <f t="shared" si="106"/>
        <v>6739.4967000021388</v>
      </c>
      <c r="CU174" s="2217">
        <f t="shared" si="97"/>
        <v>7.5567000000637563</v>
      </c>
      <c r="CV174" s="2212">
        <v>161</v>
      </c>
      <c r="CW174" s="2208"/>
      <c r="CX174" s="263"/>
      <c r="CY174" s="2208"/>
      <c r="CZ174" s="263"/>
      <c r="DA174" s="263"/>
      <c r="DB174" s="263"/>
      <c r="DC174" s="263"/>
      <c r="DD174" s="2208"/>
    </row>
    <row r="175" spans="1:108">
      <c r="A175" s="2217">
        <f t="shared" si="107"/>
        <v>0.65739682431348889</v>
      </c>
      <c r="B175" s="2217">
        <f t="shared" si="98"/>
        <v>8584.5288070259157</v>
      </c>
      <c r="C175" s="2217">
        <f t="shared" si="99"/>
        <v>10.397736368968253</v>
      </c>
      <c r="D175" s="2212">
        <v>160</v>
      </c>
      <c r="E175" s="2219"/>
      <c r="F175" s="2213"/>
      <c r="G175" s="2219"/>
      <c r="H175" s="2213"/>
      <c r="I175" s="2213"/>
      <c r="J175" s="2213"/>
      <c r="K175" s="2213"/>
      <c r="L175" s="2213"/>
      <c r="M175" s="2217">
        <f t="shared" si="108"/>
        <v>1.385238370141268</v>
      </c>
      <c r="N175" s="2217">
        <f t="shared" si="90"/>
        <v>8584.5288070259157</v>
      </c>
      <c r="O175" s="2217">
        <f t="shared" si="100"/>
        <v>10.397736368968253</v>
      </c>
      <c r="P175" s="2212">
        <v>160</v>
      </c>
      <c r="Q175" s="2219"/>
      <c r="R175" s="2213"/>
      <c r="S175" s="2219"/>
      <c r="T175" s="2213"/>
      <c r="U175" s="2213"/>
      <c r="V175" s="2213"/>
      <c r="W175" s="2213"/>
      <c r="X175" s="2213"/>
      <c r="Y175" s="2217">
        <f t="shared" si="109"/>
        <v>2.3210346433484119</v>
      </c>
      <c r="Z175" s="2217">
        <f t="shared" si="91"/>
        <v>8584.5288070259157</v>
      </c>
      <c r="AA175" s="2217">
        <f t="shared" si="101"/>
        <v>10.397736368968253</v>
      </c>
      <c r="AB175" s="2212">
        <v>160</v>
      </c>
      <c r="AC175" s="2219"/>
      <c r="AD175" s="2213"/>
      <c r="AE175" s="2219"/>
      <c r="AF175" s="2213"/>
      <c r="AG175" s="2213"/>
      <c r="AH175" s="2213"/>
      <c r="AI175" s="2213"/>
      <c r="AJ175" s="2213"/>
      <c r="AK175" s="2217">
        <f t="shared" si="110"/>
        <v>-2.1499919953079392</v>
      </c>
      <c r="AL175" s="2217">
        <f t="shared" si="92"/>
        <v>8584.5288070259157</v>
      </c>
      <c r="AM175" s="2217">
        <f t="shared" si="102"/>
        <v>10.397736368968253</v>
      </c>
      <c r="AN175" s="2212">
        <v>160</v>
      </c>
      <c r="AO175" s="2219"/>
      <c r="AP175" s="2213"/>
      <c r="AQ175" s="2219"/>
      <c r="AR175" s="2213"/>
      <c r="AS175" s="2213"/>
      <c r="AT175" s="2213"/>
      <c r="AU175" s="2213"/>
      <c r="AV175" s="2213"/>
      <c r="AW175" s="2217">
        <f t="shared" si="111"/>
        <v>-3.3452299999305799</v>
      </c>
      <c r="AX175" s="2217">
        <f t="shared" si="112"/>
        <v>6731.9400000020751</v>
      </c>
      <c r="AY175" s="2217">
        <f t="shared" si="93"/>
        <v>7.5045000000654909</v>
      </c>
      <c r="AZ175" s="2212">
        <v>160</v>
      </c>
      <c r="BA175" s="2208"/>
      <c r="BB175" s="263"/>
      <c r="BC175" s="2208"/>
      <c r="BD175" s="263"/>
      <c r="BE175" s="263"/>
      <c r="BF175" s="263"/>
      <c r="BG175" s="263"/>
      <c r="BH175" s="2208"/>
      <c r="BI175" s="2217">
        <f t="shared" si="113"/>
        <v>-1.0188349999102773</v>
      </c>
      <c r="BJ175" s="2217">
        <f t="shared" si="103"/>
        <v>6731.9400000020751</v>
      </c>
      <c r="BK175" s="2217">
        <f t="shared" si="94"/>
        <v>7.5045000000654909</v>
      </c>
      <c r="BL175" s="2212">
        <v>160</v>
      </c>
      <c r="BM175" s="2208"/>
      <c r="BN175" s="263"/>
      <c r="BO175" s="2208"/>
      <c r="BP175" s="263"/>
      <c r="BQ175" s="263"/>
      <c r="BR175" s="263"/>
      <c r="BS175" s="263"/>
      <c r="BT175" s="2208"/>
      <c r="BU175" s="2217">
        <f t="shared" si="114"/>
        <v>-2.1499919953079392</v>
      </c>
      <c r="BV175" s="2217">
        <f t="shared" si="95"/>
        <v>8584.5288070259157</v>
      </c>
      <c r="BW175" s="2217">
        <f t="shared" si="104"/>
        <v>10.397736368968253</v>
      </c>
      <c r="BX175" s="2212">
        <v>160</v>
      </c>
      <c r="BY175" s="2219"/>
      <c r="BZ175" s="2213"/>
      <c r="CA175" s="2219"/>
      <c r="CB175" s="2213"/>
      <c r="CC175" s="2213"/>
      <c r="CD175" s="2213"/>
      <c r="CE175" s="2213"/>
      <c r="CF175" s="2208"/>
      <c r="CG175" s="2217">
        <f t="shared" si="115"/>
        <v>-0.90226363103174734</v>
      </c>
      <c r="CH175" s="2217">
        <f t="shared" si="96"/>
        <v>8584.5288070259157</v>
      </c>
      <c r="CI175" s="2217">
        <f t="shared" si="105"/>
        <v>10.397736368968253</v>
      </c>
      <c r="CJ175" s="2212">
        <v>160</v>
      </c>
      <c r="CK175" s="2219"/>
      <c r="CL175" s="2213"/>
      <c r="CM175" s="2219"/>
      <c r="CN175" s="2213"/>
      <c r="CO175" s="2213"/>
      <c r="CP175" s="2213"/>
      <c r="CQ175" s="2213"/>
      <c r="CR175" s="2208"/>
      <c r="CS175" s="2217">
        <f t="shared" si="116"/>
        <v>-1.1689249999115869</v>
      </c>
      <c r="CT175" s="2217">
        <f t="shared" si="106"/>
        <v>6731.9400000020751</v>
      </c>
      <c r="CU175" s="2217">
        <f t="shared" si="97"/>
        <v>7.5045000000654909</v>
      </c>
      <c r="CV175" s="2212">
        <v>160</v>
      </c>
      <c r="CW175" s="2208"/>
      <c r="CX175" s="263"/>
      <c r="CY175" s="2208"/>
      <c r="CZ175" s="263"/>
      <c r="DA175" s="263"/>
      <c r="DB175" s="263"/>
      <c r="DC175" s="263"/>
      <c r="DD175" s="2208"/>
    </row>
    <row r="176" spans="1:108">
      <c r="A176" s="2217">
        <f t="shared" si="107"/>
        <v>0.88169669474955192</v>
      </c>
      <c r="B176" s="2217">
        <f t="shared" si="98"/>
        <v>8574.1310706569475</v>
      </c>
      <c r="C176" s="2217">
        <f t="shared" si="99"/>
        <v>10.592779734564829</v>
      </c>
      <c r="D176" s="2212">
        <v>159</v>
      </c>
      <c r="E176" s="2219"/>
      <c r="F176" s="2213"/>
      <c r="G176" s="2219"/>
      <c r="H176" s="2213"/>
      <c r="I176" s="2213"/>
      <c r="J176" s="2213"/>
      <c r="K176" s="2213"/>
      <c r="L176" s="2213"/>
      <c r="M176" s="2217">
        <f t="shared" si="108"/>
        <v>1.6231912761690896</v>
      </c>
      <c r="N176" s="2217">
        <f t="shared" si="90"/>
        <v>8574.1310706569475</v>
      </c>
      <c r="O176" s="2217">
        <f t="shared" si="100"/>
        <v>10.592779734564829</v>
      </c>
      <c r="P176" s="2212">
        <v>159</v>
      </c>
      <c r="Q176" s="2219"/>
      <c r="R176" s="2213"/>
      <c r="S176" s="2219"/>
      <c r="T176" s="2213"/>
      <c r="U176" s="2213"/>
      <c r="V176" s="2213"/>
      <c r="W176" s="2213"/>
      <c r="X176" s="2213"/>
      <c r="Y176" s="2217">
        <f t="shared" si="109"/>
        <v>2.5765414522799261</v>
      </c>
      <c r="Z176" s="2217">
        <f t="shared" si="91"/>
        <v>8574.1310706569475</v>
      </c>
      <c r="AA176" s="2217">
        <f t="shared" si="101"/>
        <v>10.592779734564829</v>
      </c>
      <c r="AB176" s="2212">
        <v>159</v>
      </c>
      <c r="AC176" s="2219"/>
      <c r="AD176" s="2213"/>
      <c r="AE176" s="2219"/>
      <c r="AF176" s="2213"/>
      <c r="AG176" s="2213"/>
      <c r="AH176" s="2213"/>
      <c r="AI176" s="2213"/>
      <c r="AJ176" s="2213"/>
      <c r="AK176" s="2217">
        <f t="shared" si="110"/>
        <v>-1.9783538335829522</v>
      </c>
      <c r="AL176" s="2217">
        <f t="shared" si="92"/>
        <v>8574.1310706569475</v>
      </c>
      <c r="AM176" s="2217">
        <f t="shared" si="102"/>
        <v>10.592779734564829</v>
      </c>
      <c r="AN176" s="2212">
        <v>159</v>
      </c>
      <c r="AO176" s="2219"/>
      <c r="AP176" s="2213"/>
      <c r="AQ176" s="2219"/>
      <c r="AR176" s="2213"/>
      <c r="AS176" s="2213"/>
      <c r="AT176" s="2213"/>
      <c r="AU176" s="2213"/>
      <c r="AV176" s="2213"/>
      <c r="AW176" s="2217">
        <f t="shared" si="111"/>
        <v>-3.3967459999335556</v>
      </c>
      <c r="AX176" s="2217">
        <f t="shared" si="112"/>
        <v>6724.4355000020096</v>
      </c>
      <c r="AY176" s="2217">
        <f t="shared" si="93"/>
        <v>7.4559000000626838</v>
      </c>
      <c r="AZ176" s="2212">
        <v>159</v>
      </c>
      <c r="BA176" s="2208"/>
      <c r="BB176" s="263"/>
      <c r="BC176" s="2208"/>
      <c r="BD176" s="263"/>
      <c r="BE176" s="263"/>
      <c r="BF176" s="263"/>
      <c r="BG176" s="263"/>
      <c r="BH176" s="2208"/>
      <c r="BI176" s="2217">
        <f t="shared" si="113"/>
        <v>-1.0854169999141234</v>
      </c>
      <c r="BJ176" s="2217">
        <f t="shared" si="103"/>
        <v>6724.4355000020096</v>
      </c>
      <c r="BK176" s="2217">
        <f t="shared" si="94"/>
        <v>7.4559000000626838</v>
      </c>
      <c r="BL176" s="2212">
        <v>159</v>
      </c>
      <c r="BM176" s="2208"/>
      <c r="BN176" s="263"/>
      <c r="BO176" s="2208"/>
      <c r="BP176" s="263"/>
      <c r="BQ176" s="263"/>
      <c r="BR176" s="263"/>
      <c r="BS176" s="263"/>
      <c r="BT176" s="2208"/>
      <c r="BU176" s="2217">
        <f t="shared" si="114"/>
        <v>-1.9783538335829522</v>
      </c>
      <c r="BV176" s="2217">
        <f t="shared" si="95"/>
        <v>8574.1310706569475</v>
      </c>
      <c r="BW176" s="2217">
        <f t="shared" si="104"/>
        <v>10.592779734564829</v>
      </c>
      <c r="BX176" s="2212">
        <v>159</v>
      </c>
      <c r="BY176" s="2219"/>
      <c r="BZ176" s="2213"/>
      <c r="CA176" s="2219"/>
      <c r="CB176" s="2213"/>
      <c r="CC176" s="2213"/>
      <c r="CD176" s="2213"/>
      <c r="CE176" s="2213"/>
      <c r="CF176" s="2208"/>
      <c r="CG176" s="2217">
        <f t="shared" si="115"/>
        <v>-0.70722026543517202</v>
      </c>
      <c r="CH176" s="2217">
        <f t="shared" si="96"/>
        <v>8574.1310706569475</v>
      </c>
      <c r="CI176" s="2217">
        <f t="shared" si="105"/>
        <v>10.592779734564829</v>
      </c>
      <c r="CJ176" s="2212">
        <v>159</v>
      </c>
      <c r="CK176" s="2219"/>
      <c r="CL176" s="2213"/>
      <c r="CM176" s="2219"/>
      <c r="CN176" s="2213"/>
      <c r="CO176" s="2213"/>
      <c r="CP176" s="2213"/>
      <c r="CQ176" s="2213"/>
      <c r="CR176" s="2208"/>
      <c r="CS176" s="2217">
        <f t="shared" si="116"/>
        <v>-1.2345349999153772</v>
      </c>
      <c r="CT176" s="2217">
        <f t="shared" si="106"/>
        <v>6724.4355000020096</v>
      </c>
      <c r="CU176" s="2217">
        <f t="shared" si="97"/>
        <v>7.4559000000626838</v>
      </c>
      <c r="CV176" s="2212">
        <v>159</v>
      </c>
      <c r="CW176" s="2208"/>
      <c r="CX176" s="263"/>
      <c r="CY176" s="2208"/>
      <c r="CZ176" s="263"/>
      <c r="DA176" s="263"/>
      <c r="DB176" s="263"/>
      <c r="DC176" s="263"/>
      <c r="DD176" s="2208"/>
    </row>
    <row r="177" spans="1:108">
      <c r="A177" s="2217">
        <f t="shared" si="107"/>
        <v>1.1073094692750587</v>
      </c>
      <c r="B177" s="2217">
        <f t="shared" si="98"/>
        <v>8563.5382909223827</v>
      </c>
      <c r="C177" s="2217">
        <f t="shared" si="99"/>
        <v>10.788964755891357</v>
      </c>
      <c r="D177" s="2212">
        <v>158</v>
      </c>
      <c r="E177" s="2219"/>
      <c r="F177" s="2213"/>
      <c r="G177" s="2219"/>
      <c r="H177" s="2213"/>
      <c r="I177" s="2213"/>
      <c r="J177" s="2213"/>
      <c r="K177" s="2213"/>
      <c r="L177" s="2213"/>
      <c r="M177" s="2217">
        <f t="shared" si="108"/>
        <v>1.8625370021874534</v>
      </c>
      <c r="N177" s="2217">
        <f t="shared" si="90"/>
        <v>8563.5382909223827</v>
      </c>
      <c r="O177" s="2217">
        <f t="shared" si="100"/>
        <v>10.788964755891357</v>
      </c>
      <c r="P177" s="2212">
        <v>158</v>
      </c>
      <c r="Q177" s="2219"/>
      <c r="R177" s="2213"/>
      <c r="S177" s="2219"/>
      <c r="T177" s="2213"/>
      <c r="U177" s="2213"/>
      <c r="V177" s="2213"/>
      <c r="W177" s="2213"/>
      <c r="X177" s="2213"/>
      <c r="Y177" s="2217">
        <f t="shared" si="109"/>
        <v>2.8335438302176765</v>
      </c>
      <c r="Z177" s="2217">
        <f t="shared" si="91"/>
        <v>8563.5382909223827</v>
      </c>
      <c r="AA177" s="2217">
        <f t="shared" si="101"/>
        <v>10.788964755891357</v>
      </c>
      <c r="AB177" s="2212">
        <v>158</v>
      </c>
      <c r="AC177" s="2219"/>
      <c r="AD177" s="2213"/>
      <c r="AE177" s="2219"/>
      <c r="AF177" s="2213"/>
      <c r="AG177" s="2213"/>
      <c r="AH177" s="2213"/>
      <c r="AI177" s="2213"/>
      <c r="AJ177" s="2213"/>
      <c r="AK177" s="2217">
        <f t="shared" si="110"/>
        <v>-1.8057110148156088</v>
      </c>
      <c r="AL177" s="2217">
        <f t="shared" si="92"/>
        <v>8563.5382909223827</v>
      </c>
      <c r="AM177" s="2217">
        <f t="shared" si="102"/>
        <v>10.788964755891357</v>
      </c>
      <c r="AN177" s="2212">
        <v>158</v>
      </c>
      <c r="AO177" s="2219"/>
      <c r="AP177" s="2213"/>
      <c r="AQ177" s="2219"/>
      <c r="AR177" s="2213"/>
      <c r="AS177" s="2213"/>
      <c r="AT177" s="2213"/>
      <c r="AU177" s="2213"/>
      <c r="AV177" s="2213"/>
      <c r="AW177" s="2217">
        <f t="shared" si="111"/>
        <v>-3.4444459999336328</v>
      </c>
      <c r="AX177" s="2217">
        <f t="shared" si="112"/>
        <v>6716.9796000019469</v>
      </c>
      <c r="AY177" s="2217">
        <f t="shared" si="93"/>
        <v>7.4109000000626111</v>
      </c>
      <c r="AZ177" s="2212">
        <v>158</v>
      </c>
      <c r="BA177" s="2208"/>
      <c r="BB177" s="263"/>
      <c r="BC177" s="2208"/>
      <c r="BD177" s="263"/>
      <c r="BE177" s="263"/>
      <c r="BF177" s="263"/>
      <c r="BG177" s="263"/>
      <c r="BH177" s="2208"/>
      <c r="BI177" s="2217">
        <f t="shared" si="113"/>
        <v>-1.1470669999142231</v>
      </c>
      <c r="BJ177" s="2217">
        <f t="shared" si="103"/>
        <v>6716.9796000019469</v>
      </c>
      <c r="BK177" s="2217">
        <f t="shared" si="94"/>
        <v>7.4109000000626111</v>
      </c>
      <c r="BL177" s="2212">
        <v>158</v>
      </c>
      <c r="BM177" s="2208"/>
      <c r="BN177" s="263"/>
      <c r="BO177" s="2208"/>
      <c r="BP177" s="263"/>
      <c r="BQ177" s="263"/>
      <c r="BR177" s="263"/>
      <c r="BS177" s="263"/>
      <c r="BT177" s="2208"/>
      <c r="BU177" s="2217">
        <f t="shared" si="114"/>
        <v>-1.8057110148156088</v>
      </c>
      <c r="BV177" s="2217">
        <f t="shared" si="95"/>
        <v>8563.5382909223827</v>
      </c>
      <c r="BW177" s="2217">
        <f t="shared" si="104"/>
        <v>10.788964755891357</v>
      </c>
      <c r="BX177" s="2212">
        <v>158</v>
      </c>
      <c r="BY177" s="2219"/>
      <c r="BZ177" s="2213"/>
      <c r="CA177" s="2219"/>
      <c r="CB177" s="2213"/>
      <c r="CC177" s="2213"/>
      <c r="CD177" s="2213"/>
      <c r="CE177" s="2213"/>
      <c r="CF177" s="2208"/>
      <c r="CG177" s="2217">
        <f t="shared" si="115"/>
        <v>-0.51103524410864409</v>
      </c>
      <c r="CH177" s="2217">
        <f t="shared" si="96"/>
        <v>8563.5382909223827</v>
      </c>
      <c r="CI177" s="2217">
        <f t="shared" si="105"/>
        <v>10.788964755891357</v>
      </c>
      <c r="CJ177" s="2212">
        <v>158</v>
      </c>
      <c r="CK177" s="2219"/>
      <c r="CL177" s="2213"/>
      <c r="CM177" s="2219"/>
      <c r="CN177" s="2213"/>
      <c r="CO177" s="2213"/>
      <c r="CP177" s="2213"/>
      <c r="CQ177" s="2213"/>
      <c r="CR177" s="2208"/>
      <c r="CS177" s="2217">
        <f t="shared" si="116"/>
        <v>-1.2952849999154754</v>
      </c>
      <c r="CT177" s="2217">
        <f t="shared" si="106"/>
        <v>6716.9796000019469</v>
      </c>
      <c r="CU177" s="2217">
        <f t="shared" si="97"/>
        <v>7.4109000000626111</v>
      </c>
      <c r="CV177" s="2212">
        <v>158</v>
      </c>
      <c r="CW177" s="2208"/>
      <c r="CX177" s="263"/>
      <c r="CY177" s="2208"/>
      <c r="CZ177" s="263"/>
      <c r="DA177" s="263"/>
      <c r="DB177" s="263"/>
      <c r="DC177" s="263"/>
      <c r="DD177" s="2208"/>
    </row>
    <row r="178" spans="1:108">
      <c r="A178" s="2217">
        <f t="shared" si="107"/>
        <v>1.3342351479004702</v>
      </c>
      <c r="B178" s="2217">
        <f t="shared" si="98"/>
        <v>8552.7493261664913</v>
      </c>
      <c r="C178" s="2217">
        <f t="shared" si="99"/>
        <v>10.986291432956932</v>
      </c>
      <c r="D178" s="2212">
        <v>157</v>
      </c>
      <c r="E178" s="2219"/>
      <c r="F178" s="2213"/>
      <c r="G178" s="2219"/>
      <c r="H178" s="2213"/>
      <c r="I178" s="2213"/>
      <c r="J178" s="2213"/>
      <c r="K178" s="2213"/>
      <c r="L178" s="2213"/>
      <c r="M178" s="2217">
        <f t="shared" si="108"/>
        <v>2.1032755482074563</v>
      </c>
      <c r="N178" s="2217">
        <f t="shared" si="90"/>
        <v>8552.7493261664913</v>
      </c>
      <c r="O178" s="2217">
        <f t="shared" si="100"/>
        <v>10.986291432956932</v>
      </c>
      <c r="P178" s="2212">
        <v>157</v>
      </c>
      <c r="Q178" s="2219"/>
      <c r="R178" s="2213"/>
      <c r="S178" s="2219"/>
      <c r="T178" s="2213"/>
      <c r="U178" s="2213"/>
      <c r="V178" s="2213"/>
      <c r="W178" s="2213"/>
      <c r="X178" s="2213"/>
      <c r="Y178" s="2217">
        <f t="shared" si="109"/>
        <v>3.0920417771735806</v>
      </c>
      <c r="Z178" s="2217">
        <f t="shared" si="91"/>
        <v>8552.7493261664913</v>
      </c>
      <c r="AA178" s="2217">
        <f t="shared" si="101"/>
        <v>10.986291432956932</v>
      </c>
      <c r="AB178" s="2212">
        <v>157</v>
      </c>
      <c r="AC178" s="2219"/>
      <c r="AD178" s="2213"/>
      <c r="AE178" s="2219"/>
      <c r="AF178" s="2213"/>
      <c r="AG178" s="2213"/>
      <c r="AH178" s="2213"/>
      <c r="AI178" s="2213"/>
      <c r="AJ178" s="2213"/>
      <c r="AK178" s="2217">
        <f t="shared" si="110"/>
        <v>-1.632063538997901</v>
      </c>
      <c r="AL178" s="2217">
        <f t="shared" si="92"/>
        <v>8552.7493261664913</v>
      </c>
      <c r="AM178" s="2217">
        <f t="shared" si="102"/>
        <v>10.986291432956932</v>
      </c>
      <c r="AN178" s="2212">
        <v>157</v>
      </c>
      <c r="AO178" s="2219"/>
      <c r="AP178" s="2213"/>
      <c r="AQ178" s="2219"/>
      <c r="AR178" s="2213"/>
      <c r="AS178" s="2213"/>
      <c r="AT178" s="2213"/>
      <c r="AU178" s="2213"/>
      <c r="AV178" s="2213"/>
      <c r="AW178" s="2217">
        <f t="shared" si="111"/>
        <v>-3.4883299999356314</v>
      </c>
      <c r="AX178" s="2217">
        <f t="shared" si="112"/>
        <v>6709.5687000018843</v>
      </c>
      <c r="AY178" s="2217">
        <f t="shared" si="93"/>
        <v>7.3695000000607251</v>
      </c>
      <c r="AZ178" s="2212">
        <v>157</v>
      </c>
      <c r="BA178" s="2208"/>
      <c r="BB178" s="263"/>
      <c r="BC178" s="2208"/>
      <c r="BD178" s="263"/>
      <c r="BE178" s="263"/>
      <c r="BF178" s="263"/>
      <c r="BG178" s="263"/>
      <c r="BH178" s="2208"/>
      <c r="BI178" s="2217">
        <f t="shared" si="113"/>
        <v>-1.203784999916806</v>
      </c>
      <c r="BJ178" s="2217">
        <f t="shared" si="103"/>
        <v>6709.5687000018843</v>
      </c>
      <c r="BK178" s="2217">
        <f t="shared" si="94"/>
        <v>7.3695000000607251</v>
      </c>
      <c r="BL178" s="2212">
        <v>157</v>
      </c>
      <c r="BM178" s="2208"/>
      <c r="BN178" s="263"/>
      <c r="BO178" s="2208"/>
      <c r="BP178" s="263"/>
      <c r="BQ178" s="263"/>
      <c r="BR178" s="263"/>
      <c r="BS178" s="263"/>
      <c r="BT178" s="2208"/>
      <c r="BU178" s="2217">
        <f t="shared" si="114"/>
        <v>-1.632063538997901</v>
      </c>
      <c r="BV178" s="2217">
        <f t="shared" si="95"/>
        <v>8552.7493261664913</v>
      </c>
      <c r="BW178" s="2217">
        <f t="shared" si="104"/>
        <v>10.986291432956932</v>
      </c>
      <c r="BX178" s="2212">
        <v>157</v>
      </c>
      <c r="BY178" s="2219"/>
      <c r="BZ178" s="2213"/>
      <c r="CA178" s="2219"/>
      <c r="CB178" s="2213"/>
      <c r="CC178" s="2213"/>
      <c r="CD178" s="2213"/>
      <c r="CE178" s="2213"/>
      <c r="CF178" s="2208"/>
      <c r="CG178" s="2217">
        <f t="shared" si="115"/>
        <v>-0.3137085670430686</v>
      </c>
      <c r="CH178" s="2217">
        <f t="shared" si="96"/>
        <v>8552.7493261664913</v>
      </c>
      <c r="CI178" s="2217">
        <f t="shared" si="105"/>
        <v>10.986291432956932</v>
      </c>
      <c r="CJ178" s="2212">
        <v>157</v>
      </c>
      <c r="CK178" s="2219"/>
      <c r="CL178" s="2213"/>
      <c r="CM178" s="2219"/>
      <c r="CN178" s="2213"/>
      <c r="CO178" s="2213"/>
      <c r="CP178" s="2213"/>
      <c r="CQ178" s="2213"/>
      <c r="CR178" s="2208"/>
      <c r="CS178" s="2217">
        <f t="shared" si="116"/>
        <v>-1.3511749999180207</v>
      </c>
      <c r="CT178" s="2217">
        <f t="shared" si="106"/>
        <v>6709.5687000018843</v>
      </c>
      <c r="CU178" s="2217">
        <f t="shared" si="97"/>
        <v>7.3695000000607251</v>
      </c>
      <c r="CV178" s="2212">
        <v>157</v>
      </c>
      <c r="CW178" s="2208"/>
      <c r="CX178" s="263"/>
      <c r="CY178" s="2208"/>
      <c r="CZ178" s="263"/>
      <c r="DA178" s="263"/>
      <c r="DB178" s="263"/>
      <c r="DC178" s="263"/>
      <c r="DD178" s="2208"/>
    </row>
    <row r="179" spans="1:108">
      <c r="A179" s="2217">
        <f t="shared" si="107"/>
        <v>1.5624737306174197</v>
      </c>
      <c r="B179" s="2217">
        <f t="shared" si="98"/>
        <v>8541.7630347335344</v>
      </c>
      <c r="C179" s="2217">
        <f t="shared" si="99"/>
        <v>11.184759765754279</v>
      </c>
      <c r="D179" s="2212">
        <v>156</v>
      </c>
      <c r="E179" s="2219"/>
      <c r="F179" s="2213"/>
      <c r="G179" s="2219"/>
      <c r="H179" s="2213"/>
      <c r="I179" s="2213"/>
      <c r="J179" s="2213"/>
      <c r="K179" s="2213"/>
      <c r="L179" s="2213"/>
      <c r="M179" s="2217">
        <f t="shared" si="108"/>
        <v>2.3454069142202201</v>
      </c>
      <c r="N179" s="2217">
        <f t="shared" si="90"/>
        <v>8541.7630347335344</v>
      </c>
      <c r="O179" s="2217">
        <f t="shared" si="100"/>
        <v>11.184759765754279</v>
      </c>
      <c r="P179" s="2212">
        <v>156</v>
      </c>
      <c r="Q179" s="2219"/>
      <c r="R179" s="2213"/>
      <c r="S179" s="2219"/>
      <c r="T179" s="2213"/>
      <c r="U179" s="2213"/>
      <c r="V179" s="2213"/>
      <c r="W179" s="2213"/>
      <c r="X179" s="2213"/>
      <c r="Y179" s="2217">
        <f t="shared" si="109"/>
        <v>3.3520352931381048</v>
      </c>
      <c r="Z179" s="2217">
        <f t="shared" si="91"/>
        <v>8541.7630347335344</v>
      </c>
      <c r="AA179" s="2217">
        <f t="shared" si="101"/>
        <v>11.184759765754279</v>
      </c>
      <c r="AB179" s="2212">
        <v>156</v>
      </c>
      <c r="AC179" s="2219"/>
      <c r="AD179" s="2213"/>
      <c r="AE179" s="2219"/>
      <c r="AF179" s="2213"/>
      <c r="AG179" s="2213"/>
      <c r="AH179" s="2213"/>
      <c r="AI179" s="2213"/>
      <c r="AJ179" s="2213"/>
      <c r="AK179" s="2217">
        <f t="shared" si="110"/>
        <v>-1.4574114061362362</v>
      </c>
      <c r="AL179" s="2217">
        <f t="shared" si="92"/>
        <v>8541.7630347335344</v>
      </c>
      <c r="AM179" s="2217">
        <f t="shared" si="102"/>
        <v>11.184759765754279</v>
      </c>
      <c r="AN179" s="2212">
        <v>156</v>
      </c>
      <c r="AO179" s="2219"/>
      <c r="AP179" s="2213"/>
      <c r="AQ179" s="2219"/>
      <c r="AR179" s="2213"/>
      <c r="AS179" s="2213"/>
      <c r="AT179" s="2213"/>
      <c r="AU179" s="2213"/>
      <c r="AV179" s="2213"/>
      <c r="AW179" s="2217">
        <f t="shared" si="111"/>
        <v>-3.5283979999318404</v>
      </c>
      <c r="AX179" s="2217">
        <f t="shared" si="112"/>
        <v>6702.1992000018236</v>
      </c>
      <c r="AY179" s="2217">
        <f t="shared" si="93"/>
        <v>7.331700000064302</v>
      </c>
      <c r="AZ179" s="2212">
        <v>156</v>
      </c>
      <c r="BA179" s="2208"/>
      <c r="BB179" s="263"/>
      <c r="BC179" s="2208"/>
      <c r="BD179" s="263"/>
      <c r="BE179" s="263"/>
      <c r="BF179" s="263"/>
      <c r="BG179" s="263"/>
      <c r="BH179" s="2208"/>
      <c r="BI179" s="2217">
        <f t="shared" si="113"/>
        <v>-1.2555709999119067</v>
      </c>
      <c r="BJ179" s="2217">
        <f t="shared" si="103"/>
        <v>6702.1992000018236</v>
      </c>
      <c r="BK179" s="2217">
        <f t="shared" si="94"/>
        <v>7.331700000064302</v>
      </c>
      <c r="BL179" s="2212">
        <v>156</v>
      </c>
      <c r="BM179" s="2208"/>
      <c r="BN179" s="263"/>
      <c r="BO179" s="2208"/>
      <c r="BP179" s="263"/>
      <c r="BQ179" s="263"/>
      <c r="BR179" s="263"/>
      <c r="BS179" s="263"/>
      <c r="BT179" s="2208"/>
      <c r="BU179" s="2217">
        <f t="shared" si="114"/>
        <v>-1.4574114061362362</v>
      </c>
      <c r="BV179" s="2217">
        <f t="shared" si="95"/>
        <v>8541.7630347335344</v>
      </c>
      <c r="BW179" s="2217">
        <f t="shared" si="104"/>
        <v>11.184759765754279</v>
      </c>
      <c r="BX179" s="2212">
        <v>156</v>
      </c>
      <c r="BY179" s="2219"/>
      <c r="BZ179" s="2213"/>
      <c r="CA179" s="2219"/>
      <c r="CB179" s="2213"/>
      <c r="CC179" s="2213"/>
      <c r="CD179" s="2213"/>
      <c r="CE179" s="2213"/>
      <c r="CF179" s="2208"/>
      <c r="CG179" s="2217">
        <f t="shared" si="115"/>
        <v>-0.1152402342457215</v>
      </c>
      <c r="CH179" s="2217">
        <f t="shared" si="96"/>
        <v>8541.7630347335344</v>
      </c>
      <c r="CI179" s="2217">
        <f t="shared" si="105"/>
        <v>11.184759765754279</v>
      </c>
      <c r="CJ179" s="2212">
        <v>156</v>
      </c>
      <c r="CK179" s="2219"/>
      <c r="CL179" s="2213"/>
      <c r="CM179" s="2219"/>
      <c r="CN179" s="2213"/>
      <c r="CO179" s="2213"/>
      <c r="CP179" s="2213"/>
      <c r="CQ179" s="2213"/>
      <c r="CR179" s="2208"/>
      <c r="CS179" s="2217">
        <f t="shared" si="116"/>
        <v>-1.4022049999131916</v>
      </c>
      <c r="CT179" s="2217">
        <f t="shared" si="106"/>
        <v>6702.1992000018236</v>
      </c>
      <c r="CU179" s="2217">
        <f t="shared" si="97"/>
        <v>7.331700000064302</v>
      </c>
      <c r="CV179" s="2212">
        <v>156</v>
      </c>
      <c r="CW179" s="2208"/>
      <c r="CX179" s="263"/>
      <c r="CY179" s="2208"/>
      <c r="CZ179" s="263"/>
      <c r="DA179" s="263"/>
      <c r="DB179" s="263"/>
      <c r="DC179" s="263"/>
      <c r="DD179" s="2208"/>
    </row>
    <row r="180" spans="1:108">
      <c r="A180" s="2217">
        <f t="shared" si="107"/>
        <v>1.7920252174300888</v>
      </c>
      <c r="B180" s="2217">
        <f t="shared" si="98"/>
        <v>8530.5782749677801</v>
      </c>
      <c r="C180" s="2217">
        <f t="shared" si="99"/>
        <v>11.384369754287036</v>
      </c>
      <c r="D180" s="2212">
        <v>155</v>
      </c>
      <c r="E180" s="2219"/>
      <c r="F180" s="2213"/>
      <c r="G180" s="2219"/>
      <c r="H180" s="2213"/>
      <c r="I180" s="2213"/>
      <c r="J180" s="2213"/>
      <c r="K180" s="2213"/>
      <c r="L180" s="2213"/>
      <c r="M180" s="2217">
        <f t="shared" si="108"/>
        <v>2.588931100230182</v>
      </c>
      <c r="N180" s="2217">
        <f t="shared" si="90"/>
        <v>8530.5782749677801</v>
      </c>
      <c r="O180" s="2217">
        <f t="shared" si="100"/>
        <v>11.384369754287036</v>
      </c>
      <c r="P180" s="2212">
        <v>155</v>
      </c>
      <c r="Q180" s="2219"/>
      <c r="R180" s="2213"/>
      <c r="S180" s="2219"/>
      <c r="T180" s="2213"/>
      <c r="U180" s="2213"/>
      <c r="V180" s="2213"/>
      <c r="W180" s="2213"/>
      <c r="X180" s="2213"/>
      <c r="Y180" s="2217">
        <f t="shared" si="109"/>
        <v>3.6135243781160167</v>
      </c>
      <c r="Z180" s="2217">
        <f t="shared" si="91"/>
        <v>8530.5782749677801</v>
      </c>
      <c r="AA180" s="2217">
        <f t="shared" si="101"/>
        <v>11.384369754287036</v>
      </c>
      <c r="AB180" s="2212">
        <v>155</v>
      </c>
      <c r="AC180" s="2219"/>
      <c r="AD180" s="2213"/>
      <c r="AE180" s="2219"/>
      <c r="AF180" s="2213"/>
      <c r="AG180" s="2213"/>
      <c r="AH180" s="2213"/>
      <c r="AI180" s="2213"/>
      <c r="AJ180" s="2213"/>
      <c r="AK180" s="2217">
        <f t="shared" si="110"/>
        <v>-1.2817546162274098</v>
      </c>
      <c r="AL180" s="2217">
        <f t="shared" si="92"/>
        <v>8530.5782749677801</v>
      </c>
      <c r="AM180" s="2217">
        <f t="shared" si="102"/>
        <v>11.384369754287036</v>
      </c>
      <c r="AN180" s="2212">
        <v>155</v>
      </c>
      <c r="AO180" s="2219"/>
      <c r="AP180" s="2213"/>
      <c r="AQ180" s="2219"/>
      <c r="AR180" s="2213"/>
      <c r="AS180" s="2213"/>
      <c r="AT180" s="2213"/>
      <c r="AU180" s="2213"/>
      <c r="AV180" s="2213"/>
      <c r="AW180" s="2217">
        <f t="shared" si="111"/>
        <v>-3.5646499999347911</v>
      </c>
      <c r="AX180" s="2217">
        <f t="shared" si="112"/>
        <v>6694.8675000017593</v>
      </c>
      <c r="AY180" s="2217">
        <f t="shared" si="93"/>
        <v>7.2975000000615182</v>
      </c>
      <c r="AZ180" s="2212">
        <v>155</v>
      </c>
      <c r="BA180" s="2208"/>
      <c r="BB180" s="263"/>
      <c r="BC180" s="2208"/>
      <c r="BD180" s="263"/>
      <c r="BE180" s="263"/>
      <c r="BF180" s="263"/>
      <c r="BG180" s="263"/>
      <c r="BH180" s="2208"/>
      <c r="BI180" s="2217">
        <f t="shared" si="113"/>
        <v>-1.3024249999157202</v>
      </c>
      <c r="BJ180" s="2217">
        <f t="shared" si="103"/>
        <v>6694.8675000017593</v>
      </c>
      <c r="BK180" s="2217">
        <f t="shared" si="94"/>
        <v>7.2975000000615182</v>
      </c>
      <c r="BL180" s="2212">
        <v>155</v>
      </c>
      <c r="BM180" s="2208"/>
      <c r="BN180" s="263"/>
      <c r="BO180" s="2208"/>
      <c r="BP180" s="263"/>
      <c r="BQ180" s="263"/>
      <c r="BR180" s="263"/>
      <c r="BS180" s="263"/>
      <c r="BT180" s="2208"/>
      <c r="BU180" s="2217">
        <f t="shared" si="114"/>
        <v>-1.2817546162274098</v>
      </c>
      <c r="BV180" s="2217">
        <f t="shared" si="95"/>
        <v>8530.5782749677801</v>
      </c>
      <c r="BW180" s="2217">
        <f t="shared" si="104"/>
        <v>11.384369754287036</v>
      </c>
      <c r="BX180" s="2212">
        <v>155</v>
      </c>
      <c r="BY180" s="2219"/>
      <c r="BZ180" s="2213"/>
      <c r="CA180" s="2219"/>
      <c r="CB180" s="2213"/>
      <c r="CC180" s="2213"/>
      <c r="CD180" s="2213"/>
      <c r="CE180" s="2213"/>
      <c r="CF180" s="2208"/>
      <c r="CG180" s="2217">
        <f t="shared" si="115"/>
        <v>8.4369754287035192E-2</v>
      </c>
      <c r="CH180" s="2217">
        <f t="shared" si="96"/>
        <v>8530.5782749677801</v>
      </c>
      <c r="CI180" s="2217">
        <f t="shared" si="105"/>
        <v>11.384369754287036</v>
      </c>
      <c r="CJ180" s="2212">
        <v>155</v>
      </c>
      <c r="CK180" s="2219"/>
      <c r="CL180" s="2213"/>
      <c r="CM180" s="2219"/>
      <c r="CN180" s="2213"/>
      <c r="CO180" s="2213"/>
      <c r="CP180" s="2213"/>
      <c r="CQ180" s="2213"/>
      <c r="CR180" s="2208"/>
      <c r="CS180" s="2217">
        <f t="shared" si="116"/>
        <v>-1.4483749999169504</v>
      </c>
      <c r="CT180" s="2217">
        <f t="shared" si="106"/>
        <v>6694.8675000017593</v>
      </c>
      <c r="CU180" s="2217">
        <f t="shared" si="97"/>
        <v>7.2975000000615182</v>
      </c>
      <c r="CV180" s="2212">
        <v>155</v>
      </c>
      <c r="CW180" s="2208"/>
      <c r="CX180" s="263"/>
      <c r="CY180" s="2208"/>
      <c r="CZ180" s="263"/>
      <c r="DA180" s="263"/>
      <c r="DB180" s="263"/>
      <c r="DC180" s="263"/>
      <c r="DD180" s="2208"/>
    </row>
    <row r="181" spans="1:108">
      <c r="A181" s="2217">
        <f t="shared" si="107"/>
        <v>2.0228896083384811</v>
      </c>
      <c r="B181" s="2217">
        <f t="shared" si="98"/>
        <v>8519.1939052134931</v>
      </c>
      <c r="C181" s="2217">
        <f t="shared" si="99"/>
        <v>11.585121398555202</v>
      </c>
      <c r="D181" s="2212">
        <v>154</v>
      </c>
      <c r="E181" s="2219"/>
      <c r="F181" s="2213"/>
      <c r="G181" s="2219"/>
      <c r="H181" s="2213"/>
      <c r="I181" s="2213"/>
      <c r="J181" s="2213"/>
      <c r="K181" s="2213"/>
      <c r="L181" s="2213"/>
      <c r="M181" s="2217">
        <f t="shared" si="108"/>
        <v>2.8338481062373457</v>
      </c>
      <c r="N181" s="2217">
        <f t="shared" si="90"/>
        <v>8519.1939052134931</v>
      </c>
      <c r="O181" s="2217">
        <f t="shared" si="100"/>
        <v>11.585121398555202</v>
      </c>
      <c r="P181" s="2212">
        <v>154</v>
      </c>
      <c r="Q181" s="2219"/>
      <c r="R181" s="2213"/>
      <c r="S181" s="2219"/>
      <c r="T181" s="2213"/>
      <c r="U181" s="2213"/>
      <c r="V181" s="2213"/>
      <c r="W181" s="2213"/>
      <c r="X181" s="2213"/>
      <c r="Y181" s="2217">
        <f t="shared" si="109"/>
        <v>3.8765090321073146</v>
      </c>
      <c r="Z181" s="2217">
        <f t="shared" si="91"/>
        <v>8519.1939052134931</v>
      </c>
      <c r="AA181" s="2217">
        <f t="shared" si="101"/>
        <v>11.585121398555202</v>
      </c>
      <c r="AB181" s="2212">
        <v>154</v>
      </c>
      <c r="AC181" s="2219"/>
      <c r="AD181" s="2213"/>
      <c r="AE181" s="2219"/>
      <c r="AF181" s="2213"/>
      <c r="AG181" s="2213"/>
      <c r="AH181" s="2213"/>
      <c r="AI181" s="2213"/>
      <c r="AJ181" s="2213"/>
      <c r="AK181" s="2217">
        <f t="shared" si="110"/>
        <v>-1.1050931692714236</v>
      </c>
      <c r="AL181" s="2217">
        <f t="shared" si="92"/>
        <v>8519.1939052134931</v>
      </c>
      <c r="AM181" s="2217">
        <f t="shared" si="102"/>
        <v>11.585121398555202</v>
      </c>
      <c r="AN181" s="2212">
        <v>154</v>
      </c>
      <c r="AO181" s="2219"/>
      <c r="AP181" s="2213"/>
      <c r="AQ181" s="2219"/>
      <c r="AR181" s="2213"/>
      <c r="AS181" s="2213"/>
      <c r="AT181" s="2213"/>
      <c r="AU181" s="2213"/>
      <c r="AV181" s="2213"/>
      <c r="AW181" s="2217">
        <f t="shared" si="111"/>
        <v>-3.5970859999348432</v>
      </c>
      <c r="AX181" s="2217">
        <f t="shared" si="112"/>
        <v>6687.5700000016977</v>
      </c>
      <c r="AY181" s="2217">
        <f t="shared" si="93"/>
        <v>7.2669000000614687</v>
      </c>
      <c r="AZ181" s="2212">
        <v>154</v>
      </c>
      <c r="BA181" s="2208"/>
      <c r="BB181" s="263"/>
      <c r="BC181" s="2208"/>
      <c r="BD181" s="263"/>
      <c r="BE181" s="263"/>
      <c r="BF181" s="263"/>
      <c r="BG181" s="263"/>
      <c r="BH181" s="2208"/>
      <c r="BI181" s="2217">
        <f t="shared" si="113"/>
        <v>-1.3443469999157873</v>
      </c>
      <c r="BJ181" s="2217">
        <f t="shared" si="103"/>
        <v>6687.5700000016977</v>
      </c>
      <c r="BK181" s="2217">
        <f t="shared" si="94"/>
        <v>7.2669000000614687</v>
      </c>
      <c r="BL181" s="2212">
        <v>154</v>
      </c>
      <c r="BM181" s="2208"/>
      <c r="BN181" s="263"/>
      <c r="BO181" s="2208"/>
      <c r="BP181" s="263"/>
      <c r="BQ181" s="263"/>
      <c r="BR181" s="263"/>
      <c r="BS181" s="263"/>
      <c r="BT181" s="2208"/>
      <c r="BU181" s="2217">
        <f t="shared" si="114"/>
        <v>-1.1050931692714236</v>
      </c>
      <c r="BV181" s="2217">
        <f t="shared" si="95"/>
        <v>8519.1939052134931</v>
      </c>
      <c r="BW181" s="2217">
        <f t="shared" si="104"/>
        <v>11.585121398555202</v>
      </c>
      <c r="BX181" s="2212">
        <v>154</v>
      </c>
      <c r="BY181" s="2219"/>
      <c r="BZ181" s="2213"/>
      <c r="CA181" s="2219"/>
      <c r="CB181" s="2213"/>
      <c r="CC181" s="2213"/>
      <c r="CD181" s="2213"/>
      <c r="CE181" s="2213"/>
      <c r="CF181" s="2208"/>
      <c r="CG181" s="2217">
        <f t="shared" si="115"/>
        <v>0.28512139855520147</v>
      </c>
      <c r="CH181" s="2217">
        <f t="shared" si="96"/>
        <v>8519.1939052134931</v>
      </c>
      <c r="CI181" s="2217">
        <f t="shared" si="105"/>
        <v>11.585121398555202</v>
      </c>
      <c r="CJ181" s="2212">
        <v>154</v>
      </c>
      <c r="CK181" s="2219"/>
      <c r="CL181" s="2213"/>
      <c r="CM181" s="2219"/>
      <c r="CN181" s="2213"/>
      <c r="CO181" s="2213"/>
      <c r="CP181" s="2213"/>
      <c r="CQ181" s="2213"/>
      <c r="CR181" s="2208"/>
      <c r="CS181" s="2217">
        <f t="shared" si="116"/>
        <v>-1.4896849999170172</v>
      </c>
      <c r="CT181" s="2217">
        <f t="shared" si="106"/>
        <v>6687.5700000016977</v>
      </c>
      <c r="CU181" s="2217">
        <f t="shared" si="97"/>
        <v>7.2669000000614687</v>
      </c>
      <c r="CV181" s="2212">
        <v>154</v>
      </c>
      <c r="CW181" s="2208"/>
      <c r="CX181" s="263"/>
      <c r="CY181" s="2208"/>
      <c r="CZ181" s="263"/>
      <c r="DA181" s="263"/>
      <c r="DB181" s="263"/>
      <c r="DC181" s="263"/>
      <c r="DD181" s="2208"/>
    </row>
    <row r="182" spans="1:108">
      <c r="A182" s="2217">
        <f t="shared" si="107"/>
        <v>2.2550669033405004</v>
      </c>
      <c r="B182" s="2217">
        <f t="shared" si="98"/>
        <v>8507.6087838149379</v>
      </c>
      <c r="C182" s="2217">
        <f t="shared" si="99"/>
        <v>11.787014698556959</v>
      </c>
      <c r="D182" s="2212">
        <v>153</v>
      </c>
      <c r="E182" s="2219"/>
      <c r="F182" s="2213"/>
      <c r="G182" s="2219"/>
      <c r="H182" s="2213"/>
      <c r="I182" s="2213"/>
      <c r="J182" s="2213"/>
      <c r="K182" s="2213"/>
      <c r="L182" s="2213"/>
      <c r="M182" s="2217">
        <f t="shared" si="108"/>
        <v>3.080157932239489</v>
      </c>
      <c r="N182" s="2217">
        <f t="shared" si="90"/>
        <v>8507.6087838149379</v>
      </c>
      <c r="O182" s="2217">
        <f t="shared" si="100"/>
        <v>11.787014698556959</v>
      </c>
      <c r="P182" s="2212">
        <v>153</v>
      </c>
      <c r="Q182" s="2219"/>
      <c r="R182" s="2213"/>
      <c r="S182" s="2219"/>
      <c r="T182" s="2213"/>
      <c r="U182" s="2213"/>
      <c r="V182" s="2213"/>
      <c r="W182" s="2213"/>
      <c r="X182" s="2213"/>
      <c r="Y182" s="2217">
        <f t="shared" si="109"/>
        <v>4.1409892551096164</v>
      </c>
      <c r="Z182" s="2217">
        <f t="shared" si="91"/>
        <v>8507.6087838149379</v>
      </c>
      <c r="AA182" s="2217">
        <f t="shared" si="101"/>
        <v>11.787014698556959</v>
      </c>
      <c r="AB182" s="2212">
        <v>153</v>
      </c>
      <c r="AC182" s="2219"/>
      <c r="AD182" s="2213"/>
      <c r="AE182" s="2219"/>
      <c r="AF182" s="2213"/>
      <c r="AG182" s="2213"/>
      <c r="AH182" s="2213"/>
      <c r="AI182" s="2213"/>
      <c r="AJ182" s="2213"/>
      <c r="AK182" s="2217">
        <f t="shared" si="110"/>
        <v>-0.92742706526987817</v>
      </c>
      <c r="AL182" s="2217">
        <f t="shared" si="92"/>
        <v>8507.6087838149379</v>
      </c>
      <c r="AM182" s="2217">
        <f t="shared" si="102"/>
        <v>11.787014698556959</v>
      </c>
      <c r="AN182" s="2212">
        <v>153</v>
      </c>
      <c r="AO182" s="2219"/>
      <c r="AP182" s="2213"/>
      <c r="AQ182" s="2219"/>
      <c r="AR182" s="2213"/>
      <c r="AS182" s="2213"/>
      <c r="AT182" s="2213"/>
      <c r="AU182" s="2213"/>
      <c r="AV182" s="2213"/>
      <c r="AW182" s="2217">
        <f t="shared" si="111"/>
        <v>-3.6257059999368177</v>
      </c>
      <c r="AX182" s="2217">
        <f t="shared" si="112"/>
        <v>6680.3031000016363</v>
      </c>
      <c r="AY182" s="2217">
        <f t="shared" si="93"/>
        <v>7.2399000000596061</v>
      </c>
      <c r="AZ182" s="2212">
        <v>153</v>
      </c>
      <c r="BA182" s="2208"/>
      <c r="BB182" s="263"/>
      <c r="BC182" s="2208"/>
      <c r="BD182" s="263"/>
      <c r="BE182" s="263"/>
      <c r="BF182" s="263"/>
      <c r="BG182" s="263"/>
      <c r="BH182" s="2208"/>
      <c r="BI182" s="2217">
        <f t="shared" si="113"/>
        <v>-1.3813369999183394</v>
      </c>
      <c r="BJ182" s="2217">
        <f t="shared" si="103"/>
        <v>6680.3031000016363</v>
      </c>
      <c r="BK182" s="2217">
        <f t="shared" si="94"/>
        <v>7.2399000000596061</v>
      </c>
      <c r="BL182" s="2212">
        <v>153</v>
      </c>
      <c r="BM182" s="2208"/>
      <c r="BN182" s="263"/>
      <c r="BO182" s="2208"/>
      <c r="BP182" s="263"/>
      <c r="BQ182" s="263"/>
      <c r="BR182" s="263"/>
      <c r="BS182" s="263"/>
      <c r="BT182" s="2208"/>
      <c r="BU182" s="2217">
        <f t="shared" si="114"/>
        <v>-0.92742706526987817</v>
      </c>
      <c r="BV182" s="2217">
        <f t="shared" si="95"/>
        <v>8507.6087838149379</v>
      </c>
      <c r="BW182" s="2217">
        <f t="shared" si="104"/>
        <v>11.787014698556959</v>
      </c>
      <c r="BX182" s="2212">
        <v>153</v>
      </c>
      <c r="BY182" s="2219"/>
      <c r="BZ182" s="2213"/>
      <c r="CA182" s="2219"/>
      <c r="CB182" s="2213"/>
      <c r="CC182" s="2213"/>
      <c r="CD182" s="2213"/>
      <c r="CE182" s="2213"/>
      <c r="CF182" s="2208"/>
      <c r="CG182" s="2217">
        <f t="shared" si="115"/>
        <v>0.48701469855695834</v>
      </c>
      <c r="CH182" s="2217">
        <f t="shared" si="96"/>
        <v>8507.6087838149379</v>
      </c>
      <c r="CI182" s="2217">
        <f t="shared" si="105"/>
        <v>11.787014698556959</v>
      </c>
      <c r="CJ182" s="2212">
        <v>153</v>
      </c>
      <c r="CK182" s="2219"/>
      <c r="CL182" s="2213"/>
      <c r="CM182" s="2219"/>
      <c r="CN182" s="2213"/>
      <c r="CO182" s="2213"/>
      <c r="CP182" s="2213"/>
      <c r="CQ182" s="2213"/>
      <c r="CR182" s="2208"/>
      <c r="CS182" s="2217">
        <f t="shared" si="116"/>
        <v>-1.5261349999195311</v>
      </c>
      <c r="CT182" s="2217">
        <f t="shared" si="106"/>
        <v>6680.3031000016363</v>
      </c>
      <c r="CU182" s="2217">
        <f t="shared" si="97"/>
        <v>7.2399000000596061</v>
      </c>
      <c r="CV182" s="2212">
        <v>153</v>
      </c>
      <c r="CW182" s="2208"/>
      <c r="CX182" s="263"/>
      <c r="CY182" s="2208"/>
      <c r="CZ182" s="263"/>
      <c r="DA182" s="263"/>
      <c r="DB182" s="263"/>
      <c r="DC182" s="263"/>
      <c r="DD182" s="2208"/>
    </row>
    <row r="183" spans="1:108">
      <c r="A183" s="2217">
        <f t="shared" si="107"/>
        <v>2.4885571024382429</v>
      </c>
      <c r="B183" s="2217">
        <f t="shared" si="98"/>
        <v>8495.8217691163809</v>
      </c>
      <c r="C183" s="2217">
        <f t="shared" si="99"/>
        <v>11.990049654294126</v>
      </c>
      <c r="D183" s="2212">
        <v>152</v>
      </c>
      <c r="E183" s="2219"/>
      <c r="F183" s="2213"/>
      <c r="G183" s="2219"/>
      <c r="H183" s="2213"/>
      <c r="I183" s="2213"/>
      <c r="J183" s="2213"/>
      <c r="K183" s="2213"/>
      <c r="L183" s="2213"/>
      <c r="M183" s="2217">
        <f t="shared" si="108"/>
        <v>3.3278605782388322</v>
      </c>
      <c r="N183" s="2217">
        <f t="shared" si="90"/>
        <v>8495.8217691163809</v>
      </c>
      <c r="O183" s="2217">
        <f t="shared" si="100"/>
        <v>11.990049654294126</v>
      </c>
      <c r="P183" s="2212">
        <v>152</v>
      </c>
      <c r="Q183" s="2219"/>
      <c r="R183" s="2213"/>
      <c r="S183" s="2219"/>
      <c r="T183" s="2213"/>
      <c r="U183" s="2213"/>
      <c r="V183" s="2213"/>
      <c r="W183" s="2213"/>
      <c r="X183" s="2213"/>
      <c r="Y183" s="2217">
        <f t="shared" si="109"/>
        <v>4.4069650471253041</v>
      </c>
      <c r="Z183" s="2217">
        <f t="shared" si="91"/>
        <v>8495.8217691163809</v>
      </c>
      <c r="AA183" s="2217">
        <f t="shared" si="101"/>
        <v>11.990049654294126</v>
      </c>
      <c r="AB183" s="2212">
        <v>152</v>
      </c>
      <c r="AC183" s="2219"/>
      <c r="AD183" s="2213"/>
      <c r="AE183" s="2219"/>
      <c r="AF183" s="2213"/>
      <c r="AG183" s="2213"/>
      <c r="AH183" s="2213"/>
      <c r="AI183" s="2213"/>
      <c r="AJ183" s="2213"/>
      <c r="AK183" s="2217">
        <f t="shared" si="110"/>
        <v>-0.74875630422117112</v>
      </c>
      <c r="AL183" s="2217">
        <f t="shared" si="92"/>
        <v>8495.8217691163809</v>
      </c>
      <c r="AM183" s="2217">
        <f t="shared" si="102"/>
        <v>11.990049654294126</v>
      </c>
      <c r="AN183" s="2212">
        <v>152</v>
      </c>
      <c r="AO183" s="2219"/>
      <c r="AP183" s="2213"/>
      <c r="AQ183" s="2219"/>
      <c r="AR183" s="2213"/>
      <c r="AS183" s="2213"/>
      <c r="AT183" s="2213"/>
      <c r="AU183" s="2213"/>
      <c r="AV183" s="2213"/>
      <c r="AW183" s="2217">
        <f t="shared" si="111"/>
        <v>-3.65050999993493</v>
      </c>
      <c r="AX183" s="2217">
        <f t="shared" si="112"/>
        <v>6673.0632000015767</v>
      </c>
      <c r="AY183" s="2217">
        <f t="shared" si="93"/>
        <v>7.2165000000613873</v>
      </c>
      <c r="AZ183" s="2212">
        <v>152</v>
      </c>
      <c r="BA183" s="2208"/>
      <c r="BB183" s="263"/>
      <c r="BC183" s="2208"/>
      <c r="BD183" s="263"/>
      <c r="BE183" s="263"/>
      <c r="BF183" s="263"/>
      <c r="BG183" s="263"/>
      <c r="BH183" s="2208"/>
      <c r="BI183" s="2217">
        <f t="shared" si="113"/>
        <v>-1.4133949999158997</v>
      </c>
      <c r="BJ183" s="2217">
        <f t="shared" si="103"/>
        <v>6673.0632000015767</v>
      </c>
      <c r="BK183" s="2217">
        <f t="shared" si="94"/>
        <v>7.2165000000613873</v>
      </c>
      <c r="BL183" s="2212">
        <v>152</v>
      </c>
      <c r="BM183" s="2208"/>
      <c r="BN183" s="263"/>
      <c r="BO183" s="2208"/>
      <c r="BP183" s="263"/>
      <c r="BQ183" s="263"/>
      <c r="BR183" s="263"/>
      <c r="BS183" s="263"/>
      <c r="BT183" s="2208"/>
      <c r="BU183" s="2217">
        <f t="shared" si="114"/>
        <v>-0.74875630422117112</v>
      </c>
      <c r="BV183" s="2217">
        <f t="shared" si="95"/>
        <v>8495.8217691163809</v>
      </c>
      <c r="BW183" s="2217">
        <f t="shared" si="104"/>
        <v>11.990049654294126</v>
      </c>
      <c r="BX183" s="2212">
        <v>152</v>
      </c>
      <c r="BY183" s="2219"/>
      <c r="BZ183" s="2213"/>
      <c r="CA183" s="2219"/>
      <c r="CB183" s="2213"/>
      <c r="CC183" s="2213"/>
      <c r="CD183" s="2213"/>
      <c r="CE183" s="2213"/>
      <c r="CF183" s="2208"/>
      <c r="CG183" s="2217">
        <f t="shared" si="115"/>
        <v>0.69004965429412479</v>
      </c>
      <c r="CH183" s="2217">
        <f t="shared" si="96"/>
        <v>8495.8217691163809</v>
      </c>
      <c r="CI183" s="2217">
        <f t="shared" si="105"/>
        <v>11.990049654294126</v>
      </c>
      <c r="CJ183" s="2212">
        <v>152</v>
      </c>
      <c r="CK183" s="2219"/>
      <c r="CL183" s="2213"/>
      <c r="CM183" s="2219"/>
      <c r="CN183" s="2213"/>
      <c r="CO183" s="2213"/>
      <c r="CP183" s="2213"/>
      <c r="CQ183" s="2213"/>
      <c r="CR183" s="2208"/>
      <c r="CS183" s="2217">
        <f t="shared" si="116"/>
        <v>-1.5577249999171272</v>
      </c>
      <c r="CT183" s="2217">
        <f t="shared" si="106"/>
        <v>6673.0632000015767</v>
      </c>
      <c r="CU183" s="2217">
        <f t="shared" si="97"/>
        <v>7.2165000000613873</v>
      </c>
      <c r="CV183" s="2212">
        <v>152</v>
      </c>
      <c r="CW183" s="2208"/>
      <c r="CX183" s="263"/>
      <c r="CY183" s="2208"/>
      <c r="CZ183" s="263"/>
      <c r="DA183" s="263"/>
      <c r="DB183" s="263"/>
      <c r="DC183" s="263"/>
      <c r="DD183" s="2208"/>
    </row>
    <row r="184" spans="1:108">
      <c r="A184" s="2217">
        <f t="shared" si="107"/>
        <v>2.723360205631705</v>
      </c>
      <c r="B184" s="2217">
        <f t="shared" si="98"/>
        <v>8483.8317194620868</v>
      </c>
      <c r="C184" s="2217">
        <f t="shared" si="99"/>
        <v>12.194226265766702</v>
      </c>
      <c r="D184" s="2212">
        <v>151</v>
      </c>
      <c r="E184" s="2219"/>
      <c r="F184" s="2213"/>
      <c r="G184" s="2219"/>
      <c r="H184" s="2213"/>
      <c r="I184" s="2213"/>
      <c r="J184" s="2213"/>
      <c r="K184" s="2213"/>
      <c r="L184" s="2213"/>
      <c r="M184" s="2217">
        <f t="shared" si="108"/>
        <v>3.5769560442353754</v>
      </c>
      <c r="N184" s="2217">
        <f t="shared" si="90"/>
        <v>8483.8317194620868</v>
      </c>
      <c r="O184" s="2217">
        <f t="shared" si="100"/>
        <v>12.194226265766702</v>
      </c>
      <c r="P184" s="2212">
        <v>151</v>
      </c>
      <c r="Q184" s="2219"/>
      <c r="R184" s="2213"/>
      <c r="S184" s="2219"/>
      <c r="T184" s="2213"/>
      <c r="U184" s="2213"/>
      <c r="V184" s="2213"/>
      <c r="W184" s="2213"/>
      <c r="X184" s="2213"/>
      <c r="Y184" s="2217">
        <f t="shared" si="109"/>
        <v>4.6744364081543797</v>
      </c>
      <c r="Z184" s="2217">
        <f t="shared" si="91"/>
        <v>8483.8317194620868</v>
      </c>
      <c r="AA184" s="2217">
        <f t="shared" si="101"/>
        <v>12.194226265766702</v>
      </c>
      <c r="AB184" s="2212">
        <v>151</v>
      </c>
      <c r="AC184" s="2219"/>
      <c r="AD184" s="2213"/>
      <c r="AE184" s="2219"/>
      <c r="AF184" s="2213"/>
      <c r="AG184" s="2213"/>
      <c r="AH184" s="2213"/>
      <c r="AI184" s="2213"/>
      <c r="AJ184" s="2213"/>
      <c r="AK184" s="2217">
        <f t="shared" si="110"/>
        <v>-0.56908088612530427</v>
      </c>
      <c r="AL184" s="2217">
        <f t="shared" si="92"/>
        <v>8483.8317194620868</v>
      </c>
      <c r="AM184" s="2217">
        <f t="shared" si="102"/>
        <v>12.194226265766702</v>
      </c>
      <c r="AN184" s="2212">
        <v>151</v>
      </c>
      <c r="AO184" s="2219"/>
      <c r="AP184" s="2213"/>
      <c r="AQ184" s="2219"/>
      <c r="AR184" s="2213"/>
      <c r="AS184" s="2213"/>
      <c r="AT184" s="2213"/>
      <c r="AU184" s="2213"/>
      <c r="AV184" s="2213"/>
      <c r="AW184" s="2217">
        <f t="shared" si="111"/>
        <v>-3.6714979999378556</v>
      </c>
      <c r="AX184" s="2217">
        <f t="shared" si="112"/>
        <v>6665.8467000015153</v>
      </c>
      <c r="AY184" s="2217">
        <f t="shared" si="93"/>
        <v>7.1967000000586268</v>
      </c>
      <c r="AZ184" s="2212">
        <v>151</v>
      </c>
      <c r="BA184" s="2208"/>
      <c r="BB184" s="263"/>
      <c r="BC184" s="2208"/>
      <c r="BD184" s="263"/>
      <c r="BE184" s="263"/>
      <c r="BF184" s="263"/>
      <c r="BG184" s="263"/>
      <c r="BH184" s="2208"/>
      <c r="BI184" s="2217">
        <f t="shared" si="113"/>
        <v>-1.4405209999196806</v>
      </c>
      <c r="BJ184" s="2217">
        <f t="shared" si="103"/>
        <v>6665.8467000015153</v>
      </c>
      <c r="BK184" s="2217">
        <f t="shared" si="94"/>
        <v>7.1967000000586268</v>
      </c>
      <c r="BL184" s="2212">
        <v>151</v>
      </c>
      <c r="BM184" s="2208"/>
      <c r="BN184" s="263"/>
      <c r="BO184" s="2208"/>
      <c r="BP184" s="263"/>
      <c r="BQ184" s="263"/>
      <c r="BR184" s="263"/>
      <c r="BS184" s="263"/>
      <c r="BT184" s="2208"/>
      <c r="BU184" s="2217">
        <f t="shared" si="114"/>
        <v>-0.56908088612530427</v>
      </c>
      <c r="BV184" s="2217">
        <f t="shared" si="95"/>
        <v>8483.8317194620868</v>
      </c>
      <c r="BW184" s="2217">
        <f t="shared" si="104"/>
        <v>12.194226265766702</v>
      </c>
      <c r="BX184" s="2212">
        <v>151</v>
      </c>
      <c r="BY184" s="2219"/>
      <c r="BZ184" s="2213"/>
      <c r="CA184" s="2219"/>
      <c r="CB184" s="2213"/>
      <c r="CC184" s="2213"/>
      <c r="CD184" s="2213"/>
      <c r="CE184" s="2213"/>
      <c r="CF184" s="2208"/>
      <c r="CG184" s="2217">
        <f t="shared" si="115"/>
        <v>0.89422626576670083</v>
      </c>
      <c r="CH184" s="2217">
        <f t="shared" si="96"/>
        <v>8483.8317194620868</v>
      </c>
      <c r="CI184" s="2217">
        <f t="shared" si="105"/>
        <v>12.194226265766702</v>
      </c>
      <c r="CJ184" s="2212">
        <v>151</v>
      </c>
      <c r="CK184" s="2219"/>
      <c r="CL184" s="2213"/>
      <c r="CM184" s="2219"/>
      <c r="CN184" s="2213"/>
      <c r="CO184" s="2213"/>
      <c r="CP184" s="2213"/>
      <c r="CQ184" s="2213"/>
      <c r="CR184" s="2208"/>
      <c r="CS184" s="2217">
        <f t="shared" si="116"/>
        <v>-1.5844549999208546</v>
      </c>
      <c r="CT184" s="2217">
        <f t="shared" si="106"/>
        <v>6665.8467000015153</v>
      </c>
      <c r="CU184" s="2217">
        <f t="shared" si="97"/>
        <v>7.1967000000586268</v>
      </c>
      <c r="CV184" s="2212">
        <v>151</v>
      </c>
      <c r="CW184" s="2208"/>
      <c r="CX184" s="263"/>
      <c r="CY184" s="2208"/>
      <c r="CZ184" s="263"/>
      <c r="DA184" s="263"/>
      <c r="DB184" s="263"/>
      <c r="DC184" s="263"/>
      <c r="DD184" s="2208"/>
    </row>
    <row r="185" spans="1:108">
      <c r="A185" s="2217">
        <f t="shared" si="107"/>
        <v>2.9594762129187959</v>
      </c>
      <c r="B185" s="2217">
        <f t="shared" si="98"/>
        <v>8471.6374931963201</v>
      </c>
      <c r="C185" s="2217">
        <f t="shared" si="99"/>
        <v>12.399544532972868</v>
      </c>
      <c r="D185" s="2212">
        <v>150</v>
      </c>
      <c r="E185" s="2219"/>
      <c r="F185" s="2213"/>
      <c r="G185" s="2219"/>
      <c r="H185" s="2213"/>
      <c r="I185" s="2213"/>
      <c r="J185" s="2213"/>
      <c r="K185" s="2213"/>
      <c r="L185" s="2213"/>
      <c r="M185" s="2217">
        <f t="shared" si="108"/>
        <v>3.8274443302268981</v>
      </c>
      <c r="N185" s="2217">
        <f t="shared" si="90"/>
        <v>8471.6374931963201</v>
      </c>
      <c r="O185" s="2217">
        <f t="shared" si="100"/>
        <v>12.399544532972868</v>
      </c>
      <c r="P185" s="2212">
        <v>150</v>
      </c>
      <c r="Q185" s="2219"/>
      <c r="R185" s="2213"/>
      <c r="S185" s="2219"/>
      <c r="T185" s="2213"/>
      <c r="U185" s="2213"/>
      <c r="V185" s="2213"/>
      <c r="W185" s="2213"/>
      <c r="X185" s="2213"/>
      <c r="Y185" s="2217">
        <f t="shared" si="109"/>
        <v>4.9434033381944573</v>
      </c>
      <c r="Z185" s="2217">
        <f t="shared" si="91"/>
        <v>8471.6374931963201</v>
      </c>
      <c r="AA185" s="2217">
        <f t="shared" si="101"/>
        <v>12.399544532972868</v>
      </c>
      <c r="AB185" s="2212">
        <v>150</v>
      </c>
      <c r="AC185" s="2219"/>
      <c r="AD185" s="2213"/>
      <c r="AE185" s="2219"/>
      <c r="AF185" s="2213"/>
      <c r="AG185" s="2213"/>
      <c r="AH185" s="2213"/>
      <c r="AI185" s="2213"/>
      <c r="AJ185" s="2213"/>
      <c r="AK185" s="2217">
        <f t="shared" si="110"/>
        <v>-0.38840081098387813</v>
      </c>
      <c r="AL185" s="2217">
        <f t="shared" si="92"/>
        <v>8471.6374931963201</v>
      </c>
      <c r="AM185" s="2217">
        <f t="shared" si="102"/>
        <v>12.399544532972868</v>
      </c>
      <c r="AN185" s="2212">
        <v>150</v>
      </c>
      <c r="AO185" s="2219"/>
      <c r="AP185" s="2213"/>
      <c r="AQ185" s="2219"/>
      <c r="AR185" s="2213"/>
      <c r="AS185" s="2213"/>
      <c r="AT185" s="2213"/>
      <c r="AU185" s="2213"/>
      <c r="AV185" s="2213"/>
      <c r="AW185" s="2217">
        <f t="shared" si="111"/>
        <v>-3.6886699999359553</v>
      </c>
      <c r="AX185" s="2217">
        <f t="shared" si="112"/>
        <v>6658.6500000014566</v>
      </c>
      <c r="AY185" s="2217">
        <f t="shared" si="93"/>
        <v>7.1805000000604196</v>
      </c>
      <c r="AZ185" s="2212">
        <v>150</v>
      </c>
      <c r="BA185" s="2208"/>
      <c r="BB185" s="263"/>
      <c r="BC185" s="2208"/>
      <c r="BD185" s="263"/>
      <c r="BE185" s="263"/>
      <c r="BF185" s="263"/>
      <c r="BG185" s="263"/>
      <c r="BH185" s="2208"/>
      <c r="BI185" s="2217">
        <f t="shared" si="113"/>
        <v>-1.4627149999172246</v>
      </c>
      <c r="BJ185" s="2217">
        <f t="shared" si="103"/>
        <v>6658.6500000014566</v>
      </c>
      <c r="BK185" s="2217">
        <f t="shared" si="94"/>
        <v>7.1805000000604196</v>
      </c>
      <c r="BL185" s="2212">
        <v>150</v>
      </c>
      <c r="BM185" s="2208"/>
      <c r="BN185" s="263"/>
      <c r="BO185" s="2208"/>
      <c r="BP185" s="263"/>
      <c r="BQ185" s="263"/>
      <c r="BR185" s="263"/>
      <c r="BS185" s="263"/>
      <c r="BT185" s="2208"/>
      <c r="BU185" s="2217">
        <f t="shared" si="114"/>
        <v>-0.38840081098387813</v>
      </c>
      <c r="BV185" s="2217">
        <f t="shared" si="95"/>
        <v>8471.6374931963201</v>
      </c>
      <c r="BW185" s="2217">
        <f t="shared" si="104"/>
        <v>12.399544532972868</v>
      </c>
      <c r="BX185" s="2212">
        <v>150</v>
      </c>
      <c r="BY185" s="2219"/>
      <c r="BZ185" s="2213"/>
      <c r="CA185" s="2219"/>
      <c r="CB185" s="2213"/>
      <c r="CC185" s="2213"/>
      <c r="CD185" s="2213"/>
      <c r="CE185" s="2213"/>
      <c r="CF185" s="2208"/>
      <c r="CG185" s="2217">
        <f t="shared" si="115"/>
        <v>1.0995445329728675</v>
      </c>
      <c r="CH185" s="2217">
        <f t="shared" si="96"/>
        <v>8471.6374931963201</v>
      </c>
      <c r="CI185" s="2217">
        <f t="shared" si="105"/>
        <v>12.399544532972868</v>
      </c>
      <c r="CJ185" s="2212">
        <v>150</v>
      </c>
      <c r="CK185" s="2219"/>
      <c r="CL185" s="2213"/>
      <c r="CM185" s="2219"/>
      <c r="CN185" s="2213"/>
      <c r="CO185" s="2213"/>
      <c r="CP185" s="2213"/>
      <c r="CQ185" s="2213"/>
      <c r="CR185" s="2208"/>
      <c r="CS185" s="2217">
        <f t="shared" si="116"/>
        <v>-1.6063249999184332</v>
      </c>
      <c r="CT185" s="2217">
        <f t="shared" si="106"/>
        <v>6658.6500000014566</v>
      </c>
      <c r="CU185" s="2217">
        <f t="shared" si="97"/>
        <v>7.1805000000604196</v>
      </c>
      <c r="CV185" s="2212">
        <v>150</v>
      </c>
      <c r="CW185" s="2208"/>
      <c r="CX185" s="263"/>
      <c r="CY185" s="2208"/>
      <c r="CZ185" s="263"/>
      <c r="DA185" s="263"/>
      <c r="DB185" s="263"/>
      <c r="DC185" s="263"/>
      <c r="DD185" s="2208"/>
    </row>
    <row r="186" spans="1:108">
      <c r="A186" s="2217">
        <f t="shared" si="107"/>
        <v>3.1969051242995175</v>
      </c>
      <c r="B186" s="2217">
        <f t="shared" si="98"/>
        <v>8459.2379486633472</v>
      </c>
      <c r="C186" s="2217">
        <f t="shared" si="99"/>
        <v>12.606004455912625</v>
      </c>
      <c r="D186" s="2212">
        <v>149</v>
      </c>
      <c r="E186" s="2219"/>
      <c r="F186" s="2213"/>
      <c r="G186" s="2219"/>
      <c r="H186" s="2213"/>
      <c r="I186" s="2213"/>
      <c r="J186" s="2213"/>
      <c r="K186" s="2213"/>
      <c r="L186" s="2213"/>
      <c r="M186" s="2217">
        <f t="shared" si="108"/>
        <v>4.0793254362134022</v>
      </c>
      <c r="N186" s="2217">
        <f t="shared" si="90"/>
        <v>8459.2379486633472</v>
      </c>
      <c r="O186" s="2217">
        <f t="shared" si="100"/>
        <v>12.606004455912625</v>
      </c>
      <c r="P186" s="2212">
        <v>149</v>
      </c>
      <c r="Q186" s="2219"/>
      <c r="R186" s="2213"/>
      <c r="S186" s="2219"/>
      <c r="T186" s="2213"/>
      <c r="U186" s="2213"/>
      <c r="V186" s="2213"/>
      <c r="W186" s="2213"/>
      <c r="X186" s="2213"/>
      <c r="Y186" s="2217">
        <f t="shared" si="109"/>
        <v>5.2138658372455389</v>
      </c>
      <c r="Z186" s="2217">
        <f t="shared" si="91"/>
        <v>8459.2379486633472</v>
      </c>
      <c r="AA186" s="2217">
        <f t="shared" si="101"/>
        <v>12.606004455912625</v>
      </c>
      <c r="AB186" s="2212">
        <v>149</v>
      </c>
      <c r="AC186" s="2219"/>
      <c r="AD186" s="2213"/>
      <c r="AE186" s="2219"/>
      <c r="AF186" s="2213"/>
      <c r="AG186" s="2213"/>
      <c r="AH186" s="2213"/>
      <c r="AI186" s="2213"/>
      <c r="AJ186" s="2213"/>
      <c r="AK186" s="2217">
        <f t="shared" si="110"/>
        <v>-0.20671607879689091</v>
      </c>
      <c r="AL186" s="2217">
        <f t="shared" si="92"/>
        <v>8459.2379486633472</v>
      </c>
      <c r="AM186" s="2217">
        <f t="shared" si="102"/>
        <v>12.606004455912625</v>
      </c>
      <c r="AN186" s="2212">
        <v>149</v>
      </c>
      <c r="AO186" s="2219"/>
      <c r="AP186" s="2213"/>
      <c r="AQ186" s="2219"/>
      <c r="AR186" s="2213"/>
      <c r="AS186" s="2213"/>
      <c r="AT186" s="2213"/>
      <c r="AU186" s="2213"/>
      <c r="AV186" s="2213"/>
      <c r="AW186" s="2217">
        <f t="shared" si="111"/>
        <v>-3.7020259999388694</v>
      </c>
      <c r="AX186" s="2217">
        <f t="shared" si="112"/>
        <v>6651.4695000013962</v>
      </c>
      <c r="AY186" s="2217">
        <f t="shared" si="93"/>
        <v>7.1679000000576707</v>
      </c>
      <c r="AZ186" s="2212">
        <v>149</v>
      </c>
      <c r="BA186" s="2208"/>
      <c r="BB186" s="263"/>
      <c r="BC186" s="2208"/>
      <c r="BD186" s="263"/>
      <c r="BE186" s="263"/>
      <c r="BF186" s="263"/>
      <c r="BG186" s="263"/>
      <c r="BH186" s="2208"/>
      <c r="BI186" s="2217">
        <f t="shared" si="113"/>
        <v>-1.4799769999209911</v>
      </c>
      <c r="BJ186" s="2217">
        <f t="shared" si="103"/>
        <v>6651.4695000013962</v>
      </c>
      <c r="BK186" s="2217">
        <f t="shared" si="94"/>
        <v>7.1679000000576707</v>
      </c>
      <c r="BL186" s="2212">
        <v>149</v>
      </c>
      <c r="BM186" s="2208"/>
      <c r="BN186" s="263"/>
      <c r="BO186" s="2208"/>
      <c r="BP186" s="263"/>
      <c r="BQ186" s="263"/>
      <c r="BR186" s="263"/>
      <c r="BS186" s="263"/>
      <c r="BT186" s="2208"/>
      <c r="BU186" s="2217">
        <f t="shared" si="114"/>
        <v>-0.20671607879689091</v>
      </c>
      <c r="BV186" s="2217">
        <f t="shared" si="95"/>
        <v>8459.2379486633472</v>
      </c>
      <c r="BW186" s="2217">
        <f t="shared" si="104"/>
        <v>12.606004455912625</v>
      </c>
      <c r="BX186" s="2212">
        <v>149</v>
      </c>
      <c r="BY186" s="2219"/>
      <c r="BZ186" s="2213"/>
      <c r="CA186" s="2219"/>
      <c r="CB186" s="2213"/>
      <c r="CC186" s="2213"/>
      <c r="CD186" s="2213"/>
      <c r="CE186" s="2213"/>
      <c r="CF186" s="2208"/>
      <c r="CG186" s="2217">
        <f t="shared" si="115"/>
        <v>1.3060044559126247</v>
      </c>
      <c r="CH186" s="2217">
        <f t="shared" si="96"/>
        <v>8459.2379486633472</v>
      </c>
      <c r="CI186" s="2217">
        <f t="shared" si="105"/>
        <v>12.606004455912625</v>
      </c>
      <c r="CJ186" s="2212">
        <v>149</v>
      </c>
      <c r="CK186" s="2219"/>
      <c r="CL186" s="2213"/>
      <c r="CM186" s="2219"/>
      <c r="CN186" s="2213"/>
      <c r="CO186" s="2213"/>
      <c r="CP186" s="2213"/>
      <c r="CQ186" s="2213"/>
      <c r="CR186" s="2208"/>
      <c r="CS186" s="2217">
        <f t="shared" si="116"/>
        <v>-1.6233349999221449</v>
      </c>
      <c r="CT186" s="2217">
        <f t="shared" si="106"/>
        <v>6651.4695000013962</v>
      </c>
      <c r="CU186" s="2217">
        <f t="shared" si="97"/>
        <v>7.1679000000576707</v>
      </c>
      <c r="CV186" s="2212">
        <v>149</v>
      </c>
      <c r="CW186" s="2208"/>
      <c r="CX186" s="263"/>
      <c r="CY186" s="2208"/>
      <c r="CZ186" s="263"/>
      <c r="DA186" s="263"/>
      <c r="DB186" s="263"/>
      <c r="DC186" s="263"/>
      <c r="DD186" s="2208"/>
    </row>
    <row r="187" spans="1:108">
      <c r="A187" s="2217">
        <f t="shared" si="107"/>
        <v>3.4356469397738678</v>
      </c>
      <c r="B187" s="2217">
        <f t="shared" si="98"/>
        <v>8446.6319442074346</v>
      </c>
      <c r="C187" s="2217">
        <f t="shared" si="99"/>
        <v>12.813606034585973</v>
      </c>
      <c r="D187" s="2212">
        <v>148</v>
      </c>
      <c r="E187" s="2219"/>
      <c r="F187" s="2213"/>
      <c r="G187" s="2219"/>
      <c r="H187" s="2213"/>
      <c r="I187" s="2213"/>
      <c r="J187" s="2213"/>
      <c r="K187" s="2213"/>
      <c r="L187" s="2213"/>
      <c r="M187" s="2217">
        <f t="shared" si="108"/>
        <v>4.3325993621948857</v>
      </c>
      <c r="N187" s="2217">
        <f t="shared" si="90"/>
        <v>8446.6319442074346</v>
      </c>
      <c r="O187" s="2217">
        <f t="shared" si="100"/>
        <v>12.813606034585973</v>
      </c>
      <c r="P187" s="2212">
        <v>148</v>
      </c>
      <c r="Q187" s="2219"/>
      <c r="R187" s="2213"/>
      <c r="S187" s="2219"/>
      <c r="T187" s="2213"/>
      <c r="U187" s="2213"/>
      <c r="V187" s="2213"/>
      <c r="W187" s="2213"/>
      <c r="X187" s="2213"/>
      <c r="Y187" s="2217">
        <f t="shared" si="109"/>
        <v>5.4858239053076261</v>
      </c>
      <c r="Z187" s="2217">
        <f t="shared" si="91"/>
        <v>8446.6319442074346</v>
      </c>
      <c r="AA187" s="2217">
        <f t="shared" si="101"/>
        <v>12.813606034585973</v>
      </c>
      <c r="AB187" s="2212">
        <v>148</v>
      </c>
      <c r="AC187" s="2219"/>
      <c r="AD187" s="2213"/>
      <c r="AE187" s="2219"/>
      <c r="AF187" s="2213"/>
      <c r="AG187" s="2213"/>
      <c r="AH187" s="2213"/>
      <c r="AI187" s="2213"/>
      <c r="AJ187" s="2213"/>
      <c r="AK187" s="2217">
        <f t="shared" si="110"/>
        <v>-2.4026689564346171E-2</v>
      </c>
      <c r="AL187" s="2217">
        <f t="shared" si="92"/>
        <v>8446.6319442074346</v>
      </c>
      <c r="AM187" s="2217">
        <f t="shared" si="102"/>
        <v>12.813606034585973</v>
      </c>
      <c r="AN187" s="2212">
        <v>148</v>
      </c>
      <c r="AO187" s="2219"/>
      <c r="AP187" s="2213"/>
      <c r="AQ187" s="2219"/>
      <c r="AR187" s="2213"/>
      <c r="AS187" s="2213"/>
      <c r="AT187" s="2213"/>
      <c r="AU187" s="2213"/>
      <c r="AV187" s="2213"/>
      <c r="AW187" s="2217">
        <f t="shared" si="111"/>
        <v>-3.7115659999359929</v>
      </c>
      <c r="AX187" s="2217">
        <f t="shared" si="112"/>
        <v>6644.3016000013386</v>
      </c>
      <c r="AY187" s="2217">
        <f t="shared" si="93"/>
        <v>7.1589000000603846</v>
      </c>
      <c r="AZ187" s="2212">
        <v>148</v>
      </c>
      <c r="BA187" s="2208"/>
      <c r="BB187" s="263"/>
      <c r="BC187" s="2208"/>
      <c r="BD187" s="263"/>
      <c r="BE187" s="263"/>
      <c r="BF187" s="263"/>
      <c r="BG187" s="263"/>
      <c r="BH187" s="2208"/>
      <c r="BI187" s="2217">
        <f t="shared" si="113"/>
        <v>-1.4923069999172736</v>
      </c>
      <c r="BJ187" s="2217">
        <f t="shared" si="103"/>
        <v>6644.3016000013386</v>
      </c>
      <c r="BK187" s="2217">
        <f t="shared" si="94"/>
        <v>7.1589000000603846</v>
      </c>
      <c r="BL187" s="2212">
        <v>148</v>
      </c>
      <c r="BM187" s="2208"/>
      <c r="BN187" s="263"/>
      <c r="BO187" s="2208"/>
      <c r="BP187" s="263"/>
      <c r="BQ187" s="263"/>
      <c r="BR187" s="263"/>
      <c r="BS187" s="263"/>
      <c r="BT187" s="2208"/>
      <c r="BU187" s="2217">
        <f t="shared" si="114"/>
        <v>-2.4026689564346171E-2</v>
      </c>
      <c r="BV187" s="2217">
        <f t="shared" si="95"/>
        <v>8446.6319442074346</v>
      </c>
      <c r="BW187" s="2217">
        <f t="shared" si="104"/>
        <v>12.813606034585973</v>
      </c>
      <c r="BX187" s="2212">
        <v>148</v>
      </c>
      <c r="BY187" s="2219"/>
      <c r="BZ187" s="2213"/>
      <c r="CA187" s="2219"/>
      <c r="CB187" s="2213"/>
      <c r="CC187" s="2213"/>
      <c r="CD187" s="2213"/>
      <c r="CE187" s="2213"/>
      <c r="CF187" s="2208"/>
      <c r="CG187" s="2217">
        <f t="shared" si="115"/>
        <v>1.5136060345859725</v>
      </c>
      <c r="CH187" s="2217">
        <f t="shared" si="96"/>
        <v>8446.6319442074346</v>
      </c>
      <c r="CI187" s="2217">
        <f t="shared" si="105"/>
        <v>12.813606034585973</v>
      </c>
      <c r="CJ187" s="2212">
        <v>148</v>
      </c>
      <c r="CK187" s="2219"/>
      <c r="CL187" s="2213"/>
      <c r="CM187" s="2219"/>
      <c r="CN187" s="2213"/>
      <c r="CO187" s="2213"/>
      <c r="CP187" s="2213"/>
      <c r="CQ187" s="2213"/>
      <c r="CR187" s="2208"/>
      <c r="CS187" s="2217">
        <f t="shared" si="116"/>
        <v>-1.6354849999184804</v>
      </c>
      <c r="CT187" s="2217">
        <f t="shared" si="106"/>
        <v>6644.3016000013386</v>
      </c>
      <c r="CU187" s="2217">
        <f t="shared" si="97"/>
        <v>7.1589000000603846</v>
      </c>
      <c r="CV187" s="2212">
        <v>148</v>
      </c>
      <c r="CW187" s="2208"/>
      <c r="CX187" s="263"/>
      <c r="CY187" s="2208"/>
      <c r="CZ187" s="263"/>
      <c r="DA187" s="263"/>
      <c r="DB187" s="263"/>
      <c r="DC187" s="263"/>
      <c r="DD187" s="2208"/>
    </row>
    <row r="188" spans="1:108">
      <c r="A188" s="2217">
        <f t="shared" si="107"/>
        <v>3.6757016593439378</v>
      </c>
      <c r="B188" s="2217">
        <f t="shared" si="98"/>
        <v>8433.8183381728486</v>
      </c>
      <c r="C188" s="2217">
        <f t="shared" si="99"/>
        <v>13.022349268994731</v>
      </c>
      <c r="D188" s="2212">
        <v>147</v>
      </c>
      <c r="E188" s="2219"/>
      <c r="F188" s="2213"/>
      <c r="G188" s="2219"/>
      <c r="H188" s="2213"/>
      <c r="I188" s="2213"/>
      <c r="J188" s="2213"/>
      <c r="K188" s="2213"/>
      <c r="L188" s="2213"/>
      <c r="M188" s="2217">
        <f t="shared" si="108"/>
        <v>4.5872661081735711</v>
      </c>
      <c r="N188" s="2217">
        <f t="shared" si="90"/>
        <v>8433.8183381728486</v>
      </c>
      <c r="O188" s="2217">
        <f t="shared" si="100"/>
        <v>13.022349268994731</v>
      </c>
      <c r="P188" s="2212">
        <v>147</v>
      </c>
      <c r="Q188" s="2219"/>
      <c r="R188" s="2213"/>
      <c r="S188" s="2219"/>
      <c r="T188" s="2213"/>
      <c r="U188" s="2213"/>
      <c r="V188" s="2213"/>
      <c r="W188" s="2213"/>
      <c r="X188" s="2213"/>
      <c r="Y188" s="2217">
        <f t="shared" si="109"/>
        <v>5.7592775423830957</v>
      </c>
      <c r="Z188" s="2217">
        <f t="shared" si="91"/>
        <v>8433.8183381728486</v>
      </c>
      <c r="AA188" s="2217">
        <f t="shared" si="101"/>
        <v>13.022349268994731</v>
      </c>
      <c r="AB188" s="2212">
        <v>147</v>
      </c>
      <c r="AC188" s="2219"/>
      <c r="AD188" s="2213"/>
      <c r="AE188" s="2219"/>
      <c r="AF188" s="2213"/>
      <c r="AG188" s="2213"/>
      <c r="AH188" s="2213"/>
      <c r="AI188" s="2213"/>
      <c r="AJ188" s="2213"/>
      <c r="AK188" s="2217">
        <f t="shared" si="110"/>
        <v>0.15966735671536014</v>
      </c>
      <c r="AL188" s="2217">
        <f t="shared" si="92"/>
        <v>8433.8183381728486</v>
      </c>
      <c r="AM188" s="2217">
        <f t="shared" si="102"/>
        <v>13.022349268994731</v>
      </c>
      <c r="AN188" s="2212">
        <v>147</v>
      </c>
      <c r="AO188" s="2219"/>
      <c r="AP188" s="2213"/>
      <c r="AQ188" s="2219"/>
      <c r="AR188" s="2213"/>
      <c r="AS188" s="2213"/>
      <c r="AT188" s="2213"/>
      <c r="AU188" s="2213"/>
      <c r="AV188" s="2213"/>
      <c r="AW188" s="2217">
        <f t="shared" si="111"/>
        <v>-3.7172899999388944</v>
      </c>
      <c r="AX188" s="2217">
        <f t="shared" si="112"/>
        <v>6637.1427000012782</v>
      </c>
      <c r="AY188" s="2217">
        <f t="shared" si="93"/>
        <v>7.1535000000576474</v>
      </c>
      <c r="AZ188" s="2212">
        <v>147</v>
      </c>
      <c r="BA188" s="2208"/>
      <c r="BB188" s="263"/>
      <c r="BC188" s="2208"/>
      <c r="BD188" s="263"/>
      <c r="BE188" s="263"/>
      <c r="BF188" s="263"/>
      <c r="BG188" s="263"/>
      <c r="BH188" s="2208"/>
      <c r="BI188" s="2217">
        <f t="shared" si="113"/>
        <v>-1.4997049999210237</v>
      </c>
      <c r="BJ188" s="2217">
        <f t="shared" si="103"/>
        <v>6637.1427000012782</v>
      </c>
      <c r="BK188" s="2217">
        <f t="shared" si="94"/>
        <v>7.1535000000576474</v>
      </c>
      <c r="BL188" s="2212">
        <v>147</v>
      </c>
      <c r="BM188" s="2208"/>
      <c r="BN188" s="263"/>
      <c r="BO188" s="2208"/>
      <c r="BP188" s="263"/>
      <c r="BQ188" s="263"/>
      <c r="BR188" s="263"/>
      <c r="BS188" s="263"/>
      <c r="BT188" s="2208"/>
      <c r="BU188" s="2217">
        <f t="shared" si="114"/>
        <v>0.15966735671536014</v>
      </c>
      <c r="BV188" s="2217">
        <f t="shared" si="95"/>
        <v>8433.8183381728486</v>
      </c>
      <c r="BW188" s="2217">
        <f t="shared" si="104"/>
        <v>13.022349268994731</v>
      </c>
      <c r="BX188" s="2212">
        <v>147</v>
      </c>
      <c r="BY188" s="2219"/>
      <c r="BZ188" s="2213"/>
      <c r="CA188" s="2219"/>
      <c r="CB188" s="2213"/>
      <c r="CC188" s="2213"/>
      <c r="CD188" s="2213"/>
      <c r="CE188" s="2213"/>
      <c r="CF188" s="2208"/>
      <c r="CG188" s="2217">
        <f t="shared" si="115"/>
        <v>1.72234926899473</v>
      </c>
      <c r="CH188" s="2217">
        <f t="shared" si="96"/>
        <v>8433.8183381728486</v>
      </c>
      <c r="CI188" s="2217">
        <f t="shared" si="105"/>
        <v>13.022349268994731</v>
      </c>
      <c r="CJ188" s="2212">
        <v>147</v>
      </c>
      <c r="CK188" s="2219"/>
      <c r="CL188" s="2213"/>
      <c r="CM188" s="2219"/>
      <c r="CN188" s="2213"/>
      <c r="CO188" s="2213"/>
      <c r="CP188" s="2213"/>
      <c r="CQ188" s="2213"/>
      <c r="CR188" s="2208"/>
      <c r="CS188" s="2217">
        <f t="shared" si="116"/>
        <v>-1.6427749999221763</v>
      </c>
      <c r="CT188" s="2217">
        <f t="shared" si="106"/>
        <v>6637.1427000012782</v>
      </c>
      <c r="CU188" s="2217">
        <f t="shared" si="97"/>
        <v>7.1535000000576474</v>
      </c>
      <c r="CV188" s="2212">
        <v>147</v>
      </c>
      <c r="CW188" s="2208"/>
      <c r="CX188" s="263"/>
      <c r="CY188" s="2208"/>
      <c r="CZ188" s="263"/>
      <c r="DA188" s="263"/>
      <c r="DB188" s="263"/>
      <c r="DC188" s="263"/>
      <c r="DD188" s="2208"/>
    </row>
    <row r="189" spans="1:108">
      <c r="A189" s="2217">
        <f t="shared" si="107"/>
        <v>3.9170692830139142</v>
      </c>
      <c r="B189" s="2217">
        <f t="shared" si="98"/>
        <v>8420.7959889038539</v>
      </c>
      <c r="C189" s="2217">
        <f t="shared" si="99"/>
        <v>13.232234159142536</v>
      </c>
      <c r="D189" s="2212">
        <v>146</v>
      </c>
      <c r="E189" s="2219"/>
      <c r="F189" s="2213"/>
      <c r="G189" s="2219"/>
      <c r="H189" s="2213"/>
      <c r="I189" s="2213"/>
      <c r="J189" s="2213"/>
      <c r="K189" s="2213"/>
      <c r="L189" s="2213"/>
      <c r="M189" s="2217">
        <f t="shared" si="108"/>
        <v>4.8433256741538919</v>
      </c>
      <c r="N189" s="2217">
        <f t="shared" si="90"/>
        <v>8420.7959889038539</v>
      </c>
      <c r="O189" s="2217">
        <f t="shared" si="100"/>
        <v>13.232234159142536</v>
      </c>
      <c r="P189" s="2212">
        <v>146</v>
      </c>
      <c r="Q189" s="2219"/>
      <c r="R189" s="2213"/>
      <c r="S189" s="2219"/>
      <c r="T189" s="2213"/>
      <c r="U189" s="2213"/>
      <c r="V189" s="2213"/>
      <c r="W189" s="2213"/>
      <c r="X189" s="2213"/>
      <c r="Y189" s="2217">
        <f t="shared" si="109"/>
        <v>6.0342267484767227</v>
      </c>
      <c r="Z189" s="2217">
        <f t="shared" si="91"/>
        <v>8420.7959889038539</v>
      </c>
      <c r="AA189" s="2217">
        <f t="shared" si="101"/>
        <v>13.232234159142536</v>
      </c>
      <c r="AB189" s="2212">
        <v>146</v>
      </c>
      <c r="AC189" s="2219"/>
      <c r="AD189" s="2213"/>
      <c r="AE189" s="2219"/>
      <c r="AF189" s="2213"/>
      <c r="AG189" s="2213"/>
      <c r="AH189" s="2213"/>
      <c r="AI189" s="2213"/>
      <c r="AJ189" s="2213"/>
      <c r="AK189" s="2217">
        <f t="shared" si="110"/>
        <v>0.34436606004542902</v>
      </c>
      <c r="AL189" s="2217">
        <f t="shared" si="92"/>
        <v>8420.7959889038539</v>
      </c>
      <c r="AM189" s="2217">
        <f t="shared" si="102"/>
        <v>13.232234159142536</v>
      </c>
      <c r="AN189" s="2212">
        <v>146</v>
      </c>
      <c r="AO189" s="2219"/>
      <c r="AP189" s="2213"/>
      <c r="AQ189" s="2219"/>
      <c r="AR189" s="2213"/>
      <c r="AS189" s="2213"/>
      <c r="AT189" s="2213"/>
      <c r="AU189" s="2213"/>
      <c r="AV189" s="2213"/>
      <c r="AW189" s="2217">
        <f t="shared" si="111"/>
        <v>-3.719197999939861</v>
      </c>
      <c r="AX189" s="2217">
        <f t="shared" si="112"/>
        <v>6629.9892000012205</v>
      </c>
      <c r="AY189" s="2217">
        <f t="shared" si="93"/>
        <v>7.151700000056735</v>
      </c>
      <c r="AZ189" s="2212">
        <v>146</v>
      </c>
      <c r="BA189" s="2208"/>
      <c r="BB189" s="263"/>
      <c r="BC189" s="2208"/>
      <c r="BD189" s="263"/>
      <c r="BE189" s="263"/>
      <c r="BF189" s="263"/>
      <c r="BG189" s="263"/>
      <c r="BH189" s="2208"/>
      <c r="BI189" s="2217">
        <f t="shared" si="113"/>
        <v>-1.5021709999222725</v>
      </c>
      <c r="BJ189" s="2217">
        <f t="shared" si="103"/>
        <v>6629.9892000012205</v>
      </c>
      <c r="BK189" s="2217">
        <f t="shared" si="94"/>
        <v>7.151700000056735</v>
      </c>
      <c r="BL189" s="2212">
        <v>146</v>
      </c>
      <c r="BM189" s="2208"/>
      <c r="BN189" s="263"/>
      <c r="BO189" s="2208"/>
      <c r="BP189" s="263"/>
      <c r="BQ189" s="263"/>
      <c r="BR189" s="263"/>
      <c r="BS189" s="263"/>
      <c r="BT189" s="2208"/>
      <c r="BU189" s="2217">
        <f t="shared" si="114"/>
        <v>0.34436606004542902</v>
      </c>
      <c r="BV189" s="2217">
        <f t="shared" si="95"/>
        <v>8420.7959889038539</v>
      </c>
      <c r="BW189" s="2217">
        <f t="shared" si="104"/>
        <v>13.232234159142536</v>
      </c>
      <c r="BX189" s="2212">
        <v>146</v>
      </c>
      <c r="BY189" s="2219"/>
      <c r="BZ189" s="2213"/>
      <c r="CA189" s="2219"/>
      <c r="CB189" s="2213"/>
      <c r="CC189" s="2213"/>
      <c r="CD189" s="2213"/>
      <c r="CE189" s="2213"/>
      <c r="CF189" s="2208"/>
      <c r="CG189" s="2217">
        <f t="shared" si="115"/>
        <v>1.9322341591425349</v>
      </c>
      <c r="CH189" s="2217">
        <f t="shared" si="96"/>
        <v>8420.7959889038539</v>
      </c>
      <c r="CI189" s="2217">
        <f t="shared" si="105"/>
        <v>13.232234159142536</v>
      </c>
      <c r="CJ189" s="2212">
        <v>146</v>
      </c>
      <c r="CK189" s="2219"/>
      <c r="CL189" s="2213"/>
      <c r="CM189" s="2219"/>
      <c r="CN189" s="2213"/>
      <c r="CO189" s="2213"/>
      <c r="CP189" s="2213"/>
      <c r="CQ189" s="2213"/>
      <c r="CR189" s="2208"/>
      <c r="CS189" s="2217">
        <f t="shared" si="116"/>
        <v>-1.6452049999234077</v>
      </c>
      <c r="CT189" s="2217">
        <f t="shared" si="106"/>
        <v>6629.9892000012205</v>
      </c>
      <c r="CU189" s="2217">
        <f t="shared" si="97"/>
        <v>7.151700000056735</v>
      </c>
      <c r="CV189" s="2212">
        <v>146</v>
      </c>
      <c r="CW189" s="2208"/>
      <c r="CX189" s="263"/>
      <c r="CY189" s="2208"/>
      <c r="CZ189" s="263"/>
      <c r="DA189" s="263"/>
      <c r="DB189" s="263"/>
      <c r="DC189" s="263"/>
      <c r="DD189" s="2208"/>
    </row>
    <row r="190" spans="1:108">
      <c r="A190" s="2217">
        <f t="shared" si="107"/>
        <v>4.1597498107754269</v>
      </c>
      <c r="B190" s="2217">
        <f t="shared" si="98"/>
        <v>8407.5637547447113</v>
      </c>
      <c r="C190" s="2217">
        <f t="shared" si="99"/>
        <v>13.443260705022112</v>
      </c>
      <c r="D190" s="2212">
        <v>145</v>
      </c>
      <c r="E190" s="2219"/>
      <c r="F190" s="2213"/>
      <c r="G190" s="2219"/>
      <c r="H190" s="2213"/>
      <c r="I190" s="2213"/>
      <c r="J190" s="2213"/>
      <c r="K190" s="2213"/>
      <c r="L190" s="2213"/>
      <c r="M190" s="2217">
        <f t="shared" si="108"/>
        <v>5.1007780601269772</v>
      </c>
      <c r="N190" s="2217">
        <f t="shared" si="90"/>
        <v>8407.5637547447113</v>
      </c>
      <c r="O190" s="2217">
        <f t="shared" si="100"/>
        <v>13.443260705022112</v>
      </c>
      <c r="P190" s="2212">
        <v>145</v>
      </c>
      <c r="Q190" s="2219"/>
      <c r="R190" s="2213"/>
      <c r="S190" s="2219"/>
      <c r="T190" s="2213"/>
      <c r="U190" s="2213"/>
      <c r="V190" s="2213"/>
      <c r="W190" s="2213"/>
      <c r="X190" s="2213"/>
      <c r="Y190" s="2217">
        <f t="shared" si="109"/>
        <v>6.3106715235789679</v>
      </c>
      <c r="Z190" s="2217">
        <f t="shared" si="91"/>
        <v>8407.5637547447113</v>
      </c>
      <c r="AA190" s="2217">
        <f t="shared" si="101"/>
        <v>13.443260705022112</v>
      </c>
      <c r="AB190" s="2212">
        <v>145</v>
      </c>
      <c r="AC190" s="2219"/>
      <c r="AD190" s="2213"/>
      <c r="AE190" s="2219"/>
      <c r="AF190" s="2213"/>
      <c r="AG190" s="2213"/>
      <c r="AH190" s="2213"/>
      <c r="AI190" s="2213"/>
      <c r="AJ190" s="2213"/>
      <c r="AK190" s="2217">
        <f t="shared" si="110"/>
        <v>0.5300694204194567</v>
      </c>
      <c r="AL190" s="2217">
        <f t="shared" si="92"/>
        <v>8407.5637547447113</v>
      </c>
      <c r="AM190" s="2217">
        <f t="shared" si="102"/>
        <v>13.443260705022112</v>
      </c>
      <c r="AN190" s="2212">
        <v>145</v>
      </c>
      <c r="AO190" s="2219"/>
      <c r="AP190" s="2213"/>
      <c r="AQ190" s="2219"/>
      <c r="AR190" s="2213"/>
      <c r="AS190" s="2213"/>
      <c r="AT190" s="2213"/>
      <c r="AU190" s="2213"/>
      <c r="AV190" s="2213"/>
      <c r="AW190" s="2217">
        <f t="shared" si="111"/>
        <v>-3.7172899999398581</v>
      </c>
      <c r="AX190" s="2217">
        <f t="shared" si="112"/>
        <v>6622.8375000011638</v>
      </c>
      <c r="AY190" s="2217">
        <f t="shared" si="93"/>
        <v>7.1535000000567379</v>
      </c>
      <c r="AZ190" s="2212">
        <v>145</v>
      </c>
      <c r="BA190" s="2208"/>
      <c r="BB190" s="263"/>
      <c r="BC190" s="2208"/>
      <c r="BD190" s="263"/>
      <c r="BE190" s="263"/>
      <c r="BF190" s="263"/>
      <c r="BG190" s="263"/>
      <c r="BH190" s="2208"/>
      <c r="BI190" s="2217">
        <f t="shared" si="113"/>
        <v>-1.4997049999222689</v>
      </c>
      <c r="BJ190" s="2217">
        <f t="shared" si="103"/>
        <v>6622.8375000011638</v>
      </c>
      <c r="BK190" s="2217">
        <f t="shared" si="94"/>
        <v>7.1535000000567379</v>
      </c>
      <c r="BL190" s="2212">
        <v>145</v>
      </c>
      <c r="BM190" s="2208"/>
      <c r="BN190" s="263"/>
      <c r="BO190" s="2208"/>
      <c r="BP190" s="263"/>
      <c r="BQ190" s="263"/>
      <c r="BR190" s="263"/>
      <c r="BS190" s="263"/>
      <c r="BT190" s="2208"/>
      <c r="BU190" s="2217">
        <f t="shared" si="114"/>
        <v>0.5300694204194567</v>
      </c>
      <c r="BV190" s="2217">
        <f t="shared" si="95"/>
        <v>8407.5637547447113</v>
      </c>
      <c r="BW190" s="2217">
        <f t="shared" si="104"/>
        <v>13.443260705022112</v>
      </c>
      <c r="BX190" s="2212">
        <v>145</v>
      </c>
      <c r="BY190" s="2219"/>
      <c r="BZ190" s="2213"/>
      <c r="CA190" s="2219"/>
      <c r="CB190" s="2213"/>
      <c r="CC190" s="2213"/>
      <c r="CD190" s="2213"/>
      <c r="CE190" s="2213"/>
      <c r="CF190" s="2208"/>
      <c r="CG190" s="2217">
        <f t="shared" si="115"/>
        <v>2.1432607050221115</v>
      </c>
      <c r="CH190" s="2217">
        <f t="shared" si="96"/>
        <v>8407.5637547447113</v>
      </c>
      <c r="CI190" s="2217">
        <f t="shared" si="105"/>
        <v>13.443260705022112</v>
      </c>
      <c r="CJ190" s="2212">
        <v>145</v>
      </c>
      <c r="CK190" s="2219"/>
      <c r="CL190" s="2213"/>
      <c r="CM190" s="2219"/>
      <c r="CN190" s="2213"/>
      <c r="CO190" s="2213"/>
      <c r="CP190" s="2213"/>
      <c r="CQ190" s="2213"/>
      <c r="CR190" s="2208"/>
      <c r="CS190" s="2217">
        <f t="shared" si="116"/>
        <v>-1.6427749999234038</v>
      </c>
      <c r="CT190" s="2217">
        <f t="shared" si="106"/>
        <v>6622.8375000011638</v>
      </c>
      <c r="CU190" s="2217">
        <f t="shared" si="97"/>
        <v>7.1535000000567379</v>
      </c>
      <c r="CV190" s="2212">
        <v>145</v>
      </c>
      <c r="CW190" s="2208"/>
      <c r="CX190" s="263"/>
      <c r="CY190" s="2208"/>
      <c r="CZ190" s="263"/>
      <c r="DA190" s="263"/>
      <c r="DB190" s="263"/>
      <c r="DC190" s="263"/>
      <c r="DD190" s="2208"/>
    </row>
    <row r="191" spans="1:108">
      <c r="A191" s="2217">
        <f t="shared" si="107"/>
        <v>4.4037432426305703</v>
      </c>
      <c r="B191" s="2217">
        <f t="shared" si="98"/>
        <v>8394.1204940396892</v>
      </c>
      <c r="C191" s="2217">
        <f t="shared" si="99"/>
        <v>13.655428906635279</v>
      </c>
      <c r="D191" s="2212">
        <v>144</v>
      </c>
      <c r="E191" s="2219"/>
      <c r="F191" s="2213"/>
      <c r="G191" s="2219"/>
      <c r="H191" s="2213"/>
      <c r="I191" s="2213"/>
      <c r="J191" s="2213"/>
      <c r="K191" s="2213"/>
      <c r="L191" s="2213"/>
      <c r="M191" s="2217">
        <f t="shared" si="108"/>
        <v>5.3596232660950385</v>
      </c>
      <c r="N191" s="2217">
        <f t="shared" si="90"/>
        <v>8394.1204940396892</v>
      </c>
      <c r="O191" s="2217">
        <f t="shared" si="100"/>
        <v>13.655428906635279</v>
      </c>
      <c r="P191" s="2212">
        <v>144</v>
      </c>
      <c r="Q191" s="2219"/>
      <c r="R191" s="2213"/>
      <c r="S191" s="2219"/>
      <c r="T191" s="2213"/>
      <c r="U191" s="2213"/>
      <c r="V191" s="2213"/>
      <c r="W191" s="2213"/>
      <c r="X191" s="2213"/>
      <c r="Y191" s="2217">
        <f t="shared" si="109"/>
        <v>6.5886118676922152</v>
      </c>
      <c r="Z191" s="2217">
        <f t="shared" si="91"/>
        <v>8394.1204940396892</v>
      </c>
      <c r="AA191" s="2217">
        <f t="shared" si="101"/>
        <v>13.655428906635279</v>
      </c>
      <c r="AB191" s="2212">
        <v>144</v>
      </c>
      <c r="AC191" s="2219"/>
      <c r="AD191" s="2213"/>
      <c r="AE191" s="2219"/>
      <c r="AF191" s="2213"/>
      <c r="AG191" s="2213"/>
      <c r="AH191" s="2213"/>
      <c r="AI191" s="2213"/>
      <c r="AJ191" s="2213"/>
      <c r="AK191" s="2217">
        <f t="shared" si="110"/>
        <v>0.71677743783904369</v>
      </c>
      <c r="AL191" s="2217">
        <f t="shared" si="92"/>
        <v>8394.1204940396892</v>
      </c>
      <c r="AM191" s="2217">
        <f t="shared" si="102"/>
        <v>13.655428906635279</v>
      </c>
      <c r="AN191" s="2212">
        <v>144</v>
      </c>
      <c r="AO191" s="2219"/>
      <c r="AP191" s="2213"/>
      <c r="AQ191" s="2219"/>
      <c r="AR191" s="2213"/>
      <c r="AS191" s="2213"/>
      <c r="AT191" s="2213"/>
      <c r="AU191" s="2213"/>
      <c r="AV191" s="2213"/>
      <c r="AW191" s="2217">
        <f t="shared" si="111"/>
        <v>-3.7115659999388848</v>
      </c>
      <c r="AX191" s="2217">
        <f t="shared" si="112"/>
        <v>6615.6840000011071</v>
      </c>
      <c r="AY191" s="2217">
        <f t="shared" si="93"/>
        <v>7.1589000000576561</v>
      </c>
      <c r="AZ191" s="2212">
        <v>144</v>
      </c>
      <c r="BA191" s="2208"/>
      <c r="BB191" s="263"/>
      <c r="BC191" s="2208"/>
      <c r="BD191" s="263"/>
      <c r="BE191" s="263"/>
      <c r="BF191" s="263"/>
      <c r="BG191" s="263"/>
      <c r="BH191" s="2208"/>
      <c r="BI191" s="2217">
        <f t="shared" si="113"/>
        <v>-1.492306999921011</v>
      </c>
      <c r="BJ191" s="2217">
        <f t="shared" si="103"/>
        <v>6615.6840000011071</v>
      </c>
      <c r="BK191" s="2217">
        <f t="shared" si="94"/>
        <v>7.1589000000576561</v>
      </c>
      <c r="BL191" s="2212">
        <v>144</v>
      </c>
      <c r="BM191" s="2208"/>
      <c r="BN191" s="263"/>
      <c r="BO191" s="2208"/>
      <c r="BP191" s="263"/>
      <c r="BQ191" s="263"/>
      <c r="BR191" s="263"/>
      <c r="BS191" s="263"/>
      <c r="BT191" s="2208"/>
      <c r="BU191" s="2217">
        <f t="shared" si="114"/>
        <v>0.71677743783904369</v>
      </c>
      <c r="BV191" s="2217">
        <f t="shared" si="95"/>
        <v>8394.1204940396892</v>
      </c>
      <c r="BW191" s="2217">
        <f t="shared" si="104"/>
        <v>13.655428906635279</v>
      </c>
      <c r="BX191" s="2212">
        <v>144</v>
      </c>
      <c r="BY191" s="2219"/>
      <c r="BZ191" s="2213"/>
      <c r="CA191" s="2219"/>
      <c r="CB191" s="2213"/>
      <c r="CC191" s="2213"/>
      <c r="CD191" s="2213"/>
      <c r="CE191" s="2213"/>
      <c r="CF191" s="2208"/>
      <c r="CG191" s="2217">
        <f t="shared" si="115"/>
        <v>2.3554289066352787</v>
      </c>
      <c r="CH191" s="2217">
        <f t="shared" si="96"/>
        <v>8394.1204940396892</v>
      </c>
      <c r="CI191" s="2217">
        <f t="shared" si="105"/>
        <v>13.655428906635279</v>
      </c>
      <c r="CJ191" s="2212">
        <v>144</v>
      </c>
      <c r="CK191" s="2219"/>
      <c r="CL191" s="2213"/>
      <c r="CM191" s="2219"/>
      <c r="CN191" s="2213"/>
      <c r="CO191" s="2213"/>
      <c r="CP191" s="2213"/>
      <c r="CQ191" s="2213"/>
      <c r="CR191" s="2208"/>
      <c r="CS191" s="2217">
        <f t="shared" si="116"/>
        <v>-1.6354849999221646</v>
      </c>
      <c r="CT191" s="2217">
        <f t="shared" si="106"/>
        <v>6615.6840000011071</v>
      </c>
      <c r="CU191" s="2217">
        <f t="shared" si="97"/>
        <v>7.1589000000576561</v>
      </c>
      <c r="CV191" s="2212">
        <v>144</v>
      </c>
      <c r="CW191" s="2208"/>
      <c r="CX191" s="263"/>
      <c r="CY191" s="2208"/>
      <c r="CZ191" s="263"/>
      <c r="DA191" s="263"/>
      <c r="DB191" s="263"/>
      <c r="DC191" s="263"/>
      <c r="DD191" s="2208"/>
    </row>
    <row r="192" spans="1:108">
      <c r="A192" s="2217">
        <f t="shared" si="107"/>
        <v>4.6490495785793406</v>
      </c>
      <c r="B192" s="2217">
        <f t="shared" si="98"/>
        <v>8380.4650651330539</v>
      </c>
      <c r="C192" s="2217">
        <f t="shared" si="99"/>
        <v>13.868738763982037</v>
      </c>
      <c r="D192" s="2212">
        <v>143</v>
      </c>
      <c r="E192" s="2219"/>
      <c r="F192" s="2213"/>
      <c r="G192" s="2219"/>
      <c r="H192" s="2213"/>
      <c r="I192" s="2213"/>
      <c r="J192" s="2213"/>
      <c r="K192" s="2213"/>
      <c r="L192" s="2213"/>
      <c r="M192" s="2217">
        <f t="shared" si="108"/>
        <v>5.6198612920580828</v>
      </c>
      <c r="N192" s="2217">
        <f t="shared" si="90"/>
        <v>8380.4650651330539</v>
      </c>
      <c r="O192" s="2217">
        <f t="shared" si="100"/>
        <v>13.868738763982037</v>
      </c>
      <c r="P192" s="2212">
        <v>143</v>
      </c>
      <c r="Q192" s="2219"/>
      <c r="R192" s="2213"/>
      <c r="S192" s="2219"/>
      <c r="T192" s="2213"/>
      <c r="U192" s="2213"/>
      <c r="V192" s="2213"/>
      <c r="W192" s="2213"/>
      <c r="X192" s="2213"/>
      <c r="Y192" s="2217">
        <f t="shared" si="109"/>
        <v>6.8680477808164682</v>
      </c>
      <c r="Z192" s="2217">
        <f t="shared" si="91"/>
        <v>8380.4650651330539</v>
      </c>
      <c r="AA192" s="2217">
        <f t="shared" si="101"/>
        <v>13.868738763982037</v>
      </c>
      <c r="AB192" s="2212">
        <v>143</v>
      </c>
      <c r="AC192" s="2219"/>
      <c r="AD192" s="2213"/>
      <c r="AE192" s="2219"/>
      <c r="AF192" s="2213"/>
      <c r="AG192" s="2213"/>
      <c r="AH192" s="2213"/>
      <c r="AI192" s="2213"/>
      <c r="AJ192" s="2213"/>
      <c r="AK192" s="2217">
        <f t="shared" si="110"/>
        <v>0.90449011230418996</v>
      </c>
      <c r="AL192" s="2217">
        <f t="shared" si="92"/>
        <v>8380.4650651330539</v>
      </c>
      <c r="AM192" s="2217">
        <f t="shared" si="102"/>
        <v>13.868738763982037</v>
      </c>
      <c r="AN192" s="2212">
        <v>143</v>
      </c>
      <c r="AO192" s="2219"/>
      <c r="AP192" s="2213"/>
      <c r="AQ192" s="2219"/>
      <c r="AR192" s="2213"/>
      <c r="AS192" s="2213"/>
      <c r="AT192" s="2213"/>
      <c r="AU192" s="2213"/>
      <c r="AV192" s="2213"/>
      <c r="AW192" s="2217">
        <f t="shared" si="111"/>
        <v>-3.7020259999407976</v>
      </c>
      <c r="AX192" s="2217">
        <f t="shared" si="112"/>
        <v>6608.5251000010494</v>
      </c>
      <c r="AY192" s="2217">
        <f t="shared" si="93"/>
        <v>7.1679000000558517</v>
      </c>
      <c r="AZ192" s="2212">
        <v>143</v>
      </c>
      <c r="BA192" s="2208"/>
      <c r="BB192" s="263"/>
      <c r="BC192" s="2208"/>
      <c r="BD192" s="263"/>
      <c r="BE192" s="263"/>
      <c r="BF192" s="263"/>
      <c r="BG192" s="263"/>
      <c r="BH192" s="2208"/>
      <c r="BI192" s="2217">
        <f t="shared" si="113"/>
        <v>-1.4799769999234833</v>
      </c>
      <c r="BJ192" s="2217">
        <f t="shared" si="103"/>
        <v>6608.5251000010494</v>
      </c>
      <c r="BK192" s="2217">
        <f t="shared" si="94"/>
        <v>7.1679000000558517</v>
      </c>
      <c r="BL192" s="2212">
        <v>143</v>
      </c>
      <c r="BM192" s="2208"/>
      <c r="BN192" s="263"/>
      <c r="BO192" s="2208"/>
      <c r="BP192" s="263"/>
      <c r="BQ192" s="263"/>
      <c r="BR192" s="263"/>
      <c r="BS192" s="263"/>
      <c r="BT192" s="2208"/>
      <c r="BU192" s="2217">
        <f t="shared" si="114"/>
        <v>0.90449011230418996</v>
      </c>
      <c r="BV192" s="2217">
        <f t="shared" si="95"/>
        <v>8380.4650651330539</v>
      </c>
      <c r="BW192" s="2217">
        <f t="shared" si="104"/>
        <v>13.868738763982037</v>
      </c>
      <c r="BX192" s="2212">
        <v>143</v>
      </c>
      <c r="BY192" s="2219"/>
      <c r="BZ192" s="2213"/>
      <c r="CA192" s="2219"/>
      <c r="CB192" s="2213"/>
      <c r="CC192" s="2213"/>
      <c r="CD192" s="2213"/>
      <c r="CE192" s="2213"/>
      <c r="CF192" s="2208"/>
      <c r="CG192" s="2217">
        <f t="shared" si="115"/>
        <v>2.5687387639820365</v>
      </c>
      <c r="CH192" s="2217">
        <f t="shared" si="96"/>
        <v>8380.4650651330539</v>
      </c>
      <c r="CI192" s="2217">
        <f t="shared" si="105"/>
        <v>13.868738763982037</v>
      </c>
      <c r="CJ192" s="2212">
        <v>143</v>
      </c>
      <c r="CK192" s="2219"/>
      <c r="CL192" s="2213"/>
      <c r="CM192" s="2219"/>
      <c r="CN192" s="2213"/>
      <c r="CO192" s="2213"/>
      <c r="CP192" s="2213"/>
      <c r="CQ192" s="2213"/>
      <c r="CR192" s="2208"/>
      <c r="CS192" s="2217">
        <f t="shared" si="116"/>
        <v>-1.6233349999245998</v>
      </c>
      <c r="CT192" s="2217">
        <f t="shared" si="106"/>
        <v>6608.5251000010494</v>
      </c>
      <c r="CU192" s="2217">
        <f t="shared" si="97"/>
        <v>7.1679000000558517</v>
      </c>
      <c r="CV192" s="2212">
        <v>143</v>
      </c>
      <c r="CW192" s="2208"/>
      <c r="CX192" s="263"/>
      <c r="CY192" s="2208"/>
      <c r="CZ192" s="263"/>
      <c r="DA192" s="263"/>
      <c r="DB192" s="263"/>
      <c r="DC192" s="263"/>
      <c r="DD192" s="2208"/>
    </row>
    <row r="193" spans="1:108">
      <c r="A193" s="2217">
        <f t="shared" si="107"/>
        <v>4.895668818625925</v>
      </c>
      <c r="B193" s="2217">
        <f t="shared" si="98"/>
        <v>8366.5963263690719</v>
      </c>
      <c r="C193" s="2217">
        <f t="shared" si="99"/>
        <v>14.083190277066024</v>
      </c>
      <c r="D193" s="2212">
        <v>142</v>
      </c>
      <c r="E193" s="2219"/>
      <c r="F193" s="2213"/>
      <c r="G193" s="2219"/>
      <c r="H193" s="2213"/>
      <c r="I193" s="2213"/>
      <c r="J193" s="2213"/>
      <c r="K193" s="2213"/>
      <c r="L193" s="2213"/>
      <c r="M193" s="2217">
        <f t="shared" si="108"/>
        <v>5.8814921380205476</v>
      </c>
      <c r="N193" s="2217">
        <f t="shared" si="90"/>
        <v>8366.5963263690719</v>
      </c>
      <c r="O193" s="2217">
        <f t="shared" si="100"/>
        <v>14.083190277066024</v>
      </c>
      <c r="P193" s="2212">
        <v>142</v>
      </c>
      <c r="Q193" s="2219"/>
      <c r="R193" s="2213"/>
      <c r="S193" s="2219"/>
      <c r="T193" s="2213"/>
      <c r="U193" s="2213"/>
      <c r="V193" s="2213"/>
      <c r="W193" s="2213"/>
      <c r="X193" s="2213"/>
      <c r="Y193" s="2217">
        <f t="shared" si="109"/>
        <v>7.148979262956491</v>
      </c>
      <c r="Z193" s="2217">
        <f t="shared" si="91"/>
        <v>8366.5963263690719</v>
      </c>
      <c r="AA193" s="2217">
        <f t="shared" si="101"/>
        <v>14.083190277066024</v>
      </c>
      <c r="AB193" s="2212">
        <v>142</v>
      </c>
      <c r="AC193" s="2219"/>
      <c r="AD193" s="2213"/>
      <c r="AE193" s="2219"/>
      <c r="AF193" s="2213"/>
      <c r="AG193" s="2213"/>
      <c r="AH193" s="2213"/>
      <c r="AI193" s="2213"/>
      <c r="AJ193" s="2213"/>
      <c r="AK193" s="2217">
        <f t="shared" si="110"/>
        <v>1.0932074438180983</v>
      </c>
      <c r="AL193" s="2217">
        <f t="shared" si="92"/>
        <v>8366.5963263690719</v>
      </c>
      <c r="AM193" s="2217">
        <f t="shared" si="102"/>
        <v>14.083190277066024</v>
      </c>
      <c r="AN193" s="2212">
        <v>142</v>
      </c>
      <c r="AO193" s="2219"/>
      <c r="AP193" s="2213"/>
      <c r="AQ193" s="2219"/>
      <c r="AR193" s="2213"/>
      <c r="AS193" s="2213"/>
      <c r="AT193" s="2213"/>
      <c r="AU193" s="2213"/>
      <c r="AV193" s="2213"/>
      <c r="AW193" s="2217">
        <f t="shared" si="111"/>
        <v>-3.6886699999417401</v>
      </c>
      <c r="AX193" s="2217">
        <f t="shared" si="112"/>
        <v>6601.3572000009935</v>
      </c>
      <c r="AY193" s="2217">
        <f t="shared" si="93"/>
        <v>7.1805000000549626</v>
      </c>
      <c r="AZ193" s="2212">
        <v>142</v>
      </c>
      <c r="BA193" s="2208"/>
      <c r="BB193" s="263"/>
      <c r="BC193" s="2208"/>
      <c r="BD193" s="263"/>
      <c r="BE193" s="263"/>
      <c r="BF193" s="263"/>
      <c r="BG193" s="263"/>
      <c r="BH193" s="2208"/>
      <c r="BI193" s="2217">
        <f t="shared" si="113"/>
        <v>-1.4627149999247013</v>
      </c>
      <c r="BJ193" s="2217">
        <f t="shared" si="103"/>
        <v>6601.3572000009935</v>
      </c>
      <c r="BK193" s="2217">
        <f t="shared" si="94"/>
        <v>7.1805000000549626</v>
      </c>
      <c r="BL193" s="2212">
        <v>142</v>
      </c>
      <c r="BM193" s="2208"/>
      <c r="BN193" s="263"/>
      <c r="BO193" s="2208"/>
      <c r="BP193" s="263"/>
      <c r="BQ193" s="263"/>
      <c r="BR193" s="263"/>
      <c r="BS193" s="263"/>
      <c r="BT193" s="2208"/>
      <c r="BU193" s="2217">
        <f t="shared" si="114"/>
        <v>1.0932074438180983</v>
      </c>
      <c r="BV193" s="2217">
        <f t="shared" si="95"/>
        <v>8366.5963263690719</v>
      </c>
      <c r="BW193" s="2217">
        <f t="shared" si="104"/>
        <v>14.083190277066024</v>
      </c>
      <c r="BX193" s="2212">
        <v>142</v>
      </c>
      <c r="BY193" s="2219"/>
      <c r="BZ193" s="2213"/>
      <c r="CA193" s="2219"/>
      <c r="CB193" s="2213"/>
      <c r="CC193" s="2213"/>
      <c r="CD193" s="2213"/>
      <c r="CE193" s="2213"/>
      <c r="CF193" s="2208"/>
      <c r="CG193" s="2217">
        <f t="shared" si="115"/>
        <v>2.7831902770660228</v>
      </c>
      <c r="CH193" s="2217">
        <f t="shared" si="96"/>
        <v>8366.5963263690719</v>
      </c>
      <c r="CI193" s="2217">
        <f t="shared" si="105"/>
        <v>14.083190277066024</v>
      </c>
      <c r="CJ193" s="2212">
        <v>142</v>
      </c>
      <c r="CK193" s="2219"/>
      <c r="CL193" s="2213"/>
      <c r="CM193" s="2219"/>
      <c r="CN193" s="2213"/>
      <c r="CO193" s="2213"/>
      <c r="CP193" s="2213"/>
      <c r="CQ193" s="2213"/>
      <c r="CR193" s="2208"/>
      <c r="CS193" s="2217">
        <f t="shared" si="116"/>
        <v>-1.6063249999257998</v>
      </c>
      <c r="CT193" s="2217">
        <f t="shared" si="106"/>
        <v>6601.3572000009935</v>
      </c>
      <c r="CU193" s="2217">
        <f t="shared" si="97"/>
        <v>7.1805000000549626</v>
      </c>
      <c r="CV193" s="2212">
        <v>142</v>
      </c>
      <c r="CW193" s="2208"/>
      <c r="CX193" s="263"/>
      <c r="CY193" s="2208"/>
      <c r="CZ193" s="263"/>
      <c r="DA193" s="263"/>
      <c r="DB193" s="263"/>
      <c r="DC193" s="263"/>
      <c r="DD193" s="2208"/>
    </row>
    <row r="194" spans="1:108">
      <c r="A194" s="2217">
        <f t="shared" si="107"/>
        <v>5.1436009627682289</v>
      </c>
      <c r="B194" s="2217">
        <f t="shared" si="98"/>
        <v>8352.5131360920059</v>
      </c>
      <c r="C194" s="2217">
        <f t="shared" si="99"/>
        <v>14.298783445885419</v>
      </c>
      <c r="D194" s="2212">
        <v>141</v>
      </c>
      <c r="E194" s="2219"/>
      <c r="F194" s="2213"/>
      <c r="G194" s="2219"/>
      <c r="H194" s="2213"/>
      <c r="I194" s="2213"/>
      <c r="J194" s="2213"/>
      <c r="K194" s="2213"/>
      <c r="L194" s="2213"/>
      <c r="M194" s="2217">
        <f t="shared" si="108"/>
        <v>6.1445158039802124</v>
      </c>
      <c r="N194" s="2217">
        <f t="shared" si="90"/>
        <v>8352.5131360920059</v>
      </c>
      <c r="O194" s="2217">
        <f t="shared" si="100"/>
        <v>14.298783445885419</v>
      </c>
      <c r="P194" s="2212">
        <v>141</v>
      </c>
      <c r="Q194" s="2219"/>
      <c r="R194" s="2213"/>
      <c r="S194" s="2219"/>
      <c r="T194" s="2213"/>
      <c r="U194" s="2213"/>
      <c r="V194" s="2213"/>
      <c r="W194" s="2213"/>
      <c r="X194" s="2213"/>
      <c r="Y194" s="2217">
        <f t="shared" si="109"/>
        <v>7.4314063141098998</v>
      </c>
      <c r="Z194" s="2217">
        <f t="shared" si="91"/>
        <v>8352.5131360920059</v>
      </c>
      <c r="AA194" s="2217">
        <f t="shared" si="101"/>
        <v>14.298783445885419</v>
      </c>
      <c r="AB194" s="2212">
        <v>141</v>
      </c>
      <c r="AC194" s="2219"/>
      <c r="AD194" s="2213"/>
      <c r="AE194" s="2219"/>
      <c r="AF194" s="2213"/>
      <c r="AG194" s="2213"/>
      <c r="AH194" s="2213"/>
      <c r="AI194" s="2213"/>
      <c r="AJ194" s="2213"/>
      <c r="AK194" s="2217">
        <f t="shared" si="110"/>
        <v>1.2829294323791665</v>
      </c>
      <c r="AL194" s="2217">
        <f t="shared" si="92"/>
        <v>8352.5131360920059</v>
      </c>
      <c r="AM194" s="2217">
        <f t="shared" si="102"/>
        <v>14.298783445885419</v>
      </c>
      <c r="AN194" s="2212">
        <v>141</v>
      </c>
      <c r="AO194" s="2219"/>
      <c r="AP194" s="2213"/>
      <c r="AQ194" s="2219"/>
      <c r="AR194" s="2213"/>
      <c r="AS194" s="2213"/>
      <c r="AT194" s="2213"/>
      <c r="AU194" s="2213"/>
      <c r="AV194" s="2213"/>
      <c r="AW194" s="2217">
        <f t="shared" si="111"/>
        <v>-3.6714979999417121</v>
      </c>
      <c r="AX194" s="2217">
        <f t="shared" si="112"/>
        <v>6594.1767000009386</v>
      </c>
      <c r="AY194" s="2217">
        <f t="shared" si="93"/>
        <v>7.1967000000549888</v>
      </c>
      <c r="AZ194" s="2212">
        <v>141</v>
      </c>
      <c r="BA194" s="2208"/>
      <c r="BB194" s="263"/>
      <c r="BC194" s="2208"/>
      <c r="BD194" s="263"/>
      <c r="BE194" s="263"/>
      <c r="BF194" s="263"/>
      <c r="BG194" s="263"/>
      <c r="BH194" s="2208"/>
      <c r="BI194" s="2217">
        <f t="shared" si="113"/>
        <v>-1.4405209999246651</v>
      </c>
      <c r="BJ194" s="2217">
        <f t="shared" si="103"/>
        <v>6594.1767000009386</v>
      </c>
      <c r="BK194" s="2217">
        <f t="shared" si="94"/>
        <v>7.1967000000549888</v>
      </c>
      <c r="BL194" s="2212">
        <v>141</v>
      </c>
      <c r="BM194" s="2208"/>
      <c r="BN194" s="263"/>
      <c r="BO194" s="2208"/>
      <c r="BP194" s="263"/>
      <c r="BQ194" s="263"/>
      <c r="BR194" s="263"/>
      <c r="BS194" s="263"/>
      <c r="BT194" s="2208"/>
      <c r="BU194" s="2217">
        <f t="shared" si="114"/>
        <v>1.2829294323791665</v>
      </c>
      <c r="BV194" s="2217">
        <f t="shared" si="95"/>
        <v>8352.5131360920059</v>
      </c>
      <c r="BW194" s="2217">
        <f t="shared" si="104"/>
        <v>14.298783445885419</v>
      </c>
      <c r="BX194" s="2212">
        <v>141</v>
      </c>
      <c r="BY194" s="2219"/>
      <c r="BZ194" s="2213"/>
      <c r="CA194" s="2219"/>
      <c r="CB194" s="2213"/>
      <c r="CC194" s="2213"/>
      <c r="CD194" s="2213"/>
      <c r="CE194" s="2213"/>
      <c r="CF194" s="2208"/>
      <c r="CG194" s="2217">
        <f t="shared" si="115"/>
        <v>2.9987834458854188</v>
      </c>
      <c r="CH194" s="2217">
        <f t="shared" si="96"/>
        <v>8352.5131360920059</v>
      </c>
      <c r="CI194" s="2217">
        <f t="shared" si="105"/>
        <v>14.298783445885419</v>
      </c>
      <c r="CJ194" s="2212">
        <v>141</v>
      </c>
      <c r="CK194" s="2219"/>
      <c r="CL194" s="2213"/>
      <c r="CM194" s="2219"/>
      <c r="CN194" s="2213"/>
      <c r="CO194" s="2213"/>
      <c r="CP194" s="2213"/>
      <c r="CQ194" s="2213"/>
      <c r="CR194" s="2208"/>
      <c r="CS194" s="2217">
        <f t="shared" si="116"/>
        <v>-1.5844549999257644</v>
      </c>
      <c r="CT194" s="2217">
        <f t="shared" si="106"/>
        <v>6594.1767000009386</v>
      </c>
      <c r="CU194" s="2217">
        <f t="shared" si="97"/>
        <v>7.1967000000549888</v>
      </c>
      <c r="CV194" s="2212">
        <v>141</v>
      </c>
      <c r="CW194" s="2208"/>
      <c r="CX194" s="263"/>
      <c r="CY194" s="2208"/>
      <c r="CZ194" s="263"/>
      <c r="DA194" s="263"/>
      <c r="DB194" s="263"/>
      <c r="DC194" s="263"/>
      <c r="DD194" s="2208"/>
    </row>
    <row r="195" spans="1:108">
      <c r="A195" s="2217">
        <f t="shared" si="107"/>
        <v>5.3928460110020744</v>
      </c>
      <c r="B195" s="2217">
        <f t="shared" si="98"/>
        <v>8338.2143526461205</v>
      </c>
      <c r="C195" s="2217">
        <f t="shared" si="99"/>
        <v>14.515518270436587</v>
      </c>
      <c r="D195" s="2212">
        <v>140</v>
      </c>
      <c r="E195" s="2219"/>
      <c r="F195" s="2213"/>
      <c r="G195" s="2219"/>
      <c r="H195" s="2213"/>
      <c r="I195" s="2213"/>
      <c r="J195" s="2213"/>
      <c r="K195" s="2213"/>
      <c r="L195" s="2213"/>
      <c r="M195" s="2217">
        <f t="shared" si="108"/>
        <v>6.4089322899326362</v>
      </c>
      <c r="N195" s="2217">
        <f t="shared" si="90"/>
        <v>8338.2143526461205</v>
      </c>
      <c r="O195" s="2217">
        <f t="shared" si="100"/>
        <v>14.515518270436587</v>
      </c>
      <c r="P195" s="2212">
        <v>140</v>
      </c>
      <c r="Q195" s="2219"/>
      <c r="R195" s="2213"/>
      <c r="S195" s="2219"/>
      <c r="T195" s="2213"/>
      <c r="U195" s="2213"/>
      <c r="V195" s="2213"/>
      <c r="W195" s="2213"/>
      <c r="X195" s="2213"/>
      <c r="Y195" s="2217">
        <f t="shared" si="109"/>
        <v>7.7153289342719304</v>
      </c>
      <c r="Z195" s="2217">
        <f t="shared" si="91"/>
        <v>8338.2143526461205</v>
      </c>
      <c r="AA195" s="2217">
        <f t="shared" si="101"/>
        <v>14.515518270436587</v>
      </c>
      <c r="AB195" s="2212">
        <v>140</v>
      </c>
      <c r="AC195" s="2219"/>
      <c r="AD195" s="2213"/>
      <c r="AE195" s="2219"/>
      <c r="AF195" s="2213"/>
      <c r="AG195" s="2213"/>
      <c r="AH195" s="2213"/>
      <c r="AI195" s="2213"/>
      <c r="AJ195" s="2213"/>
      <c r="AK195" s="2217">
        <f t="shared" si="110"/>
        <v>1.4736560779841952</v>
      </c>
      <c r="AL195" s="2217">
        <f t="shared" si="92"/>
        <v>8338.2143526461205</v>
      </c>
      <c r="AM195" s="2217">
        <f t="shared" si="102"/>
        <v>14.515518270436587</v>
      </c>
      <c r="AN195" s="2212">
        <v>140</v>
      </c>
      <c r="AO195" s="2219"/>
      <c r="AP195" s="2213"/>
      <c r="AQ195" s="2219"/>
      <c r="AR195" s="2213"/>
      <c r="AS195" s="2213"/>
      <c r="AT195" s="2213"/>
      <c r="AU195" s="2213"/>
      <c r="AV195" s="2213"/>
      <c r="AW195" s="2217">
        <f t="shared" si="111"/>
        <v>-3.6505099999397501</v>
      </c>
      <c r="AX195" s="2217">
        <f t="shared" si="112"/>
        <v>6586.9800000008836</v>
      </c>
      <c r="AY195" s="2217">
        <f t="shared" si="93"/>
        <v>7.2165000000568398</v>
      </c>
      <c r="AZ195" s="2212">
        <v>140</v>
      </c>
      <c r="BA195" s="2208"/>
      <c r="BB195" s="263"/>
      <c r="BC195" s="2208"/>
      <c r="BD195" s="263"/>
      <c r="BE195" s="263"/>
      <c r="BF195" s="263"/>
      <c r="BG195" s="263"/>
      <c r="BH195" s="2208"/>
      <c r="BI195" s="2217">
        <f t="shared" si="113"/>
        <v>-1.4133949999221294</v>
      </c>
      <c r="BJ195" s="2217">
        <f t="shared" si="103"/>
        <v>6586.9800000008836</v>
      </c>
      <c r="BK195" s="2217">
        <f t="shared" si="94"/>
        <v>7.2165000000568398</v>
      </c>
      <c r="BL195" s="2212">
        <v>140</v>
      </c>
      <c r="BM195" s="2208"/>
      <c r="BN195" s="263"/>
      <c r="BO195" s="2208"/>
      <c r="BP195" s="263"/>
      <c r="BQ195" s="263"/>
      <c r="BR195" s="263"/>
      <c r="BS195" s="263"/>
      <c r="BT195" s="2208"/>
      <c r="BU195" s="2217">
        <f t="shared" si="114"/>
        <v>1.4736560779841952</v>
      </c>
      <c r="BV195" s="2217">
        <f t="shared" si="95"/>
        <v>8338.2143526461205</v>
      </c>
      <c r="BW195" s="2217">
        <f t="shared" si="104"/>
        <v>14.515518270436587</v>
      </c>
      <c r="BX195" s="2212">
        <v>140</v>
      </c>
      <c r="BY195" s="2219"/>
      <c r="BZ195" s="2213"/>
      <c r="CA195" s="2219"/>
      <c r="CB195" s="2213"/>
      <c r="CC195" s="2213"/>
      <c r="CD195" s="2213"/>
      <c r="CE195" s="2213"/>
      <c r="CF195" s="2208"/>
      <c r="CG195" s="2217">
        <f t="shared" si="115"/>
        <v>3.2155182704365863</v>
      </c>
      <c r="CH195" s="2217">
        <f t="shared" si="96"/>
        <v>8338.2143526461205</v>
      </c>
      <c r="CI195" s="2217">
        <f t="shared" si="105"/>
        <v>14.515518270436587</v>
      </c>
      <c r="CJ195" s="2212">
        <v>140</v>
      </c>
      <c r="CK195" s="2219"/>
      <c r="CL195" s="2213"/>
      <c r="CM195" s="2219"/>
      <c r="CN195" s="2213"/>
      <c r="CO195" s="2213"/>
      <c r="CP195" s="2213"/>
      <c r="CQ195" s="2213"/>
      <c r="CR195" s="2208"/>
      <c r="CS195" s="2217">
        <f t="shared" si="116"/>
        <v>-1.5577249999232663</v>
      </c>
      <c r="CT195" s="2217">
        <f t="shared" si="106"/>
        <v>6586.9800000008836</v>
      </c>
      <c r="CU195" s="2217">
        <f t="shared" si="97"/>
        <v>7.2165000000568398</v>
      </c>
      <c r="CV195" s="2212">
        <v>140</v>
      </c>
      <c r="CW195" s="2208"/>
      <c r="CX195" s="263"/>
      <c r="CY195" s="2208"/>
      <c r="CZ195" s="263"/>
      <c r="DA195" s="263"/>
      <c r="DB195" s="263"/>
      <c r="DC195" s="263"/>
      <c r="DD195" s="2208"/>
    </row>
    <row r="196" spans="1:108">
      <c r="A196" s="2217">
        <f t="shared" si="107"/>
        <v>5.6434039633337285</v>
      </c>
      <c r="B196" s="2217">
        <f t="shared" si="98"/>
        <v>8323.6988343756839</v>
      </c>
      <c r="C196" s="2217">
        <f t="shared" si="99"/>
        <v>14.733394750724983</v>
      </c>
      <c r="D196" s="2212">
        <v>139</v>
      </c>
      <c r="E196" s="2219"/>
      <c r="F196" s="2213"/>
      <c r="G196" s="2219"/>
      <c r="H196" s="2213"/>
      <c r="I196" s="2213"/>
      <c r="J196" s="2213"/>
      <c r="K196" s="2213"/>
      <c r="L196" s="2213"/>
      <c r="M196" s="2217">
        <f t="shared" si="108"/>
        <v>6.6747415958844769</v>
      </c>
      <c r="N196" s="2217">
        <f t="shared" si="90"/>
        <v>8323.6988343756839</v>
      </c>
      <c r="O196" s="2217">
        <f t="shared" si="100"/>
        <v>14.733394750724983</v>
      </c>
      <c r="P196" s="2212">
        <v>139</v>
      </c>
      <c r="Q196" s="2219"/>
      <c r="R196" s="2213"/>
      <c r="S196" s="2219"/>
      <c r="T196" s="2213"/>
      <c r="U196" s="2213"/>
      <c r="V196" s="2213"/>
      <c r="W196" s="2213"/>
      <c r="X196" s="2213"/>
      <c r="Y196" s="2217">
        <f t="shared" si="109"/>
        <v>8.0007471234497274</v>
      </c>
      <c r="Z196" s="2217">
        <f t="shared" si="91"/>
        <v>8323.6988343756839</v>
      </c>
      <c r="AA196" s="2217">
        <f t="shared" si="101"/>
        <v>14.733394750724983</v>
      </c>
      <c r="AB196" s="2212">
        <v>139</v>
      </c>
      <c r="AC196" s="2219"/>
      <c r="AD196" s="2213"/>
      <c r="AE196" s="2219"/>
      <c r="AF196" s="2213"/>
      <c r="AG196" s="2213"/>
      <c r="AH196" s="2213"/>
      <c r="AI196" s="2213"/>
      <c r="AJ196" s="2213"/>
      <c r="AK196" s="2217">
        <f t="shared" si="110"/>
        <v>1.6653873806379824</v>
      </c>
      <c r="AL196" s="2217">
        <f t="shared" si="92"/>
        <v>8323.6988343756839</v>
      </c>
      <c r="AM196" s="2217">
        <f t="shared" si="102"/>
        <v>14.733394750724983</v>
      </c>
      <c r="AN196" s="2212">
        <v>139</v>
      </c>
      <c r="AO196" s="2219"/>
      <c r="AP196" s="2213"/>
      <c r="AQ196" s="2219"/>
      <c r="AR196" s="2213"/>
      <c r="AS196" s="2213"/>
      <c r="AT196" s="2213"/>
      <c r="AU196" s="2213"/>
      <c r="AV196" s="2213"/>
      <c r="AW196" s="2217">
        <f t="shared" si="111"/>
        <v>-3.6257059999435661</v>
      </c>
      <c r="AX196" s="2217">
        <f t="shared" si="112"/>
        <v>6579.7635000008268</v>
      </c>
      <c r="AY196" s="2217">
        <f t="shared" si="93"/>
        <v>7.2399000000532396</v>
      </c>
      <c r="AZ196" s="2212">
        <v>139</v>
      </c>
      <c r="BA196" s="2208"/>
      <c r="BB196" s="263"/>
      <c r="BC196" s="2208"/>
      <c r="BD196" s="263"/>
      <c r="BE196" s="263"/>
      <c r="BF196" s="263"/>
      <c r="BG196" s="263"/>
      <c r="BH196" s="2208"/>
      <c r="BI196" s="2217">
        <f t="shared" si="113"/>
        <v>-1.3813369999270613</v>
      </c>
      <c r="BJ196" s="2217">
        <f t="shared" si="103"/>
        <v>6579.7635000008268</v>
      </c>
      <c r="BK196" s="2217">
        <f t="shared" si="94"/>
        <v>7.2399000000532396</v>
      </c>
      <c r="BL196" s="2212">
        <v>139</v>
      </c>
      <c r="BM196" s="2208"/>
      <c r="BN196" s="263"/>
      <c r="BO196" s="2208"/>
      <c r="BP196" s="263"/>
      <c r="BQ196" s="263"/>
      <c r="BR196" s="263"/>
      <c r="BS196" s="263"/>
      <c r="BT196" s="2208"/>
      <c r="BU196" s="2217">
        <f t="shared" si="114"/>
        <v>1.6653873806379824</v>
      </c>
      <c r="BV196" s="2217">
        <f t="shared" si="95"/>
        <v>8323.6988343756839</v>
      </c>
      <c r="BW196" s="2217">
        <f t="shared" si="104"/>
        <v>14.733394750724983</v>
      </c>
      <c r="BX196" s="2212">
        <v>139</v>
      </c>
      <c r="BY196" s="2219"/>
      <c r="BZ196" s="2213"/>
      <c r="CA196" s="2219"/>
      <c r="CB196" s="2213"/>
      <c r="CC196" s="2213"/>
      <c r="CD196" s="2213"/>
      <c r="CE196" s="2213"/>
      <c r="CF196" s="2208"/>
      <c r="CG196" s="2217">
        <f t="shared" si="115"/>
        <v>3.4333947507249825</v>
      </c>
      <c r="CH196" s="2217">
        <f t="shared" si="96"/>
        <v>8323.6988343756839</v>
      </c>
      <c r="CI196" s="2217">
        <f t="shared" si="105"/>
        <v>14.733394750724983</v>
      </c>
      <c r="CJ196" s="2212">
        <v>139</v>
      </c>
      <c r="CK196" s="2219"/>
      <c r="CL196" s="2213"/>
      <c r="CM196" s="2219"/>
      <c r="CN196" s="2213"/>
      <c r="CO196" s="2213"/>
      <c r="CP196" s="2213"/>
      <c r="CQ196" s="2213"/>
      <c r="CR196" s="2208"/>
      <c r="CS196" s="2217">
        <f t="shared" si="116"/>
        <v>-1.5261349999281268</v>
      </c>
      <c r="CT196" s="2217">
        <f t="shared" si="106"/>
        <v>6579.7635000008268</v>
      </c>
      <c r="CU196" s="2217">
        <f t="shared" si="97"/>
        <v>7.2399000000532396</v>
      </c>
      <c r="CV196" s="2212">
        <v>139</v>
      </c>
      <c r="CW196" s="2208"/>
      <c r="CX196" s="263"/>
      <c r="CY196" s="2208"/>
      <c r="CZ196" s="263"/>
      <c r="DA196" s="263"/>
      <c r="DB196" s="263"/>
      <c r="DC196" s="263"/>
      <c r="DD196" s="2208"/>
    </row>
    <row r="197" spans="1:108">
      <c r="A197" s="2217">
        <f t="shared" si="107"/>
        <v>5.8952748197569207</v>
      </c>
      <c r="B197" s="2217">
        <f t="shared" si="98"/>
        <v>8308.9654396249589</v>
      </c>
      <c r="C197" s="2217">
        <f t="shared" si="99"/>
        <v>14.952412886745151</v>
      </c>
      <c r="D197" s="2212">
        <v>138</v>
      </c>
      <c r="E197" s="2219"/>
      <c r="F197" s="2213"/>
      <c r="G197" s="2219"/>
      <c r="H197" s="2213"/>
      <c r="I197" s="2213"/>
      <c r="J197" s="2213"/>
      <c r="K197" s="2213"/>
      <c r="L197" s="2213"/>
      <c r="M197" s="2217">
        <f t="shared" si="108"/>
        <v>6.9419437218290838</v>
      </c>
      <c r="N197" s="2217">
        <f t="shared" si="90"/>
        <v>8308.9654396249589</v>
      </c>
      <c r="O197" s="2217">
        <f t="shared" si="100"/>
        <v>14.952412886745151</v>
      </c>
      <c r="P197" s="2212">
        <v>138</v>
      </c>
      <c r="Q197" s="2219"/>
      <c r="R197" s="2213"/>
      <c r="S197" s="2219"/>
      <c r="T197" s="2213"/>
      <c r="U197" s="2213"/>
      <c r="V197" s="2213"/>
      <c r="W197" s="2213"/>
      <c r="X197" s="2213"/>
      <c r="Y197" s="2217">
        <f t="shared" si="109"/>
        <v>8.2876608816361461</v>
      </c>
      <c r="Z197" s="2217">
        <f t="shared" si="91"/>
        <v>8308.9654396249589</v>
      </c>
      <c r="AA197" s="2217">
        <f t="shared" si="101"/>
        <v>14.952412886745151</v>
      </c>
      <c r="AB197" s="2212">
        <v>138</v>
      </c>
      <c r="AC197" s="2219"/>
      <c r="AD197" s="2213"/>
      <c r="AE197" s="2219"/>
      <c r="AF197" s="2213"/>
      <c r="AG197" s="2213"/>
      <c r="AH197" s="2213"/>
      <c r="AI197" s="2213"/>
      <c r="AJ197" s="2213"/>
      <c r="AK197" s="2217">
        <f t="shared" si="110"/>
        <v>1.8581233403357302</v>
      </c>
      <c r="AL197" s="2217">
        <f t="shared" si="92"/>
        <v>8308.9654396249589</v>
      </c>
      <c r="AM197" s="2217">
        <f t="shared" si="102"/>
        <v>14.952412886745151</v>
      </c>
      <c r="AN197" s="2212">
        <v>138</v>
      </c>
      <c r="AO197" s="2219"/>
      <c r="AP197" s="2213"/>
      <c r="AQ197" s="2219"/>
      <c r="AR197" s="2213"/>
      <c r="AS197" s="2213"/>
      <c r="AT197" s="2213"/>
      <c r="AU197" s="2213"/>
      <c r="AV197" s="2213"/>
      <c r="AW197" s="2217">
        <f t="shared" si="111"/>
        <v>-3.5970859999435199</v>
      </c>
      <c r="AX197" s="2217">
        <f t="shared" si="112"/>
        <v>6572.5236000007735</v>
      </c>
      <c r="AY197" s="2217">
        <f t="shared" si="93"/>
        <v>7.2669000000532833</v>
      </c>
      <c r="AZ197" s="2212">
        <v>138</v>
      </c>
      <c r="BA197" s="2208"/>
      <c r="BB197" s="263"/>
      <c r="BC197" s="2208"/>
      <c r="BD197" s="263"/>
      <c r="BE197" s="263"/>
      <c r="BF197" s="263"/>
      <c r="BG197" s="263"/>
      <c r="BH197" s="2208"/>
      <c r="BI197" s="2217">
        <f t="shared" si="113"/>
        <v>-1.3443469999270015</v>
      </c>
      <c r="BJ197" s="2217">
        <f t="shared" si="103"/>
        <v>6572.5236000007735</v>
      </c>
      <c r="BK197" s="2217">
        <f t="shared" si="94"/>
        <v>7.2669000000532833</v>
      </c>
      <c r="BL197" s="2212">
        <v>138</v>
      </c>
      <c r="BM197" s="2208"/>
      <c r="BN197" s="263"/>
      <c r="BO197" s="2208"/>
      <c r="BP197" s="263"/>
      <c r="BQ197" s="263"/>
      <c r="BR197" s="263"/>
      <c r="BS197" s="263"/>
      <c r="BT197" s="2208"/>
      <c r="BU197" s="2217">
        <f t="shared" si="114"/>
        <v>1.8581233403357302</v>
      </c>
      <c r="BV197" s="2217">
        <f t="shared" si="95"/>
        <v>8308.9654396249589</v>
      </c>
      <c r="BW197" s="2217">
        <f t="shared" si="104"/>
        <v>14.952412886745151</v>
      </c>
      <c r="BX197" s="2212">
        <v>138</v>
      </c>
      <c r="BY197" s="2219"/>
      <c r="BZ197" s="2213"/>
      <c r="CA197" s="2219"/>
      <c r="CB197" s="2213"/>
      <c r="CC197" s="2213"/>
      <c r="CD197" s="2213"/>
      <c r="CE197" s="2213"/>
      <c r="CF197" s="2208"/>
      <c r="CG197" s="2217">
        <f t="shared" si="115"/>
        <v>3.6524128867451502</v>
      </c>
      <c r="CH197" s="2217">
        <f t="shared" si="96"/>
        <v>8308.9654396249589</v>
      </c>
      <c r="CI197" s="2217">
        <f t="shared" si="105"/>
        <v>14.952412886745151</v>
      </c>
      <c r="CJ197" s="2212">
        <v>138</v>
      </c>
      <c r="CK197" s="2219"/>
      <c r="CL197" s="2213"/>
      <c r="CM197" s="2219"/>
      <c r="CN197" s="2213"/>
      <c r="CO197" s="2213"/>
      <c r="CP197" s="2213"/>
      <c r="CQ197" s="2213"/>
      <c r="CR197" s="2208"/>
      <c r="CS197" s="2217">
        <f t="shared" si="116"/>
        <v>-1.4896849999280679</v>
      </c>
      <c r="CT197" s="2217">
        <f t="shared" si="106"/>
        <v>6572.5236000007735</v>
      </c>
      <c r="CU197" s="2217">
        <f t="shared" si="97"/>
        <v>7.2669000000532833</v>
      </c>
      <c r="CV197" s="2212">
        <v>138</v>
      </c>
      <c r="CW197" s="2208"/>
      <c r="CX197" s="263"/>
      <c r="CY197" s="2208"/>
      <c r="CZ197" s="263"/>
      <c r="DA197" s="263"/>
      <c r="DB197" s="263"/>
      <c r="DC197" s="263"/>
      <c r="DD197" s="2208"/>
    </row>
    <row r="198" spans="1:108">
      <c r="A198" s="2217">
        <f t="shared" si="107"/>
        <v>6.1484585802779286</v>
      </c>
      <c r="B198" s="2217">
        <f t="shared" si="98"/>
        <v>8294.0130267382137</v>
      </c>
      <c r="C198" s="2217">
        <f t="shared" si="99"/>
        <v>15.172572678502547</v>
      </c>
      <c r="D198" s="2212">
        <v>137</v>
      </c>
      <c r="E198" s="2219"/>
      <c r="F198" s="2213"/>
      <c r="G198" s="2219"/>
      <c r="H198" s="2213"/>
      <c r="I198" s="2213"/>
      <c r="J198" s="2213"/>
      <c r="K198" s="2213"/>
      <c r="L198" s="2213"/>
      <c r="M198" s="2217">
        <f t="shared" si="108"/>
        <v>7.2105386677731076</v>
      </c>
      <c r="N198" s="2217">
        <f t="shared" si="90"/>
        <v>8294.0130267382137</v>
      </c>
      <c r="O198" s="2217">
        <f t="shared" si="100"/>
        <v>15.172572678502547</v>
      </c>
      <c r="P198" s="2212">
        <v>137</v>
      </c>
      <c r="Q198" s="2219"/>
      <c r="R198" s="2213"/>
      <c r="S198" s="2219"/>
      <c r="T198" s="2213"/>
      <c r="U198" s="2213"/>
      <c r="V198" s="2213"/>
      <c r="W198" s="2213"/>
      <c r="X198" s="2213"/>
      <c r="Y198" s="2217">
        <f t="shared" si="109"/>
        <v>8.5760702088383383</v>
      </c>
      <c r="Z198" s="2217">
        <f t="shared" si="91"/>
        <v>8294.0130267382137</v>
      </c>
      <c r="AA198" s="2217">
        <f t="shared" si="101"/>
        <v>15.172572678502547</v>
      </c>
      <c r="AB198" s="2212">
        <v>137</v>
      </c>
      <c r="AC198" s="2219"/>
      <c r="AD198" s="2213"/>
      <c r="AE198" s="2219"/>
      <c r="AF198" s="2213"/>
      <c r="AG198" s="2213"/>
      <c r="AH198" s="2213"/>
      <c r="AI198" s="2213"/>
      <c r="AJ198" s="2213"/>
      <c r="AK198" s="2217">
        <f t="shared" si="110"/>
        <v>2.0518639570822383</v>
      </c>
      <c r="AL198" s="2217">
        <f t="shared" si="92"/>
        <v>8294.0130267382137</v>
      </c>
      <c r="AM198" s="2217">
        <f t="shared" si="102"/>
        <v>15.172572678502547</v>
      </c>
      <c r="AN198" s="2212">
        <v>137</v>
      </c>
      <c r="AO198" s="2219"/>
      <c r="AP198" s="2213"/>
      <c r="AQ198" s="2219"/>
      <c r="AR198" s="2213"/>
      <c r="AS198" s="2213"/>
      <c r="AT198" s="2213"/>
      <c r="AU198" s="2213"/>
      <c r="AV198" s="2213"/>
      <c r="AW198" s="2217">
        <f t="shared" si="111"/>
        <v>-3.564649999945396</v>
      </c>
      <c r="AX198" s="2217">
        <f t="shared" si="112"/>
        <v>6565.2567000007202</v>
      </c>
      <c r="AY198" s="2217">
        <f t="shared" si="93"/>
        <v>7.2975000000515138</v>
      </c>
      <c r="AZ198" s="2212">
        <v>137</v>
      </c>
      <c r="BA198" s="2208"/>
      <c r="BB198" s="263"/>
      <c r="BC198" s="2208"/>
      <c r="BD198" s="263"/>
      <c r="BE198" s="263"/>
      <c r="BF198" s="263"/>
      <c r="BG198" s="263"/>
      <c r="BH198" s="2208"/>
      <c r="BI198" s="2217">
        <f t="shared" si="113"/>
        <v>-1.3024249999294266</v>
      </c>
      <c r="BJ198" s="2217">
        <f t="shared" si="103"/>
        <v>6565.2567000007202</v>
      </c>
      <c r="BK198" s="2217">
        <f t="shared" si="94"/>
        <v>7.2975000000515138</v>
      </c>
      <c r="BL198" s="2212">
        <v>137</v>
      </c>
      <c r="BM198" s="2208"/>
      <c r="BN198" s="263"/>
      <c r="BO198" s="2208"/>
      <c r="BP198" s="263"/>
      <c r="BQ198" s="263"/>
      <c r="BR198" s="263"/>
      <c r="BS198" s="263"/>
      <c r="BT198" s="2208"/>
      <c r="BU198" s="2217">
        <f t="shared" si="114"/>
        <v>2.0518639570822383</v>
      </c>
      <c r="BV198" s="2217">
        <f t="shared" si="95"/>
        <v>8294.0130267382137</v>
      </c>
      <c r="BW198" s="2217">
        <f t="shared" si="104"/>
        <v>15.172572678502547</v>
      </c>
      <c r="BX198" s="2212">
        <v>137</v>
      </c>
      <c r="BY198" s="2219"/>
      <c r="BZ198" s="2213"/>
      <c r="CA198" s="2219"/>
      <c r="CB198" s="2213"/>
      <c r="CC198" s="2213"/>
      <c r="CD198" s="2213"/>
      <c r="CE198" s="2213"/>
      <c r="CF198" s="2208"/>
      <c r="CG198" s="2217">
        <f t="shared" si="115"/>
        <v>3.8725726785025465</v>
      </c>
      <c r="CH198" s="2217">
        <f t="shared" si="96"/>
        <v>8294.0130267382137</v>
      </c>
      <c r="CI198" s="2217">
        <f t="shared" si="105"/>
        <v>15.172572678502547</v>
      </c>
      <c r="CJ198" s="2212">
        <v>137</v>
      </c>
      <c r="CK198" s="2219"/>
      <c r="CL198" s="2213"/>
      <c r="CM198" s="2219"/>
      <c r="CN198" s="2213"/>
      <c r="CO198" s="2213"/>
      <c r="CP198" s="2213"/>
      <c r="CQ198" s="2213"/>
      <c r="CR198" s="2208"/>
      <c r="CS198" s="2217">
        <f t="shared" si="116"/>
        <v>-1.448374999930456</v>
      </c>
      <c r="CT198" s="2217">
        <f t="shared" si="106"/>
        <v>6565.2567000007202</v>
      </c>
      <c r="CU198" s="2217">
        <f t="shared" si="97"/>
        <v>7.2975000000515138</v>
      </c>
      <c r="CV198" s="2212">
        <v>137</v>
      </c>
      <c r="CW198" s="2208"/>
      <c r="CX198" s="263"/>
      <c r="CY198" s="2208"/>
      <c r="CZ198" s="263"/>
      <c r="DA198" s="263"/>
      <c r="DB198" s="263"/>
      <c r="DC198" s="263"/>
      <c r="DD198" s="2208"/>
    </row>
    <row r="199" spans="1:108">
      <c r="A199" s="2217">
        <f t="shared" si="107"/>
        <v>6.4029552448925635</v>
      </c>
      <c r="B199" s="2217">
        <f t="shared" si="98"/>
        <v>8278.8404540597112</v>
      </c>
      <c r="C199" s="2217">
        <f t="shared" si="99"/>
        <v>15.393874125993534</v>
      </c>
      <c r="D199" s="2212">
        <v>136</v>
      </c>
      <c r="E199" s="2219"/>
      <c r="F199" s="2213"/>
      <c r="G199" s="2219"/>
      <c r="H199" s="2213"/>
      <c r="I199" s="2213"/>
      <c r="J199" s="2213"/>
      <c r="K199" s="2213"/>
      <c r="L199" s="2213"/>
      <c r="M199" s="2217">
        <f t="shared" si="108"/>
        <v>7.4805264337121109</v>
      </c>
      <c r="N199" s="2217">
        <f t="shared" si="90"/>
        <v>8278.8404540597112</v>
      </c>
      <c r="O199" s="2217">
        <f t="shared" si="100"/>
        <v>15.393874125993534</v>
      </c>
      <c r="P199" s="2212">
        <v>136</v>
      </c>
      <c r="Q199" s="2219"/>
      <c r="R199" s="2213"/>
      <c r="S199" s="2219"/>
      <c r="T199" s="2213"/>
      <c r="U199" s="2213"/>
      <c r="V199" s="2213"/>
      <c r="W199" s="2213"/>
      <c r="X199" s="2213"/>
      <c r="Y199" s="2217">
        <f t="shared" si="109"/>
        <v>8.865975105051529</v>
      </c>
      <c r="Z199" s="2217">
        <f t="shared" si="91"/>
        <v>8278.8404540597112</v>
      </c>
      <c r="AA199" s="2217">
        <f t="shared" si="101"/>
        <v>15.393874125993534</v>
      </c>
      <c r="AB199" s="2212">
        <v>136</v>
      </c>
      <c r="AC199" s="2219"/>
      <c r="AD199" s="2213"/>
      <c r="AE199" s="2219"/>
      <c r="AF199" s="2213"/>
      <c r="AG199" s="2213"/>
      <c r="AH199" s="2213"/>
      <c r="AI199" s="2213"/>
      <c r="AJ199" s="2213"/>
      <c r="AK199" s="2217">
        <f t="shared" si="110"/>
        <v>2.2466092308743075</v>
      </c>
      <c r="AL199" s="2217">
        <f t="shared" si="92"/>
        <v>8278.8404540597112</v>
      </c>
      <c r="AM199" s="2217">
        <f t="shared" si="102"/>
        <v>15.393874125993534</v>
      </c>
      <c r="AN199" s="2212">
        <v>136</v>
      </c>
      <c r="AO199" s="2219"/>
      <c r="AP199" s="2213"/>
      <c r="AQ199" s="2219"/>
      <c r="AR199" s="2213"/>
      <c r="AS199" s="2213"/>
      <c r="AT199" s="2213"/>
      <c r="AU199" s="2213"/>
      <c r="AV199" s="2213"/>
      <c r="AW199" s="2217">
        <f t="shared" si="111"/>
        <v>-3.5283979999424453</v>
      </c>
      <c r="AX199" s="2217">
        <f t="shared" si="112"/>
        <v>6557.9592000006687</v>
      </c>
      <c r="AY199" s="2217">
        <f t="shared" si="93"/>
        <v>7.3317000000542976</v>
      </c>
      <c r="AZ199" s="2212">
        <v>136</v>
      </c>
      <c r="BA199" s="2208"/>
      <c r="BB199" s="263"/>
      <c r="BC199" s="2208"/>
      <c r="BD199" s="263"/>
      <c r="BE199" s="263"/>
      <c r="BF199" s="263"/>
      <c r="BG199" s="263"/>
      <c r="BH199" s="2208"/>
      <c r="BI199" s="2217">
        <f t="shared" si="113"/>
        <v>-1.2555709999256131</v>
      </c>
      <c r="BJ199" s="2217">
        <f t="shared" si="103"/>
        <v>6557.9592000006687</v>
      </c>
      <c r="BK199" s="2217">
        <f t="shared" si="94"/>
        <v>7.3317000000542976</v>
      </c>
      <c r="BL199" s="2212">
        <v>136</v>
      </c>
      <c r="BM199" s="2208"/>
      <c r="BN199" s="263"/>
      <c r="BO199" s="2208"/>
      <c r="BP199" s="263"/>
      <c r="BQ199" s="263"/>
      <c r="BR199" s="263"/>
      <c r="BS199" s="263"/>
      <c r="BT199" s="2208"/>
      <c r="BU199" s="2217">
        <f t="shared" si="114"/>
        <v>2.2466092308743075</v>
      </c>
      <c r="BV199" s="2217">
        <f t="shared" si="95"/>
        <v>8278.8404540597112</v>
      </c>
      <c r="BW199" s="2217">
        <f t="shared" si="104"/>
        <v>15.393874125993534</v>
      </c>
      <c r="BX199" s="2212">
        <v>136</v>
      </c>
      <c r="BY199" s="2219"/>
      <c r="BZ199" s="2213"/>
      <c r="CA199" s="2219"/>
      <c r="CB199" s="2213"/>
      <c r="CC199" s="2213"/>
      <c r="CD199" s="2213"/>
      <c r="CE199" s="2213"/>
      <c r="CF199" s="2208"/>
      <c r="CG199" s="2217">
        <f t="shared" si="115"/>
        <v>4.0938741259935334</v>
      </c>
      <c r="CH199" s="2217">
        <f t="shared" si="96"/>
        <v>8278.8404540597112</v>
      </c>
      <c r="CI199" s="2217">
        <f t="shared" si="105"/>
        <v>15.393874125993534</v>
      </c>
      <c r="CJ199" s="2212">
        <v>136</v>
      </c>
      <c r="CK199" s="2219"/>
      <c r="CL199" s="2213"/>
      <c r="CM199" s="2219"/>
      <c r="CN199" s="2213"/>
      <c r="CO199" s="2213"/>
      <c r="CP199" s="2213"/>
      <c r="CQ199" s="2213"/>
      <c r="CR199" s="2208"/>
      <c r="CS199" s="2217">
        <f t="shared" si="116"/>
        <v>-1.402204999926699</v>
      </c>
      <c r="CT199" s="2217">
        <f t="shared" si="106"/>
        <v>6557.9592000006687</v>
      </c>
      <c r="CU199" s="2217">
        <f t="shared" si="97"/>
        <v>7.3317000000542976</v>
      </c>
      <c r="CV199" s="2212">
        <v>136</v>
      </c>
      <c r="CW199" s="2208"/>
      <c r="CX199" s="263"/>
      <c r="CY199" s="2208"/>
      <c r="CZ199" s="263"/>
      <c r="DA199" s="263"/>
      <c r="DB199" s="263"/>
      <c r="DC199" s="263"/>
      <c r="DD199" s="2208"/>
    </row>
    <row r="200" spans="1:108">
      <c r="A200" s="2217">
        <f t="shared" si="107"/>
        <v>6.658764813598733</v>
      </c>
      <c r="B200" s="2217">
        <f t="shared" si="98"/>
        <v>8263.4465799337177</v>
      </c>
      <c r="C200" s="2217">
        <f t="shared" si="99"/>
        <v>15.616317229216293</v>
      </c>
      <c r="D200" s="2212">
        <v>135</v>
      </c>
      <c r="E200" s="2219"/>
      <c r="F200" s="2213"/>
      <c r="G200" s="2219"/>
      <c r="H200" s="2213"/>
      <c r="I200" s="2213"/>
      <c r="J200" s="2213"/>
      <c r="K200" s="2213"/>
      <c r="L200" s="2213"/>
      <c r="M200" s="2217">
        <f t="shared" si="108"/>
        <v>7.7519070196438769</v>
      </c>
      <c r="N200" s="2217">
        <f t="shared" si="90"/>
        <v>8263.4465799337177</v>
      </c>
      <c r="O200" s="2217">
        <f t="shared" si="100"/>
        <v>15.616317229216293</v>
      </c>
      <c r="P200" s="2212">
        <v>135</v>
      </c>
      <c r="Q200" s="2219"/>
      <c r="R200" s="2213"/>
      <c r="S200" s="2219"/>
      <c r="T200" s="2213"/>
      <c r="U200" s="2213"/>
      <c r="V200" s="2213"/>
      <c r="W200" s="2213"/>
      <c r="X200" s="2213"/>
      <c r="Y200" s="2217">
        <f t="shared" si="109"/>
        <v>9.157375570273345</v>
      </c>
      <c r="Z200" s="2217">
        <f t="shared" si="91"/>
        <v>8263.4465799337177</v>
      </c>
      <c r="AA200" s="2217">
        <f t="shared" si="101"/>
        <v>15.616317229216293</v>
      </c>
      <c r="AB200" s="2212">
        <v>135</v>
      </c>
      <c r="AC200" s="2219"/>
      <c r="AD200" s="2213"/>
      <c r="AE200" s="2219"/>
      <c r="AF200" s="2213"/>
      <c r="AG200" s="2213"/>
      <c r="AH200" s="2213"/>
      <c r="AI200" s="2213"/>
      <c r="AJ200" s="2213"/>
      <c r="AK200" s="2217">
        <f t="shared" si="110"/>
        <v>2.4423591617103355</v>
      </c>
      <c r="AL200" s="2217">
        <f t="shared" si="92"/>
        <v>8263.4465799337177</v>
      </c>
      <c r="AM200" s="2217">
        <f t="shared" si="102"/>
        <v>15.616317229216293</v>
      </c>
      <c r="AN200" s="2212">
        <v>135</v>
      </c>
      <c r="AO200" s="2219"/>
      <c r="AP200" s="2213"/>
      <c r="AQ200" s="2219"/>
      <c r="AR200" s="2213"/>
      <c r="AS200" s="2213"/>
      <c r="AT200" s="2213"/>
      <c r="AU200" s="2213"/>
      <c r="AV200" s="2213"/>
      <c r="AW200" s="2217">
        <f t="shared" si="111"/>
        <v>-3.4883299999452726</v>
      </c>
      <c r="AX200" s="2217">
        <f t="shared" si="112"/>
        <v>6550.6275000006144</v>
      </c>
      <c r="AY200" s="2217">
        <f t="shared" si="93"/>
        <v>7.3695000000516302</v>
      </c>
      <c r="AZ200" s="2212">
        <v>135</v>
      </c>
      <c r="BA200" s="2208"/>
      <c r="BB200" s="263"/>
      <c r="BC200" s="2208"/>
      <c r="BD200" s="263"/>
      <c r="BE200" s="263"/>
      <c r="BF200" s="263"/>
      <c r="BG200" s="263"/>
      <c r="BH200" s="2208"/>
      <c r="BI200" s="2217">
        <f t="shared" si="113"/>
        <v>-1.2037849999292671</v>
      </c>
      <c r="BJ200" s="2217">
        <f t="shared" si="103"/>
        <v>6550.6275000006144</v>
      </c>
      <c r="BK200" s="2217">
        <f t="shared" si="94"/>
        <v>7.3695000000516302</v>
      </c>
      <c r="BL200" s="2212">
        <v>135</v>
      </c>
      <c r="BM200" s="2208"/>
      <c r="BN200" s="263"/>
      <c r="BO200" s="2208"/>
      <c r="BP200" s="263"/>
      <c r="BQ200" s="263"/>
      <c r="BR200" s="263"/>
      <c r="BS200" s="263"/>
      <c r="BT200" s="2208"/>
      <c r="BU200" s="2217">
        <f t="shared" si="114"/>
        <v>2.4423591617103355</v>
      </c>
      <c r="BV200" s="2217">
        <f t="shared" si="95"/>
        <v>8263.4465799337177</v>
      </c>
      <c r="BW200" s="2217">
        <f t="shared" si="104"/>
        <v>15.616317229216293</v>
      </c>
      <c r="BX200" s="2212">
        <v>135</v>
      </c>
      <c r="BY200" s="2219"/>
      <c r="BZ200" s="2213"/>
      <c r="CA200" s="2219"/>
      <c r="CB200" s="2213"/>
      <c r="CC200" s="2213"/>
      <c r="CD200" s="2213"/>
      <c r="CE200" s="2213"/>
      <c r="CF200" s="2208"/>
      <c r="CG200" s="2217">
        <f t="shared" si="115"/>
        <v>4.3163172292162919</v>
      </c>
      <c r="CH200" s="2217">
        <f t="shared" si="96"/>
        <v>8263.4465799337177</v>
      </c>
      <c r="CI200" s="2217">
        <f t="shared" si="105"/>
        <v>15.616317229216293</v>
      </c>
      <c r="CJ200" s="2212">
        <v>135</v>
      </c>
      <c r="CK200" s="2219"/>
      <c r="CL200" s="2213"/>
      <c r="CM200" s="2219"/>
      <c r="CN200" s="2213"/>
      <c r="CO200" s="2213"/>
      <c r="CP200" s="2213"/>
      <c r="CQ200" s="2213"/>
      <c r="CR200" s="2208"/>
      <c r="CS200" s="2217">
        <f t="shared" si="116"/>
        <v>-1.3511749999302989</v>
      </c>
      <c r="CT200" s="2217">
        <f t="shared" si="106"/>
        <v>6550.6275000006144</v>
      </c>
      <c r="CU200" s="2217">
        <f t="shared" si="97"/>
        <v>7.3695000000516302</v>
      </c>
      <c r="CV200" s="2212">
        <v>135</v>
      </c>
      <c r="CW200" s="2208"/>
      <c r="CX200" s="263"/>
      <c r="CY200" s="2208"/>
      <c r="CZ200" s="263"/>
      <c r="DA200" s="263"/>
      <c r="DB200" s="263"/>
      <c r="DC200" s="263"/>
      <c r="DD200" s="2208"/>
    </row>
    <row r="201" spans="1:108">
      <c r="A201" s="2217">
        <f t="shared" si="107"/>
        <v>6.9158872864048107</v>
      </c>
      <c r="B201" s="2217">
        <f t="shared" si="98"/>
        <v>8247.8302627045014</v>
      </c>
      <c r="C201" s="2217">
        <f t="shared" si="99"/>
        <v>15.839901988178099</v>
      </c>
      <c r="D201" s="2212">
        <v>134</v>
      </c>
      <c r="E201" s="2219"/>
      <c r="F201" s="2213"/>
      <c r="G201" s="2219"/>
      <c r="H201" s="2213"/>
      <c r="I201" s="2213"/>
      <c r="J201" s="2213"/>
      <c r="K201" s="2213"/>
      <c r="L201" s="2213"/>
      <c r="M201" s="2217">
        <f t="shared" si="108"/>
        <v>8.0246804255772801</v>
      </c>
      <c r="N201" s="2217">
        <f t="shared" si="90"/>
        <v>8247.8302627045014</v>
      </c>
      <c r="O201" s="2217">
        <f t="shared" si="100"/>
        <v>15.839901988178099</v>
      </c>
      <c r="P201" s="2212">
        <v>134</v>
      </c>
      <c r="Q201" s="2219"/>
      <c r="R201" s="2213"/>
      <c r="S201" s="2219"/>
      <c r="T201" s="2213"/>
      <c r="U201" s="2213"/>
      <c r="V201" s="2213"/>
      <c r="W201" s="2213"/>
      <c r="X201" s="2213"/>
      <c r="Y201" s="2217">
        <f t="shared" si="109"/>
        <v>9.4502716045133077</v>
      </c>
      <c r="Z201" s="2217">
        <f t="shared" si="91"/>
        <v>8247.8302627045014</v>
      </c>
      <c r="AA201" s="2217">
        <f t="shared" si="101"/>
        <v>15.839901988178099</v>
      </c>
      <c r="AB201" s="2212">
        <v>134</v>
      </c>
      <c r="AC201" s="2219"/>
      <c r="AD201" s="2213"/>
      <c r="AE201" s="2219"/>
      <c r="AF201" s="2213"/>
      <c r="AG201" s="2213"/>
      <c r="AH201" s="2213"/>
      <c r="AI201" s="2213"/>
      <c r="AJ201" s="2213"/>
      <c r="AK201" s="2217">
        <f t="shared" si="110"/>
        <v>2.6391137495967243</v>
      </c>
      <c r="AL201" s="2217">
        <f t="shared" si="92"/>
        <v>8247.8302627045014</v>
      </c>
      <c r="AM201" s="2217">
        <f t="shared" si="102"/>
        <v>15.839901988178099</v>
      </c>
      <c r="AN201" s="2212">
        <v>134</v>
      </c>
      <c r="AO201" s="2219"/>
      <c r="AP201" s="2213"/>
      <c r="AQ201" s="2219"/>
      <c r="AR201" s="2213"/>
      <c r="AS201" s="2213"/>
      <c r="AT201" s="2213"/>
      <c r="AU201" s="2213"/>
      <c r="AV201" s="2213"/>
      <c r="AW201" s="2217">
        <f t="shared" si="111"/>
        <v>-3.4444459999461658</v>
      </c>
      <c r="AX201" s="2217">
        <f t="shared" si="112"/>
        <v>6543.2580000005628</v>
      </c>
      <c r="AY201" s="2217">
        <f t="shared" si="93"/>
        <v>7.4109000000507876</v>
      </c>
      <c r="AZ201" s="2212">
        <v>134</v>
      </c>
      <c r="BA201" s="2208"/>
      <c r="BB201" s="263"/>
      <c r="BC201" s="2208"/>
      <c r="BD201" s="263"/>
      <c r="BE201" s="263"/>
      <c r="BF201" s="263"/>
      <c r="BG201" s="263"/>
      <c r="BH201" s="2208"/>
      <c r="BI201" s="2217">
        <f t="shared" si="113"/>
        <v>-1.1470669999304217</v>
      </c>
      <c r="BJ201" s="2217">
        <f t="shared" si="103"/>
        <v>6543.2580000005628</v>
      </c>
      <c r="BK201" s="2217">
        <f t="shared" si="94"/>
        <v>7.4109000000507876</v>
      </c>
      <c r="BL201" s="2212">
        <v>134</v>
      </c>
      <c r="BM201" s="2208"/>
      <c r="BN201" s="263"/>
      <c r="BO201" s="2208"/>
      <c r="BP201" s="263"/>
      <c r="BQ201" s="263"/>
      <c r="BR201" s="263"/>
      <c r="BS201" s="263"/>
      <c r="BT201" s="2208"/>
      <c r="BU201" s="2217">
        <f t="shared" si="114"/>
        <v>2.6391137495967243</v>
      </c>
      <c r="BV201" s="2217">
        <f t="shared" si="95"/>
        <v>8247.8302627045014</v>
      </c>
      <c r="BW201" s="2217">
        <f t="shared" si="104"/>
        <v>15.839901988178099</v>
      </c>
      <c r="BX201" s="2212">
        <v>134</v>
      </c>
      <c r="BY201" s="2219"/>
      <c r="BZ201" s="2213"/>
      <c r="CA201" s="2219"/>
      <c r="CB201" s="2213"/>
      <c r="CC201" s="2213"/>
      <c r="CD201" s="2213"/>
      <c r="CE201" s="2213"/>
      <c r="CF201" s="2208"/>
      <c r="CG201" s="2217">
        <f t="shared" si="115"/>
        <v>4.539901988178098</v>
      </c>
      <c r="CH201" s="2217">
        <f t="shared" si="96"/>
        <v>8247.8302627045014</v>
      </c>
      <c r="CI201" s="2217">
        <f t="shared" si="105"/>
        <v>15.839901988178099</v>
      </c>
      <c r="CJ201" s="2212">
        <v>134</v>
      </c>
      <c r="CK201" s="2219"/>
      <c r="CL201" s="2213"/>
      <c r="CM201" s="2219"/>
      <c r="CN201" s="2213"/>
      <c r="CO201" s="2213"/>
      <c r="CP201" s="2213"/>
      <c r="CQ201" s="2213"/>
      <c r="CR201" s="2208"/>
      <c r="CS201" s="2217">
        <f t="shared" si="116"/>
        <v>-1.295284999931436</v>
      </c>
      <c r="CT201" s="2217">
        <f t="shared" si="106"/>
        <v>6543.2580000005628</v>
      </c>
      <c r="CU201" s="2217">
        <f t="shared" si="97"/>
        <v>7.4109000000507876</v>
      </c>
      <c r="CV201" s="2212">
        <v>134</v>
      </c>
      <c r="CW201" s="2208"/>
      <c r="CX201" s="263"/>
      <c r="CY201" s="2208"/>
      <c r="CZ201" s="263"/>
      <c r="DA201" s="263"/>
      <c r="DB201" s="263"/>
      <c r="DC201" s="263"/>
      <c r="DD201" s="2208"/>
    </row>
    <row r="202" spans="1:108">
      <c r="A202" s="2217">
        <f t="shared" si="107"/>
        <v>7.174322663304519</v>
      </c>
      <c r="B202" s="2217">
        <f t="shared" si="98"/>
        <v>8231.9903607163233</v>
      </c>
      <c r="C202" s="2217">
        <f t="shared" si="99"/>
        <v>16.064628402873495</v>
      </c>
      <c r="D202" s="2212">
        <v>133</v>
      </c>
      <c r="E202" s="2219"/>
      <c r="F202" s="2213"/>
      <c r="G202" s="2219"/>
      <c r="H202" s="2213"/>
      <c r="I202" s="2213"/>
      <c r="J202" s="2213"/>
      <c r="K202" s="2213"/>
      <c r="L202" s="2213"/>
      <c r="M202" s="2217">
        <f t="shared" si="108"/>
        <v>8.2988466515056629</v>
      </c>
      <c r="N202" s="2217">
        <f t="shared" si="90"/>
        <v>8231.9903607163233</v>
      </c>
      <c r="O202" s="2217">
        <f t="shared" si="100"/>
        <v>16.064628402873495</v>
      </c>
      <c r="P202" s="2212">
        <v>133</v>
      </c>
      <c r="Q202" s="2219"/>
      <c r="R202" s="2213"/>
      <c r="S202" s="2219"/>
      <c r="T202" s="2213"/>
      <c r="U202" s="2213"/>
      <c r="V202" s="2213"/>
      <c r="W202" s="2213"/>
      <c r="X202" s="2213"/>
      <c r="Y202" s="2217">
        <f t="shared" si="109"/>
        <v>9.7446632077642796</v>
      </c>
      <c r="Z202" s="2217">
        <f t="shared" si="91"/>
        <v>8231.9903607163233</v>
      </c>
      <c r="AA202" s="2217">
        <f t="shared" si="101"/>
        <v>16.064628402873495</v>
      </c>
      <c r="AB202" s="2212">
        <v>133</v>
      </c>
      <c r="AC202" s="2219"/>
      <c r="AD202" s="2213"/>
      <c r="AE202" s="2219"/>
      <c r="AF202" s="2213"/>
      <c r="AG202" s="2213"/>
      <c r="AH202" s="2213"/>
      <c r="AI202" s="2213"/>
      <c r="AJ202" s="2213"/>
      <c r="AK202" s="2217">
        <f t="shared" si="110"/>
        <v>2.8368729945286741</v>
      </c>
      <c r="AL202" s="2217">
        <f t="shared" si="92"/>
        <v>8231.9903607163233</v>
      </c>
      <c r="AM202" s="2217">
        <f t="shared" si="102"/>
        <v>16.064628402873495</v>
      </c>
      <c r="AN202" s="2212">
        <v>133</v>
      </c>
      <c r="AO202" s="2219"/>
      <c r="AP202" s="2213"/>
      <c r="AQ202" s="2219"/>
      <c r="AR202" s="2213"/>
      <c r="AS202" s="2213"/>
      <c r="AT202" s="2213"/>
      <c r="AU202" s="2213"/>
      <c r="AV202" s="2213"/>
      <c r="AW202" s="2217">
        <f t="shared" si="111"/>
        <v>-3.3967459999470524</v>
      </c>
      <c r="AX202" s="2217">
        <f t="shared" si="112"/>
        <v>6535.847100000512</v>
      </c>
      <c r="AY202" s="2217">
        <f t="shared" si="93"/>
        <v>7.4559000000499509</v>
      </c>
      <c r="AZ202" s="2212">
        <v>133</v>
      </c>
      <c r="BA202" s="2208"/>
      <c r="BB202" s="263"/>
      <c r="BC202" s="2208"/>
      <c r="BD202" s="263"/>
      <c r="BE202" s="263"/>
      <c r="BF202" s="263"/>
      <c r="BG202" s="263"/>
      <c r="BH202" s="2208"/>
      <c r="BI202" s="2217">
        <f t="shared" si="113"/>
        <v>-1.0854169999315673</v>
      </c>
      <c r="BJ202" s="2217">
        <f t="shared" si="103"/>
        <v>6535.847100000512</v>
      </c>
      <c r="BK202" s="2217">
        <f t="shared" si="94"/>
        <v>7.4559000000499509</v>
      </c>
      <c r="BL202" s="2212">
        <v>133</v>
      </c>
      <c r="BM202" s="2208"/>
      <c r="BN202" s="263"/>
      <c r="BO202" s="2208"/>
      <c r="BP202" s="263"/>
      <c r="BQ202" s="263"/>
      <c r="BR202" s="263"/>
      <c r="BS202" s="263"/>
      <c r="BT202" s="2208"/>
      <c r="BU202" s="2217">
        <f t="shared" si="114"/>
        <v>2.8368729945286741</v>
      </c>
      <c r="BV202" s="2217">
        <f t="shared" si="95"/>
        <v>8231.9903607163233</v>
      </c>
      <c r="BW202" s="2217">
        <f t="shared" si="104"/>
        <v>16.064628402873495</v>
      </c>
      <c r="BX202" s="2212">
        <v>133</v>
      </c>
      <c r="BY202" s="2219"/>
      <c r="BZ202" s="2213"/>
      <c r="CA202" s="2219"/>
      <c r="CB202" s="2213"/>
      <c r="CC202" s="2213"/>
      <c r="CD202" s="2213"/>
      <c r="CE202" s="2213"/>
      <c r="CF202" s="2208"/>
      <c r="CG202" s="2217">
        <f t="shared" si="115"/>
        <v>4.7646284028734947</v>
      </c>
      <c r="CH202" s="2217">
        <f t="shared" si="96"/>
        <v>8231.9903607163233</v>
      </c>
      <c r="CI202" s="2217">
        <f t="shared" si="105"/>
        <v>16.064628402873495</v>
      </c>
      <c r="CJ202" s="2212">
        <v>133</v>
      </c>
      <c r="CK202" s="2219"/>
      <c r="CL202" s="2213"/>
      <c r="CM202" s="2219"/>
      <c r="CN202" s="2213"/>
      <c r="CO202" s="2213"/>
      <c r="CP202" s="2213"/>
      <c r="CQ202" s="2213"/>
      <c r="CR202" s="2208"/>
      <c r="CS202" s="2217">
        <f t="shared" si="116"/>
        <v>-1.234534999932567</v>
      </c>
      <c r="CT202" s="2217">
        <f t="shared" si="106"/>
        <v>6535.847100000512</v>
      </c>
      <c r="CU202" s="2217">
        <f t="shared" si="97"/>
        <v>7.4559000000499509</v>
      </c>
      <c r="CV202" s="2212">
        <v>133</v>
      </c>
      <c r="CW202" s="2208"/>
      <c r="CX202" s="263"/>
      <c r="CY202" s="2208"/>
      <c r="CZ202" s="263"/>
      <c r="DA202" s="263"/>
      <c r="DB202" s="263"/>
      <c r="DC202" s="263"/>
      <c r="DD202" s="2208"/>
    </row>
    <row r="203" spans="1:108">
      <c r="A203" s="2217">
        <f t="shared" si="107"/>
        <v>7.4340709442978543</v>
      </c>
      <c r="B203" s="2217">
        <f t="shared" si="98"/>
        <v>8215.9257323134498</v>
      </c>
      <c r="C203" s="2217">
        <f t="shared" si="99"/>
        <v>16.290496473302483</v>
      </c>
      <c r="D203" s="2212">
        <v>132</v>
      </c>
      <c r="E203" s="2219"/>
      <c r="F203" s="2213"/>
      <c r="G203" s="2219"/>
      <c r="H203" s="2213"/>
      <c r="I203" s="2213"/>
      <c r="J203" s="2213"/>
      <c r="K203" s="2213"/>
      <c r="L203" s="2213"/>
      <c r="M203" s="2217">
        <f t="shared" si="108"/>
        <v>8.5744056974290288</v>
      </c>
      <c r="N203" s="2217">
        <f t="shared" si="90"/>
        <v>8215.9257323134498</v>
      </c>
      <c r="O203" s="2217">
        <f t="shared" si="100"/>
        <v>16.290496473302483</v>
      </c>
      <c r="P203" s="2212">
        <v>132</v>
      </c>
      <c r="Q203" s="2219"/>
      <c r="R203" s="2213"/>
      <c r="S203" s="2219"/>
      <c r="T203" s="2213"/>
      <c r="U203" s="2213"/>
      <c r="V203" s="2213"/>
      <c r="W203" s="2213"/>
      <c r="X203" s="2213"/>
      <c r="Y203" s="2217">
        <f t="shared" si="109"/>
        <v>10.040550380026254</v>
      </c>
      <c r="Z203" s="2217">
        <f t="shared" si="91"/>
        <v>8215.9257323134498</v>
      </c>
      <c r="AA203" s="2217">
        <f t="shared" si="101"/>
        <v>16.290496473302483</v>
      </c>
      <c r="AB203" s="2212">
        <v>132</v>
      </c>
      <c r="AC203" s="2219"/>
      <c r="AD203" s="2213"/>
      <c r="AE203" s="2219"/>
      <c r="AF203" s="2213"/>
      <c r="AG203" s="2213"/>
      <c r="AH203" s="2213"/>
      <c r="AI203" s="2213"/>
      <c r="AJ203" s="2213"/>
      <c r="AK203" s="2217">
        <f t="shared" si="110"/>
        <v>3.0356368965061815</v>
      </c>
      <c r="AL203" s="2217">
        <f t="shared" si="92"/>
        <v>8215.9257323134498</v>
      </c>
      <c r="AM203" s="2217">
        <f t="shared" si="102"/>
        <v>16.290496473302483</v>
      </c>
      <c r="AN203" s="2212">
        <v>132</v>
      </c>
      <c r="AO203" s="2219"/>
      <c r="AP203" s="2213"/>
      <c r="AQ203" s="2219"/>
      <c r="AR203" s="2213"/>
      <c r="AS203" s="2213"/>
      <c r="AT203" s="2213"/>
      <c r="AU203" s="2213"/>
      <c r="AV203" s="2213"/>
      <c r="AW203" s="2217">
        <f t="shared" si="111"/>
        <v>-3.3452299999450412</v>
      </c>
      <c r="AX203" s="2217">
        <f t="shared" si="112"/>
        <v>6528.391200000462</v>
      </c>
      <c r="AY203" s="2217">
        <f t="shared" si="93"/>
        <v>7.5045000000518485</v>
      </c>
      <c r="AZ203" s="2212">
        <v>132</v>
      </c>
      <c r="BA203" s="2208"/>
      <c r="BB203" s="263"/>
      <c r="BC203" s="2208"/>
      <c r="BD203" s="263"/>
      <c r="BE203" s="263"/>
      <c r="BF203" s="263"/>
      <c r="BG203" s="263"/>
      <c r="BH203" s="2208"/>
      <c r="BI203" s="2217">
        <f t="shared" si="113"/>
        <v>-1.0188349999289681</v>
      </c>
      <c r="BJ203" s="2217">
        <f t="shared" si="103"/>
        <v>6528.391200000462</v>
      </c>
      <c r="BK203" s="2217">
        <f t="shared" si="94"/>
        <v>7.5045000000518485</v>
      </c>
      <c r="BL203" s="2212">
        <v>132</v>
      </c>
      <c r="BM203" s="2208"/>
      <c r="BN203" s="263"/>
      <c r="BO203" s="2208"/>
      <c r="BP203" s="263"/>
      <c r="BQ203" s="263"/>
      <c r="BR203" s="263"/>
      <c r="BS203" s="263"/>
      <c r="BT203" s="2208"/>
      <c r="BU203" s="2217">
        <f t="shared" si="114"/>
        <v>3.0356368965061815</v>
      </c>
      <c r="BV203" s="2217">
        <f t="shared" si="95"/>
        <v>8215.9257323134498</v>
      </c>
      <c r="BW203" s="2217">
        <f t="shared" si="104"/>
        <v>16.290496473302483</v>
      </c>
      <c r="BX203" s="2212">
        <v>132</v>
      </c>
      <c r="BY203" s="2219"/>
      <c r="BZ203" s="2213"/>
      <c r="CA203" s="2219"/>
      <c r="CB203" s="2213"/>
      <c r="CC203" s="2213"/>
      <c r="CD203" s="2213"/>
      <c r="CE203" s="2213"/>
      <c r="CF203" s="2208"/>
      <c r="CG203" s="2217">
        <f t="shared" si="115"/>
        <v>4.9904964733024819</v>
      </c>
      <c r="CH203" s="2217">
        <f t="shared" si="96"/>
        <v>8215.9257323134498</v>
      </c>
      <c r="CI203" s="2217">
        <f t="shared" si="105"/>
        <v>16.290496473302483</v>
      </c>
      <c r="CJ203" s="2212">
        <v>132</v>
      </c>
      <c r="CK203" s="2219"/>
      <c r="CL203" s="2213"/>
      <c r="CM203" s="2219"/>
      <c r="CN203" s="2213"/>
      <c r="CO203" s="2213"/>
      <c r="CP203" s="2213"/>
      <c r="CQ203" s="2213"/>
      <c r="CR203" s="2208"/>
      <c r="CS203" s="2217">
        <f t="shared" si="116"/>
        <v>-1.1689249999300042</v>
      </c>
      <c r="CT203" s="2217">
        <f t="shared" si="106"/>
        <v>6528.391200000462</v>
      </c>
      <c r="CU203" s="2217">
        <f t="shared" si="97"/>
        <v>7.5045000000518485</v>
      </c>
      <c r="CV203" s="2212">
        <v>132</v>
      </c>
      <c r="CW203" s="2208"/>
      <c r="CX203" s="263"/>
      <c r="CY203" s="2208"/>
      <c r="CZ203" s="263"/>
      <c r="DA203" s="263"/>
      <c r="DB203" s="263"/>
      <c r="DC203" s="263"/>
      <c r="DD203" s="2208"/>
    </row>
    <row r="204" spans="1:108">
      <c r="A204" s="2217">
        <f t="shared" si="107"/>
        <v>7.6951321293858648</v>
      </c>
      <c r="B204" s="2217">
        <f t="shared" si="98"/>
        <v>8199.6352358401473</v>
      </c>
      <c r="C204" s="2217">
        <f t="shared" si="99"/>
        <v>16.51750619946597</v>
      </c>
      <c r="D204" s="2212">
        <v>131</v>
      </c>
      <c r="E204" s="2219"/>
      <c r="F204" s="2213"/>
      <c r="G204" s="2219"/>
      <c r="H204" s="2213"/>
      <c r="I204" s="2213"/>
      <c r="J204" s="2213"/>
      <c r="K204" s="2213"/>
      <c r="L204" s="2213"/>
      <c r="M204" s="2217">
        <f t="shared" si="108"/>
        <v>8.8513575633484827</v>
      </c>
      <c r="N204" s="2217">
        <f t="shared" si="90"/>
        <v>8199.6352358401473</v>
      </c>
      <c r="O204" s="2217">
        <f t="shared" si="100"/>
        <v>16.51750619946597</v>
      </c>
      <c r="P204" s="2212">
        <v>131</v>
      </c>
      <c r="Q204" s="2219"/>
      <c r="R204" s="2213"/>
      <c r="S204" s="2219"/>
      <c r="T204" s="2213"/>
      <c r="U204" s="2213"/>
      <c r="V204" s="2213"/>
      <c r="W204" s="2213"/>
      <c r="X204" s="2213"/>
      <c r="Y204" s="2217">
        <f t="shared" si="109"/>
        <v>10.33793312130042</v>
      </c>
      <c r="Z204" s="2217">
        <f t="shared" si="91"/>
        <v>8199.6352358401473</v>
      </c>
      <c r="AA204" s="2217">
        <f t="shared" si="101"/>
        <v>16.51750619946597</v>
      </c>
      <c r="AB204" s="2212">
        <v>131</v>
      </c>
      <c r="AC204" s="2219"/>
      <c r="AD204" s="2213"/>
      <c r="AE204" s="2219"/>
      <c r="AF204" s="2213"/>
      <c r="AG204" s="2213"/>
      <c r="AH204" s="2213"/>
      <c r="AI204" s="2213"/>
      <c r="AJ204" s="2213"/>
      <c r="AK204" s="2217">
        <f t="shared" si="110"/>
        <v>3.2354054555300511</v>
      </c>
      <c r="AL204" s="2217">
        <f t="shared" si="92"/>
        <v>8199.6352358401473</v>
      </c>
      <c r="AM204" s="2217">
        <f t="shared" si="102"/>
        <v>16.51750619946597</v>
      </c>
      <c r="AN204" s="2212">
        <v>131</v>
      </c>
      <c r="AO204" s="2219"/>
      <c r="AP204" s="2213"/>
      <c r="AQ204" s="2219"/>
      <c r="AR204" s="2213"/>
      <c r="AS204" s="2213"/>
      <c r="AT204" s="2213"/>
      <c r="AU204" s="2213"/>
      <c r="AV204" s="2213"/>
      <c r="AW204" s="2217">
        <f t="shared" si="111"/>
        <v>-3.2898979999468789</v>
      </c>
      <c r="AX204" s="2217">
        <f t="shared" si="112"/>
        <v>6520.8867000004102</v>
      </c>
      <c r="AY204" s="2217">
        <f t="shared" si="93"/>
        <v>7.5567000000501139</v>
      </c>
      <c r="AZ204" s="2212">
        <v>131</v>
      </c>
      <c r="BA204" s="2208"/>
      <c r="BB204" s="263"/>
      <c r="BC204" s="2208"/>
      <c r="BD204" s="263"/>
      <c r="BE204" s="263"/>
      <c r="BF204" s="263"/>
      <c r="BG204" s="263"/>
      <c r="BH204" s="2208"/>
      <c r="BI204" s="2217">
        <f t="shared" si="113"/>
        <v>-0.94732099993134433</v>
      </c>
      <c r="BJ204" s="2217">
        <f t="shared" si="103"/>
        <v>6520.8867000004102</v>
      </c>
      <c r="BK204" s="2217">
        <f t="shared" si="94"/>
        <v>7.5567000000501139</v>
      </c>
      <c r="BL204" s="2212">
        <v>131</v>
      </c>
      <c r="BM204" s="2208"/>
      <c r="BN204" s="263"/>
      <c r="BO204" s="2208"/>
      <c r="BP204" s="263"/>
      <c r="BQ204" s="263"/>
      <c r="BR204" s="263"/>
      <c r="BS204" s="263"/>
      <c r="BT204" s="2208"/>
      <c r="BU204" s="2217">
        <f t="shared" si="114"/>
        <v>3.2354054555300511</v>
      </c>
      <c r="BV204" s="2217">
        <f t="shared" si="95"/>
        <v>8199.6352358401473</v>
      </c>
      <c r="BW204" s="2217">
        <f t="shared" si="104"/>
        <v>16.51750619946597</v>
      </c>
      <c r="BX204" s="2212">
        <v>131</v>
      </c>
      <c r="BY204" s="2219"/>
      <c r="BZ204" s="2213"/>
      <c r="CA204" s="2219"/>
      <c r="CB204" s="2213"/>
      <c r="CC204" s="2213"/>
      <c r="CD204" s="2213"/>
      <c r="CE204" s="2213"/>
      <c r="CF204" s="2208"/>
      <c r="CG204" s="2217">
        <f t="shared" si="115"/>
        <v>5.2175061994659693</v>
      </c>
      <c r="CH204" s="2217">
        <f t="shared" si="96"/>
        <v>8199.6352358401473</v>
      </c>
      <c r="CI204" s="2217">
        <f t="shared" si="105"/>
        <v>16.51750619946597</v>
      </c>
      <c r="CJ204" s="2212">
        <v>131</v>
      </c>
      <c r="CK204" s="2219"/>
      <c r="CL204" s="2213"/>
      <c r="CM204" s="2219"/>
      <c r="CN204" s="2213"/>
      <c r="CO204" s="2213"/>
      <c r="CP204" s="2213"/>
      <c r="CQ204" s="2213"/>
      <c r="CR204" s="2208"/>
      <c r="CS204" s="2217">
        <f t="shared" si="116"/>
        <v>-1.098454999932347</v>
      </c>
      <c r="CT204" s="2217">
        <f t="shared" si="106"/>
        <v>6520.8867000004102</v>
      </c>
      <c r="CU204" s="2217">
        <f t="shared" si="97"/>
        <v>7.5567000000501139</v>
      </c>
      <c r="CV204" s="2212">
        <v>131</v>
      </c>
      <c r="CW204" s="2208"/>
      <c r="CX204" s="263"/>
      <c r="CY204" s="2208"/>
      <c r="CZ204" s="263"/>
      <c r="DA204" s="263"/>
      <c r="DB204" s="263"/>
      <c r="DC204" s="263"/>
      <c r="DD204" s="2208"/>
    </row>
    <row r="205" spans="1:108">
      <c r="A205" s="2217">
        <f t="shared" si="107"/>
        <v>7.9575062185695948</v>
      </c>
      <c r="B205" s="2217">
        <f t="shared" si="98"/>
        <v>8183.1177296406813</v>
      </c>
      <c r="C205" s="2217">
        <f t="shared" si="99"/>
        <v>16.745657581364867</v>
      </c>
      <c r="D205" s="2212">
        <v>130</v>
      </c>
      <c r="E205" s="2219"/>
      <c r="F205" s="2213"/>
      <c r="G205" s="2219"/>
      <c r="H205" s="2213"/>
      <c r="I205" s="2213"/>
      <c r="J205" s="2213"/>
      <c r="K205" s="2213"/>
      <c r="L205" s="2213"/>
      <c r="M205" s="2217">
        <f t="shared" si="108"/>
        <v>9.1297022492651365</v>
      </c>
      <c r="N205" s="2217">
        <f t="shared" si="90"/>
        <v>8183.1177296406813</v>
      </c>
      <c r="O205" s="2217">
        <f t="shared" si="100"/>
        <v>16.745657581364867</v>
      </c>
      <c r="P205" s="2212">
        <v>130</v>
      </c>
      <c r="Q205" s="2219"/>
      <c r="R205" s="2213"/>
      <c r="S205" s="2219"/>
      <c r="T205" s="2213"/>
      <c r="U205" s="2213"/>
      <c r="V205" s="2213"/>
      <c r="W205" s="2213"/>
      <c r="X205" s="2213"/>
      <c r="Y205" s="2217">
        <f t="shared" si="109"/>
        <v>10.636811431587976</v>
      </c>
      <c r="Z205" s="2217">
        <f t="shared" si="91"/>
        <v>8183.1177296406813</v>
      </c>
      <c r="AA205" s="2217">
        <f t="shared" si="101"/>
        <v>16.745657581364867</v>
      </c>
      <c r="AB205" s="2212">
        <v>130</v>
      </c>
      <c r="AC205" s="2219"/>
      <c r="AD205" s="2213"/>
      <c r="AE205" s="2219"/>
      <c r="AF205" s="2213"/>
      <c r="AG205" s="2213"/>
      <c r="AH205" s="2213"/>
      <c r="AI205" s="2213"/>
      <c r="AJ205" s="2213"/>
      <c r="AK205" s="2217">
        <f t="shared" si="110"/>
        <v>3.4361786716010805</v>
      </c>
      <c r="AL205" s="2217">
        <f t="shared" si="92"/>
        <v>8183.1177296406813</v>
      </c>
      <c r="AM205" s="2217">
        <f t="shared" si="102"/>
        <v>16.745657581364867</v>
      </c>
      <c r="AN205" s="2212">
        <v>130</v>
      </c>
      <c r="AO205" s="2219"/>
      <c r="AP205" s="2213"/>
      <c r="AQ205" s="2219"/>
      <c r="AR205" s="2213"/>
      <c r="AS205" s="2213"/>
      <c r="AT205" s="2213"/>
      <c r="AU205" s="2213"/>
      <c r="AV205" s="2213"/>
      <c r="AW205" s="2217">
        <f t="shared" si="111"/>
        <v>-3.2307499999487117</v>
      </c>
      <c r="AX205" s="2217">
        <f t="shared" si="112"/>
        <v>6513.3300000003601</v>
      </c>
      <c r="AY205" s="2217">
        <f t="shared" si="93"/>
        <v>7.6125000000483851</v>
      </c>
      <c r="AZ205" s="2212">
        <v>130</v>
      </c>
      <c r="BA205" s="2208"/>
      <c r="BB205" s="263"/>
      <c r="BC205" s="2208"/>
      <c r="BD205" s="263"/>
      <c r="BE205" s="263"/>
      <c r="BF205" s="263"/>
      <c r="BG205" s="263"/>
      <c r="BH205" s="2208"/>
      <c r="BI205" s="2217">
        <f t="shared" si="113"/>
        <v>-0.87087499993371154</v>
      </c>
      <c r="BJ205" s="2217">
        <f t="shared" si="103"/>
        <v>6513.3300000003601</v>
      </c>
      <c r="BK205" s="2217">
        <f t="shared" si="94"/>
        <v>7.6125000000483851</v>
      </c>
      <c r="BL205" s="2212">
        <v>130</v>
      </c>
      <c r="BM205" s="2208"/>
      <c r="BN205" s="263"/>
      <c r="BO205" s="2208"/>
      <c r="BP205" s="263"/>
      <c r="BQ205" s="263"/>
      <c r="BR205" s="263"/>
      <c r="BS205" s="263"/>
      <c r="BT205" s="2208"/>
      <c r="BU205" s="2217">
        <f t="shared" si="114"/>
        <v>3.4361786716010805</v>
      </c>
      <c r="BV205" s="2217">
        <f t="shared" si="95"/>
        <v>8183.1177296406813</v>
      </c>
      <c r="BW205" s="2217">
        <f t="shared" si="104"/>
        <v>16.745657581364867</v>
      </c>
      <c r="BX205" s="2212">
        <v>130</v>
      </c>
      <c r="BY205" s="2219"/>
      <c r="BZ205" s="2213"/>
      <c r="CA205" s="2219"/>
      <c r="CB205" s="2213"/>
      <c r="CC205" s="2213"/>
      <c r="CD205" s="2213"/>
      <c r="CE205" s="2213"/>
      <c r="CF205" s="2208"/>
      <c r="CG205" s="2217">
        <f t="shared" si="115"/>
        <v>5.4456575813648662</v>
      </c>
      <c r="CH205" s="2217">
        <f t="shared" si="96"/>
        <v>8183.1177296406813</v>
      </c>
      <c r="CI205" s="2217">
        <f t="shared" si="105"/>
        <v>16.745657581364867</v>
      </c>
      <c r="CJ205" s="2212">
        <v>130</v>
      </c>
      <c r="CK205" s="2219"/>
      <c r="CL205" s="2213"/>
      <c r="CM205" s="2219"/>
      <c r="CN205" s="2213"/>
      <c r="CO205" s="2213"/>
      <c r="CP205" s="2213"/>
      <c r="CQ205" s="2213"/>
      <c r="CR205" s="2208"/>
      <c r="CS205" s="2217">
        <f t="shared" si="116"/>
        <v>-1.0231249999346801</v>
      </c>
      <c r="CT205" s="2217">
        <f t="shared" si="106"/>
        <v>6513.3300000003601</v>
      </c>
      <c r="CU205" s="2217">
        <f t="shared" si="97"/>
        <v>7.6125000000483851</v>
      </c>
      <c r="CV205" s="2212">
        <v>130</v>
      </c>
      <c r="CW205" s="2208"/>
      <c r="CX205" s="263"/>
      <c r="CY205" s="2208"/>
      <c r="CZ205" s="263"/>
      <c r="DA205" s="263"/>
      <c r="DB205" s="263"/>
      <c r="DC205" s="263"/>
      <c r="DD205" s="2208"/>
    </row>
    <row r="206" spans="1:108">
      <c r="A206" s="2217">
        <f t="shared" si="107"/>
        <v>8.221193211848</v>
      </c>
      <c r="B206" s="2217">
        <f t="shared" si="98"/>
        <v>8166.3720720593165</v>
      </c>
      <c r="C206" s="2217">
        <f t="shared" si="99"/>
        <v>16.974950618998264</v>
      </c>
      <c r="D206" s="2212">
        <v>129</v>
      </c>
      <c r="E206" s="2219"/>
      <c r="F206" s="2213"/>
      <c r="G206" s="2219"/>
      <c r="H206" s="2213"/>
      <c r="I206" s="2213"/>
      <c r="J206" s="2213"/>
      <c r="K206" s="2213"/>
      <c r="L206" s="2213"/>
      <c r="M206" s="2217">
        <f t="shared" si="108"/>
        <v>9.4094397551778819</v>
      </c>
      <c r="N206" s="2217">
        <f t="shared" si="90"/>
        <v>8166.3720720593165</v>
      </c>
      <c r="O206" s="2217">
        <f t="shared" si="100"/>
        <v>16.974950618998264</v>
      </c>
      <c r="P206" s="2212">
        <v>129</v>
      </c>
      <c r="Q206" s="2219"/>
      <c r="R206" s="2213"/>
      <c r="S206" s="2219"/>
      <c r="T206" s="2213"/>
      <c r="U206" s="2213"/>
      <c r="V206" s="2213"/>
      <c r="W206" s="2213"/>
      <c r="X206" s="2213"/>
      <c r="Y206" s="2217">
        <f t="shared" si="109"/>
        <v>10.937185310887727</v>
      </c>
      <c r="Z206" s="2217">
        <f t="shared" si="91"/>
        <v>8166.3720720593165</v>
      </c>
      <c r="AA206" s="2217">
        <f t="shared" si="101"/>
        <v>16.974950618998264</v>
      </c>
      <c r="AB206" s="2212">
        <v>129</v>
      </c>
      <c r="AC206" s="2219"/>
      <c r="AD206" s="2213"/>
      <c r="AE206" s="2219"/>
      <c r="AF206" s="2213"/>
      <c r="AG206" s="2213"/>
      <c r="AH206" s="2213"/>
      <c r="AI206" s="2213"/>
      <c r="AJ206" s="2213"/>
      <c r="AK206" s="2217">
        <f t="shared" si="110"/>
        <v>3.6379565447184703</v>
      </c>
      <c r="AL206" s="2217">
        <f t="shared" si="92"/>
        <v>8166.3720720593165</v>
      </c>
      <c r="AM206" s="2217">
        <f t="shared" si="102"/>
        <v>16.974950618998264</v>
      </c>
      <c r="AN206" s="2212">
        <v>129</v>
      </c>
      <c r="AO206" s="2219"/>
      <c r="AP206" s="2213"/>
      <c r="AQ206" s="2219"/>
      <c r="AR206" s="2213"/>
      <c r="AS206" s="2213"/>
      <c r="AT206" s="2213"/>
      <c r="AU206" s="2213"/>
      <c r="AV206" s="2213"/>
      <c r="AW206" s="2217">
        <f t="shared" si="111"/>
        <v>-3.1677859999495741</v>
      </c>
      <c r="AX206" s="2217">
        <f t="shared" si="112"/>
        <v>6505.7175000003117</v>
      </c>
      <c r="AY206" s="2217">
        <f t="shared" si="93"/>
        <v>7.6719000000475717</v>
      </c>
      <c r="AZ206" s="2212">
        <v>129</v>
      </c>
      <c r="BA206" s="2208"/>
      <c r="BB206" s="263"/>
      <c r="BC206" s="2208"/>
      <c r="BD206" s="263"/>
      <c r="BE206" s="263"/>
      <c r="BF206" s="263"/>
      <c r="BG206" s="263"/>
      <c r="BH206" s="2208"/>
      <c r="BI206" s="2217">
        <f t="shared" si="113"/>
        <v>-0.78949699993482625</v>
      </c>
      <c r="BJ206" s="2217">
        <f t="shared" si="103"/>
        <v>6505.7175000003117</v>
      </c>
      <c r="BK206" s="2217">
        <f t="shared" si="94"/>
        <v>7.6719000000475717</v>
      </c>
      <c r="BL206" s="2212">
        <v>129</v>
      </c>
      <c r="BM206" s="2208"/>
      <c r="BN206" s="263"/>
      <c r="BO206" s="2208"/>
      <c r="BP206" s="263"/>
      <c r="BQ206" s="263"/>
      <c r="BR206" s="263"/>
      <c r="BS206" s="263"/>
      <c r="BT206" s="2208"/>
      <c r="BU206" s="2217">
        <f t="shared" si="114"/>
        <v>3.6379565447184703</v>
      </c>
      <c r="BV206" s="2217">
        <f t="shared" si="95"/>
        <v>8166.3720720593165</v>
      </c>
      <c r="BW206" s="2217">
        <f t="shared" si="104"/>
        <v>16.974950618998264</v>
      </c>
      <c r="BX206" s="2212">
        <v>129</v>
      </c>
      <c r="BY206" s="2219"/>
      <c r="BZ206" s="2213"/>
      <c r="CA206" s="2219"/>
      <c r="CB206" s="2213"/>
      <c r="CC206" s="2213"/>
      <c r="CD206" s="2213"/>
      <c r="CE206" s="2213"/>
      <c r="CF206" s="2208"/>
      <c r="CG206" s="2217">
        <f t="shared" si="115"/>
        <v>5.6749506189982633</v>
      </c>
      <c r="CH206" s="2217">
        <f t="shared" si="96"/>
        <v>8166.3720720593165</v>
      </c>
      <c r="CI206" s="2217">
        <f t="shared" si="105"/>
        <v>16.974950618998264</v>
      </c>
      <c r="CJ206" s="2212">
        <v>129</v>
      </c>
      <c r="CK206" s="2219"/>
      <c r="CL206" s="2213"/>
      <c r="CM206" s="2219"/>
      <c r="CN206" s="2213"/>
      <c r="CO206" s="2213"/>
      <c r="CP206" s="2213"/>
      <c r="CQ206" s="2213"/>
      <c r="CR206" s="2208"/>
      <c r="CS206" s="2217">
        <f t="shared" si="116"/>
        <v>-0.9429349999357779</v>
      </c>
      <c r="CT206" s="2217">
        <f t="shared" si="106"/>
        <v>6505.7175000003117</v>
      </c>
      <c r="CU206" s="2217">
        <f t="shared" si="97"/>
        <v>7.6719000000475717</v>
      </c>
      <c r="CV206" s="2212">
        <v>129</v>
      </c>
      <c r="CW206" s="2208"/>
      <c r="CX206" s="263"/>
      <c r="CY206" s="2208"/>
      <c r="CZ206" s="263"/>
      <c r="DA206" s="263"/>
      <c r="DB206" s="263"/>
      <c r="DC206" s="263"/>
      <c r="DD206" s="2208"/>
    </row>
    <row r="207" spans="1:108">
      <c r="A207" s="2217">
        <f t="shared" si="107"/>
        <v>8.4861931092221283</v>
      </c>
      <c r="B207" s="2217">
        <f t="shared" si="98"/>
        <v>8149.3971214403182</v>
      </c>
      <c r="C207" s="2217">
        <f t="shared" si="99"/>
        <v>17.205385312367071</v>
      </c>
      <c r="D207" s="2212">
        <v>128</v>
      </c>
      <c r="E207" s="2219"/>
      <c r="F207" s="2213"/>
      <c r="G207" s="2219"/>
      <c r="H207" s="2213"/>
      <c r="I207" s="2213"/>
      <c r="J207" s="2213"/>
      <c r="K207" s="2213"/>
      <c r="L207" s="2213"/>
      <c r="M207" s="2217">
        <f t="shared" si="108"/>
        <v>9.6905700810878237</v>
      </c>
      <c r="N207" s="2217">
        <f t="shared" si="90"/>
        <v>8149.3971214403182</v>
      </c>
      <c r="O207" s="2217">
        <f t="shared" si="100"/>
        <v>17.205385312367071</v>
      </c>
      <c r="P207" s="2212">
        <v>128</v>
      </c>
      <c r="Q207" s="2219"/>
      <c r="R207" s="2213"/>
      <c r="S207" s="2219"/>
      <c r="T207" s="2213"/>
      <c r="U207" s="2213"/>
      <c r="V207" s="2213"/>
      <c r="W207" s="2213"/>
      <c r="X207" s="2213"/>
      <c r="Y207" s="2217">
        <f t="shared" si="109"/>
        <v>11.239054759200862</v>
      </c>
      <c r="Z207" s="2217">
        <f t="shared" si="91"/>
        <v>8149.3971214403182</v>
      </c>
      <c r="AA207" s="2217">
        <f t="shared" si="101"/>
        <v>17.205385312367071</v>
      </c>
      <c r="AB207" s="2212">
        <v>128</v>
      </c>
      <c r="AC207" s="2219"/>
      <c r="AD207" s="2213"/>
      <c r="AE207" s="2219"/>
      <c r="AF207" s="2213"/>
      <c r="AG207" s="2213"/>
      <c r="AH207" s="2213"/>
      <c r="AI207" s="2213"/>
      <c r="AJ207" s="2213"/>
      <c r="AK207" s="2217">
        <f t="shared" si="110"/>
        <v>3.8407390748830199</v>
      </c>
      <c r="AL207" s="2217">
        <f t="shared" si="92"/>
        <v>8149.3971214403182</v>
      </c>
      <c r="AM207" s="2217">
        <f t="shared" si="102"/>
        <v>17.205385312367071</v>
      </c>
      <c r="AN207" s="2212">
        <v>128</v>
      </c>
      <c r="AO207" s="2219"/>
      <c r="AP207" s="2213"/>
      <c r="AQ207" s="2219"/>
      <c r="AR207" s="2213"/>
      <c r="AS207" s="2213"/>
      <c r="AT207" s="2213"/>
      <c r="AU207" s="2213"/>
      <c r="AV207" s="2213"/>
      <c r="AW207" s="2217">
        <f t="shared" si="111"/>
        <v>-3.1010059999494661</v>
      </c>
      <c r="AX207" s="2217">
        <f t="shared" si="112"/>
        <v>6498.0456000002641</v>
      </c>
      <c r="AY207" s="2217">
        <f t="shared" si="93"/>
        <v>7.7349000000476735</v>
      </c>
      <c r="AZ207" s="2212">
        <v>128</v>
      </c>
      <c r="BA207" s="2208"/>
      <c r="BB207" s="263"/>
      <c r="BC207" s="2208"/>
      <c r="BD207" s="263"/>
      <c r="BE207" s="263"/>
      <c r="BF207" s="263"/>
      <c r="BG207" s="263"/>
      <c r="BH207" s="2208"/>
      <c r="BI207" s="2217">
        <f t="shared" si="113"/>
        <v>-0.7031869999346867</v>
      </c>
      <c r="BJ207" s="2217">
        <f t="shared" si="103"/>
        <v>6498.0456000002641</v>
      </c>
      <c r="BK207" s="2217">
        <f t="shared" si="94"/>
        <v>7.7349000000476735</v>
      </c>
      <c r="BL207" s="2212">
        <v>128</v>
      </c>
      <c r="BM207" s="2208"/>
      <c r="BN207" s="263"/>
      <c r="BO207" s="2208"/>
      <c r="BP207" s="263"/>
      <c r="BQ207" s="263"/>
      <c r="BR207" s="263"/>
      <c r="BS207" s="263"/>
      <c r="BT207" s="2208"/>
      <c r="BU207" s="2217">
        <f t="shared" si="114"/>
        <v>3.8407390748830199</v>
      </c>
      <c r="BV207" s="2217">
        <f t="shared" si="95"/>
        <v>8149.3971214403182</v>
      </c>
      <c r="BW207" s="2217">
        <f t="shared" si="104"/>
        <v>17.205385312367071</v>
      </c>
      <c r="BX207" s="2212">
        <v>128</v>
      </c>
      <c r="BY207" s="2219"/>
      <c r="BZ207" s="2213"/>
      <c r="CA207" s="2219"/>
      <c r="CB207" s="2213"/>
      <c r="CC207" s="2213"/>
      <c r="CD207" s="2213"/>
      <c r="CE207" s="2213"/>
      <c r="CF207" s="2208"/>
      <c r="CG207" s="2217">
        <f t="shared" si="115"/>
        <v>5.9053853123670699</v>
      </c>
      <c r="CH207" s="2217">
        <f t="shared" si="96"/>
        <v>8149.3971214403182</v>
      </c>
      <c r="CI207" s="2217">
        <f t="shared" si="105"/>
        <v>17.205385312367071</v>
      </c>
      <c r="CJ207" s="2212">
        <v>128</v>
      </c>
      <c r="CK207" s="2219"/>
      <c r="CL207" s="2213"/>
      <c r="CM207" s="2219"/>
      <c r="CN207" s="2213"/>
      <c r="CO207" s="2213"/>
      <c r="CP207" s="2213"/>
      <c r="CQ207" s="2213"/>
      <c r="CR207" s="2208"/>
      <c r="CS207" s="2217">
        <f t="shared" si="116"/>
        <v>-0.85788499993564038</v>
      </c>
      <c r="CT207" s="2217">
        <f t="shared" si="106"/>
        <v>6498.0456000002641</v>
      </c>
      <c r="CU207" s="2217">
        <f t="shared" si="97"/>
        <v>7.7349000000476735</v>
      </c>
      <c r="CV207" s="2212">
        <v>128</v>
      </c>
      <c r="CW207" s="2208"/>
      <c r="CX207" s="263"/>
      <c r="CY207" s="2208"/>
      <c r="CZ207" s="263"/>
      <c r="DA207" s="263"/>
      <c r="DB207" s="263"/>
      <c r="DC207" s="263"/>
      <c r="DD207" s="2208"/>
    </row>
    <row r="208" spans="1:108">
      <c r="A208" s="2217">
        <f t="shared" si="107"/>
        <v>8.7525059106888392</v>
      </c>
      <c r="B208" s="2217">
        <f t="shared" si="98"/>
        <v>8132.1917361279511</v>
      </c>
      <c r="C208" s="2217">
        <f t="shared" si="99"/>
        <v>17.436961661468558</v>
      </c>
      <c r="D208" s="2212">
        <v>127</v>
      </c>
      <c r="E208" s="2219"/>
      <c r="F208" s="2213"/>
      <c r="G208" s="2219"/>
      <c r="H208" s="2213"/>
      <c r="I208" s="2213"/>
      <c r="J208" s="2213"/>
      <c r="K208" s="2213"/>
      <c r="L208" s="2213"/>
      <c r="M208" s="2217">
        <f t="shared" si="108"/>
        <v>9.9730932269916401</v>
      </c>
      <c r="N208" s="2217">
        <f t="shared" si="90"/>
        <v>8132.1917361279511</v>
      </c>
      <c r="O208" s="2217">
        <f t="shared" si="100"/>
        <v>17.436961661468558</v>
      </c>
      <c r="P208" s="2212">
        <v>127</v>
      </c>
      <c r="Q208" s="2219"/>
      <c r="R208" s="2213"/>
      <c r="S208" s="2219"/>
      <c r="T208" s="2213"/>
      <c r="U208" s="2213"/>
      <c r="V208" s="2213"/>
      <c r="W208" s="2213"/>
      <c r="X208" s="2213"/>
      <c r="Y208" s="2217">
        <f t="shared" si="109"/>
        <v>11.542419776523811</v>
      </c>
      <c r="Z208" s="2217">
        <f t="shared" si="91"/>
        <v>8132.1917361279511</v>
      </c>
      <c r="AA208" s="2217">
        <f t="shared" si="101"/>
        <v>17.436961661468558</v>
      </c>
      <c r="AB208" s="2212">
        <v>127</v>
      </c>
      <c r="AC208" s="2219"/>
      <c r="AD208" s="2213"/>
      <c r="AE208" s="2219"/>
      <c r="AF208" s="2213"/>
      <c r="AG208" s="2213"/>
      <c r="AH208" s="2213"/>
      <c r="AI208" s="2213"/>
      <c r="AJ208" s="2213"/>
      <c r="AK208" s="2217">
        <f t="shared" si="110"/>
        <v>4.0445262620923295</v>
      </c>
      <c r="AL208" s="2217">
        <f t="shared" si="92"/>
        <v>8132.1917361279511</v>
      </c>
      <c r="AM208" s="2217">
        <f t="shared" si="102"/>
        <v>17.436961661468558</v>
      </c>
      <c r="AN208" s="2212">
        <v>127</v>
      </c>
      <c r="AO208" s="2219"/>
      <c r="AP208" s="2213"/>
      <c r="AQ208" s="2219"/>
      <c r="AR208" s="2213"/>
      <c r="AS208" s="2213"/>
      <c r="AT208" s="2213"/>
      <c r="AU208" s="2213"/>
      <c r="AV208" s="2213"/>
      <c r="AW208" s="2217">
        <f t="shared" si="111"/>
        <v>-3.0304099999483878</v>
      </c>
      <c r="AX208" s="2217">
        <f t="shared" si="112"/>
        <v>6490.3107000002165</v>
      </c>
      <c r="AY208" s="2217">
        <f t="shared" si="93"/>
        <v>7.8015000000486907</v>
      </c>
      <c r="AZ208" s="2212">
        <v>127</v>
      </c>
      <c r="BA208" s="2208"/>
      <c r="BB208" s="263"/>
      <c r="BC208" s="2208"/>
      <c r="BD208" s="263"/>
      <c r="BE208" s="263"/>
      <c r="BF208" s="263"/>
      <c r="BG208" s="263"/>
      <c r="BH208" s="2208"/>
      <c r="BI208" s="2217">
        <f t="shared" si="113"/>
        <v>-0.61194499993329288</v>
      </c>
      <c r="BJ208" s="2217">
        <f t="shared" si="103"/>
        <v>6490.3107000002165</v>
      </c>
      <c r="BK208" s="2217">
        <f t="shared" si="94"/>
        <v>7.8015000000486907</v>
      </c>
      <c r="BL208" s="2212">
        <v>127</v>
      </c>
      <c r="BM208" s="2208"/>
      <c r="BN208" s="263"/>
      <c r="BO208" s="2208"/>
      <c r="BP208" s="263"/>
      <c r="BQ208" s="263"/>
      <c r="BR208" s="263"/>
      <c r="BS208" s="263"/>
      <c r="BT208" s="2208"/>
      <c r="BU208" s="2217">
        <f t="shared" si="114"/>
        <v>4.0445262620923295</v>
      </c>
      <c r="BV208" s="2217">
        <f t="shared" si="95"/>
        <v>8132.1917361279511</v>
      </c>
      <c r="BW208" s="2217">
        <f t="shared" si="104"/>
        <v>17.436961661468558</v>
      </c>
      <c r="BX208" s="2212">
        <v>127</v>
      </c>
      <c r="BY208" s="2219"/>
      <c r="BZ208" s="2213"/>
      <c r="CA208" s="2219"/>
      <c r="CB208" s="2213"/>
      <c r="CC208" s="2213"/>
      <c r="CD208" s="2213"/>
      <c r="CE208" s="2213"/>
      <c r="CF208" s="2208"/>
      <c r="CG208" s="2217">
        <f t="shared" si="115"/>
        <v>6.1369616614685576</v>
      </c>
      <c r="CH208" s="2217">
        <f t="shared" si="96"/>
        <v>8132.1917361279511</v>
      </c>
      <c r="CI208" s="2217">
        <f t="shared" si="105"/>
        <v>17.436961661468558</v>
      </c>
      <c r="CJ208" s="2212">
        <v>127</v>
      </c>
      <c r="CK208" s="2219"/>
      <c r="CL208" s="2213"/>
      <c r="CM208" s="2219"/>
      <c r="CN208" s="2213"/>
      <c r="CO208" s="2213"/>
      <c r="CP208" s="2213"/>
      <c r="CQ208" s="2213"/>
      <c r="CR208" s="2208"/>
      <c r="CS208" s="2217">
        <f t="shared" si="116"/>
        <v>-0.76797499993426754</v>
      </c>
      <c r="CT208" s="2217">
        <f t="shared" si="106"/>
        <v>6490.3107000002165</v>
      </c>
      <c r="CU208" s="2217">
        <f t="shared" si="97"/>
        <v>7.8015000000486907</v>
      </c>
      <c r="CV208" s="2212">
        <v>127</v>
      </c>
      <c r="CW208" s="2208"/>
      <c r="CX208" s="263"/>
      <c r="CY208" s="2208"/>
      <c r="CZ208" s="263"/>
      <c r="DA208" s="263"/>
      <c r="DB208" s="263"/>
      <c r="DC208" s="263"/>
      <c r="DD208" s="2208"/>
    </row>
    <row r="209" spans="1:108">
      <c r="A209" s="2217">
        <f t="shared" si="107"/>
        <v>9.0201316162512732</v>
      </c>
      <c r="B209" s="2217">
        <f t="shared" si="98"/>
        <v>8114.7547744664826</v>
      </c>
      <c r="C209" s="2217">
        <f t="shared" si="99"/>
        <v>17.669679666305456</v>
      </c>
      <c r="D209" s="2212">
        <v>126</v>
      </c>
      <c r="E209" s="2219"/>
      <c r="F209" s="2213"/>
      <c r="G209" s="2219"/>
      <c r="H209" s="2213"/>
      <c r="I209" s="2213"/>
      <c r="J209" s="2213"/>
      <c r="K209" s="2213"/>
      <c r="L209" s="2213"/>
      <c r="M209" s="2217">
        <f t="shared" si="108"/>
        <v>10.257009192892653</v>
      </c>
      <c r="N209" s="2217">
        <f t="shared" si="90"/>
        <v>8114.7547744664826</v>
      </c>
      <c r="O209" s="2217">
        <f t="shared" si="100"/>
        <v>17.669679666305456</v>
      </c>
      <c r="P209" s="2212">
        <v>126</v>
      </c>
      <c r="Q209" s="2219"/>
      <c r="R209" s="2213"/>
      <c r="S209" s="2219"/>
      <c r="T209" s="2213"/>
      <c r="U209" s="2213"/>
      <c r="V209" s="2213"/>
      <c r="W209" s="2213"/>
      <c r="X209" s="2213"/>
      <c r="Y209" s="2217">
        <f t="shared" si="109"/>
        <v>11.847280362860147</v>
      </c>
      <c r="Z209" s="2217">
        <f t="shared" si="91"/>
        <v>8114.7547744664826</v>
      </c>
      <c r="AA209" s="2217">
        <f t="shared" si="101"/>
        <v>17.669679666305456</v>
      </c>
      <c r="AB209" s="2212">
        <v>126</v>
      </c>
      <c r="AC209" s="2219"/>
      <c r="AD209" s="2213"/>
      <c r="AE209" s="2219"/>
      <c r="AF209" s="2213"/>
      <c r="AG209" s="2213"/>
      <c r="AH209" s="2213"/>
      <c r="AI209" s="2213"/>
      <c r="AJ209" s="2213"/>
      <c r="AK209" s="2217">
        <f t="shared" si="110"/>
        <v>4.2493181063487988</v>
      </c>
      <c r="AL209" s="2217">
        <f t="shared" si="92"/>
        <v>8114.7547744664826</v>
      </c>
      <c r="AM209" s="2217">
        <f t="shared" si="102"/>
        <v>17.669679666305456</v>
      </c>
      <c r="AN209" s="2212">
        <v>126</v>
      </c>
      <c r="AO209" s="2219"/>
      <c r="AP209" s="2213"/>
      <c r="AQ209" s="2219"/>
      <c r="AR209" s="2213"/>
      <c r="AS209" s="2213"/>
      <c r="AT209" s="2213"/>
      <c r="AU209" s="2213"/>
      <c r="AV209" s="2213"/>
      <c r="AW209" s="2217">
        <f t="shared" si="111"/>
        <v>-2.9559979999501955</v>
      </c>
      <c r="AX209" s="2217">
        <f t="shared" si="112"/>
        <v>6482.5092000001678</v>
      </c>
      <c r="AY209" s="2217">
        <f t="shared" si="93"/>
        <v>7.8717000000469852</v>
      </c>
      <c r="AZ209" s="2212">
        <v>126</v>
      </c>
      <c r="BA209" s="2208"/>
      <c r="BB209" s="263"/>
      <c r="BC209" s="2208"/>
      <c r="BD209" s="263"/>
      <c r="BE209" s="263"/>
      <c r="BF209" s="263"/>
      <c r="BG209" s="263"/>
      <c r="BH209" s="2208"/>
      <c r="BI209" s="2217">
        <f t="shared" si="113"/>
        <v>-0.51577099993562925</v>
      </c>
      <c r="BJ209" s="2217">
        <f t="shared" si="103"/>
        <v>6482.5092000001678</v>
      </c>
      <c r="BK209" s="2217">
        <f t="shared" si="94"/>
        <v>7.8717000000469852</v>
      </c>
      <c r="BL209" s="2212">
        <v>126</v>
      </c>
      <c r="BM209" s="2208"/>
      <c r="BN209" s="263"/>
      <c r="BO209" s="2208"/>
      <c r="BP209" s="263"/>
      <c r="BQ209" s="263"/>
      <c r="BR209" s="263"/>
      <c r="BS209" s="263"/>
      <c r="BT209" s="2208"/>
      <c r="BU209" s="2217">
        <f t="shared" si="114"/>
        <v>4.2493181063487988</v>
      </c>
      <c r="BV209" s="2217">
        <f t="shared" si="95"/>
        <v>8114.7547744664826</v>
      </c>
      <c r="BW209" s="2217">
        <f t="shared" si="104"/>
        <v>17.669679666305456</v>
      </c>
      <c r="BX209" s="2212">
        <v>126</v>
      </c>
      <c r="BY209" s="2219"/>
      <c r="BZ209" s="2213"/>
      <c r="CA209" s="2219"/>
      <c r="CB209" s="2213"/>
      <c r="CC209" s="2213"/>
      <c r="CD209" s="2213"/>
      <c r="CE209" s="2213"/>
      <c r="CF209" s="2208"/>
      <c r="CG209" s="2217">
        <f t="shared" si="115"/>
        <v>6.3696796663054549</v>
      </c>
      <c r="CH209" s="2217">
        <f t="shared" si="96"/>
        <v>8114.7547744664826</v>
      </c>
      <c r="CI209" s="2217">
        <f t="shared" si="105"/>
        <v>17.669679666305456</v>
      </c>
      <c r="CJ209" s="2212">
        <v>126</v>
      </c>
      <c r="CK209" s="2219"/>
      <c r="CL209" s="2213"/>
      <c r="CM209" s="2219"/>
      <c r="CN209" s="2213"/>
      <c r="CO209" s="2213"/>
      <c r="CP209" s="2213"/>
      <c r="CQ209" s="2213"/>
      <c r="CR209" s="2208"/>
      <c r="CS209" s="2217">
        <f t="shared" si="116"/>
        <v>-0.67320499993656924</v>
      </c>
      <c r="CT209" s="2217">
        <f t="shared" si="106"/>
        <v>6482.5092000001678</v>
      </c>
      <c r="CU209" s="2217">
        <f t="shared" si="97"/>
        <v>7.8717000000469852</v>
      </c>
      <c r="CV209" s="2212">
        <v>126</v>
      </c>
      <c r="CW209" s="2208"/>
      <c r="CX209" s="263"/>
      <c r="CY209" s="2208"/>
      <c r="CZ209" s="263"/>
      <c r="DA209" s="263"/>
      <c r="DB209" s="263"/>
      <c r="DC209" s="263"/>
      <c r="DD209" s="2208"/>
    </row>
    <row r="210" spans="1:108">
      <c r="A210" s="2217">
        <f t="shared" si="107"/>
        <v>9.2890702259104714</v>
      </c>
      <c r="B210" s="2217">
        <f t="shared" si="98"/>
        <v>8097.0850948001771</v>
      </c>
      <c r="C210" s="2217">
        <f t="shared" si="99"/>
        <v>17.903539326878672</v>
      </c>
      <c r="D210" s="2212">
        <v>125</v>
      </c>
      <c r="E210" s="2219"/>
      <c r="F210" s="2213"/>
      <c r="G210" s="2219"/>
      <c r="H210" s="2213"/>
      <c r="I210" s="2213"/>
      <c r="J210" s="2213"/>
      <c r="K210" s="2213"/>
      <c r="L210" s="2213"/>
      <c r="M210" s="2217">
        <f t="shared" si="108"/>
        <v>10.542317978791978</v>
      </c>
      <c r="N210" s="2217">
        <f t="shared" si="90"/>
        <v>8097.0850948001771</v>
      </c>
      <c r="O210" s="2217">
        <f t="shared" si="100"/>
        <v>17.903539326878672</v>
      </c>
      <c r="P210" s="2212">
        <v>125</v>
      </c>
      <c r="Q210" s="2219"/>
      <c r="R210" s="2213"/>
      <c r="S210" s="2219"/>
      <c r="T210" s="2213"/>
      <c r="U210" s="2213"/>
      <c r="V210" s="2213"/>
      <c r="W210" s="2213"/>
      <c r="X210" s="2213"/>
      <c r="Y210" s="2217">
        <f t="shared" si="109"/>
        <v>12.153636518211062</v>
      </c>
      <c r="Z210" s="2217">
        <f t="shared" si="91"/>
        <v>8097.0850948001771</v>
      </c>
      <c r="AA210" s="2217">
        <f t="shared" si="101"/>
        <v>17.903539326878672</v>
      </c>
      <c r="AB210" s="2212">
        <v>125</v>
      </c>
      <c r="AC210" s="2219"/>
      <c r="AD210" s="2213"/>
      <c r="AE210" s="2219"/>
      <c r="AF210" s="2213"/>
      <c r="AG210" s="2213"/>
      <c r="AH210" s="2213"/>
      <c r="AI210" s="2213"/>
      <c r="AJ210" s="2213"/>
      <c r="AK210" s="2217">
        <f t="shared" si="110"/>
        <v>4.4551146076532291</v>
      </c>
      <c r="AL210" s="2217">
        <f t="shared" si="92"/>
        <v>8097.0850948001771</v>
      </c>
      <c r="AM210" s="2217">
        <f t="shared" si="102"/>
        <v>17.903539326878672</v>
      </c>
      <c r="AN210" s="2212">
        <v>125</v>
      </c>
      <c r="AO210" s="2219"/>
      <c r="AP210" s="2213"/>
      <c r="AQ210" s="2219"/>
      <c r="AR210" s="2213"/>
      <c r="AS210" s="2213"/>
      <c r="AT210" s="2213"/>
      <c r="AU210" s="2213"/>
      <c r="AV210" s="2213"/>
      <c r="AW210" s="2217">
        <f t="shared" si="111"/>
        <v>-2.8777699999519974</v>
      </c>
      <c r="AX210" s="2217">
        <f t="shared" si="112"/>
        <v>6474.6375000001208</v>
      </c>
      <c r="AY210" s="2217">
        <f t="shared" si="93"/>
        <v>7.9455000000452856</v>
      </c>
      <c r="AZ210" s="2212">
        <v>125</v>
      </c>
      <c r="BA210" s="2208"/>
      <c r="BB210" s="263"/>
      <c r="BC210" s="2208"/>
      <c r="BD210" s="263"/>
      <c r="BE210" s="263"/>
      <c r="BF210" s="263"/>
      <c r="BG210" s="263"/>
      <c r="BH210" s="2208"/>
      <c r="BI210" s="2217">
        <f t="shared" si="113"/>
        <v>-0.41466499993795836</v>
      </c>
      <c r="BJ210" s="2217">
        <f t="shared" si="103"/>
        <v>6474.6375000001208</v>
      </c>
      <c r="BK210" s="2217">
        <f t="shared" si="94"/>
        <v>7.9455000000452856</v>
      </c>
      <c r="BL210" s="2212">
        <v>125</v>
      </c>
      <c r="BM210" s="2208"/>
      <c r="BN210" s="263"/>
      <c r="BO210" s="2208"/>
      <c r="BP210" s="263"/>
      <c r="BQ210" s="263"/>
      <c r="BR210" s="263"/>
      <c r="BS210" s="263"/>
      <c r="BT210" s="2208"/>
      <c r="BU210" s="2217">
        <f t="shared" si="114"/>
        <v>4.4551146076532291</v>
      </c>
      <c r="BV210" s="2217">
        <f t="shared" si="95"/>
        <v>8097.0850948001771</v>
      </c>
      <c r="BW210" s="2217">
        <f t="shared" si="104"/>
        <v>17.903539326878672</v>
      </c>
      <c r="BX210" s="2212">
        <v>125</v>
      </c>
      <c r="BY210" s="2219"/>
      <c r="BZ210" s="2213"/>
      <c r="CA210" s="2219"/>
      <c r="CB210" s="2213"/>
      <c r="CC210" s="2213"/>
      <c r="CD210" s="2213"/>
      <c r="CE210" s="2213"/>
      <c r="CF210" s="2208"/>
      <c r="CG210" s="2217">
        <f t="shared" si="115"/>
        <v>6.6035393268786713</v>
      </c>
      <c r="CH210" s="2217">
        <f t="shared" si="96"/>
        <v>8097.0850948001771</v>
      </c>
      <c r="CI210" s="2217">
        <f t="shared" si="105"/>
        <v>17.903539326878672</v>
      </c>
      <c r="CJ210" s="2212">
        <v>125</v>
      </c>
      <c r="CK210" s="2219"/>
      <c r="CL210" s="2213"/>
      <c r="CM210" s="2219"/>
      <c r="CN210" s="2213"/>
      <c r="CO210" s="2213"/>
      <c r="CP210" s="2213"/>
      <c r="CQ210" s="2213"/>
      <c r="CR210" s="2208"/>
      <c r="CS210" s="2217">
        <f t="shared" si="116"/>
        <v>-0.57357499993886485</v>
      </c>
      <c r="CT210" s="2217">
        <f t="shared" si="106"/>
        <v>6474.6375000001208</v>
      </c>
      <c r="CU210" s="2217">
        <f t="shared" si="97"/>
        <v>7.9455000000452856</v>
      </c>
      <c r="CV210" s="2212">
        <v>125</v>
      </c>
      <c r="CW210" s="2208"/>
      <c r="CX210" s="263"/>
      <c r="CY210" s="2208"/>
      <c r="CZ210" s="263"/>
      <c r="DA210" s="263"/>
      <c r="DB210" s="263"/>
      <c r="DC210" s="263"/>
      <c r="DD210" s="2208"/>
    </row>
    <row r="211" spans="1:108">
      <c r="A211" s="2217">
        <f t="shared" si="107"/>
        <v>9.5593217396622521</v>
      </c>
      <c r="B211" s="2217">
        <f t="shared" si="98"/>
        <v>8079.1815554732984</v>
      </c>
      <c r="C211" s="2217">
        <f t="shared" si="99"/>
        <v>18.138540643184569</v>
      </c>
      <c r="D211" s="2212">
        <v>124</v>
      </c>
      <c r="E211" s="2219"/>
      <c r="F211" s="2213"/>
      <c r="G211" s="2219"/>
      <c r="H211" s="2213"/>
      <c r="I211" s="2213"/>
      <c r="J211" s="2213"/>
      <c r="K211" s="2213"/>
      <c r="L211" s="2213"/>
      <c r="M211" s="2217">
        <f t="shared" si="108"/>
        <v>10.829019584685174</v>
      </c>
      <c r="N211" s="2217">
        <f t="shared" si="90"/>
        <v>8079.1815554732984</v>
      </c>
      <c r="O211" s="2217">
        <f t="shared" si="100"/>
        <v>18.138540643184569</v>
      </c>
      <c r="P211" s="2212">
        <v>124</v>
      </c>
      <c r="Q211" s="2219"/>
      <c r="R211" s="2213"/>
      <c r="S211" s="2219"/>
      <c r="T211" s="2213"/>
      <c r="U211" s="2213"/>
      <c r="V211" s="2213"/>
      <c r="W211" s="2213"/>
      <c r="X211" s="2213"/>
      <c r="Y211" s="2217">
        <f t="shared" si="109"/>
        <v>12.461488242571786</v>
      </c>
      <c r="Z211" s="2217">
        <f t="shared" si="91"/>
        <v>8079.1815554732984</v>
      </c>
      <c r="AA211" s="2217">
        <f t="shared" si="101"/>
        <v>18.138540643184569</v>
      </c>
      <c r="AB211" s="2212">
        <v>124</v>
      </c>
      <c r="AC211" s="2219"/>
      <c r="AD211" s="2213"/>
      <c r="AE211" s="2219"/>
      <c r="AF211" s="2213"/>
      <c r="AG211" s="2213"/>
      <c r="AH211" s="2213"/>
      <c r="AI211" s="2213"/>
      <c r="AJ211" s="2213"/>
      <c r="AK211" s="2217">
        <f t="shared" si="110"/>
        <v>4.6619157660024193</v>
      </c>
      <c r="AL211" s="2217">
        <f t="shared" si="92"/>
        <v>8079.1815554732984</v>
      </c>
      <c r="AM211" s="2217">
        <f t="shared" si="102"/>
        <v>18.138540643184569</v>
      </c>
      <c r="AN211" s="2212">
        <v>124</v>
      </c>
      <c r="AO211" s="2219"/>
      <c r="AP211" s="2213"/>
      <c r="AQ211" s="2219"/>
      <c r="AR211" s="2213"/>
      <c r="AS211" s="2213"/>
      <c r="AT211" s="2213"/>
      <c r="AU211" s="2213"/>
      <c r="AV211" s="2213"/>
      <c r="AW211" s="2217">
        <f t="shared" si="111"/>
        <v>-2.7957259999518644</v>
      </c>
      <c r="AX211" s="2217">
        <f t="shared" si="112"/>
        <v>6466.6920000000755</v>
      </c>
      <c r="AY211" s="2217">
        <f t="shared" si="93"/>
        <v>8.0229000000454107</v>
      </c>
      <c r="AZ211" s="2212">
        <v>124</v>
      </c>
      <c r="BA211" s="2208"/>
      <c r="BB211" s="263"/>
      <c r="BC211" s="2208"/>
      <c r="BD211" s="263"/>
      <c r="BE211" s="263"/>
      <c r="BF211" s="263"/>
      <c r="BG211" s="263"/>
      <c r="BH211" s="2208"/>
      <c r="BI211" s="2217">
        <f t="shared" si="113"/>
        <v>-0.30862699993778797</v>
      </c>
      <c r="BJ211" s="2217">
        <f t="shared" si="103"/>
        <v>6466.6920000000755</v>
      </c>
      <c r="BK211" s="2217">
        <f t="shared" si="94"/>
        <v>8.0229000000454107</v>
      </c>
      <c r="BL211" s="2212">
        <v>124</v>
      </c>
      <c r="BM211" s="2208"/>
      <c r="BN211" s="263"/>
      <c r="BO211" s="2208"/>
      <c r="BP211" s="263"/>
      <c r="BQ211" s="263"/>
      <c r="BR211" s="263"/>
      <c r="BS211" s="263"/>
      <c r="BT211" s="2208"/>
      <c r="BU211" s="2217">
        <f t="shared" si="114"/>
        <v>4.6619157660024193</v>
      </c>
      <c r="BV211" s="2217">
        <f t="shared" si="95"/>
        <v>8079.1815554732984</v>
      </c>
      <c r="BW211" s="2217">
        <f t="shared" si="104"/>
        <v>18.138540643184569</v>
      </c>
      <c r="BX211" s="2212">
        <v>124</v>
      </c>
      <c r="BY211" s="2219"/>
      <c r="BZ211" s="2213"/>
      <c r="CA211" s="2219"/>
      <c r="CB211" s="2213"/>
      <c r="CC211" s="2213"/>
      <c r="CD211" s="2213"/>
      <c r="CE211" s="2213"/>
      <c r="CF211" s="2208"/>
      <c r="CG211" s="2217">
        <f t="shared" si="115"/>
        <v>6.8385406431845688</v>
      </c>
      <c r="CH211" s="2217">
        <f t="shared" si="96"/>
        <v>8079.1815554732984</v>
      </c>
      <c r="CI211" s="2217">
        <f t="shared" si="105"/>
        <v>18.138540643184569</v>
      </c>
      <c r="CJ211" s="2212">
        <v>124</v>
      </c>
      <c r="CK211" s="2219"/>
      <c r="CL211" s="2213"/>
      <c r="CM211" s="2219"/>
      <c r="CN211" s="2213"/>
      <c r="CO211" s="2213"/>
      <c r="CP211" s="2213"/>
      <c r="CQ211" s="2213"/>
      <c r="CR211" s="2208"/>
      <c r="CS211" s="2217">
        <f t="shared" si="116"/>
        <v>-0.4690849999386959</v>
      </c>
      <c r="CT211" s="2217">
        <f t="shared" si="106"/>
        <v>6466.6920000000755</v>
      </c>
      <c r="CU211" s="2217">
        <f t="shared" si="97"/>
        <v>8.0229000000454107</v>
      </c>
      <c r="CV211" s="2212">
        <v>124</v>
      </c>
      <c r="CW211" s="2208"/>
      <c r="CX211" s="263"/>
      <c r="CY211" s="2208"/>
      <c r="CZ211" s="263"/>
      <c r="DA211" s="263"/>
      <c r="DB211" s="263"/>
      <c r="DC211" s="263"/>
      <c r="DD211" s="2208"/>
    </row>
    <row r="212" spans="1:108">
      <c r="A212" s="2217">
        <f t="shared" si="107"/>
        <v>9.8308861575087114</v>
      </c>
      <c r="B212" s="2217">
        <f t="shared" si="98"/>
        <v>8061.0430148301139</v>
      </c>
      <c r="C212" s="2217">
        <f t="shared" si="99"/>
        <v>18.374683615224967</v>
      </c>
      <c r="D212" s="2212">
        <v>123</v>
      </c>
      <c r="E212" s="2219"/>
      <c r="F212" s="2213"/>
      <c r="G212" s="2219"/>
      <c r="H212" s="2213"/>
      <c r="I212" s="2213"/>
      <c r="J212" s="2213"/>
      <c r="K212" s="2213"/>
      <c r="L212" s="2213"/>
      <c r="M212" s="2217">
        <f t="shared" si="108"/>
        <v>11.117114010574458</v>
      </c>
      <c r="N212" s="2217">
        <f t="shared" si="90"/>
        <v>8061.0430148301139</v>
      </c>
      <c r="O212" s="2217">
        <f t="shared" si="100"/>
        <v>18.374683615224967</v>
      </c>
      <c r="P212" s="2212">
        <v>123</v>
      </c>
      <c r="Q212" s="2219"/>
      <c r="R212" s="2213"/>
      <c r="S212" s="2219"/>
      <c r="T212" s="2213"/>
      <c r="U212" s="2213"/>
      <c r="V212" s="2213"/>
      <c r="W212" s="2213"/>
      <c r="X212" s="2213"/>
      <c r="Y212" s="2217">
        <f t="shared" si="109"/>
        <v>12.770835535944705</v>
      </c>
      <c r="Z212" s="2217">
        <f t="shared" si="91"/>
        <v>8061.0430148301139</v>
      </c>
      <c r="AA212" s="2217">
        <f t="shared" si="101"/>
        <v>18.374683615224967</v>
      </c>
      <c r="AB212" s="2212">
        <v>123</v>
      </c>
      <c r="AC212" s="2219"/>
      <c r="AD212" s="2213"/>
      <c r="AE212" s="2219"/>
      <c r="AF212" s="2213"/>
      <c r="AG212" s="2213"/>
      <c r="AH212" s="2213"/>
      <c r="AI212" s="2213"/>
      <c r="AJ212" s="2213"/>
      <c r="AK212" s="2217">
        <f t="shared" si="110"/>
        <v>4.8697215813979682</v>
      </c>
      <c r="AL212" s="2217">
        <f t="shared" si="92"/>
        <v>8061.0430148301139</v>
      </c>
      <c r="AM212" s="2217">
        <f t="shared" si="102"/>
        <v>18.374683615224967</v>
      </c>
      <c r="AN212" s="2212">
        <v>123</v>
      </c>
      <c r="AO212" s="2219"/>
      <c r="AP212" s="2213"/>
      <c r="AQ212" s="2219"/>
      <c r="AR212" s="2213"/>
      <c r="AS212" s="2213"/>
      <c r="AT212" s="2213"/>
      <c r="AU212" s="2213"/>
      <c r="AV212" s="2213"/>
      <c r="AW212" s="2217">
        <f t="shared" si="111"/>
        <v>-2.7098659999507628</v>
      </c>
      <c r="AX212" s="2217">
        <f t="shared" si="112"/>
        <v>6458.6691000000301</v>
      </c>
      <c r="AY212" s="2217">
        <f t="shared" si="93"/>
        <v>8.1039000000464512</v>
      </c>
      <c r="AZ212" s="2212">
        <v>123</v>
      </c>
      <c r="BA212" s="2208"/>
      <c r="BB212" s="263"/>
      <c r="BC212" s="2208"/>
      <c r="BD212" s="263"/>
      <c r="BE212" s="263"/>
      <c r="BF212" s="263"/>
      <c r="BG212" s="263"/>
      <c r="BH212" s="2208"/>
      <c r="BI212" s="2217">
        <f t="shared" si="113"/>
        <v>-0.19765699993636154</v>
      </c>
      <c r="BJ212" s="2217">
        <f t="shared" si="103"/>
        <v>6458.6691000000301</v>
      </c>
      <c r="BK212" s="2217">
        <f t="shared" si="94"/>
        <v>8.1039000000464512</v>
      </c>
      <c r="BL212" s="2212">
        <v>123</v>
      </c>
      <c r="BM212" s="2208"/>
      <c r="BN212" s="263"/>
      <c r="BO212" s="2208"/>
      <c r="BP212" s="263"/>
      <c r="BQ212" s="263"/>
      <c r="BR212" s="263"/>
      <c r="BS212" s="263"/>
      <c r="BT212" s="2208"/>
      <c r="BU212" s="2217">
        <f t="shared" si="114"/>
        <v>4.8697215813979682</v>
      </c>
      <c r="BV212" s="2217">
        <f t="shared" si="95"/>
        <v>8061.0430148301139</v>
      </c>
      <c r="BW212" s="2217">
        <f t="shared" si="104"/>
        <v>18.374683615224967</v>
      </c>
      <c r="BX212" s="2212">
        <v>123</v>
      </c>
      <c r="BY212" s="2219"/>
      <c r="BZ212" s="2213"/>
      <c r="CA212" s="2219"/>
      <c r="CB212" s="2213"/>
      <c r="CC212" s="2213"/>
      <c r="CD212" s="2213"/>
      <c r="CE212" s="2213"/>
      <c r="CF212" s="2208"/>
      <c r="CG212" s="2217">
        <f t="shared" si="115"/>
        <v>7.0746836152249664</v>
      </c>
      <c r="CH212" s="2217">
        <f t="shared" si="96"/>
        <v>8061.0430148301139</v>
      </c>
      <c r="CI212" s="2217">
        <f t="shared" si="105"/>
        <v>18.374683615224967</v>
      </c>
      <c r="CJ212" s="2212">
        <v>123</v>
      </c>
      <c r="CK212" s="2219"/>
      <c r="CL212" s="2213"/>
      <c r="CM212" s="2219"/>
      <c r="CN212" s="2213"/>
      <c r="CO212" s="2213"/>
      <c r="CP212" s="2213"/>
      <c r="CQ212" s="2213"/>
      <c r="CR212" s="2208"/>
      <c r="CS212" s="2217">
        <f t="shared" si="116"/>
        <v>-0.35973499993729163</v>
      </c>
      <c r="CT212" s="2217">
        <f t="shared" si="106"/>
        <v>6458.6691000000301</v>
      </c>
      <c r="CU212" s="2217">
        <f t="shared" si="97"/>
        <v>8.1039000000464512</v>
      </c>
      <c r="CV212" s="2212">
        <v>123</v>
      </c>
      <c r="CW212" s="2208"/>
      <c r="CX212" s="263"/>
      <c r="CY212" s="2208"/>
      <c r="CZ212" s="263"/>
      <c r="DA212" s="263"/>
      <c r="DB212" s="263"/>
      <c r="DC212" s="263"/>
      <c r="DD212" s="2208"/>
    </row>
    <row r="213" spans="1:108">
      <c r="A213" s="2217">
        <f t="shared" si="107"/>
        <v>10.103763479450887</v>
      </c>
      <c r="B213" s="2217">
        <f t="shared" si="98"/>
        <v>8042.6683312148889</v>
      </c>
      <c r="C213" s="2217">
        <f t="shared" si="99"/>
        <v>18.611968243000774</v>
      </c>
      <c r="D213" s="2212">
        <v>122</v>
      </c>
      <c r="E213" s="2219"/>
      <c r="F213" s="2213"/>
      <c r="G213" s="2219"/>
      <c r="H213" s="2213"/>
      <c r="I213" s="2213"/>
      <c r="J213" s="2213"/>
      <c r="K213" s="2213"/>
      <c r="L213" s="2213"/>
      <c r="M213" s="2217">
        <f t="shared" si="108"/>
        <v>11.406601256460945</v>
      </c>
      <c r="N213" s="2217">
        <f t="shared" si="90"/>
        <v>8042.6683312148889</v>
      </c>
      <c r="O213" s="2217">
        <f t="shared" si="100"/>
        <v>18.611968243000774</v>
      </c>
      <c r="P213" s="2212">
        <v>122</v>
      </c>
      <c r="Q213" s="2219"/>
      <c r="R213" s="2213"/>
      <c r="S213" s="2219"/>
      <c r="T213" s="2213"/>
      <c r="U213" s="2213"/>
      <c r="V213" s="2213"/>
      <c r="W213" s="2213"/>
      <c r="X213" s="2213"/>
      <c r="Y213" s="2217">
        <f t="shared" si="109"/>
        <v>13.081678398331015</v>
      </c>
      <c r="Z213" s="2217">
        <f t="shared" si="91"/>
        <v>8042.6683312148889</v>
      </c>
      <c r="AA213" s="2217">
        <f t="shared" si="101"/>
        <v>18.611968243000774</v>
      </c>
      <c r="AB213" s="2212">
        <v>122</v>
      </c>
      <c r="AC213" s="2219"/>
      <c r="AD213" s="2213"/>
      <c r="AE213" s="2219"/>
      <c r="AF213" s="2213"/>
      <c r="AG213" s="2213"/>
      <c r="AH213" s="2213"/>
      <c r="AI213" s="2213"/>
      <c r="AJ213" s="2213"/>
      <c r="AK213" s="2217">
        <f t="shared" si="110"/>
        <v>5.0785320538406786</v>
      </c>
      <c r="AL213" s="2217">
        <f t="shared" si="92"/>
        <v>8042.6683312148889</v>
      </c>
      <c r="AM213" s="2217">
        <f t="shared" si="102"/>
        <v>18.611968243000774</v>
      </c>
      <c r="AN213" s="2212">
        <v>122</v>
      </c>
      <c r="AO213" s="2219"/>
      <c r="AP213" s="2213"/>
      <c r="AQ213" s="2219"/>
      <c r="AR213" s="2213"/>
      <c r="AS213" s="2213"/>
      <c r="AT213" s="2213"/>
      <c r="AU213" s="2213"/>
      <c r="AV213" s="2213"/>
      <c r="AW213" s="2217">
        <f t="shared" si="111"/>
        <v>-2.6201899999535101</v>
      </c>
      <c r="AX213" s="2217">
        <f t="shared" si="112"/>
        <v>6450.5651999999836</v>
      </c>
      <c r="AY213" s="2217">
        <f t="shared" si="93"/>
        <v>8.1885000000438595</v>
      </c>
      <c r="AZ213" s="2212">
        <v>122</v>
      </c>
      <c r="BA213" s="2208"/>
      <c r="BB213" s="263"/>
      <c r="BC213" s="2208"/>
      <c r="BD213" s="263"/>
      <c r="BE213" s="263"/>
      <c r="BF213" s="263"/>
      <c r="BG213" s="263"/>
      <c r="BH213" s="2208"/>
      <c r="BI213" s="2217">
        <f t="shared" si="113"/>
        <v>-8.175499993991231E-2</v>
      </c>
      <c r="BJ213" s="2217">
        <f t="shared" si="103"/>
        <v>6450.5651999999836</v>
      </c>
      <c r="BK213" s="2217">
        <f t="shared" si="94"/>
        <v>8.1885000000438595</v>
      </c>
      <c r="BL213" s="2212">
        <v>122</v>
      </c>
      <c r="BM213" s="2208"/>
      <c r="BN213" s="263"/>
      <c r="BO213" s="2208"/>
      <c r="BP213" s="263"/>
      <c r="BQ213" s="263"/>
      <c r="BR213" s="263"/>
      <c r="BS213" s="263"/>
      <c r="BT213" s="2208"/>
      <c r="BU213" s="2217">
        <f t="shared" si="114"/>
        <v>5.0785320538406786</v>
      </c>
      <c r="BV213" s="2217">
        <f t="shared" si="95"/>
        <v>8042.6683312148889</v>
      </c>
      <c r="BW213" s="2217">
        <f t="shared" si="104"/>
        <v>18.611968243000774</v>
      </c>
      <c r="BX213" s="2212">
        <v>122</v>
      </c>
      <c r="BY213" s="2219"/>
      <c r="BZ213" s="2213"/>
      <c r="CA213" s="2219"/>
      <c r="CB213" s="2213"/>
      <c r="CC213" s="2213"/>
      <c r="CD213" s="2213"/>
      <c r="CE213" s="2213"/>
      <c r="CF213" s="2208"/>
      <c r="CG213" s="2217">
        <f t="shared" si="115"/>
        <v>7.3119682430007735</v>
      </c>
      <c r="CH213" s="2217">
        <f t="shared" si="96"/>
        <v>8042.6683312148889</v>
      </c>
      <c r="CI213" s="2217">
        <f t="shared" si="105"/>
        <v>18.611968243000774</v>
      </c>
      <c r="CJ213" s="2212">
        <v>122</v>
      </c>
      <c r="CK213" s="2219"/>
      <c r="CL213" s="2213"/>
      <c r="CM213" s="2219"/>
      <c r="CN213" s="2213"/>
      <c r="CO213" s="2213"/>
      <c r="CP213" s="2213"/>
      <c r="CQ213" s="2213"/>
      <c r="CR213" s="2208"/>
      <c r="CS213" s="2217">
        <f t="shared" si="116"/>
        <v>-0.24552499994078936</v>
      </c>
      <c r="CT213" s="2217">
        <f t="shared" si="106"/>
        <v>6450.5651999999836</v>
      </c>
      <c r="CU213" s="2217">
        <f t="shared" si="97"/>
        <v>8.1885000000438595</v>
      </c>
      <c r="CV213" s="2212">
        <v>122</v>
      </c>
      <c r="CW213" s="2208"/>
      <c r="CX213" s="263"/>
      <c r="CY213" s="2208"/>
      <c r="CZ213" s="263"/>
      <c r="DA213" s="263"/>
      <c r="DB213" s="263"/>
      <c r="DC213" s="263"/>
      <c r="DD213" s="2208"/>
    </row>
    <row r="214" spans="1:108">
      <c r="A214" s="2217">
        <f t="shared" si="107"/>
        <v>10.377953705488789</v>
      </c>
      <c r="B214" s="2217">
        <f t="shared" si="98"/>
        <v>8024.0563629718881</v>
      </c>
      <c r="C214" s="2217">
        <f t="shared" si="99"/>
        <v>18.850394526511991</v>
      </c>
      <c r="D214" s="2212">
        <v>121</v>
      </c>
      <c r="E214" s="2219"/>
      <c r="F214" s="2213"/>
      <c r="G214" s="2219"/>
      <c r="H214" s="2213"/>
      <c r="I214" s="2213"/>
      <c r="J214" s="2213"/>
      <c r="K214" s="2213"/>
      <c r="L214" s="2213"/>
      <c r="M214" s="2217">
        <f t="shared" si="108"/>
        <v>11.697481322344629</v>
      </c>
      <c r="N214" s="2217">
        <f t="shared" si="90"/>
        <v>8024.0563629718881</v>
      </c>
      <c r="O214" s="2217">
        <f t="shared" si="100"/>
        <v>18.850394526511991</v>
      </c>
      <c r="P214" s="2212">
        <v>121</v>
      </c>
      <c r="Q214" s="2219"/>
      <c r="R214" s="2213"/>
      <c r="S214" s="2219"/>
      <c r="T214" s="2213"/>
      <c r="U214" s="2213"/>
      <c r="V214" s="2213"/>
      <c r="W214" s="2213"/>
      <c r="X214" s="2213"/>
      <c r="Y214" s="2217">
        <f t="shared" si="109"/>
        <v>13.39401682973071</v>
      </c>
      <c r="Z214" s="2217">
        <f t="shared" si="91"/>
        <v>8024.0563629718881</v>
      </c>
      <c r="AA214" s="2217">
        <f t="shared" si="101"/>
        <v>18.850394526511991</v>
      </c>
      <c r="AB214" s="2212">
        <v>121</v>
      </c>
      <c r="AC214" s="2219"/>
      <c r="AD214" s="2213"/>
      <c r="AE214" s="2219"/>
      <c r="AF214" s="2213"/>
      <c r="AG214" s="2213"/>
      <c r="AH214" s="2213"/>
      <c r="AI214" s="2213"/>
      <c r="AJ214" s="2213"/>
      <c r="AK214" s="2217">
        <f t="shared" si="110"/>
        <v>5.2883471833305506</v>
      </c>
      <c r="AL214" s="2217">
        <f t="shared" si="92"/>
        <v>8024.0563629718881</v>
      </c>
      <c r="AM214" s="2217">
        <f t="shared" si="102"/>
        <v>18.850394526511991</v>
      </c>
      <c r="AN214" s="2212">
        <v>121</v>
      </c>
      <c r="AO214" s="2219"/>
      <c r="AP214" s="2213"/>
      <c r="AQ214" s="2219"/>
      <c r="AR214" s="2213"/>
      <c r="AS214" s="2213"/>
      <c r="AT214" s="2213"/>
      <c r="AU214" s="2213"/>
      <c r="AV214" s="2213"/>
      <c r="AW214" s="2217">
        <f t="shared" si="111"/>
        <v>-2.5266979999543224</v>
      </c>
      <c r="AX214" s="2217">
        <f t="shared" si="112"/>
        <v>6442.3766999999398</v>
      </c>
      <c r="AY214" s="2217">
        <f t="shared" si="93"/>
        <v>8.2767000000430926</v>
      </c>
      <c r="AZ214" s="2212">
        <v>121</v>
      </c>
      <c r="BA214" s="2208"/>
      <c r="BB214" s="263"/>
      <c r="BC214" s="2208"/>
      <c r="BD214" s="263"/>
      <c r="BE214" s="263"/>
      <c r="BF214" s="263"/>
      <c r="BG214" s="263"/>
      <c r="BH214" s="2208"/>
      <c r="BI214" s="2217">
        <f t="shared" si="113"/>
        <v>3.9079000059036417E-2</v>
      </c>
      <c r="BJ214" s="2217">
        <f t="shared" si="103"/>
        <v>6442.3766999999398</v>
      </c>
      <c r="BK214" s="2217">
        <f t="shared" si="94"/>
        <v>8.2767000000430926</v>
      </c>
      <c r="BL214" s="2212">
        <v>121</v>
      </c>
      <c r="BM214" s="2208"/>
      <c r="BN214" s="263"/>
      <c r="BO214" s="2208"/>
      <c r="BP214" s="263"/>
      <c r="BQ214" s="263"/>
      <c r="BR214" s="263"/>
      <c r="BS214" s="263"/>
      <c r="BT214" s="2208"/>
      <c r="BU214" s="2217">
        <f t="shared" si="114"/>
        <v>5.2883471833305506</v>
      </c>
      <c r="BV214" s="2217">
        <f t="shared" si="95"/>
        <v>8024.0563629718881</v>
      </c>
      <c r="BW214" s="2217">
        <f t="shared" si="104"/>
        <v>18.850394526511991</v>
      </c>
      <c r="BX214" s="2212">
        <v>121</v>
      </c>
      <c r="BY214" s="2219"/>
      <c r="BZ214" s="2213"/>
      <c r="CA214" s="2219"/>
      <c r="CB214" s="2213"/>
      <c r="CC214" s="2213"/>
      <c r="CD214" s="2213"/>
      <c r="CE214" s="2213"/>
      <c r="CF214" s="2208"/>
      <c r="CG214" s="2217">
        <f t="shared" si="115"/>
        <v>7.5503945265119903</v>
      </c>
      <c r="CH214" s="2217">
        <f t="shared" si="96"/>
        <v>8024.0563629718881</v>
      </c>
      <c r="CI214" s="2217">
        <f t="shared" si="105"/>
        <v>18.850394526511991</v>
      </c>
      <c r="CJ214" s="2212">
        <v>121</v>
      </c>
      <c r="CK214" s="2219"/>
      <c r="CL214" s="2213"/>
      <c r="CM214" s="2219"/>
      <c r="CN214" s="2213"/>
      <c r="CO214" s="2213"/>
      <c r="CP214" s="2213"/>
      <c r="CQ214" s="2213"/>
      <c r="CR214" s="2208"/>
      <c r="CS214" s="2217">
        <f t="shared" si="116"/>
        <v>-0.1264549999418243</v>
      </c>
      <c r="CT214" s="2217">
        <f t="shared" si="106"/>
        <v>6442.3766999999398</v>
      </c>
      <c r="CU214" s="2217">
        <f t="shared" si="97"/>
        <v>8.2767000000430926</v>
      </c>
      <c r="CV214" s="2212">
        <v>121</v>
      </c>
      <c r="CW214" s="2208"/>
      <c r="CX214" s="263"/>
      <c r="CY214" s="2208"/>
      <c r="CZ214" s="263"/>
      <c r="DA214" s="263"/>
      <c r="DB214" s="263"/>
      <c r="DC214" s="263"/>
      <c r="DD214" s="2208"/>
    </row>
    <row r="215" spans="1:108">
      <c r="A215" s="2217">
        <f t="shared" si="107"/>
        <v>10.653456835620315</v>
      </c>
      <c r="B215" s="2217">
        <f t="shared" si="98"/>
        <v>8005.2059684453761</v>
      </c>
      <c r="C215" s="2217">
        <f t="shared" si="99"/>
        <v>19.089962465756798</v>
      </c>
      <c r="D215" s="2212">
        <v>120</v>
      </c>
      <c r="E215" s="2219"/>
      <c r="F215" s="2213"/>
      <c r="G215" s="2219"/>
      <c r="H215" s="2213"/>
      <c r="I215" s="2213"/>
      <c r="J215" s="2213"/>
      <c r="K215" s="2213"/>
      <c r="L215" s="2213"/>
      <c r="M215" s="2217">
        <f t="shared" si="108"/>
        <v>11.989754208223292</v>
      </c>
      <c r="N215" s="2217">
        <f t="shared" si="90"/>
        <v>8005.2059684453761</v>
      </c>
      <c r="O215" s="2217">
        <f t="shared" si="100"/>
        <v>19.089962465756798</v>
      </c>
      <c r="P215" s="2212">
        <v>120</v>
      </c>
      <c r="Q215" s="2219"/>
      <c r="R215" s="2213"/>
      <c r="S215" s="2219"/>
      <c r="T215" s="2213"/>
      <c r="U215" s="2213"/>
      <c r="V215" s="2213"/>
      <c r="W215" s="2213"/>
      <c r="X215" s="2213"/>
      <c r="Y215" s="2217">
        <f t="shared" si="109"/>
        <v>13.707850830141407</v>
      </c>
      <c r="Z215" s="2217">
        <f t="shared" si="91"/>
        <v>8005.2059684453761</v>
      </c>
      <c r="AA215" s="2217">
        <f t="shared" si="101"/>
        <v>19.089962465756798</v>
      </c>
      <c r="AB215" s="2212">
        <v>120</v>
      </c>
      <c r="AC215" s="2219"/>
      <c r="AD215" s="2213"/>
      <c r="AE215" s="2219"/>
      <c r="AF215" s="2213"/>
      <c r="AG215" s="2213"/>
      <c r="AH215" s="2213"/>
      <c r="AI215" s="2213"/>
      <c r="AJ215" s="2213"/>
      <c r="AK215" s="2217">
        <f t="shared" si="110"/>
        <v>5.4991669698659784</v>
      </c>
      <c r="AL215" s="2217">
        <f t="shared" si="92"/>
        <v>8005.2059684453761</v>
      </c>
      <c r="AM215" s="2217">
        <f t="shared" si="102"/>
        <v>19.089962465756798</v>
      </c>
      <c r="AN215" s="2212">
        <v>120</v>
      </c>
      <c r="AO215" s="2219"/>
      <c r="AP215" s="2213"/>
      <c r="AQ215" s="2219"/>
      <c r="AR215" s="2213"/>
      <c r="AS215" s="2213"/>
      <c r="AT215" s="2213"/>
      <c r="AU215" s="2213"/>
      <c r="AV215" s="2213"/>
      <c r="AW215" s="2217">
        <f t="shared" si="111"/>
        <v>-2.4293899999551289</v>
      </c>
      <c r="AX215" s="2217">
        <f t="shared" si="112"/>
        <v>6434.0999999998967</v>
      </c>
      <c r="AY215" s="2217">
        <f t="shared" si="93"/>
        <v>8.3685000000423315</v>
      </c>
      <c r="AZ215" s="2212">
        <v>120</v>
      </c>
      <c r="BA215" s="2208"/>
      <c r="BB215" s="263"/>
      <c r="BC215" s="2208"/>
      <c r="BD215" s="263"/>
      <c r="BE215" s="263"/>
      <c r="BF215" s="263"/>
      <c r="BG215" s="263"/>
      <c r="BH215" s="2208"/>
      <c r="BI215" s="2217">
        <f t="shared" si="113"/>
        <v>0.16484500005799418</v>
      </c>
      <c r="BJ215" s="2217">
        <f t="shared" si="103"/>
        <v>6434.0999999998967</v>
      </c>
      <c r="BK215" s="2217">
        <f t="shared" si="94"/>
        <v>8.3685000000423315</v>
      </c>
      <c r="BL215" s="2212">
        <v>120</v>
      </c>
      <c r="BM215" s="2208"/>
      <c r="BN215" s="263"/>
      <c r="BO215" s="2208"/>
      <c r="BP215" s="263"/>
      <c r="BQ215" s="263"/>
      <c r="BR215" s="263"/>
      <c r="BS215" s="263"/>
      <c r="BT215" s="2208"/>
      <c r="BU215" s="2217">
        <f t="shared" si="114"/>
        <v>5.4991669698659784</v>
      </c>
      <c r="BV215" s="2217">
        <f t="shared" si="95"/>
        <v>8005.2059684453761</v>
      </c>
      <c r="BW215" s="2217">
        <f t="shared" si="104"/>
        <v>19.089962465756798</v>
      </c>
      <c r="BX215" s="2212">
        <v>120</v>
      </c>
      <c r="BY215" s="2219"/>
      <c r="BZ215" s="2213"/>
      <c r="CA215" s="2219"/>
      <c r="CB215" s="2213"/>
      <c r="CC215" s="2213"/>
      <c r="CD215" s="2213"/>
      <c r="CE215" s="2213"/>
      <c r="CF215" s="2208"/>
      <c r="CG215" s="2217">
        <f t="shared" si="115"/>
        <v>7.7899624657567976</v>
      </c>
      <c r="CH215" s="2217">
        <f t="shared" si="96"/>
        <v>8005.2059684453761</v>
      </c>
      <c r="CI215" s="2217">
        <f t="shared" si="105"/>
        <v>19.089962465756798</v>
      </c>
      <c r="CJ215" s="2212">
        <v>120</v>
      </c>
      <c r="CK215" s="2219"/>
      <c r="CL215" s="2213"/>
      <c r="CM215" s="2219"/>
      <c r="CN215" s="2213"/>
      <c r="CO215" s="2213"/>
      <c r="CP215" s="2213"/>
      <c r="CQ215" s="2213"/>
      <c r="CR215" s="2208"/>
      <c r="CS215" s="2217">
        <f t="shared" si="116"/>
        <v>-2.5249999428531567E-3</v>
      </c>
      <c r="CT215" s="2217">
        <f t="shared" si="106"/>
        <v>6434.0999999998967</v>
      </c>
      <c r="CU215" s="2217">
        <f t="shared" si="97"/>
        <v>8.3685000000423315</v>
      </c>
      <c r="CV215" s="2212">
        <v>120</v>
      </c>
      <c r="CW215" s="2208"/>
      <c r="CX215" s="263"/>
      <c r="CY215" s="2208"/>
      <c r="CZ215" s="263"/>
      <c r="DA215" s="263"/>
      <c r="DB215" s="263"/>
      <c r="DC215" s="263"/>
      <c r="DD215" s="2208"/>
    </row>
    <row r="216" spans="1:108">
      <c r="A216" s="2217">
        <f t="shared" si="107"/>
        <v>10.930272869845474</v>
      </c>
      <c r="B216" s="2217">
        <f t="shared" si="98"/>
        <v>7986.1160059796193</v>
      </c>
      <c r="C216" s="2217">
        <f t="shared" si="99"/>
        <v>19.330672060735196</v>
      </c>
      <c r="D216" s="2212">
        <v>119</v>
      </c>
      <c r="E216" s="2219"/>
      <c r="F216" s="2213"/>
      <c r="G216" s="2219"/>
      <c r="H216" s="2213"/>
      <c r="I216" s="2213"/>
      <c r="J216" s="2213"/>
      <c r="K216" s="2213"/>
      <c r="L216" s="2213"/>
      <c r="M216" s="2217">
        <f t="shared" si="108"/>
        <v>12.283419914096939</v>
      </c>
      <c r="N216" s="2217">
        <f t="shared" si="90"/>
        <v>7986.1160059796193</v>
      </c>
      <c r="O216" s="2217">
        <f t="shared" si="100"/>
        <v>19.330672060735196</v>
      </c>
      <c r="P216" s="2212">
        <v>119</v>
      </c>
      <c r="Q216" s="2219"/>
      <c r="R216" s="2213"/>
      <c r="S216" s="2219"/>
      <c r="T216" s="2213"/>
      <c r="U216" s="2213"/>
      <c r="V216" s="2213"/>
      <c r="W216" s="2213"/>
      <c r="X216" s="2213"/>
      <c r="Y216" s="2217">
        <f t="shared" si="109"/>
        <v>14.023180399563106</v>
      </c>
      <c r="Z216" s="2217">
        <f t="shared" si="91"/>
        <v>7986.1160059796193</v>
      </c>
      <c r="AA216" s="2217">
        <f t="shared" si="101"/>
        <v>19.330672060735196</v>
      </c>
      <c r="AB216" s="2212">
        <v>119</v>
      </c>
      <c r="AC216" s="2219"/>
      <c r="AD216" s="2213"/>
      <c r="AE216" s="2219"/>
      <c r="AF216" s="2213"/>
      <c r="AG216" s="2213"/>
      <c r="AH216" s="2213"/>
      <c r="AI216" s="2213"/>
      <c r="AJ216" s="2213"/>
      <c r="AK216" s="2217">
        <f t="shared" si="110"/>
        <v>5.710991413446969</v>
      </c>
      <c r="AL216" s="2217">
        <f t="shared" si="92"/>
        <v>7986.1160059796193</v>
      </c>
      <c r="AM216" s="2217">
        <f t="shared" si="102"/>
        <v>19.330672060735196</v>
      </c>
      <c r="AN216" s="2212">
        <v>119</v>
      </c>
      <c r="AO216" s="2219"/>
      <c r="AP216" s="2213"/>
      <c r="AQ216" s="2219"/>
      <c r="AR216" s="2213"/>
      <c r="AS216" s="2213"/>
      <c r="AT216" s="2213"/>
      <c r="AU216" s="2213"/>
      <c r="AV216" s="2213"/>
      <c r="AW216" s="2217">
        <f t="shared" si="111"/>
        <v>-2.3282659999530377</v>
      </c>
      <c r="AX216" s="2217">
        <f t="shared" si="112"/>
        <v>6425.7314999998543</v>
      </c>
      <c r="AY216" s="2217">
        <f t="shared" si="93"/>
        <v>8.4639000000443048</v>
      </c>
      <c r="AZ216" s="2212">
        <v>119</v>
      </c>
      <c r="BA216" s="2208"/>
      <c r="BB216" s="263"/>
      <c r="BC216" s="2208"/>
      <c r="BD216" s="263"/>
      <c r="BE216" s="263"/>
      <c r="BF216" s="263"/>
      <c r="BG216" s="263"/>
      <c r="BH216" s="2208"/>
      <c r="BI216" s="2217">
        <f t="shared" si="113"/>
        <v>0.29554300006069845</v>
      </c>
      <c r="BJ216" s="2217">
        <f t="shared" si="103"/>
        <v>6425.7314999998543</v>
      </c>
      <c r="BK216" s="2217">
        <f t="shared" si="94"/>
        <v>8.4639000000443048</v>
      </c>
      <c r="BL216" s="2212">
        <v>119</v>
      </c>
      <c r="BM216" s="2208"/>
      <c r="BN216" s="263"/>
      <c r="BO216" s="2208"/>
      <c r="BP216" s="263"/>
      <c r="BQ216" s="263"/>
      <c r="BR216" s="263"/>
      <c r="BS216" s="263"/>
      <c r="BT216" s="2208"/>
      <c r="BU216" s="2217">
        <f t="shared" si="114"/>
        <v>5.710991413446969</v>
      </c>
      <c r="BV216" s="2217">
        <f t="shared" si="95"/>
        <v>7986.1160059796193</v>
      </c>
      <c r="BW216" s="2217">
        <f t="shared" si="104"/>
        <v>19.330672060735196</v>
      </c>
      <c r="BX216" s="2212">
        <v>119</v>
      </c>
      <c r="BY216" s="2219"/>
      <c r="BZ216" s="2213"/>
      <c r="CA216" s="2219"/>
      <c r="CB216" s="2213"/>
      <c r="CC216" s="2213"/>
      <c r="CD216" s="2213"/>
      <c r="CE216" s="2213"/>
      <c r="CF216" s="2208"/>
      <c r="CG216" s="2217">
        <f t="shared" si="115"/>
        <v>8.0306720607351956</v>
      </c>
      <c r="CH216" s="2217">
        <f t="shared" si="96"/>
        <v>7986.1160059796193</v>
      </c>
      <c r="CI216" s="2217">
        <f t="shared" si="105"/>
        <v>19.330672060735196</v>
      </c>
      <c r="CJ216" s="2212">
        <v>119</v>
      </c>
      <c r="CK216" s="2219"/>
      <c r="CL216" s="2213"/>
      <c r="CM216" s="2219"/>
      <c r="CN216" s="2213"/>
      <c r="CO216" s="2213"/>
      <c r="CP216" s="2213"/>
      <c r="CQ216" s="2213"/>
      <c r="CR216" s="2208"/>
      <c r="CS216" s="2217">
        <f t="shared" si="116"/>
        <v>0.12626500005981178</v>
      </c>
      <c r="CT216" s="2217">
        <f t="shared" si="106"/>
        <v>6425.7314999998543</v>
      </c>
      <c r="CU216" s="2217">
        <f t="shared" si="97"/>
        <v>8.4639000000443048</v>
      </c>
      <c r="CV216" s="2212">
        <v>119</v>
      </c>
      <c r="CW216" s="2208"/>
      <c r="CX216" s="263"/>
      <c r="CY216" s="2208"/>
      <c r="CZ216" s="263"/>
      <c r="DA216" s="263"/>
      <c r="DB216" s="263"/>
      <c r="DC216" s="263"/>
      <c r="DD216" s="2208"/>
    </row>
    <row r="217" spans="1:108">
      <c r="A217" s="2217">
        <f t="shared" si="107"/>
        <v>11.208401808168443</v>
      </c>
      <c r="B217" s="2217">
        <f t="shared" si="98"/>
        <v>7966.7853339188841</v>
      </c>
      <c r="C217" s="2217">
        <f t="shared" si="99"/>
        <v>19.572523311450823</v>
      </c>
      <c r="D217" s="2212">
        <v>118</v>
      </c>
      <c r="E217" s="2219"/>
      <c r="F217" s="2213"/>
      <c r="G217" s="2219"/>
      <c r="H217" s="2213"/>
      <c r="I217" s="2213"/>
      <c r="J217" s="2213"/>
      <c r="K217" s="2213"/>
      <c r="L217" s="2213"/>
      <c r="M217" s="2217">
        <f t="shared" si="108"/>
        <v>12.578478439970002</v>
      </c>
      <c r="N217" s="2217">
        <f t="shared" si="90"/>
        <v>7966.7853339188841</v>
      </c>
      <c r="O217" s="2217">
        <f t="shared" si="100"/>
        <v>19.572523311450823</v>
      </c>
      <c r="P217" s="2212">
        <v>118</v>
      </c>
      <c r="Q217" s="2219"/>
      <c r="R217" s="2213"/>
      <c r="S217" s="2219"/>
      <c r="T217" s="2213"/>
      <c r="U217" s="2213"/>
      <c r="V217" s="2213"/>
      <c r="W217" s="2213"/>
      <c r="X217" s="2213"/>
      <c r="Y217" s="2217">
        <f t="shared" si="109"/>
        <v>14.340005538000579</v>
      </c>
      <c r="Z217" s="2217">
        <f t="shared" si="91"/>
        <v>7966.7853339188841</v>
      </c>
      <c r="AA217" s="2217">
        <f t="shared" si="101"/>
        <v>19.572523311450823</v>
      </c>
      <c r="AB217" s="2212">
        <v>118</v>
      </c>
      <c r="AC217" s="2219"/>
      <c r="AD217" s="2213"/>
      <c r="AE217" s="2219"/>
      <c r="AF217" s="2213"/>
      <c r="AG217" s="2213"/>
      <c r="AH217" s="2213"/>
      <c r="AI217" s="2213"/>
      <c r="AJ217" s="2213"/>
      <c r="AK217" s="2217">
        <f t="shared" si="110"/>
        <v>5.9238205140767199</v>
      </c>
      <c r="AL217" s="2217">
        <f t="shared" si="92"/>
        <v>7966.7853339188841</v>
      </c>
      <c r="AM217" s="2217">
        <f t="shared" si="102"/>
        <v>19.572523311450823</v>
      </c>
      <c r="AN217" s="2212">
        <v>118</v>
      </c>
      <c r="AO217" s="2219"/>
      <c r="AP217" s="2213"/>
      <c r="AQ217" s="2219"/>
      <c r="AR217" s="2213"/>
      <c r="AS217" s="2213"/>
      <c r="AT217" s="2213"/>
      <c r="AU217" s="2213"/>
      <c r="AV217" s="2213"/>
      <c r="AW217" s="2217">
        <f t="shared" si="111"/>
        <v>-2.22332599995576</v>
      </c>
      <c r="AX217" s="2217">
        <f t="shared" si="112"/>
        <v>6417.26759999981</v>
      </c>
      <c r="AY217" s="2217">
        <f t="shared" si="93"/>
        <v>8.5629000000417363</v>
      </c>
      <c r="AZ217" s="2212">
        <v>118</v>
      </c>
      <c r="BA217" s="2208"/>
      <c r="BB217" s="263"/>
      <c r="BC217" s="2208"/>
      <c r="BD217" s="263"/>
      <c r="BE217" s="263"/>
      <c r="BF217" s="263"/>
      <c r="BG217" s="263"/>
      <c r="BH217" s="2208"/>
      <c r="BI217" s="2217">
        <f t="shared" si="113"/>
        <v>0.43117300005717851</v>
      </c>
      <c r="BJ217" s="2217">
        <f t="shared" si="103"/>
        <v>6417.26759999981</v>
      </c>
      <c r="BK217" s="2217">
        <f t="shared" si="94"/>
        <v>8.5629000000417363</v>
      </c>
      <c r="BL217" s="2212">
        <v>118</v>
      </c>
      <c r="BM217" s="2208"/>
      <c r="BN217" s="263"/>
      <c r="BO217" s="2208"/>
      <c r="BP217" s="263"/>
      <c r="BQ217" s="263"/>
      <c r="BR217" s="263"/>
      <c r="BS217" s="263"/>
      <c r="BT217" s="2208"/>
      <c r="BU217" s="2217">
        <f t="shared" si="114"/>
        <v>5.9238205140767199</v>
      </c>
      <c r="BV217" s="2217">
        <f t="shared" si="95"/>
        <v>7966.7853339188841</v>
      </c>
      <c r="BW217" s="2217">
        <f t="shared" si="104"/>
        <v>19.572523311450823</v>
      </c>
      <c r="BX217" s="2212">
        <v>118</v>
      </c>
      <c r="BY217" s="2219"/>
      <c r="BZ217" s="2213"/>
      <c r="CA217" s="2219"/>
      <c r="CB217" s="2213"/>
      <c r="CC217" s="2213"/>
      <c r="CD217" s="2213"/>
      <c r="CE217" s="2213"/>
      <c r="CF217" s="2208"/>
      <c r="CG217" s="2217">
        <f t="shared" si="115"/>
        <v>8.2725233114508221</v>
      </c>
      <c r="CH217" s="2217">
        <f t="shared" si="96"/>
        <v>7966.7853339188841</v>
      </c>
      <c r="CI217" s="2217">
        <f t="shared" si="105"/>
        <v>19.572523311450823</v>
      </c>
      <c r="CJ217" s="2212">
        <v>118</v>
      </c>
      <c r="CK217" s="2219"/>
      <c r="CL217" s="2213"/>
      <c r="CM217" s="2219"/>
      <c r="CN217" s="2213"/>
      <c r="CO217" s="2213"/>
      <c r="CP217" s="2213"/>
      <c r="CQ217" s="2213"/>
      <c r="CR217" s="2208"/>
      <c r="CS217" s="2217">
        <f t="shared" si="116"/>
        <v>0.25991500005634371</v>
      </c>
      <c r="CT217" s="2217">
        <f t="shared" si="106"/>
        <v>6417.26759999981</v>
      </c>
      <c r="CU217" s="2217">
        <f t="shared" si="97"/>
        <v>8.5629000000417363</v>
      </c>
      <c r="CV217" s="2212">
        <v>118</v>
      </c>
      <c r="CW217" s="2208"/>
      <c r="CX217" s="263"/>
      <c r="CY217" s="2208"/>
      <c r="CZ217" s="263"/>
      <c r="DA217" s="263"/>
      <c r="DB217" s="263"/>
      <c r="DC217" s="263"/>
      <c r="DD217" s="2208"/>
    </row>
    <row r="218" spans="1:108">
      <c r="A218" s="2217">
        <f t="shared" si="107"/>
        <v>11.487843650583997</v>
      </c>
      <c r="B218" s="2217">
        <f t="shared" si="98"/>
        <v>7947.2128106074333</v>
      </c>
      <c r="C218" s="2217">
        <f t="shared" si="99"/>
        <v>19.81551621789913</v>
      </c>
      <c r="D218" s="2212">
        <v>117</v>
      </c>
      <c r="E218" s="2219"/>
      <c r="F218" s="2213"/>
      <c r="G218" s="2219"/>
      <c r="H218" s="2213"/>
      <c r="I218" s="2213"/>
      <c r="J218" s="2213"/>
      <c r="K218" s="2213"/>
      <c r="L218" s="2213"/>
      <c r="M218" s="2217">
        <f t="shared" si="108"/>
        <v>12.874929785836937</v>
      </c>
      <c r="N218" s="2217">
        <f t="shared" si="90"/>
        <v>7947.2128106074333</v>
      </c>
      <c r="O218" s="2217">
        <f t="shared" si="100"/>
        <v>19.81551621789913</v>
      </c>
      <c r="P218" s="2212">
        <v>117</v>
      </c>
      <c r="Q218" s="2219"/>
      <c r="R218" s="2213"/>
      <c r="S218" s="2219"/>
      <c r="T218" s="2213"/>
      <c r="U218" s="2213"/>
      <c r="V218" s="2213"/>
      <c r="W218" s="2213"/>
      <c r="X218" s="2213"/>
      <c r="Y218" s="2217">
        <f t="shared" si="109"/>
        <v>14.65832624544786</v>
      </c>
      <c r="Z218" s="2217">
        <f t="shared" si="91"/>
        <v>7947.2128106074333</v>
      </c>
      <c r="AA218" s="2217">
        <f t="shared" si="101"/>
        <v>19.81551621789913</v>
      </c>
      <c r="AB218" s="2212">
        <v>117</v>
      </c>
      <c r="AC218" s="2219"/>
      <c r="AD218" s="2213"/>
      <c r="AE218" s="2219"/>
      <c r="AF218" s="2213"/>
      <c r="AG218" s="2213"/>
      <c r="AH218" s="2213"/>
      <c r="AI218" s="2213"/>
      <c r="AJ218" s="2213"/>
      <c r="AK218" s="2217">
        <f t="shared" si="110"/>
        <v>6.1376542717512308</v>
      </c>
      <c r="AL218" s="2217">
        <f t="shared" si="92"/>
        <v>7947.2128106074333</v>
      </c>
      <c r="AM218" s="2217">
        <f t="shared" si="102"/>
        <v>19.81551621789913</v>
      </c>
      <c r="AN218" s="2212">
        <v>117</v>
      </c>
      <c r="AO218" s="2219"/>
      <c r="AP218" s="2213"/>
      <c r="AQ218" s="2219"/>
      <c r="AR218" s="2213"/>
      <c r="AS218" s="2213"/>
      <c r="AT218" s="2213"/>
      <c r="AU218" s="2213"/>
      <c r="AV218" s="2213"/>
      <c r="AW218" s="2217">
        <f t="shared" si="111"/>
        <v>-2.1145699999565473</v>
      </c>
      <c r="AX218" s="2217">
        <f t="shared" si="112"/>
        <v>6408.7046999997683</v>
      </c>
      <c r="AY218" s="2217">
        <f t="shared" si="93"/>
        <v>8.6655000000409927</v>
      </c>
      <c r="AZ218" s="2212">
        <v>117</v>
      </c>
      <c r="BA218" s="2208"/>
      <c r="BB218" s="263"/>
      <c r="BC218" s="2208"/>
      <c r="BD218" s="263"/>
      <c r="BE218" s="263"/>
      <c r="BF218" s="263"/>
      <c r="BG218" s="263"/>
      <c r="BH218" s="2208"/>
      <c r="BI218" s="2217">
        <f t="shared" si="113"/>
        <v>0.57173500005615985</v>
      </c>
      <c r="BJ218" s="2217">
        <f t="shared" si="103"/>
        <v>6408.7046999997683</v>
      </c>
      <c r="BK218" s="2217">
        <f t="shared" si="94"/>
        <v>8.6655000000409927</v>
      </c>
      <c r="BL218" s="2212">
        <v>117</v>
      </c>
      <c r="BM218" s="2208"/>
      <c r="BN218" s="263"/>
      <c r="BO218" s="2208"/>
      <c r="BP218" s="263"/>
      <c r="BQ218" s="263"/>
      <c r="BR218" s="263"/>
      <c r="BS218" s="263"/>
      <c r="BT218" s="2208"/>
      <c r="BU218" s="2217">
        <f t="shared" si="114"/>
        <v>6.1376542717512308</v>
      </c>
      <c r="BV218" s="2217">
        <f t="shared" si="95"/>
        <v>7947.2128106074333</v>
      </c>
      <c r="BW218" s="2217">
        <f t="shared" si="104"/>
        <v>19.81551621789913</v>
      </c>
      <c r="BX218" s="2212">
        <v>117</v>
      </c>
      <c r="BY218" s="2219"/>
      <c r="BZ218" s="2213"/>
      <c r="CA218" s="2219"/>
      <c r="CB218" s="2213"/>
      <c r="CC218" s="2213"/>
      <c r="CD218" s="2213"/>
      <c r="CE218" s="2213"/>
      <c r="CF218" s="2208"/>
      <c r="CG218" s="2217">
        <f t="shared" si="115"/>
        <v>8.5155162178991297</v>
      </c>
      <c r="CH218" s="2217">
        <f t="shared" si="96"/>
        <v>7947.2128106074333</v>
      </c>
      <c r="CI218" s="2217">
        <f t="shared" si="105"/>
        <v>19.81551621789913</v>
      </c>
      <c r="CJ218" s="2212">
        <v>117</v>
      </c>
      <c r="CK218" s="2219"/>
      <c r="CL218" s="2213"/>
      <c r="CM218" s="2219"/>
      <c r="CN218" s="2213"/>
      <c r="CO218" s="2213"/>
      <c r="CP218" s="2213"/>
      <c r="CQ218" s="2213"/>
      <c r="CR218" s="2208"/>
      <c r="CS218" s="2217">
        <f t="shared" si="116"/>
        <v>0.39842500005534021</v>
      </c>
      <c r="CT218" s="2217">
        <f t="shared" si="106"/>
        <v>6408.7046999997683</v>
      </c>
      <c r="CU218" s="2217">
        <f t="shared" si="97"/>
        <v>8.6655000000409927</v>
      </c>
      <c r="CV218" s="2212">
        <v>117</v>
      </c>
      <c r="CW218" s="2208"/>
      <c r="CX218" s="263"/>
      <c r="CY218" s="2208"/>
      <c r="CZ218" s="263"/>
      <c r="DA218" s="263"/>
      <c r="DB218" s="263"/>
      <c r="DC218" s="263"/>
      <c r="DD218" s="2208"/>
    </row>
    <row r="219" spans="1:108">
      <c r="A219" s="2217">
        <f t="shared" si="107"/>
        <v>11.768598397096319</v>
      </c>
      <c r="B219" s="2217">
        <f t="shared" si="98"/>
        <v>7927.3972943895342</v>
      </c>
      <c r="C219" s="2217">
        <f t="shared" si="99"/>
        <v>20.059650780083757</v>
      </c>
      <c r="D219" s="2212">
        <v>116</v>
      </c>
      <c r="E219" s="2219"/>
      <c r="F219" s="2213"/>
      <c r="G219" s="2219"/>
      <c r="H219" s="2213"/>
      <c r="I219" s="2213"/>
      <c r="J219" s="2213"/>
      <c r="K219" s="2213"/>
      <c r="L219" s="2213"/>
      <c r="M219" s="2217">
        <f t="shared" si="108"/>
        <v>13.172773951702183</v>
      </c>
      <c r="N219" s="2217">
        <f t="shared" si="90"/>
        <v>7927.3972943895342</v>
      </c>
      <c r="O219" s="2217">
        <f t="shared" si="100"/>
        <v>20.059650780083757</v>
      </c>
      <c r="P219" s="2212">
        <v>116</v>
      </c>
      <c r="Q219" s="2219"/>
      <c r="R219" s="2213"/>
      <c r="S219" s="2219"/>
      <c r="T219" s="2213"/>
      <c r="U219" s="2213"/>
      <c r="V219" s="2213"/>
      <c r="W219" s="2213"/>
      <c r="X219" s="2213"/>
      <c r="Y219" s="2217">
        <f t="shared" si="109"/>
        <v>14.978142521909721</v>
      </c>
      <c r="Z219" s="2217">
        <f t="shared" si="91"/>
        <v>7927.3972943895342</v>
      </c>
      <c r="AA219" s="2217">
        <f t="shared" si="101"/>
        <v>20.059650780083757</v>
      </c>
      <c r="AB219" s="2212">
        <v>116</v>
      </c>
      <c r="AC219" s="2219"/>
      <c r="AD219" s="2213"/>
      <c r="AE219" s="2219"/>
      <c r="AF219" s="2213"/>
      <c r="AG219" s="2213"/>
      <c r="AH219" s="2213"/>
      <c r="AI219" s="2213"/>
      <c r="AJ219" s="2213"/>
      <c r="AK219" s="2217">
        <f t="shared" si="110"/>
        <v>6.3524926864737026</v>
      </c>
      <c r="AL219" s="2217">
        <f t="shared" si="92"/>
        <v>7927.3972943895342</v>
      </c>
      <c r="AM219" s="2217">
        <f t="shared" si="102"/>
        <v>20.059650780083757</v>
      </c>
      <c r="AN219" s="2212">
        <v>116</v>
      </c>
      <c r="AO219" s="2219"/>
      <c r="AP219" s="2213"/>
      <c r="AQ219" s="2219"/>
      <c r="AR219" s="2213"/>
      <c r="AS219" s="2213"/>
      <c r="AT219" s="2213"/>
      <c r="AU219" s="2213"/>
      <c r="AV219" s="2213"/>
      <c r="AW219" s="2217">
        <f t="shared" si="111"/>
        <v>-2.0019979999573305</v>
      </c>
      <c r="AX219" s="2217">
        <f t="shared" si="112"/>
        <v>6400.0391999997273</v>
      </c>
      <c r="AY219" s="2217">
        <f t="shared" si="93"/>
        <v>8.771700000040255</v>
      </c>
      <c r="AZ219" s="2212">
        <v>116</v>
      </c>
      <c r="BA219" s="2208"/>
      <c r="BB219" s="263"/>
      <c r="BC219" s="2208"/>
      <c r="BD219" s="263"/>
      <c r="BE219" s="263"/>
      <c r="BF219" s="263"/>
      <c r="BG219" s="263"/>
      <c r="BH219" s="2208"/>
      <c r="BI219" s="2217">
        <f t="shared" si="113"/>
        <v>0.71722900005515022</v>
      </c>
      <c r="BJ219" s="2217">
        <f t="shared" si="103"/>
        <v>6400.0391999997273</v>
      </c>
      <c r="BK219" s="2217">
        <f t="shared" si="94"/>
        <v>8.771700000040255</v>
      </c>
      <c r="BL219" s="2212">
        <v>116</v>
      </c>
      <c r="BM219" s="2208"/>
      <c r="BN219" s="263"/>
      <c r="BO219" s="2208"/>
      <c r="BP219" s="263"/>
      <c r="BQ219" s="263"/>
      <c r="BR219" s="263"/>
      <c r="BS219" s="263"/>
      <c r="BT219" s="2208"/>
      <c r="BU219" s="2217">
        <f t="shared" si="114"/>
        <v>6.3524926864737026</v>
      </c>
      <c r="BV219" s="2217">
        <f t="shared" si="95"/>
        <v>7927.3972943895342</v>
      </c>
      <c r="BW219" s="2217">
        <f t="shared" si="104"/>
        <v>20.059650780083757</v>
      </c>
      <c r="BX219" s="2212">
        <v>116</v>
      </c>
      <c r="BY219" s="2219"/>
      <c r="BZ219" s="2213"/>
      <c r="CA219" s="2219"/>
      <c r="CB219" s="2213"/>
      <c r="CC219" s="2213"/>
      <c r="CD219" s="2213"/>
      <c r="CE219" s="2213"/>
      <c r="CF219" s="2208"/>
      <c r="CG219" s="2217">
        <f t="shared" si="115"/>
        <v>8.7596507800837564</v>
      </c>
      <c r="CH219" s="2217">
        <f t="shared" si="96"/>
        <v>7927.3972943895342</v>
      </c>
      <c r="CI219" s="2217">
        <f t="shared" si="105"/>
        <v>20.059650780083757</v>
      </c>
      <c r="CJ219" s="2212">
        <v>116</v>
      </c>
      <c r="CK219" s="2219"/>
      <c r="CL219" s="2213"/>
      <c r="CM219" s="2219"/>
      <c r="CN219" s="2213"/>
      <c r="CO219" s="2213"/>
      <c r="CP219" s="2213"/>
      <c r="CQ219" s="2213"/>
      <c r="CR219" s="2208"/>
      <c r="CS219" s="2217">
        <f t="shared" si="116"/>
        <v>0.54179500005434456</v>
      </c>
      <c r="CT219" s="2217">
        <f t="shared" si="106"/>
        <v>6400.0391999997273</v>
      </c>
      <c r="CU219" s="2217">
        <f t="shared" si="97"/>
        <v>8.771700000040255</v>
      </c>
      <c r="CV219" s="2212">
        <v>116</v>
      </c>
      <c r="CW219" s="2208"/>
      <c r="CX219" s="263"/>
      <c r="CY219" s="2208"/>
      <c r="CZ219" s="263"/>
      <c r="DA219" s="263"/>
      <c r="DB219" s="263"/>
      <c r="DC219" s="263"/>
      <c r="DD219" s="2208"/>
    </row>
    <row r="220" spans="1:108">
      <c r="A220" s="2217">
        <f t="shared" si="107"/>
        <v>12.050666047700176</v>
      </c>
      <c r="B220" s="2217">
        <f t="shared" si="98"/>
        <v>7907.3376436094504</v>
      </c>
      <c r="C220" s="2217">
        <f t="shared" si="99"/>
        <v>20.304926998000155</v>
      </c>
      <c r="D220" s="2212">
        <v>115</v>
      </c>
      <c r="E220" s="2219"/>
      <c r="F220" s="2213"/>
      <c r="G220" s="2219"/>
      <c r="H220" s="2213"/>
      <c r="I220" s="2213"/>
      <c r="J220" s="2213"/>
      <c r="K220" s="2213"/>
      <c r="L220" s="2213"/>
      <c r="M220" s="2217">
        <f t="shared" si="108"/>
        <v>13.472010937560189</v>
      </c>
      <c r="N220" s="2217">
        <f t="shared" si="90"/>
        <v>7907.3376436094504</v>
      </c>
      <c r="O220" s="2217">
        <f t="shared" si="100"/>
        <v>20.304926998000155</v>
      </c>
      <c r="P220" s="2212">
        <v>115</v>
      </c>
      <c r="Q220" s="2219"/>
      <c r="R220" s="2213"/>
      <c r="S220" s="2219"/>
      <c r="T220" s="2213"/>
      <c r="U220" s="2213"/>
      <c r="V220" s="2213"/>
      <c r="W220" s="2213"/>
      <c r="X220" s="2213"/>
      <c r="Y220" s="2217">
        <f t="shared" si="109"/>
        <v>15.299454367380203</v>
      </c>
      <c r="Z220" s="2217">
        <f t="shared" si="91"/>
        <v>7907.3376436094504</v>
      </c>
      <c r="AA220" s="2217">
        <f t="shared" si="101"/>
        <v>20.304926998000155</v>
      </c>
      <c r="AB220" s="2212">
        <v>115</v>
      </c>
      <c r="AC220" s="2219"/>
      <c r="AD220" s="2213"/>
      <c r="AE220" s="2219"/>
      <c r="AF220" s="2213"/>
      <c r="AG220" s="2213"/>
      <c r="AH220" s="2213"/>
      <c r="AI220" s="2213"/>
      <c r="AJ220" s="2213"/>
      <c r="AK220" s="2217">
        <f t="shared" si="110"/>
        <v>6.5683357582401349</v>
      </c>
      <c r="AL220" s="2217">
        <f t="shared" si="92"/>
        <v>7907.3376436094504</v>
      </c>
      <c r="AM220" s="2217">
        <f t="shared" si="102"/>
        <v>20.304926998000155</v>
      </c>
      <c r="AN220" s="2212">
        <v>115</v>
      </c>
      <c r="AO220" s="2219"/>
      <c r="AP220" s="2213"/>
      <c r="AQ220" s="2219"/>
      <c r="AR220" s="2213"/>
      <c r="AS220" s="2213"/>
      <c r="AT220" s="2213"/>
      <c r="AU220" s="2213"/>
      <c r="AV220" s="2213"/>
      <c r="AW220" s="2217">
        <f t="shared" si="111"/>
        <v>-1.8856099999561771</v>
      </c>
      <c r="AX220" s="2217">
        <f t="shared" si="112"/>
        <v>6391.2674999996871</v>
      </c>
      <c r="AY220" s="2217">
        <f t="shared" si="93"/>
        <v>8.881500000041342</v>
      </c>
      <c r="AZ220" s="2212">
        <v>115</v>
      </c>
      <c r="BA220" s="2208"/>
      <c r="BB220" s="263"/>
      <c r="BC220" s="2208"/>
      <c r="BD220" s="263"/>
      <c r="BE220" s="263"/>
      <c r="BF220" s="263"/>
      <c r="BG220" s="263"/>
      <c r="BH220" s="2208"/>
      <c r="BI220" s="2217">
        <f t="shared" si="113"/>
        <v>0.86765500005663831</v>
      </c>
      <c r="BJ220" s="2217">
        <f t="shared" si="103"/>
        <v>6391.2674999996871</v>
      </c>
      <c r="BK220" s="2217">
        <f t="shared" si="94"/>
        <v>8.881500000041342</v>
      </c>
      <c r="BL220" s="2212">
        <v>115</v>
      </c>
      <c r="BM220" s="2208"/>
      <c r="BN220" s="263"/>
      <c r="BO220" s="2208"/>
      <c r="BP220" s="263"/>
      <c r="BQ220" s="263"/>
      <c r="BR220" s="263"/>
      <c r="BS220" s="263"/>
      <c r="BT220" s="2208"/>
      <c r="BU220" s="2217">
        <f t="shared" si="114"/>
        <v>6.5683357582401349</v>
      </c>
      <c r="BV220" s="2217">
        <f t="shared" si="95"/>
        <v>7907.3376436094504</v>
      </c>
      <c r="BW220" s="2217">
        <f t="shared" si="104"/>
        <v>20.304926998000155</v>
      </c>
      <c r="BX220" s="2212">
        <v>115</v>
      </c>
      <c r="BY220" s="2219"/>
      <c r="BZ220" s="2213"/>
      <c r="CA220" s="2219"/>
      <c r="CB220" s="2213"/>
      <c r="CC220" s="2213"/>
      <c r="CD220" s="2213"/>
      <c r="CE220" s="2213"/>
      <c r="CF220" s="2208"/>
      <c r="CG220" s="2217">
        <f t="shared" si="115"/>
        <v>9.0049269980001547</v>
      </c>
      <c r="CH220" s="2217">
        <f t="shared" si="96"/>
        <v>7907.3376436094504</v>
      </c>
      <c r="CI220" s="2217">
        <f t="shared" si="105"/>
        <v>20.304926998000155</v>
      </c>
      <c r="CJ220" s="2212">
        <v>115</v>
      </c>
      <c r="CK220" s="2219"/>
      <c r="CL220" s="2213"/>
      <c r="CM220" s="2219"/>
      <c r="CN220" s="2213"/>
      <c r="CO220" s="2213"/>
      <c r="CP220" s="2213"/>
      <c r="CQ220" s="2213"/>
      <c r="CR220" s="2208"/>
      <c r="CS220" s="2217">
        <f t="shared" si="116"/>
        <v>0.69002500005581169</v>
      </c>
      <c r="CT220" s="2217">
        <f t="shared" si="106"/>
        <v>6391.2674999996871</v>
      </c>
      <c r="CU220" s="2217">
        <f t="shared" si="97"/>
        <v>8.881500000041342</v>
      </c>
      <c r="CV220" s="2212">
        <v>115</v>
      </c>
      <c r="CW220" s="2208"/>
      <c r="CX220" s="263"/>
      <c r="CY220" s="2208"/>
      <c r="CZ220" s="263"/>
      <c r="DA220" s="263"/>
      <c r="DB220" s="263"/>
      <c r="DC220" s="263"/>
      <c r="DD220" s="2208"/>
    </row>
    <row r="221" spans="1:108">
      <c r="A221" s="2217">
        <f t="shared" si="107"/>
        <v>12.3340466024008</v>
      </c>
      <c r="B221" s="2217">
        <f t="shared" si="98"/>
        <v>7887.0327166114503</v>
      </c>
      <c r="C221" s="2217">
        <f t="shared" si="99"/>
        <v>20.551344871652873</v>
      </c>
      <c r="D221" s="2212">
        <v>114</v>
      </c>
      <c r="E221" s="2219"/>
      <c r="F221" s="2213"/>
      <c r="G221" s="2219"/>
      <c r="H221" s="2213"/>
      <c r="I221" s="2213"/>
      <c r="J221" s="2213"/>
      <c r="K221" s="2213"/>
      <c r="L221" s="2213"/>
      <c r="M221" s="2217">
        <f t="shared" si="108"/>
        <v>13.772640743416503</v>
      </c>
      <c r="N221" s="2217">
        <f t="shared" si="90"/>
        <v>7887.0327166114503</v>
      </c>
      <c r="O221" s="2217">
        <f t="shared" si="100"/>
        <v>20.551344871652873</v>
      </c>
      <c r="P221" s="2212">
        <v>114</v>
      </c>
      <c r="Q221" s="2219"/>
      <c r="R221" s="2213"/>
      <c r="S221" s="2219"/>
      <c r="T221" s="2213"/>
      <c r="U221" s="2213"/>
      <c r="V221" s="2213"/>
      <c r="W221" s="2213"/>
      <c r="X221" s="2213"/>
      <c r="Y221" s="2217">
        <f t="shared" si="109"/>
        <v>15.622261781865262</v>
      </c>
      <c r="Z221" s="2217">
        <f t="shared" si="91"/>
        <v>7887.0327166114503</v>
      </c>
      <c r="AA221" s="2217">
        <f t="shared" si="101"/>
        <v>20.551344871652873</v>
      </c>
      <c r="AB221" s="2212">
        <v>114</v>
      </c>
      <c r="AC221" s="2219"/>
      <c r="AD221" s="2213"/>
      <c r="AE221" s="2219"/>
      <c r="AF221" s="2213"/>
      <c r="AG221" s="2213"/>
      <c r="AH221" s="2213"/>
      <c r="AI221" s="2213"/>
      <c r="AJ221" s="2213"/>
      <c r="AK221" s="2217">
        <f t="shared" si="110"/>
        <v>6.7851834870545247</v>
      </c>
      <c r="AL221" s="2217">
        <f t="shared" si="92"/>
        <v>7887.0327166114503</v>
      </c>
      <c r="AM221" s="2217">
        <f t="shared" si="102"/>
        <v>20.551344871652873</v>
      </c>
      <c r="AN221" s="2212">
        <v>114</v>
      </c>
      <c r="AO221" s="2219"/>
      <c r="AP221" s="2213"/>
      <c r="AQ221" s="2219"/>
      <c r="AR221" s="2213"/>
      <c r="AS221" s="2213"/>
      <c r="AT221" s="2213"/>
      <c r="AU221" s="2213"/>
      <c r="AV221" s="2213"/>
      <c r="AW221" s="2217">
        <f t="shared" si="111"/>
        <v>-1.765405999958876</v>
      </c>
      <c r="AX221" s="2217">
        <f t="shared" si="112"/>
        <v>6382.3859999996457</v>
      </c>
      <c r="AY221" s="2217">
        <f t="shared" si="93"/>
        <v>8.9949000000387969</v>
      </c>
      <c r="AZ221" s="2212">
        <v>114</v>
      </c>
      <c r="BA221" s="2208"/>
      <c r="BB221" s="263"/>
      <c r="BC221" s="2208"/>
      <c r="BD221" s="263"/>
      <c r="BE221" s="263"/>
      <c r="BF221" s="263"/>
      <c r="BG221" s="263"/>
      <c r="BH221" s="2208"/>
      <c r="BI221" s="2217">
        <f t="shared" si="113"/>
        <v>1.0230130000531528</v>
      </c>
      <c r="BJ221" s="2217">
        <f t="shared" si="103"/>
        <v>6382.3859999996457</v>
      </c>
      <c r="BK221" s="2217">
        <f t="shared" si="94"/>
        <v>8.9949000000387969</v>
      </c>
      <c r="BL221" s="2212">
        <v>114</v>
      </c>
      <c r="BM221" s="2208"/>
      <c r="BN221" s="263"/>
      <c r="BO221" s="2208"/>
      <c r="BP221" s="263"/>
      <c r="BQ221" s="263"/>
      <c r="BR221" s="263"/>
      <c r="BS221" s="263"/>
      <c r="BT221" s="2208"/>
      <c r="BU221" s="2217">
        <f t="shared" si="114"/>
        <v>6.7851834870545247</v>
      </c>
      <c r="BV221" s="2217">
        <f t="shared" si="95"/>
        <v>7887.0327166114503</v>
      </c>
      <c r="BW221" s="2217">
        <f t="shared" si="104"/>
        <v>20.551344871652873</v>
      </c>
      <c r="BX221" s="2212">
        <v>114</v>
      </c>
      <c r="BY221" s="2219"/>
      <c r="BZ221" s="2213"/>
      <c r="CA221" s="2219"/>
      <c r="CB221" s="2213"/>
      <c r="CC221" s="2213"/>
      <c r="CD221" s="2213"/>
      <c r="CE221" s="2213"/>
      <c r="CF221" s="2208"/>
      <c r="CG221" s="2217">
        <f t="shared" si="115"/>
        <v>9.2513448716528721</v>
      </c>
      <c r="CH221" s="2217">
        <f t="shared" si="96"/>
        <v>7887.0327166114503</v>
      </c>
      <c r="CI221" s="2217">
        <f t="shared" si="105"/>
        <v>20.551344871652873</v>
      </c>
      <c r="CJ221" s="2212">
        <v>114</v>
      </c>
      <c r="CK221" s="2219"/>
      <c r="CL221" s="2213"/>
      <c r="CM221" s="2219"/>
      <c r="CN221" s="2213"/>
      <c r="CO221" s="2213"/>
      <c r="CP221" s="2213"/>
      <c r="CQ221" s="2213"/>
      <c r="CR221" s="2208"/>
      <c r="CS221" s="2217">
        <f t="shared" si="116"/>
        <v>0.84311500005237505</v>
      </c>
      <c r="CT221" s="2217">
        <f t="shared" si="106"/>
        <v>6382.3859999996457</v>
      </c>
      <c r="CU221" s="2217">
        <f t="shared" si="97"/>
        <v>8.9949000000387969</v>
      </c>
      <c r="CV221" s="2212">
        <v>114</v>
      </c>
      <c r="CW221" s="2208"/>
      <c r="CX221" s="263"/>
      <c r="CY221" s="2208"/>
      <c r="CZ221" s="263"/>
      <c r="DA221" s="263"/>
      <c r="DB221" s="263"/>
      <c r="DC221" s="263"/>
      <c r="DD221" s="2208"/>
    </row>
    <row r="222" spans="1:108">
      <c r="A222" s="2217">
        <f t="shared" si="107"/>
        <v>12.618740061198192</v>
      </c>
      <c r="B222" s="2217">
        <f t="shared" si="98"/>
        <v>7866.4813717397974</v>
      </c>
      <c r="C222" s="2217">
        <f t="shared" si="99"/>
        <v>20.798904401041909</v>
      </c>
      <c r="D222" s="2212">
        <v>113</v>
      </c>
      <c r="E222" s="2219"/>
      <c r="F222" s="2213"/>
      <c r="G222" s="2219"/>
      <c r="H222" s="2213"/>
      <c r="I222" s="2213"/>
      <c r="J222" s="2213"/>
      <c r="K222" s="2213"/>
      <c r="L222" s="2213"/>
      <c r="M222" s="2217">
        <f t="shared" si="108"/>
        <v>14.074663369271128</v>
      </c>
      <c r="N222" s="2217">
        <f t="shared" si="90"/>
        <v>7866.4813717397974</v>
      </c>
      <c r="O222" s="2217">
        <f t="shared" si="100"/>
        <v>20.798904401041909</v>
      </c>
      <c r="P222" s="2212">
        <v>113</v>
      </c>
      <c r="Q222" s="2219"/>
      <c r="R222" s="2213"/>
      <c r="S222" s="2219"/>
      <c r="T222" s="2213"/>
      <c r="U222" s="2213"/>
      <c r="V222" s="2213"/>
      <c r="W222" s="2213"/>
      <c r="X222" s="2213"/>
      <c r="Y222" s="2217">
        <f t="shared" si="109"/>
        <v>15.946564765364901</v>
      </c>
      <c r="Z222" s="2217">
        <f t="shared" si="91"/>
        <v>7866.4813717397974</v>
      </c>
      <c r="AA222" s="2217">
        <f t="shared" si="101"/>
        <v>20.798904401041909</v>
      </c>
      <c r="AB222" s="2212">
        <v>113</v>
      </c>
      <c r="AC222" s="2219"/>
      <c r="AD222" s="2213"/>
      <c r="AE222" s="2219"/>
      <c r="AF222" s="2213"/>
      <c r="AG222" s="2213"/>
      <c r="AH222" s="2213"/>
      <c r="AI222" s="2213"/>
      <c r="AJ222" s="2213"/>
      <c r="AK222" s="2217">
        <f t="shared" si="110"/>
        <v>7.0030358729168789</v>
      </c>
      <c r="AL222" s="2217">
        <f t="shared" si="92"/>
        <v>7866.4813717397974</v>
      </c>
      <c r="AM222" s="2217">
        <f t="shared" si="102"/>
        <v>20.798904401041909</v>
      </c>
      <c r="AN222" s="2212">
        <v>113</v>
      </c>
      <c r="AO222" s="2219"/>
      <c r="AP222" s="2213"/>
      <c r="AQ222" s="2219"/>
      <c r="AR222" s="2213"/>
      <c r="AS222" s="2213"/>
      <c r="AT222" s="2213"/>
      <c r="AU222" s="2213"/>
      <c r="AV222" s="2213"/>
      <c r="AW222" s="2217">
        <f t="shared" si="111"/>
        <v>-1.6413859999606029</v>
      </c>
      <c r="AX222" s="2217">
        <f t="shared" si="112"/>
        <v>6373.3910999996069</v>
      </c>
      <c r="AY222" s="2217">
        <f t="shared" si="93"/>
        <v>9.111900000037167</v>
      </c>
      <c r="AZ222" s="2212">
        <v>113</v>
      </c>
      <c r="BA222" s="2208"/>
      <c r="BB222" s="263"/>
      <c r="BC222" s="2208"/>
      <c r="BD222" s="263"/>
      <c r="BE222" s="263"/>
      <c r="BF222" s="263"/>
      <c r="BG222" s="263"/>
      <c r="BH222" s="2208"/>
      <c r="BI222" s="2217">
        <f t="shared" si="113"/>
        <v>1.1833030000509197</v>
      </c>
      <c r="BJ222" s="2217">
        <f t="shared" si="103"/>
        <v>6373.3910999996069</v>
      </c>
      <c r="BK222" s="2217">
        <f t="shared" si="94"/>
        <v>9.111900000037167</v>
      </c>
      <c r="BL222" s="2212">
        <v>113</v>
      </c>
      <c r="BM222" s="2208"/>
      <c r="BN222" s="263"/>
      <c r="BO222" s="2208"/>
      <c r="BP222" s="263"/>
      <c r="BQ222" s="263"/>
      <c r="BR222" s="263"/>
      <c r="BS222" s="263"/>
      <c r="BT222" s="2208"/>
      <c r="BU222" s="2217">
        <f t="shared" si="114"/>
        <v>7.0030358729168789</v>
      </c>
      <c r="BV222" s="2217">
        <f t="shared" si="95"/>
        <v>7866.4813717397974</v>
      </c>
      <c r="BW222" s="2217">
        <f t="shared" si="104"/>
        <v>20.798904401041909</v>
      </c>
      <c r="BX222" s="2212">
        <v>113</v>
      </c>
      <c r="BY222" s="2219"/>
      <c r="BZ222" s="2213"/>
      <c r="CA222" s="2219"/>
      <c r="CB222" s="2213"/>
      <c r="CC222" s="2213"/>
      <c r="CD222" s="2213"/>
      <c r="CE222" s="2213"/>
      <c r="CF222" s="2208"/>
      <c r="CG222" s="2217">
        <f t="shared" si="115"/>
        <v>9.4989044010419086</v>
      </c>
      <c r="CH222" s="2217">
        <f t="shared" si="96"/>
        <v>7866.4813717397974</v>
      </c>
      <c r="CI222" s="2217">
        <f t="shared" si="105"/>
        <v>20.798904401041909</v>
      </c>
      <c r="CJ222" s="2212">
        <v>113</v>
      </c>
      <c r="CK222" s="2219"/>
      <c r="CL222" s="2213"/>
      <c r="CM222" s="2219"/>
      <c r="CN222" s="2213"/>
      <c r="CO222" s="2213"/>
      <c r="CP222" s="2213"/>
      <c r="CQ222" s="2213"/>
      <c r="CR222" s="2208"/>
      <c r="CS222" s="2217">
        <f t="shared" si="116"/>
        <v>1.0010650000501755</v>
      </c>
      <c r="CT222" s="2217">
        <f t="shared" si="106"/>
        <v>6373.3910999996069</v>
      </c>
      <c r="CU222" s="2217">
        <f t="shared" si="97"/>
        <v>9.111900000037167</v>
      </c>
      <c r="CV222" s="2212">
        <v>113</v>
      </c>
      <c r="CW222" s="2208"/>
      <c r="CX222" s="263"/>
      <c r="CY222" s="2208"/>
      <c r="CZ222" s="263"/>
      <c r="DA222" s="263"/>
      <c r="DB222" s="263"/>
      <c r="DC222" s="263"/>
      <c r="DD222" s="2208"/>
    </row>
    <row r="223" spans="1:108">
      <c r="A223" s="2217">
        <f t="shared" si="107"/>
        <v>12.904746424088167</v>
      </c>
      <c r="B223" s="2217">
        <f t="shared" si="98"/>
        <v>7845.6824673387555</v>
      </c>
      <c r="C223" s="2217">
        <f t="shared" si="99"/>
        <v>21.047605586163627</v>
      </c>
      <c r="D223" s="2212">
        <v>112</v>
      </c>
      <c r="E223" s="2219"/>
      <c r="F223" s="2213"/>
      <c r="G223" s="2219"/>
      <c r="H223" s="2213"/>
      <c r="I223" s="2213"/>
      <c r="J223" s="2213"/>
      <c r="K223" s="2213"/>
      <c r="L223" s="2213"/>
      <c r="M223" s="2217">
        <f t="shared" si="108"/>
        <v>14.378078815119622</v>
      </c>
      <c r="N223" s="2217">
        <f t="shared" si="90"/>
        <v>7845.6824673387555</v>
      </c>
      <c r="O223" s="2217">
        <f t="shared" si="100"/>
        <v>21.047605586163627</v>
      </c>
      <c r="P223" s="2212">
        <v>112</v>
      </c>
      <c r="Q223" s="2219"/>
      <c r="R223" s="2213"/>
      <c r="S223" s="2219"/>
      <c r="T223" s="2213"/>
      <c r="U223" s="2213"/>
      <c r="V223" s="2213"/>
      <c r="W223" s="2213"/>
      <c r="X223" s="2213"/>
      <c r="Y223" s="2217">
        <f t="shared" si="109"/>
        <v>16.272363317874351</v>
      </c>
      <c r="Z223" s="2217">
        <f t="shared" si="91"/>
        <v>7845.6824673387555</v>
      </c>
      <c r="AA223" s="2217">
        <f t="shared" si="101"/>
        <v>21.047605586163627</v>
      </c>
      <c r="AB223" s="2212">
        <v>112</v>
      </c>
      <c r="AC223" s="2219"/>
      <c r="AD223" s="2213"/>
      <c r="AE223" s="2219"/>
      <c r="AF223" s="2213"/>
      <c r="AG223" s="2213"/>
      <c r="AH223" s="2213"/>
      <c r="AI223" s="2213"/>
      <c r="AJ223" s="2213"/>
      <c r="AK223" s="2217">
        <f t="shared" si="110"/>
        <v>7.2218929158239895</v>
      </c>
      <c r="AL223" s="2217">
        <f t="shared" si="92"/>
        <v>7845.6824673387555</v>
      </c>
      <c r="AM223" s="2217">
        <f t="shared" si="102"/>
        <v>21.047605586163627</v>
      </c>
      <c r="AN223" s="2212">
        <v>112</v>
      </c>
      <c r="AO223" s="2219"/>
      <c r="AP223" s="2213"/>
      <c r="AQ223" s="2219"/>
      <c r="AR223" s="2213"/>
      <c r="AS223" s="2213"/>
      <c r="AT223" s="2213"/>
      <c r="AU223" s="2213"/>
      <c r="AV223" s="2213"/>
      <c r="AW223" s="2217">
        <f t="shared" si="111"/>
        <v>-1.5135499999603965</v>
      </c>
      <c r="AX223" s="2217">
        <f t="shared" si="112"/>
        <v>6364.2791999995698</v>
      </c>
      <c r="AY223" s="2217">
        <f t="shared" si="93"/>
        <v>9.232500000037362</v>
      </c>
      <c r="AZ223" s="2212">
        <v>112</v>
      </c>
      <c r="BA223" s="2208"/>
      <c r="BB223" s="263"/>
      <c r="BC223" s="2208"/>
      <c r="BD223" s="263"/>
      <c r="BE223" s="263"/>
      <c r="BF223" s="263"/>
      <c r="BG223" s="263"/>
      <c r="BH223" s="2208"/>
      <c r="BI223" s="2217">
        <f t="shared" si="113"/>
        <v>1.3485250000511861</v>
      </c>
      <c r="BJ223" s="2217">
        <f t="shared" si="103"/>
        <v>6364.2791999995698</v>
      </c>
      <c r="BK223" s="2217">
        <f t="shared" si="94"/>
        <v>9.232500000037362</v>
      </c>
      <c r="BL223" s="2212">
        <v>112</v>
      </c>
      <c r="BM223" s="2208"/>
      <c r="BN223" s="263"/>
      <c r="BO223" s="2208"/>
      <c r="BP223" s="263"/>
      <c r="BQ223" s="263"/>
      <c r="BR223" s="263"/>
      <c r="BS223" s="263"/>
      <c r="BT223" s="2208"/>
      <c r="BU223" s="2217">
        <f t="shared" si="114"/>
        <v>7.2218929158239895</v>
      </c>
      <c r="BV223" s="2217">
        <f t="shared" si="95"/>
        <v>7845.6824673387555</v>
      </c>
      <c r="BW223" s="2217">
        <f t="shared" si="104"/>
        <v>21.047605586163627</v>
      </c>
      <c r="BX223" s="2212">
        <v>112</v>
      </c>
      <c r="BY223" s="2219"/>
      <c r="BZ223" s="2213"/>
      <c r="CA223" s="2219"/>
      <c r="CB223" s="2213"/>
      <c r="CC223" s="2213"/>
      <c r="CD223" s="2213"/>
      <c r="CE223" s="2213"/>
      <c r="CF223" s="2208"/>
      <c r="CG223" s="2217">
        <f t="shared" si="115"/>
        <v>9.7476055861636262</v>
      </c>
      <c r="CH223" s="2217">
        <f t="shared" si="96"/>
        <v>7845.6824673387555</v>
      </c>
      <c r="CI223" s="2217">
        <f t="shared" si="105"/>
        <v>21.047605586163627</v>
      </c>
      <c r="CJ223" s="2212">
        <v>112</v>
      </c>
      <c r="CK223" s="2219"/>
      <c r="CL223" s="2213"/>
      <c r="CM223" s="2219"/>
      <c r="CN223" s="2213"/>
      <c r="CO223" s="2213"/>
      <c r="CP223" s="2213"/>
      <c r="CQ223" s="2213"/>
      <c r="CR223" s="2208"/>
      <c r="CS223" s="2217">
        <f t="shared" si="116"/>
        <v>1.1638750000504388</v>
      </c>
      <c r="CT223" s="2217">
        <f t="shared" si="106"/>
        <v>6364.2791999995698</v>
      </c>
      <c r="CU223" s="2217">
        <f t="shared" si="97"/>
        <v>9.232500000037362</v>
      </c>
      <c r="CV223" s="2212">
        <v>112</v>
      </c>
      <c r="CW223" s="2208"/>
      <c r="CX223" s="263"/>
      <c r="CY223" s="2208"/>
      <c r="CZ223" s="263"/>
      <c r="DA223" s="263"/>
      <c r="DB223" s="263"/>
      <c r="DC223" s="263"/>
      <c r="DD223" s="2208"/>
    </row>
    <row r="224" spans="1:108">
      <c r="A224" s="2217">
        <f t="shared" si="107"/>
        <v>13.192065691071772</v>
      </c>
      <c r="B224" s="2217">
        <f t="shared" si="98"/>
        <v>7824.6348617525919</v>
      </c>
      <c r="C224" s="2217">
        <f t="shared" si="99"/>
        <v>21.297448427018935</v>
      </c>
      <c r="D224" s="2212">
        <v>111</v>
      </c>
      <c r="E224" s="2219"/>
      <c r="F224" s="2213"/>
      <c r="G224" s="2219"/>
      <c r="H224" s="2213"/>
      <c r="I224" s="2213"/>
      <c r="J224" s="2213"/>
      <c r="K224" s="2213"/>
      <c r="L224" s="2213"/>
      <c r="M224" s="2217">
        <f t="shared" si="108"/>
        <v>14.682887080963098</v>
      </c>
      <c r="N224" s="2217">
        <f t="shared" si="90"/>
        <v>7824.6348617525919</v>
      </c>
      <c r="O224" s="2217">
        <f t="shared" si="100"/>
        <v>21.297448427018935</v>
      </c>
      <c r="P224" s="2212">
        <v>111</v>
      </c>
      <c r="Q224" s="2219"/>
      <c r="R224" s="2213"/>
      <c r="S224" s="2219"/>
      <c r="T224" s="2213"/>
      <c r="U224" s="2213"/>
      <c r="V224" s="2213"/>
      <c r="W224" s="2213"/>
      <c r="X224" s="2213"/>
      <c r="Y224" s="2217">
        <f t="shared" si="109"/>
        <v>16.599657439394804</v>
      </c>
      <c r="Z224" s="2217">
        <f t="shared" si="91"/>
        <v>7824.6348617525919</v>
      </c>
      <c r="AA224" s="2217">
        <f t="shared" si="101"/>
        <v>21.297448427018935</v>
      </c>
      <c r="AB224" s="2212">
        <v>111</v>
      </c>
      <c r="AC224" s="2219"/>
      <c r="AD224" s="2213"/>
      <c r="AE224" s="2219"/>
      <c r="AF224" s="2213"/>
      <c r="AG224" s="2213"/>
      <c r="AH224" s="2213"/>
      <c r="AI224" s="2213"/>
      <c r="AJ224" s="2213"/>
      <c r="AK224" s="2217">
        <f t="shared" si="110"/>
        <v>7.4417546157766594</v>
      </c>
      <c r="AL224" s="2217">
        <f t="shared" si="92"/>
        <v>7824.6348617525919</v>
      </c>
      <c r="AM224" s="2217">
        <f t="shared" si="102"/>
        <v>21.297448427018935</v>
      </c>
      <c r="AN224" s="2212">
        <v>111</v>
      </c>
      <c r="AO224" s="2219"/>
      <c r="AP224" s="2213"/>
      <c r="AQ224" s="2219"/>
      <c r="AR224" s="2213"/>
      <c r="AS224" s="2213"/>
      <c r="AT224" s="2213"/>
      <c r="AU224" s="2213"/>
      <c r="AV224" s="2213"/>
      <c r="AW224" s="2217">
        <f t="shared" si="111"/>
        <v>-1.3818979999582552</v>
      </c>
      <c r="AX224" s="2217">
        <f t="shared" si="112"/>
        <v>6355.0466999995324</v>
      </c>
      <c r="AY224" s="2217">
        <f t="shared" si="93"/>
        <v>9.3567000000393818</v>
      </c>
      <c r="AZ224" s="2212">
        <v>111</v>
      </c>
      <c r="BA224" s="2208"/>
      <c r="BB224" s="263"/>
      <c r="BC224" s="2208"/>
      <c r="BD224" s="263"/>
      <c r="BE224" s="263"/>
      <c r="BF224" s="263"/>
      <c r="BG224" s="263"/>
      <c r="BH224" s="2208"/>
      <c r="BI224" s="2217">
        <f t="shared" si="113"/>
        <v>1.5186790000539538</v>
      </c>
      <c r="BJ224" s="2217">
        <f t="shared" si="103"/>
        <v>6355.0466999995324</v>
      </c>
      <c r="BK224" s="2217">
        <f t="shared" si="94"/>
        <v>9.3567000000393818</v>
      </c>
      <c r="BL224" s="2212">
        <v>111</v>
      </c>
      <c r="BM224" s="2208"/>
      <c r="BN224" s="263"/>
      <c r="BO224" s="2208"/>
      <c r="BP224" s="263"/>
      <c r="BQ224" s="263"/>
      <c r="BR224" s="263"/>
      <c r="BS224" s="263"/>
      <c r="BT224" s="2208"/>
      <c r="BU224" s="2217">
        <f t="shared" si="114"/>
        <v>7.4417546157766594</v>
      </c>
      <c r="BV224" s="2217">
        <f t="shared" si="95"/>
        <v>7824.6348617525919</v>
      </c>
      <c r="BW224" s="2217">
        <f t="shared" si="104"/>
        <v>21.297448427018935</v>
      </c>
      <c r="BX224" s="2212">
        <v>111</v>
      </c>
      <c r="BY224" s="2219"/>
      <c r="BZ224" s="2213"/>
      <c r="CA224" s="2219"/>
      <c r="CB224" s="2213"/>
      <c r="CC224" s="2213"/>
      <c r="CD224" s="2213"/>
      <c r="CE224" s="2213"/>
      <c r="CF224" s="2208"/>
      <c r="CG224" s="2217">
        <f t="shared" si="115"/>
        <v>9.9974484270189343</v>
      </c>
      <c r="CH224" s="2217">
        <f t="shared" si="96"/>
        <v>7824.6348617525919</v>
      </c>
      <c r="CI224" s="2217">
        <f t="shared" si="105"/>
        <v>21.297448427018935</v>
      </c>
      <c r="CJ224" s="2212">
        <v>111</v>
      </c>
      <c r="CK224" s="2219"/>
      <c r="CL224" s="2213"/>
      <c r="CM224" s="2219"/>
      <c r="CN224" s="2213"/>
      <c r="CO224" s="2213"/>
      <c r="CP224" s="2213"/>
      <c r="CQ224" s="2213"/>
      <c r="CR224" s="2208"/>
      <c r="CS224" s="2217">
        <f t="shared" si="116"/>
        <v>1.3315450000531648</v>
      </c>
      <c r="CT224" s="2217">
        <f t="shared" si="106"/>
        <v>6355.0466999995324</v>
      </c>
      <c r="CU224" s="2217">
        <f t="shared" si="97"/>
        <v>9.3567000000393818</v>
      </c>
      <c r="CV224" s="2212">
        <v>111</v>
      </c>
      <c r="CW224" s="2208"/>
      <c r="CX224" s="263"/>
      <c r="CY224" s="2208"/>
      <c r="CZ224" s="263"/>
      <c r="DA224" s="263"/>
      <c r="DB224" s="263"/>
      <c r="DC224" s="263"/>
      <c r="DD224" s="2208"/>
    </row>
    <row r="225" spans="1:108">
      <c r="A225" s="2217">
        <f t="shared" si="107"/>
        <v>13.480697862153189</v>
      </c>
      <c r="B225" s="2217">
        <f t="shared" si="98"/>
        <v>7803.3374133255729</v>
      </c>
      <c r="C225" s="2217">
        <f t="shared" si="99"/>
        <v>21.548432923611472</v>
      </c>
      <c r="D225" s="2212">
        <v>110</v>
      </c>
      <c r="E225" s="2219"/>
      <c r="F225" s="2213"/>
      <c r="G225" s="2219"/>
      <c r="H225" s="2213"/>
      <c r="I225" s="2213"/>
      <c r="J225" s="2213"/>
      <c r="K225" s="2213"/>
      <c r="L225" s="2213"/>
      <c r="M225" s="2217">
        <f t="shared" si="108"/>
        <v>14.989088166805995</v>
      </c>
      <c r="N225" s="2217">
        <f t="shared" si="90"/>
        <v>7803.3374133255729</v>
      </c>
      <c r="O225" s="2217">
        <f t="shared" si="100"/>
        <v>21.548432923611472</v>
      </c>
      <c r="P225" s="2212">
        <v>110</v>
      </c>
      <c r="Q225" s="2219"/>
      <c r="R225" s="2213"/>
      <c r="S225" s="2219"/>
      <c r="T225" s="2213"/>
      <c r="U225" s="2213"/>
      <c r="V225" s="2213"/>
      <c r="W225" s="2213"/>
      <c r="X225" s="2213"/>
      <c r="Y225" s="2217">
        <f t="shared" si="109"/>
        <v>16.92844712993103</v>
      </c>
      <c r="Z225" s="2217">
        <f t="shared" si="91"/>
        <v>7803.3374133255729</v>
      </c>
      <c r="AA225" s="2217">
        <f t="shared" si="101"/>
        <v>21.548432923611472</v>
      </c>
      <c r="AB225" s="2212">
        <v>110</v>
      </c>
      <c r="AC225" s="2219"/>
      <c r="AD225" s="2213"/>
      <c r="AE225" s="2219"/>
      <c r="AF225" s="2213"/>
      <c r="AG225" s="2213"/>
      <c r="AH225" s="2213"/>
      <c r="AI225" s="2213"/>
      <c r="AJ225" s="2213"/>
      <c r="AK225" s="2217">
        <f t="shared" si="110"/>
        <v>7.6626209727780932</v>
      </c>
      <c r="AL225" s="2217">
        <f t="shared" si="92"/>
        <v>7803.3374133255729</v>
      </c>
      <c r="AM225" s="2217">
        <f t="shared" si="102"/>
        <v>21.548432923611472</v>
      </c>
      <c r="AN225" s="2212">
        <v>110</v>
      </c>
      <c r="AO225" s="2219"/>
      <c r="AP225" s="2213"/>
      <c r="AQ225" s="2219"/>
      <c r="AR225" s="2213"/>
      <c r="AS225" s="2213"/>
      <c r="AT225" s="2213"/>
      <c r="AU225" s="2213"/>
      <c r="AV225" s="2213"/>
      <c r="AW225" s="2217">
        <f t="shared" si="111"/>
        <v>-1.2464299999609292</v>
      </c>
      <c r="AX225" s="2217">
        <f t="shared" si="112"/>
        <v>6345.689999999493</v>
      </c>
      <c r="AY225" s="2217">
        <f t="shared" si="93"/>
        <v>9.48450000003686</v>
      </c>
      <c r="AZ225" s="2212">
        <v>110</v>
      </c>
      <c r="BA225" s="2208"/>
      <c r="BB225" s="263"/>
      <c r="BC225" s="2208"/>
      <c r="BD225" s="263"/>
      <c r="BE225" s="263"/>
      <c r="BF225" s="263"/>
      <c r="BG225" s="263"/>
      <c r="BH225" s="2208"/>
      <c r="BI225" s="2217">
        <f t="shared" si="113"/>
        <v>1.6937650000504991</v>
      </c>
      <c r="BJ225" s="2217">
        <f t="shared" si="103"/>
        <v>6345.689999999493</v>
      </c>
      <c r="BK225" s="2217">
        <f t="shared" si="94"/>
        <v>9.48450000003686</v>
      </c>
      <c r="BL225" s="2212">
        <v>110</v>
      </c>
      <c r="BM225" s="2208"/>
      <c r="BN225" s="263"/>
      <c r="BO225" s="2208"/>
      <c r="BP225" s="263"/>
      <c r="BQ225" s="263"/>
      <c r="BR225" s="263"/>
      <c r="BS225" s="263"/>
      <c r="BT225" s="2208"/>
      <c r="BU225" s="2217">
        <f t="shared" si="114"/>
        <v>7.6626209727780932</v>
      </c>
      <c r="BV225" s="2217">
        <f t="shared" si="95"/>
        <v>7803.3374133255729</v>
      </c>
      <c r="BW225" s="2217">
        <f t="shared" si="104"/>
        <v>21.548432923611472</v>
      </c>
      <c r="BX225" s="2212">
        <v>110</v>
      </c>
      <c r="BY225" s="2219"/>
      <c r="BZ225" s="2213"/>
      <c r="CA225" s="2219"/>
      <c r="CB225" s="2213"/>
      <c r="CC225" s="2213"/>
      <c r="CD225" s="2213"/>
      <c r="CE225" s="2213"/>
      <c r="CF225" s="2208"/>
      <c r="CG225" s="2217">
        <f t="shared" si="115"/>
        <v>10.248432923611471</v>
      </c>
      <c r="CH225" s="2217">
        <f t="shared" si="96"/>
        <v>7803.3374133255729</v>
      </c>
      <c r="CI225" s="2217">
        <f t="shared" si="105"/>
        <v>21.548432923611472</v>
      </c>
      <c r="CJ225" s="2212">
        <v>110</v>
      </c>
      <c r="CK225" s="2219"/>
      <c r="CL225" s="2213"/>
      <c r="CM225" s="2219"/>
      <c r="CN225" s="2213"/>
      <c r="CO225" s="2213"/>
      <c r="CP225" s="2213"/>
      <c r="CQ225" s="2213"/>
      <c r="CR225" s="2208"/>
      <c r="CS225" s="2217">
        <f t="shared" si="116"/>
        <v>1.5040750000497614</v>
      </c>
      <c r="CT225" s="2217">
        <f t="shared" si="106"/>
        <v>6345.689999999493</v>
      </c>
      <c r="CU225" s="2217">
        <f t="shared" si="97"/>
        <v>9.48450000003686</v>
      </c>
      <c r="CV225" s="2212">
        <v>110</v>
      </c>
      <c r="CW225" s="2208"/>
      <c r="CX225" s="263"/>
      <c r="CY225" s="2208"/>
      <c r="CZ225" s="263"/>
      <c r="DA225" s="263"/>
      <c r="DB225" s="263"/>
      <c r="DC225" s="263"/>
      <c r="DD225" s="2208"/>
    </row>
    <row r="226" spans="1:108">
      <c r="A226" s="2217">
        <f t="shared" si="107"/>
        <v>13.770642937328237</v>
      </c>
      <c r="B226" s="2217">
        <f t="shared" si="98"/>
        <v>7781.7889804019615</v>
      </c>
      <c r="C226" s="2217">
        <f t="shared" si="99"/>
        <v>21.800559075937599</v>
      </c>
      <c r="D226" s="2212">
        <v>109</v>
      </c>
      <c r="E226" s="2219"/>
      <c r="F226" s="2213"/>
      <c r="G226" s="2219"/>
      <c r="H226" s="2213"/>
      <c r="I226" s="2213"/>
      <c r="J226" s="2213"/>
      <c r="K226" s="2213"/>
      <c r="L226" s="2213"/>
      <c r="M226" s="2217">
        <f t="shared" si="108"/>
        <v>15.296682072643868</v>
      </c>
      <c r="N226" s="2217">
        <f t="shared" si="90"/>
        <v>7781.7889804019615</v>
      </c>
      <c r="O226" s="2217">
        <f t="shared" si="100"/>
        <v>21.800559075937599</v>
      </c>
      <c r="P226" s="2212">
        <v>109</v>
      </c>
      <c r="Q226" s="2219"/>
      <c r="R226" s="2213"/>
      <c r="S226" s="2219"/>
      <c r="T226" s="2213"/>
      <c r="U226" s="2213"/>
      <c r="V226" s="2213"/>
      <c r="W226" s="2213"/>
      <c r="X226" s="2213"/>
      <c r="Y226" s="2217">
        <f t="shared" si="109"/>
        <v>17.258732389478254</v>
      </c>
      <c r="Z226" s="2217">
        <f t="shared" si="91"/>
        <v>7781.7889804019615</v>
      </c>
      <c r="AA226" s="2217">
        <f t="shared" si="101"/>
        <v>21.800559075937599</v>
      </c>
      <c r="AB226" s="2212">
        <v>109</v>
      </c>
      <c r="AC226" s="2219"/>
      <c r="AD226" s="2213"/>
      <c r="AE226" s="2219"/>
      <c r="AF226" s="2213"/>
      <c r="AG226" s="2213"/>
      <c r="AH226" s="2213"/>
      <c r="AI226" s="2213"/>
      <c r="AJ226" s="2213"/>
      <c r="AK226" s="2217">
        <f t="shared" si="110"/>
        <v>7.8844919868250827</v>
      </c>
      <c r="AL226" s="2217">
        <f t="shared" si="92"/>
        <v>7781.7889804019615</v>
      </c>
      <c r="AM226" s="2217">
        <f t="shared" si="102"/>
        <v>21.800559075937599</v>
      </c>
      <c r="AN226" s="2212">
        <v>109</v>
      </c>
      <c r="AO226" s="2219"/>
      <c r="AP226" s="2213"/>
      <c r="AQ226" s="2219"/>
      <c r="AR226" s="2213"/>
      <c r="AS226" s="2213"/>
      <c r="AT226" s="2213"/>
      <c r="AU226" s="2213"/>
      <c r="AV226" s="2213"/>
      <c r="AW226" s="2217">
        <f t="shared" si="111"/>
        <v>-1.107145999962631</v>
      </c>
      <c r="AX226" s="2217">
        <f t="shared" si="112"/>
        <v>6336.2054999994562</v>
      </c>
      <c r="AY226" s="2217">
        <f t="shared" si="93"/>
        <v>9.6159000000352535</v>
      </c>
      <c r="AZ226" s="2212">
        <v>109</v>
      </c>
      <c r="BA226" s="2208"/>
      <c r="BB226" s="263"/>
      <c r="BC226" s="2208"/>
      <c r="BD226" s="263"/>
      <c r="BE226" s="263"/>
      <c r="BF226" s="263"/>
      <c r="BG226" s="263"/>
      <c r="BH226" s="2208"/>
      <c r="BI226" s="2217">
        <f t="shared" si="113"/>
        <v>1.8737830000482969</v>
      </c>
      <c r="BJ226" s="2217">
        <f t="shared" si="103"/>
        <v>6336.2054999994562</v>
      </c>
      <c r="BK226" s="2217">
        <f t="shared" si="94"/>
        <v>9.6159000000352535</v>
      </c>
      <c r="BL226" s="2212">
        <v>109</v>
      </c>
      <c r="BM226" s="2208"/>
      <c r="BN226" s="263"/>
      <c r="BO226" s="2208"/>
      <c r="BP226" s="263"/>
      <c r="BQ226" s="263"/>
      <c r="BR226" s="263"/>
      <c r="BS226" s="263"/>
      <c r="BT226" s="2208"/>
      <c r="BU226" s="2217">
        <f t="shared" si="114"/>
        <v>7.8844919868250827</v>
      </c>
      <c r="BV226" s="2217">
        <f t="shared" si="95"/>
        <v>7781.7889804019615</v>
      </c>
      <c r="BW226" s="2217">
        <f t="shared" si="104"/>
        <v>21.800559075937599</v>
      </c>
      <c r="BX226" s="2212">
        <v>109</v>
      </c>
      <c r="BY226" s="2219"/>
      <c r="BZ226" s="2213"/>
      <c r="CA226" s="2219"/>
      <c r="CB226" s="2213"/>
      <c r="CC226" s="2213"/>
      <c r="CD226" s="2213"/>
      <c r="CE226" s="2213"/>
      <c r="CF226" s="2208"/>
      <c r="CG226" s="2217">
        <f t="shared" si="115"/>
        <v>10.500559075937598</v>
      </c>
      <c r="CH226" s="2217">
        <f t="shared" si="96"/>
        <v>7781.7889804019615</v>
      </c>
      <c r="CI226" s="2217">
        <f t="shared" si="105"/>
        <v>21.800559075937599</v>
      </c>
      <c r="CJ226" s="2212">
        <v>109</v>
      </c>
      <c r="CK226" s="2219"/>
      <c r="CL226" s="2213"/>
      <c r="CM226" s="2219"/>
      <c r="CN226" s="2213"/>
      <c r="CO226" s="2213"/>
      <c r="CP226" s="2213"/>
      <c r="CQ226" s="2213"/>
      <c r="CR226" s="2208"/>
      <c r="CS226" s="2217">
        <f t="shared" si="116"/>
        <v>1.6814650000475915</v>
      </c>
      <c r="CT226" s="2217">
        <f t="shared" si="106"/>
        <v>6336.2054999994562</v>
      </c>
      <c r="CU226" s="2217">
        <f t="shared" si="97"/>
        <v>9.6159000000352535</v>
      </c>
      <c r="CV226" s="2212">
        <v>109</v>
      </c>
      <c r="CW226" s="2208"/>
      <c r="CX226" s="263"/>
      <c r="CY226" s="2208"/>
      <c r="CZ226" s="263"/>
      <c r="DA226" s="263"/>
      <c r="DB226" s="263"/>
      <c r="DC226" s="263"/>
      <c r="DD226" s="2208"/>
    </row>
    <row r="227" spans="1:108">
      <c r="A227" s="2217">
        <f t="shared" si="107"/>
        <v>14.061900916596912</v>
      </c>
      <c r="B227" s="2217">
        <f t="shared" si="98"/>
        <v>7759.9884213260239</v>
      </c>
      <c r="C227" s="2217">
        <f t="shared" si="99"/>
        <v>22.053826883997317</v>
      </c>
      <c r="D227" s="2212">
        <v>108</v>
      </c>
      <c r="E227" s="2219"/>
      <c r="F227" s="2213"/>
      <c r="G227" s="2219"/>
      <c r="H227" s="2213"/>
      <c r="I227" s="2213"/>
      <c r="J227" s="2213"/>
      <c r="K227" s="2213"/>
      <c r="L227" s="2213"/>
      <c r="M227" s="2217">
        <f t="shared" si="108"/>
        <v>15.605668798476724</v>
      </c>
      <c r="N227" s="2217">
        <f t="shared" ref="N227:N290" si="117">N$27+(N$26*P227)-(N$25*(P227^2))+(N$24*(P227^3))</f>
        <v>7759.9884213260239</v>
      </c>
      <c r="O227" s="2217">
        <f t="shared" si="100"/>
        <v>22.053826883997317</v>
      </c>
      <c r="P227" s="2212">
        <v>108</v>
      </c>
      <c r="Q227" s="2219"/>
      <c r="R227" s="2213"/>
      <c r="S227" s="2219"/>
      <c r="T227" s="2213"/>
      <c r="U227" s="2213"/>
      <c r="V227" s="2213"/>
      <c r="W227" s="2213"/>
      <c r="X227" s="2213"/>
      <c r="Y227" s="2217">
        <f t="shared" si="109"/>
        <v>17.590513218036484</v>
      </c>
      <c r="Z227" s="2217">
        <f t="shared" ref="Z227:Z290" si="118">Z$27+(Z$26*AB227)-(Z$25*(AB227^2))+(Z$24*(AB227^3))</f>
        <v>7759.9884213260239</v>
      </c>
      <c r="AA227" s="2217">
        <f t="shared" si="101"/>
        <v>22.053826883997317</v>
      </c>
      <c r="AB227" s="2212">
        <v>108</v>
      </c>
      <c r="AC227" s="2219"/>
      <c r="AD227" s="2213"/>
      <c r="AE227" s="2219"/>
      <c r="AF227" s="2213"/>
      <c r="AG227" s="2213"/>
      <c r="AH227" s="2213"/>
      <c r="AI227" s="2213"/>
      <c r="AJ227" s="2213"/>
      <c r="AK227" s="2217">
        <f t="shared" si="110"/>
        <v>8.107367657917635</v>
      </c>
      <c r="AL227" s="2217">
        <f t="shared" ref="AL227:AL290" si="119">AL$27+(AL$26*AN227)-(AL$25*(AN227^2))+(AL$24*(AN227^3))</f>
        <v>7759.9884213260239</v>
      </c>
      <c r="AM227" s="2217">
        <f t="shared" si="102"/>
        <v>22.053826883997317</v>
      </c>
      <c r="AN227" s="2212">
        <v>108</v>
      </c>
      <c r="AO227" s="2219"/>
      <c r="AP227" s="2213"/>
      <c r="AQ227" s="2219"/>
      <c r="AR227" s="2213"/>
      <c r="AS227" s="2213"/>
      <c r="AT227" s="2213"/>
      <c r="AU227" s="2213"/>
      <c r="AV227" s="2213"/>
      <c r="AW227" s="2217">
        <f t="shared" si="111"/>
        <v>-0.96404599996336415</v>
      </c>
      <c r="AX227" s="2217">
        <f t="shared" si="112"/>
        <v>6326.5895999994209</v>
      </c>
      <c r="AY227" s="2217">
        <f t="shared" ref="AY227:AY290" si="120">AX227-AX228</f>
        <v>9.7509000000345623</v>
      </c>
      <c r="AZ227" s="2212">
        <v>108</v>
      </c>
      <c r="BA227" s="2208"/>
      <c r="BB227" s="263"/>
      <c r="BC227" s="2208"/>
      <c r="BD227" s="263"/>
      <c r="BE227" s="263"/>
      <c r="BF227" s="263"/>
      <c r="BG227" s="263"/>
      <c r="BH227" s="2208"/>
      <c r="BI227" s="2217">
        <f t="shared" si="113"/>
        <v>2.0587330000473507</v>
      </c>
      <c r="BJ227" s="2217">
        <f t="shared" si="103"/>
        <v>6326.5895999994209</v>
      </c>
      <c r="BK227" s="2217">
        <f t="shared" ref="BK227:BK290" si="121">BJ227-BJ228</f>
        <v>9.7509000000345623</v>
      </c>
      <c r="BL227" s="2212">
        <v>108</v>
      </c>
      <c r="BM227" s="2208"/>
      <c r="BN227" s="263"/>
      <c r="BO227" s="2208"/>
      <c r="BP227" s="263"/>
      <c r="BQ227" s="263"/>
      <c r="BR227" s="263"/>
      <c r="BS227" s="263"/>
      <c r="BT227" s="2208"/>
      <c r="BU227" s="2217">
        <f t="shared" si="114"/>
        <v>8.107367657917635</v>
      </c>
      <c r="BV227" s="2217">
        <f t="shared" ref="BV227:BV290" si="122">BV$27+(BV$26*BX227)-(BV$25*(BX227^2))+(BV$24*(BX227^3))</f>
        <v>7759.9884213260239</v>
      </c>
      <c r="BW227" s="2217">
        <f t="shared" si="104"/>
        <v>22.053826883997317</v>
      </c>
      <c r="BX227" s="2212">
        <v>108</v>
      </c>
      <c r="BY227" s="2219"/>
      <c r="BZ227" s="2213"/>
      <c r="CA227" s="2219"/>
      <c r="CB227" s="2213"/>
      <c r="CC227" s="2213"/>
      <c r="CD227" s="2213"/>
      <c r="CE227" s="2213"/>
      <c r="CF227" s="2208"/>
      <c r="CG227" s="2217">
        <f t="shared" si="115"/>
        <v>10.753826883997316</v>
      </c>
      <c r="CH227" s="2217">
        <f t="shared" ref="CH227:CH290" si="123">CH$27+(CH$26*CJ227)-(CH$25*(CJ227^2))+(CH$24*(CJ227^3))</f>
        <v>7759.9884213260239</v>
      </c>
      <c r="CI227" s="2217">
        <f t="shared" si="105"/>
        <v>22.053826883997317</v>
      </c>
      <c r="CJ227" s="2212">
        <v>108</v>
      </c>
      <c r="CK227" s="2219"/>
      <c r="CL227" s="2213"/>
      <c r="CM227" s="2219"/>
      <c r="CN227" s="2213"/>
      <c r="CO227" s="2213"/>
      <c r="CP227" s="2213"/>
      <c r="CQ227" s="2213"/>
      <c r="CR227" s="2208"/>
      <c r="CS227" s="2217">
        <f t="shared" si="116"/>
        <v>1.8637150000466587</v>
      </c>
      <c r="CT227" s="2217">
        <f t="shared" si="106"/>
        <v>6326.5895999994209</v>
      </c>
      <c r="CU227" s="2217">
        <f t="shared" ref="CU227:CU290" si="124">CT227-CT228</f>
        <v>9.7509000000345623</v>
      </c>
      <c r="CV227" s="2212">
        <v>108</v>
      </c>
      <c r="CW227" s="2208"/>
      <c r="CX227" s="263"/>
      <c r="CY227" s="2208"/>
      <c r="CZ227" s="263"/>
      <c r="DA227" s="263"/>
      <c r="DB227" s="263"/>
      <c r="DC227" s="263"/>
      <c r="DD227" s="2208"/>
    </row>
    <row r="228" spans="1:108">
      <c r="A228" s="2217">
        <f t="shared" si="107"/>
        <v>14.354471799962354</v>
      </c>
      <c r="B228" s="2217">
        <f t="shared" ref="B228:B291" si="125">B$27+(B$26*D228)-(B$25*(D228^2))+(B$24*(D228^3))</f>
        <v>7737.9345944420265</v>
      </c>
      <c r="C228" s="2217">
        <f t="shared" ref="C228:C291" si="126">B228-B229</f>
        <v>22.308236347793354</v>
      </c>
      <c r="D228" s="2212">
        <v>107</v>
      </c>
      <c r="E228" s="2219"/>
      <c r="F228" s="2213"/>
      <c r="G228" s="2219"/>
      <c r="H228" s="2213"/>
      <c r="I228" s="2213"/>
      <c r="J228" s="2213"/>
      <c r="K228" s="2213"/>
      <c r="L228" s="2213"/>
      <c r="M228" s="2217">
        <f t="shared" si="108"/>
        <v>15.916048344307892</v>
      </c>
      <c r="N228" s="2217">
        <f t="shared" si="117"/>
        <v>7737.9345944420265</v>
      </c>
      <c r="O228" s="2217">
        <f t="shared" ref="O228:O291" si="127">N228-N229</f>
        <v>22.308236347793354</v>
      </c>
      <c r="P228" s="2212">
        <v>107</v>
      </c>
      <c r="Q228" s="2219"/>
      <c r="R228" s="2213"/>
      <c r="S228" s="2219"/>
      <c r="T228" s="2213"/>
      <c r="U228" s="2213"/>
      <c r="V228" s="2213"/>
      <c r="W228" s="2213"/>
      <c r="X228" s="2213"/>
      <c r="Y228" s="2217">
        <f t="shared" si="109"/>
        <v>17.923789615609294</v>
      </c>
      <c r="Z228" s="2217">
        <f t="shared" si="118"/>
        <v>7737.9345944420265</v>
      </c>
      <c r="AA228" s="2217">
        <f t="shared" ref="AA228:AA291" si="128">Z228-Z229</f>
        <v>22.308236347793354</v>
      </c>
      <c r="AB228" s="2212">
        <v>107</v>
      </c>
      <c r="AC228" s="2219"/>
      <c r="AD228" s="2213"/>
      <c r="AE228" s="2219"/>
      <c r="AF228" s="2213"/>
      <c r="AG228" s="2213"/>
      <c r="AH228" s="2213"/>
      <c r="AI228" s="2213"/>
      <c r="AJ228" s="2213"/>
      <c r="AK228" s="2217">
        <f t="shared" si="110"/>
        <v>8.3312479860581483</v>
      </c>
      <c r="AL228" s="2217">
        <f t="shared" si="119"/>
        <v>7737.9345944420265</v>
      </c>
      <c r="AM228" s="2217">
        <f t="shared" ref="AM228:AM291" si="129">AL228-AL229</f>
        <v>22.308236347793354</v>
      </c>
      <c r="AN228" s="2212">
        <v>107</v>
      </c>
      <c r="AO228" s="2219"/>
      <c r="AP228" s="2213"/>
      <c r="AQ228" s="2219"/>
      <c r="AR228" s="2213"/>
      <c r="AS228" s="2213"/>
      <c r="AT228" s="2213"/>
      <c r="AU228" s="2213"/>
      <c r="AV228" s="2213"/>
      <c r="AW228" s="2217">
        <f t="shared" si="111"/>
        <v>-0.8171299999621624</v>
      </c>
      <c r="AX228" s="2217">
        <f t="shared" si="112"/>
        <v>6316.8386999993863</v>
      </c>
      <c r="AY228" s="2217">
        <f t="shared" si="120"/>
        <v>9.8895000000356958</v>
      </c>
      <c r="AZ228" s="2212">
        <v>107</v>
      </c>
      <c r="BA228" s="2208"/>
      <c r="BB228" s="263"/>
      <c r="BC228" s="2208"/>
      <c r="BD228" s="263"/>
      <c r="BE228" s="263"/>
      <c r="BF228" s="263"/>
      <c r="BG228" s="263"/>
      <c r="BH228" s="2208"/>
      <c r="BI228" s="2217">
        <f t="shared" si="113"/>
        <v>2.248615000048904</v>
      </c>
      <c r="BJ228" s="2217">
        <f t="shared" ref="BJ228:BJ291" si="130">BJ$27+(BJ$26*BL228)-(BJ$25*(BL228^2))+(BJ$24*(BL228^3))</f>
        <v>6316.8386999993863</v>
      </c>
      <c r="BK228" s="2217">
        <f t="shared" si="121"/>
        <v>9.8895000000356958</v>
      </c>
      <c r="BL228" s="2212">
        <v>107</v>
      </c>
      <c r="BM228" s="2208"/>
      <c r="BN228" s="263"/>
      <c r="BO228" s="2208"/>
      <c r="BP228" s="263"/>
      <c r="BQ228" s="263"/>
      <c r="BR228" s="263"/>
      <c r="BS228" s="263"/>
      <c r="BT228" s="2208"/>
      <c r="BU228" s="2217">
        <f t="shared" si="114"/>
        <v>8.3312479860581483</v>
      </c>
      <c r="BV228" s="2217">
        <f t="shared" si="122"/>
        <v>7737.9345944420265</v>
      </c>
      <c r="BW228" s="2217">
        <f t="shared" ref="BW228:BW291" si="131">BV228-BV229</f>
        <v>22.308236347793354</v>
      </c>
      <c r="BX228" s="2212">
        <v>107</v>
      </c>
      <c r="BY228" s="2219"/>
      <c r="BZ228" s="2213"/>
      <c r="CA228" s="2219"/>
      <c r="CB228" s="2213"/>
      <c r="CC228" s="2213"/>
      <c r="CD228" s="2213"/>
      <c r="CE228" s="2213"/>
      <c r="CF228" s="2208"/>
      <c r="CG228" s="2217">
        <f t="shared" si="115"/>
        <v>11.008236347793353</v>
      </c>
      <c r="CH228" s="2217">
        <f t="shared" si="123"/>
        <v>7737.9345944420265</v>
      </c>
      <c r="CI228" s="2217">
        <f t="shared" ref="CI228:CI291" si="132">CH228-CH229</f>
        <v>22.308236347793354</v>
      </c>
      <c r="CJ228" s="2212">
        <v>107</v>
      </c>
      <c r="CK228" s="2219"/>
      <c r="CL228" s="2213"/>
      <c r="CM228" s="2219"/>
      <c r="CN228" s="2213"/>
      <c r="CO228" s="2213"/>
      <c r="CP228" s="2213"/>
      <c r="CQ228" s="2213"/>
      <c r="CR228" s="2208"/>
      <c r="CS228" s="2217">
        <f t="shared" si="116"/>
        <v>2.0508250000481887</v>
      </c>
      <c r="CT228" s="2217">
        <f t="shared" ref="CT228:CT291" si="133">CT$27+(CT$26*CV228)-(CT$25*(CV228^2))+(CT$24*(CV228^3))</f>
        <v>6316.8386999993863</v>
      </c>
      <c r="CU228" s="2217">
        <f t="shared" si="124"/>
        <v>9.8895000000356958</v>
      </c>
      <c r="CV228" s="2212">
        <v>107</v>
      </c>
      <c r="CW228" s="2208"/>
      <c r="CX228" s="263"/>
      <c r="CY228" s="2208"/>
      <c r="CZ228" s="263"/>
      <c r="DA228" s="263"/>
      <c r="DB228" s="263"/>
      <c r="DC228" s="263"/>
      <c r="DD228" s="2208"/>
    </row>
    <row r="229" spans="1:108">
      <c r="A229" s="2217">
        <f t="shared" ref="A229:A292" si="134">(C229*(B$7-B$9))-B$8</f>
        <v>14.648355587421428</v>
      </c>
      <c r="B229" s="2217">
        <f t="shared" si="125"/>
        <v>7715.6263580942332</v>
      </c>
      <c r="C229" s="2217">
        <f t="shared" si="126"/>
        <v>22.563787467322982</v>
      </c>
      <c r="D229" s="2212">
        <v>106</v>
      </c>
      <c r="E229" s="2219"/>
      <c r="F229" s="2213"/>
      <c r="G229" s="2219"/>
      <c r="H229" s="2213"/>
      <c r="I229" s="2213"/>
      <c r="J229" s="2213"/>
      <c r="K229" s="2213"/>
      <c r="L229" s="2213"/>
      <c r="M229" s="2217">
        <f t="shared" ref="M229:M292" si="135">(O229*(N$7-N$9))-N$8</f>
        <v>16.227820710134036</v>
      </c>
      <c r="N229" s="2217">
        <f t="shared" si="117"/>
        <v>7715.6263580942332</v>
      </c>
      <c r="O229" s="2217">
        <f t="shared" si="127"/>
        <v>22.563787467322982</v>
      </c>
      <c r="P229" s="2212">
        <v>106</v>
      </c>
      <c r="Q229" s="2219"/>
      <c r="R229" s="2213"/>
      <c r="S229" s="2219"/>
      <c r="T229" s="2213"/>
      <c r="U229" s="2213"/>
      <c r="V229" s="2213"/>
      <c r="W229" s="2213"/>
      <c r="X229" s="2213"/>
      <c r="Y229" s="2217">
        <f t="shared" ref="Y229:Y292" si="136">(AA229*(Z$7-Z$9))-Z$8</f>
        <v>18.258561582193106</v>
      </c>
      <c r="Z229" s="2217">
        <f t="shared" si="118"/>
        <v>7715.6263580942332</v>
      </c>
      <c r="AA229" s="2217">
        <f t="shared" si="128"/>
        <v>22.563787467322982</v>
      </c>
      <c r="AB229" s="2212">
        <v>106</v>
      </c>
      <c r="AC229" s="2219"/>
      <c r="AD229" s="2213"/>
      <c r="AE229" s="2219"/>
      <c r="AF229" s="2213"/>
      <c r="AG229" s="2213"/>
      <c r="AH229" s="2213"/>
      <c r="AI229" s="2213"/>
      <c r="AJ229" s="2213"/>
      <c r="AK229" s="2217">
        <f t="shared" ref="AK229:AK292" si="137">(AM229*(AL$7-AL$9))-AL$8</f>
        <v>8.5561329712442209</v>
      </c>
      <c r="AL229" s="2217">
        <f t="shared" si="119"/>
        <v>7715.6263580942332</v>
      </c>
      <c r="AM229" s="2217">
        <f t="shared" si="129"/>
        <v>22.563787467322982</v>
      </c>
      <c r="AN229" s="2212">
        <v>106</v>
      </c>
      <c r="AO229" s="2219"/>
      <c r="AP229" s="2213"/>
      <c r="AQ229" s="2219"/>
      <c r="AR229" s="2213"/>
      <c r="AS229" s="2213"/>
      <c r="AT229" s="2213"/>
      <c r="AU229" s="2213"/>
      <c r="AV229" s="2213"/>
      <c r="AW229" s="2217">
        <f t="shared" ref="AW229:AW292" si="138">AY229*(AX$7-AX$9)-AX$8</f>
        <v>-0.66639799996481131</v>
      </c>
      <c r="AX229" s="2217">
        <f t="shared" ref="AX229:AX292" si="139">AX$27+(AX$26*AZ229)-(AX$25*(AZ229^2))+(AX$24*(AZ229^3))</f>
        <v>6306.9491999993506</v>
      </c>
      <c r="AY229" s="2217">
        <f t="shared" si="120"/>
        <v>10.031700000033197</v>
      </c>
      <c r="AZ229" s="2212">
        <v>106</v>
      </c>
      <c r="BA229" s="2208"/>
      <c r="BB229" s="263"/>
      <c r="BC229" s="2208"/>
      <c r="BD229" s="263"/>
      <c r="BE229" s="263"/>
      <c r="BF229" s="263"/>
      <c r="BG229" s="263"/>
      <c r="BH229" s="2208"/>
      <c r="BI229" s="2217">
        <f t="shared" ref="BI229:BI292" si="140">BK229*(BJ$7-BJ$9)-BJ$8</f>
        <v>2.4434290000454801</v>
      </c>
      <c r="BJ229" s="2217">
        <f t="shared" si="130"/>
        <v>6306.9491999993506</v>
      </c>
      <c r="BK229" s="2217">
        <f t="shared" si="121"/>
        <v>10.031700000033197</v>
      </c>
      <c r="BL229" s="2212">
        <v>106</v>
      </c>
      <c r="BM229" s="2208"/>
      <c r="BN229" s="263"/>
      <c r="BO229" s="2208"/>
      <c r="BP229" s="263"/>
      <c r="BQ229" s="263"/>
      <c r="BR229" s="263"/>
      <c r="BS229" s="263"/>
      <c r="BT229" s="2208"/>
      <c r="BU229" s="2217">
        <f t="shared" ref="BU229:BU292" si="141">(BW229*(BV$7-BV$9))-BV$8</f>
        <v>8.5561329712442209</v>
      </c>
      <c r="BV229" s="2217">
        <f t="shared" si="122"/>
        <v>7715.6263580942332</v>
      </c>
      <c r="BW229" s="2217">
        <f t="shared" si="131"/>
        <v>22.563787467322982</v>
      </c>
      <c r="BX229" s="2212">
        <v>106</v>
      </c>
      <c r="BY229" s="2219"/>
      <c r="BZ229" s="2213"/>
      <c r="CA229" s="2219"/>
      <c r="CB229" s="2213"/>
      <c r="CC229" s="2213"/>
      <c r="CD229" s="2213"/>
      <c r="CE229" s="2213"/>
      <c r="CF229" s="2208"/>
      <c r="CG229" s="2217">
        <f t="shared" ref="CG229:CG292" si="142">(CI229*(CH$7-CH$9))-CH$8</f>
        <v>11.263787467322981</v>
      </c>
      <c r="CH229" s="2217">
        <f t="shared" si="123"/>
        <v>7715.6263580942332</v>
      </c>
      <c r="CI229" s="2217">
        <f t="shared" si="132"/>
        <v>22.563787467322982</v>
      </c>
      <c r="CJ229" s="2212">
        <v>106</v>
      </c>
      <c r="CK229" s="2219"/>
      <c r="CL229" s="2213"/>
      <c r="CM229" s="2219"/>
      <c r="CN229" s="2213"/>
      <c r="CO229" s="2213"/>
      <c r="CP229" s="2213"/>
      <c r="CQ229" s="2213"/>
      <c r="CR229" s="2208"/>
      <c r="CS229" s="2217">
        <f t="shared" ref="CS229:CS292" si="143">CU229*(CT$7-CT$9)-CT$8</f>
        <v>2.2427950000448167</v>
      </c>
      <c r="CT229" s="2217">
        <f t="shared" si="133"/>
        <v>6306.9491999993506</v>
      </c>
      <c r="CU229" s="2217">
        <f t="shared" si="124"/>
        <v>10.031700000033197</v>
      </c>
      <c r="CV229" s="2212">
        <v>106</v>
      </c>
      <c r="CW229" s="2208"/>
      <c r="CX229" s="263"/>
      <c r="CY229" s="2208"/>
      <c r="CZ229" s="263"/>
      <c r="DA229" s="263"/>
      <c r="DB229" s="263"/>
      <c r="DC229" s="263"/>
      <c r="DD229" s="2208"/>
    </row>
    <row r="230" spans="1:108">
      <c r="A230" s="2217">
        <f t="shared" si="134"/>
        <v>14.943552278974128</v>
      </c>
      <c r="B230" s="2217">
        <f t="shared" si="125"/>
        <v>7693.0625706269102</v>
      </c>
      <c r="C230" s="2217">
        <f t="shared" si="126"/>
        <v>22.8204802425862</v>
      </c>
      <c r="D230" s="2212">
        <v>105</v>
      </c>
      <c r="E230" s="2219"/>
      <c r="F230" s="2213"/>
      <c r="G230" s="2219"/>
      <c r="H230" s="2213"/>
      <c r="I230" s="2213"/>
      <c r="J230" s="2213"/>
      <c r="K230" s="2213"/>
      <c r="L230" s="2213"/>
      <c r="M230" s="2217">
        <f t="shared" si="135"/>
        <v>16.540985895955163</v>
      </c>
      <c r="N230" s="2217">
        <f t="shared" si="117"/>
        <v>7693.0625706269102</v>
      </c>
      <c r="O230" s="2217">
        <f t="shared" si="127"/>
        <v>22.8204802425862</v>
      </c>
      <c r="P230" s="2212">
        <v>105</v>
      </c>
      <c r="Q230" s="2219"/>
      <c r="R230" s="2213"/>
      <c r="S230" s="2219"/>
      <c r="T230" s="2213"/>
      <c r="U230" s="2213"/>
      <c r="V230" s="2213"/>
      <c r="W230" s="2213"/>
      <c r="X230" s="2213"/>
      <c r="Y230" s="2217">
        <f t="shared" si="136"/>
        <v>18.594829117787924</v>
      </c>
      <c r="Z230" s="2217">
        <f t="shared" si="118"/>
        <v>7693.0625706269102</v>
      </c>
      <c r="AA230" s="2217">
        <f t="shared" si="128"/>
        <v>22.8204802425862</v>
      </c>
      <c r="AB230" s="2212">
        <v>105</v>
      </c>
      <c r="AC230" s="2219"/>
      <c r="AD230" s="2213"/>
      <c r="AE230" s="2219"/>
      <c r="AF230" s="2213"/>
      <c r="AG230" s="2213"/>
      <c r="AH230" s="2213"/>
      <c r="AI230" s="2213"/>
      <c r="AJ230" s="2213"/>
      <c r="AK230" s="2217">
        <f t="shared" si="137"/>
        <v>8.7820226134758528</v>
      </c>
      <c r="AL230" s="2217">
        <f t="shared" si="119"/>
        <v>7693.0625706269102</v>
      </c>
      <c r="AM230" s="2217">
        <f t="shared" si="129"/>
        <v>22.8204802425862</v>
      </c>
      <c r="AN230" s="2212">
        <v>105</v>
      </c>
      <c r="AO230" s="2219"/>
      <c r="AP230" s="2213"/>
      <c r="AQ230" s="2219"/>
      <c r="AR230" s="2213"/>
      <c r="AS230" s="2213"/>
      <c r="AT230" s="2213"/>
      <c r="AU230" s="2213"/>
      <c r="AV230" s="2213"/>
      <c r="AW230" s="2217">
        <f t="shared" si="138"/>
        <v>-0.51184999996552527</v>
      </c>
      <c r="AX230" s="2217">
        <f t="shared" si="139"/>
        <v>6296.9174999993174</v>
      </c>
      <c r="AY230" s="2217">
        <f t="shared" si="120"/>
        <v>10.177500000032524</v>
      </c>
      <c r="AZ230" s="2212">
        <v>105</v>
      </c>
      <c r="BA230" s="2208"/>
      <c r="BB230" s="263"/>
      <c r="BC230" s="2208"/>
      <c r="BD230" s="263"/>
      <c r="BE230" s="263"/>
      <c r="BF230" s="263"/>
      <c r="BG230" s="263"/>
      <c r="BH230" s="2208"/>
      <c r="BI230" s="2217">
        <f t="shared" si="140"/>
        <v>2.6431750000445575</v>
      </c>
      <c r="BJ230" s="2217">
        <f t="shared" si="130"/>
        <v>6296.9174999993174</v>
      </c>
      <c r="BK230" s="2217">
        <f t="shared" si="121"/>
        <v>10.177500000032524</v>
      </c>
      <c r="BL230" s="2212">
        <v>105</v>
      </c>
      <c r="BM230" s="2208"/>
      <c r="BN230" s="263"/>
      <c r="BO230" s="2208"/>
      <c r="BP230" s="263"/>
      <c r="BQ230" s="263"/>
      <c r="BR230" s="263"/>
      <c r="BS230" s="263"/>
      <c r="BT230" s="2208"/>
      <c r="BU230" s="2217">
        <f t="shared" si="141"/>
        <v>8.7820226134758528</v>
      </c>
      <c r="BV230" s="2217">
        <f t="shared" si="122"/>
        <v>7693.0625706269102</v>
      </c>
      <c r="BW230" s="2217">
        <f t="shared" si="131"/>
        <v>22.8204802425862</v>
      </c>
      <c r="BX230" s="2212">
        <v>105</v>
      </c>
      <c r="BY230" s="2219"/>
      <c r="BZ230" s="2213"/>
      <c r="CA230" s="2219"/>
      <c r="CB230" s="2213"/>
      <c r="CC230" s="2213"/>
      <c r="CD230" s="2213"/>
      <c r="CE230" s="2213"/>
      <c r="CF230" s="2208"/>
      <c r="CG230" s="2217">
        <f t="shared" si="142"/>
        <v>11.520480242586199</v>
      </c>
      <c r="CH230" s="2217">
        <f t="shared" si="123"/>
        <v>7693.0625706269102</v>
      </c>
      <c r="CI230" s="2217">
        <f t="shared" si="132"/>
        <v>22.8204802425862</v>
      </c>
      <c r="CJ230" s="2212">
        <v>105</v>
      </c>
      <c r="CK230" s="2219"/>
      <c r="CL230" s="2213"/>
      <c r="CM230" s="2219"/>
      <c r="CN230" s="2213"/>
      <c r="CO230" s="2213"/>
      <c r="CP230" s="2213"/>
      <c r="CQ230" s="2213"/>
      <c r="CR230" s="2208"/>
      <c r="CS230" s="2217">
        <f t="shared" si="143"/>
        <v>2.4396250000439075</v>
      </c>
      <c r="CT230" s="2217">
        <f t="shared" si="133"/>
        <v>6296.9174999993174</v>
      </c>
      <c r="CU230" s="2217">
        <f t="shared" si="124"/>
        <v>10.177500000032524</v>
      </c>
      <c r="CV230" s="2212">
        <v>105</v>
      </c>
      <c r="CW230" s="2208"/>
      <c r="CX230" s="263"/>
      <c r="CY230" s="2208"/>
      <c r="CZ230" s="263"/>
      <c r="DA230" s="263"/>
      <c r="DB230" s="263"/>
      <c r="DC230" s="263"/>
      <c r="DD230" s="2208"/>
    </row>
    <row r="231" spans="1:108">
      <c r="A231" s="2217">
        <f t="shared" si="134"/>
        <v>15.240061874623596</v>
      </c>
      <c r="B231" s="2217">
        <f t="shared" si="125"/>
        <v>7670.242090384324</v>
      </c>
      <c r="C231" s="2217">
        <f t="shared" si="126"/>
        <v>23.078314673585737</v>
      </c>
      <c r="D231" s="2212">
        <v>104</v>
      </c>
      <c r="E231" s="2219"/>
      <c r="F231" s="2213"/>
      <c r="G231" s="2219"/>
      <c r="H231" s="2213"/>
      <c r="I231" s="2213"/>
      <c r="J231" s="2213"/>
      <c r="K231" s="2213"/>
      <c r="L231" s="2213"/>
      <c r="M231" s="2217">
        <f t="shared" si="135"/>
        <v>16.855543901774599</v>
      </c>
      <c r="N231" s="2217">
        <f t="shared" si="117"/>
        <v>7670.242090384324</v>
      </c>
      <c r="O231" s="2217">
        <f t="shared" si="127"/>
        <v>23.078314673585737</v>
      </c>
      <c r="P231" s="2212">
        <v>104</v>
      </c>
      <c r="Q231" s="2219"/>
      <c r="R231" s="2213"/>
      <c r="S231" s="2219"/>
      <c r="T231" s="2213"/>
      <c r="U231" s="2213"/>
      <c r="V231" s="2213"/>
      <c r="W231" s="2213"/>
      <c r="X231" s="2213"/>
      <c r="Y231" s="2217">
        <f t="shared" si="136"/>
        <v>18.932592222397318</v>
      </c>
      <c r="Z231" s="2217">
        <f t="shared" si="118"/>
        <v>7670.242090384324</v>
      </c>
      <c r="AA231" s="2217">
        <f t="shared" si="128"/>
        <v>23.078314673585737</v>
      </c>
      <c r="AB231" s="2212">
        <v>104</v>
      </c>
      <c r="AC231" s="2219"/>
      <c r="AD231" s="2213"/>
      <c r="AE231" s="2219"/>
      <c r="AF231" s="2213"/>
      <c r="AG231" s="2213"/>
      <c r="AH231" s="2213"/>
      <c r="AI231" s="2213"/>
      <c r="AJ231" s="2213"/>
      <c r="AK231" s="2217">
        <f t="shared" si="137"/>
        <v>9.0089169127554456</v>
      </c>
      <c r="AL231" s="2217">
        <f t="shared" si="119"/>
        <v>7670.242090384324</v>
      </c>
      <c r="AM231" s="2217">
        <f t="shared" si="129"/>
        <v>23.078314673585737</v>
      </c>
      <c r="AN231" s="2212">
        <v>104</v>
      </c>
      <c r="AO231" s="2219"/>
      <c r="AP231" s="2213"/>
      <c r="AQ231" s="2219"/>
      <c r="AR231" s="2213"/>
      <c r="AS231" s="2213"/>
      <c r="AT231" s="2213"/>
      <c r="AU231" s="2213"/>
      <c r="AV231" s="2213"/>
      <c r="AW231" s="2217">
        <f t="shared" si="138"/>
        <v>-0.35348599996623342</v>
      </c>
      <c r="AX231" s="2217">
        <f t="shared" si="139"/>
        <v>6286.7399999992849</v>
      </c>
      <c r="AY231" s="2217">
        <f t="shared" si="120"/>
        <v>10.326900000031856</v>
      </c>
      <c r="AZ231" s="2212">
        <v>104</v>
      </c>
      <c r="BA231" s="2208"/>
      <c r="BB231" s="263"/>
      <c r="BC231" s="2208"/>
      <c r="BD231" s="263"/>
      <c r="BE231" s="263"/>
      <c r="BF231" s="263"/>
      <c r="BG231" s="263"/>
      <c r="BH231" s="2208"/>
      <c r="BI231" s="2217">
        <f t="shared" si="140"/>
        <v>2.8478530000436422</v>
      </c>
      <c r="BJ231" s="2217">
        <f t="shared" si="130"/>
        <v>6286.7399999992849</v>
      </c>
      <c r="BK231" s="2217">
        <f t="shared" si="121"/>
        <v>10.326900000031856</v>
      </c>
      <c r="BL231" s="2212">
        <v>104</v>
      </c>
      <c r="BM231" s="2208"/>
      <c r="BN231" s="263"/>
      <c r="BO231" s="2208"/>
      <c r="BP231" s="263"/>
      <c r="BQ231" s="263"/>
      <c r="BR231" s="263"/>
      <c r="BS231" s="263"/>
      <c r="BT231" s="2208"/>
      <c r="BU231" s="2217">
        <f t="shared" si="141"/>
        <v>9.0089169127554456</v>
      </c>
      <c r="BV231" s="2217">
        <f t="shared" si="122"/>
        <v>7670.242090384324</v>
      </c>
      <c r="BW231" s="2217">
        <f t="shared" si="131"/>
        <v>23.078314673585737</v>
      </c>
      <c r="BX231" s="2212">
        <v>104</v>
      </c>
      <c r="BY231" s="2219"/>
      <c r="BZ231" s="2213"/>
      <c r="CA231" s="2219"/>
      <c r="CB231" s="2213"/>
      <c r="CC231" s="2213"/>
      <c r="CD231" s="2213"/>
      <c r="CE231" s="2213"/>
      <c r="CF231" s="2208"/>
      <c r="CG231" s="2217">
        <f t="shared" si="142"/>
        <v>11.778314673585736</v>
      </c>
      <c r="CH231" s="2217">
        <f t="shared" si="123"/>
        <v>7670.242090384324</v>
      </c>
      <c r="CI231" s="2217">
        <f t="shared" si="132"/>
        <v>23.078314673585737</v>
      </c>
      <c r="CJ231" s="2212">
        <v>104</v>
      </c>
      <c r="CK231" s="2219"/>
      <c r="CL231" s="2213"/>
      <c r="CM231" s="2219"/>
      <c r="CN231" s="2213"/>
      <c r="CO231" s="2213"/>
      <c r="CP231" s="2213"/>
      <c r="CQ231" s="2213"/>
      <c r="CR231" s="2208"/>
      <c r="CS231" s="2217">
        <f t="shared" si="143"/>
        <v>2.6413150000430061</v>
      </c>
      <c r="CT231" s="2217">
        <f t="shared" si="133"/>
        <v>6286.7399999992849</v>
      </c>
      <c r="CU231" s="2217">
        <f t="shared" si="124"/>
        <v>10.326900000031856</v>
      </c>
      <c r="CV231" s="2212">
        <v>104</v>
      </c>
      <c r="CW231" s="2208"/>
      <c r="CX231" s="263"/>
      <c r="CY231" s="2208"/>
      <c r="CZ231" s="263"/>
      <c r="DA231" s="263"/>
      <c r="DB231" s="263"/>
      <c r="DC231" s="263"/>
      <c r="DD231" s="2208"/>
    </row>
    <row r="232" spans="1:108">
      <c r="A232" s="2217">
        <f t="shared" si="134"/>
        <v>15.537884374367739</v>
      </c>
      <c r="B232" s="2217">
        <f t="shared" si="125"/>
        <v>7647.1637757107383</v>
      </c>
      <c r="C232" s="2217">
        <f t="shared" si="126"/>
        <v>23.337290760319775</v>
      </c>
      <c r="D232" s="2212">
        <v>103</v>
      </c>
      <c r="E232" s="2219"/>
      <c r="F232" s="2213"/>
      <c r="G232" s="2219"/>
      <c r="H232" s="2213"/>
      <c r="I232" s="2213"/>
      <c r="J232" s="2213"/>
      <c r="K232" s="2213"/>
      <c r="L232" s="2213"/>
      <c r="M232" s="2217">
        <f t="shared" si="135"/>
        <v>17.171494727590122</v>
      </c>
      <c r="N232" s="2217">
        <f t="shared" si="117"/>
        <v>7647.1637757107383</v>
      </c>
      <c r="O232" s="2217">
        <f t="shared" si="127"/>
        <v>23.337290760319775</v>
      </c>
      <c r="P232" s="2212">
        <v>103</v>
      </c>
      <c r="Q232" s="2219"/>
      <c r="R232" s="2213"/>
      <c r="S232" s="2219"/>
      <c r="T232" s="2213"/>
      <c r="U232" s="2213"/>
      <c r="V232" s="2213"/>
      <c r="W232" s="2213"/>
      <c r="X232" s="2213"/>
      <c r="Y232" s="2217">
        <f t="shared" si="136"/>
        <v>19.271850896018904</v>
      </c>
      <c r="Z232" s="2217">
        <f t="shared" si="118"/>
        <v>7647.1637757107383</v>
      </c>
      <c r="AA232" s="2217">
        <f t="shared" si="128"/>
        <v>23.337290760319775</v>
      </c>
      <c r="AB232" s="2212">
        <v>103</v>
      </c>
      <c r="AC232" s="2219"/>
      <c r="AD232" s="2213"/>
      <c r="AE232" s="2219"/>
      <c r="AF232" s="2213"/>
      <c r="AG232" s="2213"/>
      <c r="AH232" s="2213"/>
      <c r="AI232" s="2213"/>
      <c r="AJ232" s="2213"/>
      <c r="AK232" s="2217">
        <f t="shared" si="137"/>
        <v>9.2368158690813971</v>
      </c>
      <c r="AL232" s="2217">
        <f t="shared" si="119"/>
        <v>7647.1637757107383</v>
      </c>
      <c r="AM232" s="2217">
        <f t="shared" si="129"/>
        <v>23.337290760319775</v>
      </c>
      <c r="AN232" s="2212">
        <v>103</v>
      </c>
      <c r="AO232" s="2219"/>
      <c r="AP232" s="2213"/>
      <c r="AQ232" s="2219"/>
      <c r="AR232" s="2213"/>
      <c r="AS232" s="2213"/>
      <c r="AT232" s="2213"/>
      <c r="AU232" s="2213"/>
      <c r="AV232" s="2213"/>
      <c r="AW232" s="2217">
        <f t="shared" si="138"/>
        <v>-0.19130599996500663</v>
      </c>
      <c r="AX232" s="2217">
        <f t="shared" si="139"/>
        <v>6276.4130999992531</v>
      </c>
      <c r="AY232" s="2217">
        <f t="shared" si="120"/>
        <v>10.479900000033012</v>
      </c>
      <c r="AZ232" s="2212">
        <v>103</v>
      </c>
      <c r="BA232" s="2208"/>
      <c r="BB232" s="263"/>
      <c r="BC232" s="2208"/>
      <c r="BD232" s="263"/>
      <c r="BE232" s="263"/>
      <c r="BF232" s="263"/>
      <c r="BG232" s="263"/>
      <c r="BH232" s="2208"/>
      <c r="BI232" s="2217">
        <f t="shared" si="140"/>
        <v>3.0574630000452281</v>
      </c>
      <c r="BJ232" s="2217">
        <f t="shared" si="130"/>
        <v>6276.4130999992531</v>
      </c>
      <c r="BK232" s="2217">
        <f t="shared" si="121"/>
        <v>10.479900000033012</v>
      </c>
      <c r="BL232" s="2212">
        <v>103</v>
      </c>
      <c r="BM232" s="2208"/>
      <c r="BN232" s="263"/>
      <c r="BO232" s="2208"/>
      <c r="BP232" s="263"/>
      <c r="BQ232" s="263"/>
      <c r="BR232" s="263"/>
      <c r="BS232" s="263"/>
      <c r="BT232" s="2208"/>
      <c r="BU232" s="2217">
        <f t="shared" si="141"/>
        <v>9.2368158690813971</v>
      </c>
      <c r="BV232" s="2217">
        <f t="shared" si="122"/>
        <v>7647.1637757107383</v>
      </c>
      <c r="BW232" s="2217">
        <f t="shared" si="131"/>
        <v>23.337290760319775</v>
      </c>
      <c r="BX232" s="2212">
        <v>103</v>
      </c>
      <c r="BY232" s="2219"/>
      <c r="BZ232" s="2213"/>
      <c r="CA232" s="2219"/>
      <c r="CB232" s="2213"/>
      <c r="CC232" s="2213"/>
      <c r="CD232" s="2213"/>
      <c r="CE232" s="2213"/>
      <c r="CF232" s="2208"/>
      <c r="CG232" s="2217">
        <f t="shared" si="142"/>
        <v>12.037290760319774</v>
      </c>
      <c r="CH232" s="2217">
        <f t="shared" si="123"/>
        <v>7647.1637757107383</v>
      </c>
      <c r="CI232" s="2217">
        <f t="shared" si="132"/>
        <v>23.337290760319775</v>
      </c>
      <c r="CJ232" s="2212">
        <v>103</v>
      </c>
      <c r="CK232" s="2219"/>
      <c r="CL232" s="2213"/>
      <c r="CM232" s="2219"/>
      <c r="CN232" s="2213"/>
      <c r="CO232" s="2213"/>
      <c r="CP232" s="2213"/>
      <c r="CQ232" s="2213"/>
      <c r="CR232" s="2208"/>
      <c r="CS232" s="2217">
        <f t="shared" si="143"/>
        <v>2.8478650000445676</v>
      </c>
      <c r="CT232" s="2217">
        <f t="shared" si="133"/>
        <v>6276.4130999992531</v>
      </c>
      <c r="CU232" s="2217">
        <f t="shared" si="124"/>
        <v>10.479900000033012</v>
      </c>
      <c r="CV232" s="2212">
        <v>103</v>
      </c>
      <c r="CW232" s="2208"/>
      <c r="CX232" s="263"/>
      <c r="CY232" s="2208"/>
      <c r="CZ232" s="263"/>
      <c r="DA232" s="263"/>
      <c r="DB232" s="263"/>
      <c r="DC232" s="263"/>
      <c r="DD232" s="2208"/>
    </row>
    <row r="233" spans="1:108">
      <c r="A233" s="2217">
        <f t="shared" si="134"/>
        <v>15.837019778207601</v>
      </c>
      <c r="B233" s="2217">
        <f t="shared" si="125"/>
        <v>7623.8264849504185</v>
      </c>
      <c r="C233" s="2217">
        <f t="shared" si="126"/>
        <v>23.597408502789222</v>
      </c>
      <c r="D233" s="2212">
        <v>102</v>
      </c>
      <c r="E233" s="2219"/>
      <c r="F233" s="2213"/>
      <c r="G233" s="2219"/>
      <c r="H233" s="2213"/>
      <c r="I233" s="2213"/>
      <c r="J233" s="2213"/>
      <c r="K233" s="2213"/>
      <c r="L233" s="2213"/>
      <c r="M233" s="2217">
        <f t="shared" si="135"/>
        <v>17.488838373402849</v>
      </c>
      <c r="N233" s="2217">
        <f t="shared" si="117"/>
        <v>7623.8264849504185</v>
      </c>
      <c r="O233" s="2217">
        <f t="shared" si="127"/>
        <v>23.597408502789222</v>
      </c>
      <c r="P233" s="2212">
        <v>102</v>
      </c>
      <c r="Q233" s="2219"/>
      <c r="R233" s="2213"/>
      <c r="S233" s="2219"/>
      <c r="T233" s="2213"/>
      <c r="U233" s="2213"/>
      <c r="V233" s="2213"/>
      <c r="W233" s="2213"/>
      <c r="X233" s="2213"/>
      <c r="Y233" s="2217">
        <f t="shared" si="136"/>
        <v>19.61260513865388</v>
      </c>
      <c r="Z233" s="2217">
        <f t="shared" si="118"/>
        <v>7623.8264849504185</v>
      </c>
      <c r="AA233" s="2217">
        <f t="shared" si="128"/>
        <v>23.597408502789222</v>
      </c>
      <c r="AB233" s="2212">
        <v>102</v>
      </c>
      <c r="AC233" s="2219"/>
      <c r="AD233" s="2213"/>
      <c r="AE233" s="2219"/>
      <c r="AF233" s="2213"/>
      <c r="AG233" s="2213"/>
      <c r="AH233" s="2213"/>
      <c r="AI233" s="2213"/>
      <c r="AJ233" s="2213"/>
      <c r="AK233" s="2217">
        <f t="shared" si="137"/>
        <v>9.4657194824545101</v>
      </c>
      <c r="AL233" s="2217">
        <f t="shared" si="119"/>
        <v>7623.8264849504185</v>
      </c>
      <c r="AM233" s="2217">
        <f t="shared" si="129"/>
        <v>23.597408502789222</v>
      </c>
      <c r="AN233" s="2212">
        <v>102</v>
      </c>
      <c r="AO233" s="2219"/>
      <c r="AP233" s="2213"/>
      <c r="AQ233" s="2219"/>
      <c r="AR233" s="2213"/>
      <c r="AS233" s="2213"/>
      <c r="AT233" s="2213"/>
      <c r="AU233" s="2213"/>
      <c r="AV233" s="2213"/>
      <c r="AW233" s="2217">
        <f t="shared" si="138"/>
        <v>-2.5309999967630503E-2</v>
      </c>
      <c r="AX233" s="2217">
        <f t="shared" si="139"/>
        <v>6265.9331999992201</v>
      </c>
      <c r="AY233" s="2217">
        <f t="shared" si="120"/>
        <v>10.636500000030537</v>
      </c>
      <c r="AZ233" s="2212">
        <v>102</v>
      </c>
      <c r="BA233" s="2208"/>
      <c r="BB233" s="263"/>
      <c r="BC233" s="2208"/>
      <c r="BD233" s="263"/>
      <c r="BE233" s="263"/>
      <c r="BF233" s="263"/>
      <c r="BG233" s="263"/>
      <c r="BH233" s="2208"/>
      <c r="BI233" s="2217">
        <f t="shared" si="140"/>
        <v>3.2720050000418368</v>
      </c>
      <c r="BJ233" s="2217">
        <f t="shared" si="130"/>
        <v>6265.9331999992201</v>
      </c>
      <c r="BK233" s="2217">
        <f t="shared" si="121"/>
        <v>10.636500000030537</v>
      </c>
      <c r="BL233" s="2212">
        <v>102</v>
      </c>
      <c r="BM233" s="2208"/>
      <c r="BN233" s="263"/>
      <c r="BO233" s="2208"/>
      <c r="BP233" s="263"/>
      <c r="BQ233" s="263"/>
      <c r="BR233" s="263"/>
      <c r="BS233" s="263"/>
      <c r="BT233" s="2208"/>
      <c r="BU233" s="2217">
        <f t="shared" si="141"/>
        <v>9.4657194824545101</v>
      </c>
      <c r="BV233" s="2217">
        <f t="shared" si="122"/>
        <v>7623.8264849504185</v>
      </c>
      <c r="BW233" s="2217">
        <f t="shared" si="131"/>
        <v>23.597408502789222</v>
      </c>
      <c r="BX233" s="2212">
        <v>102</v>
      </c>
      <c r="BY233" s="2219"/>
      <c r="BZ233" s="2213"/>
      <c r="CA233" s="2219"/>
      <c r="CB233" s="2213"/>
      <c r="CC233" s="2213"/>
      <c r="CD233" s="2213"/>
      <c r="CE233" s="2213"/>
      <c r="CF233" s="2208"/>
      <c r="CG233" s="2217">
        <f t="shared" si="142"/>
        <v>12.297408502789221</v>
      </c>
      <c r="CH233" s="2217">
        <f t="shared" si="123"/>
        <v>7623.8264849504185</v>
      </c>
      <c r="CI233" s="2217">
        <f t="shared" si="132"/>
        <v>23.597408502789222</v>
      </c>
      <c r="CJ233" s="2212">
        <v>102</v>
      </c>
      <c r="CK233" s="2219"/>
      <c r="CL233" s="2213"/>
      <c r="CM233" s="2219"/>
      <c r="CN233" s="2213"/>
      <c r="CO233" s="2213"/>
      <c r="CP233" s="2213"/>
      <c r="CQ233" s="2213"/>
      <c r="CR233" s="2208"/>
      <c r="CS233" s="2217">
        <f t="shared" si="143"/>
        <v>3.0592750000412252</v>
      </c>
      <c r="CT233" s="2217">
        <f t="shared" si="133"/>
        <v>6265.9331999992201</v>
      </c>
      <c r="CU233" s="2217">
        <f t="shared" si="124"/>
        <v>10.636500000030537</v>
      </c>
      <c r="CV233" s="2212">
        <v>102</v>
      </c>
      <c r="CW233" s="2208"/>
      <c r="CX233" s="263"/>
      <c r="CY233" s="2208"/>
      <c r="CZ233" s="263"/>
      <c r="DA233" s="263"/>
      <c r="DB233" s="263"/>
      <c r="DC233" s="263"/>
      <c r="DD233" s="2208"/>
    </row>
    <row r="234" spans="1:108">
      <c r="A234" s="2217">
        <f t="shared" si="134"/>
        <v>16.13746808614005</v>
      </c>
      <c r="B234" s="2217">
        <f t="shared" si="125"/>
        <v>7600.2290764476293</v>
      </c>
      <c r="C234" s="2217">
        <f t="shared" si="126"/>
        <v>23.85866790099135</v>
      </c>
      <c r="D234" s="2212">
        <v>101</v>
      </c>
      <c r="E234" s="2219"/>
      <c r="F234" s="2213"/>
      <c r="G234" s="2219"/>
      <c r="H234" s="2213"/>
      <c r="I234" s="2213"/>
      <c r="J234" s="2213"/>
      <c r="K234" s="2213"/>
      <c r="L234" s="2213"/>
      <c r="M234" s="2217">
        <f t="shared" si="135"/>
        <v>17.807574839209444</v>
      </c>
      <c r="N234" s="2217">
        <f t="shared" si="117"/>
        <v>7600.2290764476293</v>
      </c>
      <c r="O234" s="2217">
        <f t="shared" si="127"/>
        <v>23.85866790099135</v>
      </c>
      <c r="P234" s="2212">
        <v>101</v>
      </c>
      <c r="Q234" s="2219"/>
      <c r="R234" s="2213"/>
      <c r="S234" s="2219"/>
      <c r="T234" s="2213"/>
      <c r="U234" s="2213"/>
      <c r="V234" s="2213"/>
      <c r="W234" s="2213"/>
      <c r="X234" s="2213"/>
      <c r="Y234" s="2217">
        <f t="shared" si="136"/>
        <v>19.954854950298667</v>
      </c>
      <c r="Z234" s="2217">
        <f t="shared" si="118"/>
        <v>7600.2290764476293</v>
      </c>
      <c r="AA234" s="2217">
        <f t="shared" si="128"/>
        <v>23.85866790099135</v>
      </c>
      <c r="AB234" s="2212">
        <v>101</v>
      </c>
      <c r="AC234" s="2219"/>
      <c r="AD234" s="2213"/>
      <c r="AE234" s="2219"/>
      <c r="AF234" s="2213"/>
      <c r="AG234" s="2213"/>
      <c r="AH234" s="2213"/>
      <c r="AI234" s="2213"/>
      <c r="AJ234" s="2213"/>
      <c r="AK234" s="2217">
        <f t="shared" si="137"/>
        <v>9.6956277528723831</v>
      </c>
      <c r="AL234" s="2217">
        <f t="shared" si="119"/>
        <v>7600.2290764476293</v>
      </c>
      <c r="AM234" s="2217">
        <f t="shared" si="129"/>
        <v>23.85866790099135</v>
      </c>
      <c r="AN234" s="2212">
        <v>101</v>
      </c>
      <c r="AO234" s="2219"/>
      <c r="AP234" s="2213"/>
      <c r="AQ234" s="2219"/>
      <c r="AR234" s="2213"/>
      <c r="AS234" s="2213"/>
      <c r="AT234" s="2213"/>
      <c r="AU234" s="2213"/>
      <c r="AV234" s="2213"/>
      <c r="AW234" s="2217">
        <f t="shared" si="138"/>
        <v>0.14450200003168057</v>
      </c>
      <c r="AX234" s="2217">
        <f t="shared" si="139"/>
        <v>6255.2966999991895</v>
      </c>
      <c r="AY234" s="2217">
        <f t="shared" si="120"/>
        <v>10.796700000029887</v>
      </c>
      <c r="AZ234" s="2212">
        <v>101</v>
      </c>
      <c r="BA234" s="2208"/>
      <c r="BB234" s="263"/>
      <c r="BC234" s="2208"/>
      <c r="BD234" s="263"/>
      <c r="BE234" s="263"/>
      <c r="BF234" s="263"/>
      <c r="BG234" s="263"/>
      <c r="BH234" s="2208"/>
      <c r="BI234" s="2217">
        <f t="shared" si="140"/>
        <v>3.491479000040945</v>
      </c>
      <c r="BJ234" s="2217">
        <f t="shared" si="130"/>
        <v>6255.2966999991895</v>
      </c>
      <c r="BK234" s="2217">
        <f t="shared" si="121"/>
        <v>10.796700000029887</v>
      </c>
      <c r="BL234" s="2212">
        <v>101</v>
      </c>
      <c r="BM234" s="2208"/>
      <c r="BN234" s="263"/>
      <c r="BO234" s="2208"/>
      <c r="BP234" s="263"/>
      <c r="BQ234" s="263"/>
      <c r="BR234" s="263"/>
      <c r="BS234" s="263"/>
      <c r="BT234" s="2208"/>
      <c r="BU234" s="2217">
        <f t="shared" si="141"/>
        <v>9.6956277528723831</v>
      </c>
      <c r="BV234" s="2217">
        <f t="shared" si="122"/>
        <v>7600.2290764476293</v>
      </c>
      <c r="BW234" s="2217">
        <f t="shared" si="131"/>
        <v>23.85866790099135</v>
      </c>
      <c r="BX234" s="2212">
        <v>101</v>
      </c>
      <c r="BY234" s="2219"/>
      <c r="BZ234" s="2213"/>
      <c r="CA234" s="2219"/>
      <c r="CB234" s="2213"/>
      <c r="CC234" s="2213"/>
      <c r="CD234" s="2213"/>
      <c r="CE234" s="2213"/>
      <c r="CF234" s="2208"/>
      <c r="CG234" s="2217">
        <f t="shared" si="142"/>
        <v>12.558667900991349</v>
      </c>
      <c r="CH234" s="2217">
        <f t="shared" si="123"/>
        <v>7600.2290764476293</v>
      </c>
      <c r="CI234" s="2217">
        <f t="shared" si="132"/>
        <v>23.85866790099135</v>
      </c>
      <c r="CJ234" s="2212">
        <v>101</v>
      </c>
      <c r="CK234" s="2219"/>
      <c r="CL234" s="2213"/>
      <c r="CM234" s="2219"/>
      <c r="CN234" s="2213"/>
      <c r="CO234" s="2213"/>
      <c r="CP234" s="2213"/>
      <c r="CQ234" s="2213"/>
      <c r="CR234" s="2208"/>
      <c r="CS234" s="2217">
        <f t="shared" si="143"/>
        <v>3.2755450000403474</v>
      </c>
      <c r="CT234" s="2217">
        <f t="shared" si="133"/>
        <v>6255.2966999991895</v>
      </c>
      <c r="CU234" s="2217">
        <f t="shared" si="124"/>
        <v>10.796700000029887</v>
      </c>
      <c r="CV234" s="2212">
        <v>101</v>
      </c>
      <c r="CW234" s="2208"/>
      <c r="CX234" s="263"/>
      <c r="CY234" s="2208"/>
      <c r="CZ234" s="263"/>
      <c r="DA234" s="263"/>
      <c r="DB234" s="263"/>
      <c r="DC234" s="263"/>
      <c r="DD234" s="2208"/>
    </row>
    <row r="235" spans="1:108">
      <c r="A235" s="2217">
        <f t="shared" si="134"/>
        <v>16.439229298168218</v>
      </c>
      <c r="B235" s="2217">
        <f t="shared" si="125"/>
        <v>7576.3704085466379</v>
      </c>
      <c r="C235" s="2217">
        <f t="shared" si="126"/>
        <v>24.121068954928887</v>
      </c>
      <c r="D235" s="2212">
        <v>100</v>
      </c>
      <c r="E235" s="2219"/>
      <c r="F235" s="2213"/>
      <c r="G235" s="2219"/>
      <c r="H235" s="2213"/>
      <c r="I235" s="2213"/>
      <c r="J235" s="2213"/>
      <c r="K235" s="2213"/>
      <c r="L235" s="2213"/>
      <c r="M235" s="2217">
        <f t="shared" si="135"/>
        <v>18.127704125013242</v>
      </c>
      <c r="N235" s="2217">
        <f t="shared" si="117"/>
        <v>7576.3704085466379</v>
      </c>
      <c r="O235" s="2217">
        <f t="shared" si="127"/>
        <v>24.121068954928887</v>
      </c>
      <c r="P235" s="2212">
        <v>100</v>
      </c>
      <c r="Q235" s="2219"/>
      <c r="R235" s="2213"/>
      <c r="S235" s="2219"/>
      <c r="T235" s="2213"/>
      <c r="U235" s="2213"/>
      <c r="V235" s="2213"/>
      <c r="W235" s="2213"/>
      <c r="X235" s="2213"/>
      <c r="Y235" s="2217">
        <f t="shared" si="136"/>
        <v>20.298600330956845</v>
      </c>
      <c r="Z235" s="2217">
        <f t="shared" si="118"/>
        <v>7576.3704085466379</v>
      </c>
      <c r="AA235" s="2217">
        <f t="shared" si="128"/>
        <v>24.121068954928887</v>
      </c>
      <c r="AB235" s="2212">
        <v>100</v>
      </c>
      <c r="AC235" s="2219"/>
      <c r="AD235" s="2213"/>
      <c r="AE235" s="2219"/>
      <c r="AF235" s="2213"/>
      <c r="AG235" s="2213"/>
      <c r="AH235" s="2213"/>
      <c r="AI235" s="2213"/>
      <c r="AJ235" s="2213"/>
      <c r="AK235" s="2217">
        <f t="shared" si="137"/>
        <v>9.9265406803374177</v>
      </c>
      <c r="AL235" s="2217">
        <f t="shared" si="119"/>
        <v>7576.3704085466379</v>
      </c>
      <c r="AM235" s="2217">
        <f t="shared" si="129"/>
        <v>24.121068954928887</v>
      </c>
      <c r="AN235" s="2212">
        <v>100</v>
      </c>
      <c r="AO235" s="2219"/>
      <c r="AP235" s="2213"/>
      <c r="AQ235" s="2219"/>
      <c r="AR235" s="2213"/>
      <c r="AS235" s="2213"/>
      <c r="AT235" s="2213"/>
      <c r="AU235" s="2213"/>
      <c r="AV235" s="2213"/>
      <c r="AW235" s="2217">
        <f t="shared" si="138"/>
        <v>0.31813000003099567</v>
      </c>
      <c r="AX235" s="2217">
        <f t="shared" si="139"/>
        <v>6244.4999999991596</v>
      </c>
      <c r="AY235" s="2217">
        <f t="shared" si="120"/>
        <v>10.960500000029242</v>
      </c>
      <c r="AZ235" s="2212">
        <v>100</v>
      </c>
      <c r="BA235" s="2208"/>
      <c r="BB235" s="263"/>
      <c r="BC235" s="2208"/>
      <c r="BD235" s="263"/>
      <c r="BE235" s="263"/>
      <c r="BF235" s="263"/>
      <c r="BG235" s="263"/>
      <c r="BH235" s="2208"/>
      <c r="BI235" s="2217">
        <f t="shared" si="140"/>
        <v>3.7158850000400623</v>
      </c>
      <c r="BJ235" s="2217">
        <f t="shared" si="130"/>
        <v>6244.4999999991596</v>
      </c>
      <c r="BK235" s="2217">
        <f t="shared" si="121"/>
        <v>10.960500000029242</v>
      </c>
      <c r="BL235" s="2212">
        <v>100</v>
      </c>
      <c r="BM235" s="2208"/>
      <c r="BN235" s="263"/>
      <c r="BO235" s="2208"/>
      <c r="BP235" s="263"/>
      <c r="BQ235" s="263"/>
      <c r="BR235" s="263"/>
      <c r="BS235" s="263"/>
      <c r="BT235" s="2208"/>
      <c r="BU235" s="2217">
        <f t="shared" si="141"/>
        <v>9.9265406803374177</v>
      </c>
      <c r="BV235" s="2217">
        <f t="shared" si="122"/>
        <v>7576.3704085466379</v>
      </c>
      <c r="BW235" s="2217">
        <f t="shared" si="131"/>
        <v>24.121068954928887</v>
      </c>
      <c r="BX235" s="2212">
        <v>100</v>
      </c>
      <c r="BY235" s="2219"/>
      <c r="BZ235" s="2213"/>
      <c r="CA235" s="2219"/>
      <c r="CB235" s="2213"/>
      <c r="CC235" s="2213"/>
      <c r="CD235" s="2213"/>
      <c r="CE235" s="2213"/>
      <c r="CF235" s="2208"/>
      <c r="CG235" s="2217">
        <f t="shared" si="142"/>
        <v>12.821068954928887</v>
      </c>
      <c r="CH235" s="2217">
        <f t="shared" si="123"/>
        <v>7576.3704085466379</v>
      </c>
      <c r="CI235" s="2217">
        <f t="shared" si="132"/>
        <v>24.121068954928887</v>
      </c>
      <c r="CJ235" s="2212">
        <v>100</v>
      </c>
      <c r="CK235" s="2219"/>
      <c r="CL235" s="2213"/>
      <c r="CM235" s="2219"/>
      <c r="CN235" s="2213"/>
      <c r="CO235" s="2213"/>
      <c r="CP235" s="2213"/>
      <c r="CQ235" s="2213"/>
      <c r="CR235" s="2208"/>
      <c r="CS235" s="2217">
        <f t="shared" si="143"/>
        <v>3.4966750000394775</v>
      </c>
      <c r="CT235" s="2217">
        <f t="shared" si="133"/>
        <v>6244.4999999991596</v>
      </c>
      <c r="CU235" s="2217">
        <f t="shared" si="124"/>
        <v>10.960500000029242</v>
      </c>
      <c r="CV235" s="2212">
        <v>100</v>
      </c>
      <c r="CW235" s="2208"/>
      <c r="CX235" s="263"/>
      <c r="CY235" s="2208"/>
      <c r="CZ235" s="263"/>
      <c r="DA235" s="263"/>
      <c r="DB235" s="263"/>
      <c r="DC235" s="263"/>
      <c r="DD235" s="2208"/>
    </row>
    <row r="236" spans="1:108">
      <c r="A236" s="2217">
        <f t="shared" si="134"/>
        <v>16.742303414291062</v>
      </c>
      <c r="B236" s="2217">
        <f t="shared" si="125"/>
        <v>7552.249339591709</v>
      </c>
      <c r="C236" s="2217">
        <f t="shared" si="126"/>
        <v>24.384611664600925</v>
      </c>
      <c r="D236" s="2212">
        <v>99</v>
      </c>
      <c r="E236" s="2219"/>
      <c r="F236" s="2213"/>
      <c r="G236" s="2219"/>
      <c r="H236" s="2213"/>
      <c r="I236" s="2213"/>
      <c r="J236" s="2213"/>
      <c r="K236" s="2213"/>
      <c r="L236" s="2213"/>
      <c r="M236" s="2217">
        <f t="shared" si="135"/>
        <v>18.449226230813128</v>
      </c>
      <c r="N236" s="2217">
        <f t="shared" si="117"/>
        <v>7552.249339591709</v>
      </c>
      <c r="O236" s="2217">
        <f t="shared" si="127"/>
        <v>24.384611664600925</v>
      </c>
      <c r="P236" s="2212">
        <v>99</v>
      </c>
      <c r="Q236" s="2219"/>
      <c r="R236" s="2213"/>
      <c r="S236" s="2219"/>
      <c r="T236" s="2213"/>
      <c r="U236" s="2213"/>
      <c r="V236" s="2213"/>
      <c r="W236" s="2213"/>
      <c r="X236" s="2213"/>
      <c r="Y236" s="2217">
        <f t="shared" si="136"/>
        <v>20.643841280627214</v>
      </c>
      <c r="Z236" s="2217">
        <f t="shared" si="118"/>
        <v>7552.249339591709</v>
      </c>
      <c r="AA236" s="2217">
        <f t="shared" si="128"/>
        <v>24.384611664600925</v>
      </c>
      <c r="AB236" s="2212">
        <v>99</v>
      </c>
      <c r="AC236" s="2219"/>
      <c r="AD236" s="2213"/>
      <c r="AE236" s="2219"/>
      <c r="AF236" s="2213"/>
      <c r="AG236" s="2213"/>
      <c r="AH236" s="2213"/>
      <c r="AI236" s="2213"/>
      <c r="AJ236" s="2213"/>
      <c r="AK236" s="2217">
        <f t="shared" si="137"/>
        <v>10.158458264848811</v>
      </c>
      <c r="AL236" s="2217">
        <f t="shared" si="119"/>
        <v>7552.249339591709</v>
      </c>
      <c r="AM236" s="2217">
        <f t="shared" si="129"/>
        <v>24.384611664600925</v>
      </c>
      <c r="AN236" s="2212">
        <v>99</v>
      </c>
      <c r="AO236" s="2219"/>
      <c r="AP236" s="2213"/>
      <c r="AQ236" s="2219"/>
      <c r="AR236" s="2213"/>
      <c r="AS236" s="2213"/>
      <c r="AT236" s="2213"/>
      <c r="AU236" s="2213"/>
      <c r="AV236" s="2213"/>
      <c r="AW236" s="2217">
        <f t="shared" si="138"/>
        <v>0.49557400003128294</v>
      </c>
      <c r="AX236" s="2217">
        <f t="shared" si="139"/>
        <v>6233.5394999991304</v>
      </c>
      <c r="AY236" s="2217">
        <f t="shared" si="120"/>
        <v>11.127900000029513</v>
      </c>
      <c r="AZ236" s="2212">
        <v>99</v>
      </c>
      <c r="BA236" s="2208"/>
      <c r="BB236" s="263"/>
      <c r="BC236" s="2208"/>
      <c r="BD236" s="263"/>
      <c r="BE236" s="263"/>
      <c r="BF236" s="263"/>
      <c r="BG236" s="263"/>
      <c r="BH236" s="2208"/>
      <c r="BI236" s="2217">
        <f t="shared" si="140"/>
        <v>3.9452230000404338</v>
      </c>
      <c r="BJ236" s="2217">
        <f t="shared" si="130"/>
        <v>6233.5394999991304</v>
      </c>
      <c r="BK236" s="2217">
        <f t="shared" si="121"/>
        <v>11.127900000029513</v>
      </c>
      <c r="BL236" s="2212">
        <v>99</v>
      </c>
      <c r="BM236" s="2208"/>
      <c r="BN236" s="263"/>
      <c r="BO236" s="2208"/>
      <c r="BP236" s="263"/>
      <c r="BQ236" s="263"/>
      <c r="BR236" s="263"/>
      <c r="BS236" s="263"/>
      <c r="BT236" s="2208"/>
      <c r="BU236" s="2217">
        <f t="shared" si="141"/>
        <v>10.158458264848811</v>
      </c>
      <c r="BV236" s="2217">
        <f t="shared" si="122"/>
        <v>7552.249339591709</v>
      </c>
      <c r="BW236" s="2217">
        <f t="shared" si="131"/>
        <v>24.384611664600925</v>
      </c>
      <c r="BX236" s="2212">
        <v>99</v>
      </c>
      <c r="BY236" s="2219"/>
      <c r="BZ236" s="2213"/>
      <c r="CA236" s="2219"/>
      <c r="CB236" s="2213"/>
      <c r="CC236" s="2213"/>
      <c r="CD236" s="2213"/>
      <c r="CE236" s="2213"/>
      <c r="CF236" s="2208"/>
      <c r="CG236" s="2217">
        <f t="shared" si="142"/>
        <v>13.084611664600924</v>
      </c>
      <c r="CH236" s="2217">
        <f t="shared" si="123"/>
        <v>7552.249339591709</v>
      </c>
      <c r="CI236" s="2217">
        <f t="shared" si="132"/>
        <v>24.384611664600925</v>
      </c>
      <c r="CJ236" s="2212">
        <v>99</v>
      </c>
      <c r="CK236" s="2219"/>
      <c r="CL236" s="2213"/>
      <c r="CM236" s="2219"/>
      <c r="CN236" s="2213"/>
      <c r="CO236" s="2213"/>
      <c r="CP236" s="2213"/>
      <c r="CQ236" s="2213"/>
      <c r="CR236" s="2208"/>
      <c r="CS236" s="2217">
        <f t="shared" si="143"/>
        <v>3.7226650000398429</v>
      </c>
      <c r="CT236" s="2217">
        <f t="shared" si="133"/>
        <v>6233.5394999991304</v>
      </c>
      <c r="CU236" s="2217">
        <f t="shared" si="124"/>
        <v>11.127900000029513</v>
      </c>
      <c r="CV236" s="2212">
        <v>99</v>
      </c>
      <c r="CW236" s="2208"/>
      <c r="CX236" s="263"/>
      <c r="CY236" s="2208"/>
      <c r="CZ236" s="263"/>
      <c r="DA236" s="263"/>
      <c r="DB236" s="263"/>
      <c r="DC236" s="263"/>
      <c r="DD236" s="2208"/>
    </row>
    <row r="237" spans="1:108">
      <c r="A237" s="2217">
        <f t="shared" si="134"/>
        <v>17.04669043450858</v>
      </c>
      <c r="B237" s="2217">
        <f t="shared" si="125"/>
        <v>7527.8647279271081</v>
      </c>
      <c r="C237" s="2217">
        <f t="shared" si="126"/>
        <v>24.649296030007463</v>
      </c>
      <c r="D237" s="2212">
        <v>98</v>
      </c>
      <c r="E237" s="2219"/>
      <c r="F237" s="2213"/>
      <c r="G237" s="2219"/>
      <c r="H237" s="2213"/>
      <c r="I237" s="2213"/>
      <c r="J237" s="2213"/>
      <c r="K237" s="2213"/>
      <c r="L237" s="2213"/>
      <c r="M237" s="2217">
        <f t="shared" si="135"/>
        <v>18.772141156609102</v>
      </c>
      <c r="N237" s="2217">
        <f t="shared" si="117"/>
        <v>7527.8647279271081</v>
      </c>
      <c r="O237" s="2217">
        <f t="shared" si="127"/>
        <v>24.649296030007463</v>
      </c>
      <c r="P237" s="2212">
        <v>98</v>
      </c>
      <c r="Q237" s="2219"/>
      <c r="R237" s="2213"/>
      <c r="S237" s="2219"/>
      <c r="T237" s="2213"/>
      <c r="U237" s="2213"/>
      <c r="V237" s="2213"/>
      <c r="W237" s="2213"/>
      <c r="X237" s="2213"/>
      <c r="Y237" s="2217">
        <f t="shared" si="136"/>
        <v>20.990577799309779</v>
      </c>
      <c r="Z237" s="2217">
        <f t="shared" si="118"/>
        <v>7527.8647279271081</v>
      </c>
      <c r="AA237" s="2217">
        <f t="shared" si="128"/>
        <v>24.649296030007463</v>
      </c>
      <c r="AB237" s="2212">
        <v>98</v>
      </c>
      <c r="AC237" s="2219"/>
      <c r="AD237" s="2213"/>
      <c r="AE237" s="2219"/>
      <c r="AF237" s="2213"/>
      <c r="AG237" s="2213"/>
      <c r="AH237" s="2213"/>
      <c r="AI237" s="2213"/>
      <c r="AJ237" s="2213"/>
      <c r="AK237" s="2217">
        <f t="shared" si="137"/>
        <v>10.391380506406563</v>
      </c>
      <c r="AL237" s="2217">
        <f t="shared" si="119"/>
        <v>7527.8647279271081</v>
      </c>
      <c r="AM237" s="2217">
        <f t="shared" si="129"/>
        <v>24.649296030007463</v>
      </c>
      <c r="AN237" s="2212">
        <v>98</v>
      </c>
      <c r="AO237" s="2219"/>
      <c r="AP237" s="2213"/>
      <c r="AQ237" s="2219"/>
      <c r="AR237" s="2213"/>
      <c r="AS237" s="2213"/>
      <c r="AT237" s="2213"/>
      <c r="AU237" s="2213"/>
      <c r="AV237" s="2213"/>
      <c r="AW237" s="2217">
        <f t="shared" si="138"/>
        <v>0.67683400002964866</v>
      </c>
      <c r="AX237" s="2217">
        <f t="shared" si="139"/>
        <v>6222.4115999991009</v>
      </c>
      <c r="AY237" s="2217">
        <f t="shared" si="120"/>
        <v>11.29890000002797</v>
      </c>
      <c r="AZ237" s="2212">
        <v>98</v>
      </c>
      <c r="BA237" s="2208"/>
      <c r="BB237" s="263"/>
      <c r="BC237" s="2208"/>
      <c r="BD237" s="263"/>
      <c r="BE237" s="263"/>
      <c r="BF237" s="263"/>
      <c r="BG237" s="263"/>
      <c r="BH237" s="2208"/>
      <c r="BI237" s="2217">
        <f t="shared" si="140"/>
        <v>4.1794930000383204</v>
      </c>
      <c r="BJ237" s="2217">
        <f t="shared" si="130"/>
        <v>6222.4115999991009</v>
      </c>
      <c r="BK237" s="2217">
        <f t="shared" si="121"/>
        <v>11.29890000002797</v>
      </c>
      <c r="BL237" s="2212">
        <v>98</v>
      </c>
      <c r="BM237" s="2208"/>
      <c r="BN237" s="263"/>
      <c r="BO237" s="2208"/>
      <c r="BP237" s="263"/>
      <c r="BQ237" s="263"/>
      <c r="BR237" s="263"/>
      <c r="BS237" s="263"/>
      <c r="BT237" s="2208"/>
      <c r="BU237" s="2217">
        <f t="shared" si="141"/>
        <v>10.391380506406563</v>
      </c>
      <c r="BV237" s="2217">
        <f t="shared" si="122"/>
        <v>7527.8647279271081</v>
      </c>
      <c r="BW237" s="2217">
        <f t="shared" si="131"/>
        <v>24.649296030007463</v>
      </c>
      <c r="BX237" s="2212">
        <v>98</v>
      </c>
      <c r="BY237" s="2219"/>
      <c r="BZ237" s="2213"/>
      <c r="CA237" s="2219"/>
      <c r="CB237" s="2213"/>
      <c r="CC237" s="2213"/>
      <c r="CD237" s="2213"/>
      <c r="CE237" s="2213"/>
      <c r="CF237" s="2208"/>
      <c r="CG237" s="2217">
        <f t="shared" si="142"/>
        <v>13.349296030007462</v>
      </c>
      <c r="CH237" s="2217">
        <f t="shared" si="123"/>
        <v>7527.8647279271081</v>
      </c>
      <c r="CI237" s="2217">
        <f t="shared" si="132"/>
        <v>24.649296030007463</v>
      </c>
      <c r="CJ237" s="2212">
        <v>98</v>
      </c>
      <c r="CK237" s="2219"/>
      <c r="CL237" s="2213"/>
      <c r="CM237" s="2219"/>
      <c r="CN237" s="2213"/>
      <c r="CO237" s="2213"/>
      <c r="CP237" s="2213"/>
      <c r="CQ237" s="2213"/>
      <c r="CR237" s="2208"/>
      <c r="CS237" s="2217">
        <f t="shared" si="143"/>
        <v>3.9535150000377595</v>
      </c>
      <c r="CT237" s="2217">
        <f t="shared" si="133"/>
        <v>6222.4115999991009</v>
      </c>
      <c r="CU237" s="2217">
        <f t="shared" si="124"/>
        <v>11.29890000002797</v>
      </c>
      <c r="CV237" s="2212">
        <v>98</v>
      </c>
      <c r="CW237" s="2208"/>
      <c r="CX237" s="263"/>
      <c r="CY237" s="2208"/>
      <c r="CZ237" s="263"/>
      <c r="DA237" s="263"/>
      <c r="DB237" s="263"/>
      <c r="DC237" s="263"/>
      <c r="DD237" s="2208"/>
    </row>
    <row r="238" spans="1:108">
      <c r="A238" s="2217">
        <f t="shared" si="134"/>
        <v>17.352390358824955</v>
      </c>
      <c r="B238" s="2217">
        <f t="shared" si="125"/>
        <v>7503.2154318971006</v>
      </c>
      <c r="C238" s="2217">
        <f t="shared" si="126"/>
        <v>24.915122051152139</v>
      </c>
      <c r="D238" s="2212">
        <v>97</v>
      </c>
      <c r="E238" s="2219"/>
      <c r="F238" s="2213"/>
      <c r="G238" s="2219"/>
      <c r="H238" s="2213"/>
      <c r="I238" s="2213"/>
      <c r="J238" s="2213"/>
      <c r="K238" s="2213"/>
      <c r="L238" s="2213"/>
      <c r="M238" s="2217">
        <f t="shared" si="135"/>
        <v>19.096448902405609</v>
      </c>
      <c r="N238" s="2217">
        <f t="shared" si="117"/>
        <v>7503.2154318971006</v>
      </c>
      <c r="O238" s="2217">
        <f t="shared" si="127"/>
        <v>24.915122051152139</v>
      </c>
      <c r="P238" s="2212">
        <v>97</v>
      </c>
      <c r="Q238" s="2219"/>
      <c r="R238" s="2213"/>
      <c r="S238" s="2219"/>
      <c r="T238" s="2213"/>
      <c r="U238" s="2213"/>
      <c r="V238" s="2213"/>
      <c r="W238" s="2213"/>
      <c r="X238" s="2213"/>
      <c r="Y238" s="2217">
        <f t="shared" si="136"/>
        <v>21.338809887009301</v>
      </c>
      <c r="Z238" s="2217">
        <f t="shared" si="118"/>
        <v>7503.2154318971006</v>
      </c>
      <c r="AA238" s="2217">
        <f t="shared" si="128"/>
        <v>24.915122051152139</v>
      </c>
      <c r="AB238" s="2212">
        <v>97</v>
      </c>
      <c r="AC238" s="2219"/>
      <c r="AD238" s="2213"/>
      <c r="AE238" s="2219"/>
      <c r="AF238" s="2213"/>
      <c r="AG238" s="2213"/>
      <c r="AH238" s="2213"/>
      <c r="AI238" s="2213"/>
      <c r="AJ238" s="2213"/>
      <c r="AK238" s="2217">
        <f t="shared" si="137"/>
        <v>10.625307405013878</v>
      </c>
      <c r="AL238" s="2217">
        <f t="shared" si="119"/>
        <v>7503.2154318971006</v>
      </c>
      <c r="AM238" s="2217">
        <f t="shared" si="129"/>
        <v>24.915122051152139</v>
      </c>
      <c r="AN238" s="2212">
        <v>97</v>
      </c>
      <c r="AO238" s="2219"/>
      <c r="AP238" s="2213"/>
      <c r="AQ238" s="2219"/>
      <c r="AR238" s="2213"/>
      <c r="AS238" s="2213"/>
      <c r="AT238" s="2213"/>
      <c r="AU238" s="2213"/>
      <c r="AV238" s="2213"/>
      <c r="AW238" s="2217">
        <f t="shared" si="138"/>
        <v>0.86191000002898299</v>
      </c>
      <c r="AX238" s="2217">
        <f t="shared" si="139"/>
        <v>6211.1126999990729</v>
      </c>
      <c r="AY238" s="2217">
        <f t="shared" si="120"/>
        <v>11.473500000027343</v>
      </c>
      <c r="AZ238" s="2212">
        <v>97</v>
      </c>
      <c r="BA238" s="2208"/>
      <c r="BB238" s="263"/>
      <c r="BC238" s="2208"/>
      <c r="BD238" s="263"/>
      <c r="BE238" s="263"/>
      <c r="BF238" s="263"/>
      <c r="BG238" s="263"/>
      <c r="BH238" s="2208"/>
      <c r="BI238" s="2217">
        <f t="shared" si="140"/>
        <v>4.4186950000374612</v>
      </c>
      <c r="BJ238" s="2217">
        <f t="shared" si="130"/>
        <v>6211.1126999990729</v>
      </c>
      <c r="BK238" s="2217">
        <f t="shared" si="121"/>
        <v>11.473500000027343</v>
      </c>
      <c r="BL238" s="2212">
        <v>97</v>
      </c>
      <c r="BM238" s="2208"/>
      <c r="BN238" s="263"/>
      <c r="BO238" s="2208"/>
      <c r="BP238" s="263"/>
      <c r="BQ238" s="263"/>
      <c r="BR238" s="263"/>
      <c r="BS238" s="263"/>
      <c r="BT238" s="2208"/>
      <c r="BU238" s="2217">
        <f t="shared" si="141"/>
        <v>10.625307405013878</v>
      </c>
      <c r="BV238" s="2217">
        <f t="shared" si="122"/>
        <v>7503.2154318971006</v>
      </c>
      <c r="BW238" s="2217">
        <f t="shared" si="131"/>
        <v>24.915122051152139</v>
      </c>
      <c r="BX238" s="2212">
        <v>97</v>
      </c>
      <c r="BY238" s="2219"/>
      <c r="BZ238" s="2213"/>
      <c r="CA238" s="2219"/>
      <c r="CB238" s="2213"/>
      <c r="CC238" s="2213"/>
      <c r="CD238" s="2213"/>
      <c r="CE238" s="2213"/>
      <c r="CF238" s="2208"/>
      <c r="CG238" s="2217">
        <f t="shared" si="142"/>
        <v>13.615122051152138</v>
      </c>
      <c r="CH238" s="2217">
        <f t="shared" si="123"/>
        <v>7503.2154318971006</v>
      </c>
      <c r="CI238" s="2217">
        <f t="shared" si="132"/>
        <v>24.915122051152139</v>
      </c>
      <c r="CJ238" s="2212">
        <v>97</v>
      </c>
      <c r="CK238" s="2219"/>
      <c r="CL238" s="2213"/>
      <c r="CM238" s="2219"/>
      <c r="CN238" s="2213"/>
      <c r="CO238" s="2213"/>
      <c r="CP238" s="2213"/>
      <c r="CQ238" s="2213"/>
      <c r="CR238" s="2208"/>
      <c r="CS238" s="2217">
        <f t="shared" si="143"/>
        <v>4.1892250000369131</v>
      </c>
      <c r="CT238" s="2217">
        <f t="shared" si="133"/>
        <v>6211.1126999990729</v>
      </c>
      <c r="CU238" s="2217">
        <f t="shared" si="124"/>
        <v>11.473500000027343</v>
      </c>
      <c r="CV238" s="2212">
        <v>97</v>
      </c>
      <c r="CW238" s="2208"/>
      <c r="CX238" s="263"/>
      <c r="CY238" s="2208"/>
      <c r="CZ238" s="263"/>
      <c r="DA238" s="263"/>
      <c r="DB238" s="263"/>
      <c r="DC238" s="263"/>
      <c r="DD238" s="2208"/>
    </row>
    <row r="239" spans="1:108">
      <c r="A239" s="2217">
        <f t="shared" si="134"/>
        <v>17.659403187229735</v>
      </c>
      <c r="B239" s="2217">
        <f t="shared" si="125"/>
        <v>7478.3003098459485</v>
      </c>
      <c r="C239" s="2217">
        <f t="shared" si="126"/>
        <v>25.182089728025858</v>
      </c>
      <c r="D239" s="2212">
        <v>96</v>
      </c>
      <c r="E239" s="2219"/>
      <c r="F239" s="2213"/>
      <c r="G239" s="2219"/>
      <c r="H239" s="2213"/>
      <c r="I239" s="2213"/>
      <c r="J239" s="2213"/>
      <c r="K239" s="2213"/>
      <c r="L239" s="2213"/>
      <c r="M239" s="2217">
        <f t="shared" si="135"/>
        <v>19.422149468191545</v>
      </c>
      <c r="N239" s="2217">
        <f t="shared" si="117"/>
        <v>7478.3003098459485</v>
      </c>
      <c r="O239" s="2217">
        <f t="shared" si="127"/>
        <v>25.182089728025858</v>
      </c>
      <c r="P239" s="2212">
        <v>96</v>
      </c>
      <c r="Q239" s="2219"/>
      <c r="R239" s="2213"/>
      <c r="S239" s="2219"/>
      <c r="T239" s="2213"/>
      <c r="U239" s="2213"/>
      <c r="V239" s="2213"/>
      <c r="W239" s="2213"/>
      <c r="X239" s="2213"/>
      <c r="Y239" s="2217">
        <f t="shared" si="136"/>
        <v>21.688537543713874</v>
      </c>
      <c r="Z239" s="2217">
        <f t="shared" si="118"/>
        <v>7478.3003098459485</v>
      </c>
      <c r="AA239" s="2217">
        <f t="shared" si="128"/>
        <v>25.182089728025858</v>
      </c>
      <c r="AB239" s="2212">
        <v>96</v>
      </c>
      <c r="AC239" s="2219"/>
      <c r="AD239" s="2213"/>
      <c r="AE239" s="2219"/>
      <c r="AF239" s="2213"/>
      <c r="AG239" s="2213"/>
      <c r="AH239" s="2213"/>
      <c r="AI239" s="2213"/>
      <c r="AJ239" s="2213"/>
      <c r="AK239" s="2217">
        <f t="shared" si="137"/>
        <v>10.860238960662752</v>
      </c>
      <c r="AL239" s="2217">
        <f t="shared" si="119"/>
        <v>7478.3003098459485</v>
      </c>
      <c r="AM239" s="2217">
        <f t="shared" si="129"/>
        <v>25.182089728025858</v>
      </c>
      <c r="AN239" s="2212">
        <v>96</v>
      </c>
      <c r="AO239" s="2219"/>
      <c r="AP239" s="2213"/>
      <c r="AQ239" s="2219"/>
      <c r="AR239" s="2213"/>
      <c r="AS239" s="2213"/>
      <c r="AT239" s="2213"/>
      <c r="AU239" s="2213"/>
      <c r="AV239" s="2213"/>
      <c r="AW239" s="2217">
        <f t="shared" si="138"/>
        <v>1.0508020000263976</v>
      </c>
      <c r="AX239" s="2217">
        <f t="shared" si="139"/>
        <v>6199.6391999990456</v>
      </c>
      <c r="AY239" s="2217">
        <f t="shared" si="120"/>
        <v>11.651700000024903</v>
      </c>
      <c r="AZ239" s="2212">
        <v>96</v>
      </c>
      <c r="BA239" s="2208"/>
      <c r="BB239" s="263"/>
      <c r="BC239" s="2208"/>
      <c r="BD239" s="263"/>
      <c r="BE239" s="263"/>
      <c r="BF239" s="263"/>
      <c r="BG239" s="263"/>
      <c r="BH239" s="2208"/>
      <c r="BI239" s="2217">
        <f t="shared" si="140"/>
        <v>4.662829000034117</v>
      </c>
      <c r="BJ239" s="2217">
        <f t="shared" si="130"/>
        <v>6199.6391999990456</v>
      </c>
      <c r="BK239" s="2217">
        <f t="shared" si="121"/>
        <v>11.651700000024903</v>
      </c>
      <c r="BL239" s="2212">
        <v>96</v>
      </c>
      <c r="BM239" s="2208"/>
      <c r="BN239" s="263"/>
      <c r="BO239" s="2208"/>
      <c r="BP239" s="263"/>
      <c r="BQ239" s="263"/>
      <c r="BR239" s="263"/>
      <c r="BS239" s="263"/>
      <c r="BT239" s="2208"/>
      <c r="BU239" s="2217">
        <f t="shared" si="141"/>
        <v>10.860238960662752</v>
      </c>
      <c r="BV239" s="2217">
        <f t="shared" si="122"/>
        <v>7478.3003098459485</v>
      </c>
      <c r="BW239" s="2217">
        <f t="shared" si="131"/>
        <v>25.182089728025858</v>
      </c>
      <c r="BX239" s="2212">
        <v>96</v>
      </c>
      <c r="BY239" s="2219"/>
      <c r="BZ239" s="2213"/>
      <c r="CA239" s="2219"/>
      <c r="CB239" s="2213"/>
      <c r="CC239" s="2213"/>
      <c r="CD239" s="2213"/>
      <c r="CE239" s="2213"/>
      <c r="CF239" s="2208"/>
      <c r="CG239" s="2217">
        <f t="shared" si="142"/>
        <v>13.882089728025857</v>
      </c>
      <c r="CH239" s="2217">
        <f t="shared" si="123"/>
        <v>7478.3003098459485</v>
      </c>
      <c r="CI239" s="2217">
        <f t="shared" si="132"/>
        <v>25.182089728025858</v>
      </c>
      <c r="CJ239" s="2212">
        <v>96</v>
      </c>
      <c r="CK239" s="2219"/>
      <c r="CL239" s="2213"/>
      <c r="CM239" s="2219"/>
      <c r="CN239" s="2213"/>
      <c r="CO239" s="2213"/>
      <c r="CP239" s="2213"/>
      <c r="CQ239" s="2213"/>
      <c r="CR239" s="2208"/>
      <c r="CS239" s="2217">
        <f t="shared" si="143"/>
        <v>4.4297950000336197</v>
      </c>
      <c r="CT239" s="2217">
        <f t="shared" si="133"/>
        <v>6199.6391999990456</v>
      </c>
      <c r="CU239" s="2217">
        <f t="shared" si="124"/>
        <v>11.651700000024903</v>
      </c>
      <c r="CV239" s="2212">
        <v>96</v>
      </c>
      <c r="CW239" s="2208"/>
      <c r="CX239" s="263"/>
      <c r="CY239" s="2208"/>
      <c r="CZ239" s="263"/>
      <c r="DA239" s="263"/>
      <c r="DB239" s="263"/>
      <c r="DC239" s="263"/>
      <c r="DD239" s="2208"/>
    </row>
    <row r="240" spans="1:108">
      <c r="A240" s="2217">
        <f t="shared" si="134"/>
        <v>17.967728919731279</v>
      </c>
      <c r="B240" s="2217">
        <f t="shared" si="125"/>
        <v>7453.1182201179226</v>
      </c>
      <c r="C240" s="2217">
        <f t="shared" si="126"/>
        <v>25.450199060635896</v>
      </c>
      <c r="D240" s="2212">
        <v>95</v>
      </c>
      <c r="E240" s="2219"/>
      <c r="F240" s="2213"/>
      <c r="G240" s="2219"/>
      <c r="H240" s="2213"/>
      <c r="I240" s="2213"/>
      <c r="J240" s="2213"/>
      <c r="K240" s="2213"/>
      <c r="L240" s="2213"/>
      <c r="M240" s="2217">
        <f t="shared" si="135"/>
        <v>19.74924285397579</v>
      </c>
      <c r="N240" s="2217">
        <f t="shared" si="117"/>
        <v>7453.1182201179226</v>
      </c>
      <c r="O240" s="2217">
        <f t="shared" si="127"/>
        <v>25.450199060635896</v>
      </c>
      <c r="P240" s="2212">
        <v>95</v>
      </c>
      <c r="Q240" s="2219"/>
      <c r="R240" s="2213"/>
      <c r="S240" s="2219"/>
      <c r="T240" s="2213"/>
      <c r="U240" s="2213"/>
      <c r="V240" s="2213"/>
      <c r="W240" s="2213"/>
      <c r="X240" s="2213"/>
      <c r="Y240" s="2217">
        <f t="shared" si="136"/>
        <v>22.039760769433027</v>
      </c>
      <c r="Z240" s="2217">
        <f t="shared" si="118"/>
        <v>7453.1182201179226</v>
      </c>
      <c r="AA240" s="2217">
        <f t="shared" si="128"/>
        <v>25.450199060635896</v>
      </c>
      <c r="AB240" s="2212">
        <v>95</v>
      </c>
      <c r="AC240" s="2219"/>
      <c r="AD240" s="2213"/>
      <c r="AE240" s="2219"/>
      <c r="AF240" s="2213"/>
      <c r="AG240" s="2213"/>
      <c r="AH240" s="2213"/>
      <c r="AI240" s="2213"/>
      <c r="AJ240" s="2213"/>
      <c r="AK240" s="2217">
        <f t="shared" si="137"/>
        <v>11.096175173359583</v>
      </c>
      <c r="AL240" s="2217">
        <f t="shared" si="119"/>
        <v>7453.1182201179226</v>
      </c>
      <c r="AM240" s="2217">
        <f t="shared" si="129"/>
        <v>25.450199060635896</v>
      </c>
      <c r="AN240" s="2212">
        <v>95</v>
      </c>
      <c r="AO240" s="2219"/>
      <c r="AP240" s="2213"/>
      <c r="AQ240" s="2219"/>
      <c r="AR240" s="2213"/>
      <c r="AS240" s="2213"/>
      <c r="AT240" s="2213"/>
      <c r="AU240" s="2213"/>
      <c r="AV240" s="2213"/>
      <c r="AW240" s="2217">
        <f t="shared" si="138"/>
        <v>1.2435100000276726</v>
      </c>
      <c r="AX240" s="2217">
        <f t="shared" si="139"/>
        <v>6187.9874999990207</v>
      </c>
      <c r="AY240" s="2217">
        <f t="shared" si="120"/>
        <v>11.833500000026106</v>
      </c>
      <c r="AZ240" s="2212">
        <v>95</v>
      </c>
      <c r="BA240" s="2208"/>
      <c r="BB240" s="263"/>
      <c r="BC240" s="2208"/>
      <c r="BD240" s="263"/>
      <c r="BE240" s="263"/>
      <c r="BF240" s="263"/>
      <c r="BG240" s="263"/>
      <c r="BH240" s="2208"/>
      <c r="BI240" s="2217">
        <f t="shared" si="140"/>
        <v>4.9118950000357664</v>
      </c>
      <c r="BJ240" s="2217">
        <f t="shared" si="130"/>
        <v>6187.9874999990207</v>
      </c>
      <c r="BK240" s="2217">
        <f t="shared" si="121"/>
        <v>11.833500000026106</v>
      </c>
      <c r="BL240" s="2212">
        <v>95</v>
      </c>
      <c r="BM240" s="2208"/>
      <c r="BN240" s="263"/>
      <c r="BO240" s="2208"/>
      <c r="BP240" s="263"/>
      <c r="BQ240" s="263"/>
      <c r="BR240" s="263"/>
      <c r="BS240" s="263"/>
      <c r="BT240" s="2208"/>
      <c r="BU240" s="2217">
        <f t="shared" si="141"/>
        <v>11.096175173359583</v>
      </c>
      <c r="BV240" s="2217">
        <f t="shared" si="122"/>
        <v>7453.1182201179226</v>
      </c>
      <c r="BW240" s="2217">
        <f t="shared" si="131"/>
        <v>25.450199060635896</v>
      </c>
      <c r="BX240" s="2212">
        <v>95</v>
      </c>
      <c r="BY240" s="2219"/>
      <c r="BZ240" s="2213"/>
      <c r="CA240" s="2219"/>
      <c r="CB240" s="2213"/>
      <c r="CC240" s="2213"/>
      <c r="CD240" s="2213"/>
      <c r="CE240" s="2213"/>
      <c r="CF240" s="2208"/>
      <c r="CG240" s="2217">
        <f t="shared" si="142"/>
        <v>14.150199060635895</v>
      </c>
      <c r="CH240" s="2217">
        <f t="shared" si="123"/>
        <v>7453.1182201179226</v>
      </c>
      <c r="CI240" s="2217">
        <f t="shared" si="132"/>
        <v>25.450199060635896</v>
      </c>
      <c r="CJ240" s="2212">
        <v>95</v>
      </c>
      <c r="CK240" s="2219"/>
      <c r="CL240" s="2213"/>
      <c r="CM240" s="2219"/>
      <c r="CN240" s="2213"/>
      <c r="CO240" s="2213"/>
      <c r="CP240" s="2213"/>
      <c r="CQ240" s="2213"/>
      <c r="CR240" s="2208"/>
      <c r="CS240" s="2217">
        <f t="shared" si="143"/>
        <v>4.675225000035244</v>
      </c>
      <c r="CT240" s="2217">
        <f t="shared" si="133"/>
        <v>6187.9874999990207</v>
      </c>
      <c r="CU240" s="2217">
        <f t="shared" si="124"/>
        <v>11.833500000026106</v>
      </c>
      <c r="CV240" s="2212">
        <v>95</v>
      </c>
      <c r="CW240" s="2208"/>
      <c r="CX240" s="263"/>
      <c r="CY240" s="2208"/>
      <c r="CZ240" s="263"/>
      <c r="DA240" s="263"/>
      <c r="DB240" s="263"/>
      <c r="DC240" s="263"/>
      <c r="DD240" s="2208"/>
    </row>
    <row r="241" spans="1:108">
      <c r="A241" s="2217">
        <f t="shared" si="134"/>
        <v>18.277367556329587</v>
      </c>
      <c r="B241" s="2217">
        <f t="shared" si="125"/>
        <v>7427.6680210572868</v>
      </c>
      <c r="C241" s="2217">
        <f t="shared" si="126"/>
        <v>25.719450048982253</v>
      </c>
      <c r="D241" s="2212">
        <v>94</v>
      </c>
      <c r="E241" s="2219"/>
      <c r="F241" s="2213"/>
      <c r="G241" s="2219"/>
      <c r="H241" s="2213"/>
      <c r="I241" s="2213"/>
      <c r="J241" s="2213"/>
      <c r="K241" s="2213"/>
      <c r="L241" s="2213"/>
      <c r="M241" s="2217">
        <f t="shared" si="135"/>
        <v>20.077729059758347</v>
      </c>
      <c r="N241" s="2217">
        <f t="shared" si="117"/>
        <v>7427.6680210572868</v>
      </c>
      <c r="O241" s="2217">
        <f t="shared" si="127"/>
        <v>25.719450048982253</v>
      </c>
      <c r="P241" s="2212">
        <v>94</v>
      </c>
      <c r="Q241" s="2219"/>
      <c r="R241" s="2213"/>
      <c r="S241" s="2219"/>
      <c r="T241" s="2213"/>
      <c r="U241" s="2213"/>
      <c r="V241" s="2213"/>
      <c r="W241" s="2213"/>
      <c r="X241" s="2213"/>
      <c r="Y241" s="2217">
        <f t="shared" si="136"/>
        <v>22.392479564166752</v>
      </c>
      <c r="Z241" s="2217">
        <f t="shared" si="118"/>
        <v>7427.6680210572868</v>
      </c>
      <c r="AA241" s="2217">
        <f t="shared" si="128"/>
        <v>25.719450048982253</v>
      </c>
      <c r="AB241" s="2212">
        <v>94</v>
      </c>
      <c r="AC241" s="2219"/>
      <c r="AD241" s="2213"/>
      <c r="AE241" s="2219"/>
      <c r="AF241" s="2213"/>
      <c r="AG241" s="2213"/>
      <c r="AH241" s="2213"/>
      <c r="AI241" s="2213"/>
      <c r="AJ241" s="2213"/>
      <c r="AK241" s="2217">
        <f t="shared" si="137"/>
        <v>11.333116043104379</v>
      </c>
      <c r="AL241" s="2217">
        <f t="shared" si="119"/>
        <v>7427.6680210572868</v>
      </c>
      <c r="AM241" s="2217">
        <f t="shared" si="129"/>
        <v>25.719450048982253</v>
      </c>
      <c r="AN241" s="2212">
        <v>94</v>
      </c>
      <c r="AO241" s="2219"/>
      <c r="AP241" s="2213"/>
      <c r="AQ241" s="2219"/>
      <c r="AR241" s="2213"/>
      <c r="AS241" s="2213"/>
      <c r="AT241" s="2213"/>
      <c r="AU241" s="2213"/>
      <c r="AV241" s="2213"/>
      <c r="AW241" s="2217">
        <f t="shared" si="138"/>
        <v>1.4400340000270262</v>
      </c>
      <c r="AX241" s="2217">
        <f t="shared" si="139"/>
        <v>6176.1539999989945</v>
      </c>
      <c r="AY241" s="2217">
        <f t="shared" si="120"/>
        <v>12.018900000025496</v>
      </c>
      <c r="AZ241" s="2212">
        <v>94</v>
      </c>
      <c r="BA241" s="2208"/>
      <c r="BB241" s="263"/>
      <c r="BC241" s="2208"/>
      <c r="BD241" s="263"/>
      <c r="BE241" s="263"/>
      <c r="BF241" s="263"/>
      <c r="BG241" s="263"/>
      <c r="BH241" s="2208"/>
      <c r="BI241" s="2217">
        <f t="shared" si="140"/>
        <v>5.1658930000349308</v>
      </c>
      <c r="BJ241" s="2217">
        <f t="shared" si="130"/>
        <v>6176.1539999989945</v>
      </c>
      <c r="BK241" s="2217">
        <f t="shared" si="121"/>
        <v>12.018900000025496</v>
      </c>
      <c r="BL241" s="2212">
        <v>94</v>
      </c>
      <c r="BM241" s="2208"/>
      <c r="BN241" s="263"/>
      <c r="BO241" s="2208"/>
      <c r="BP241" s="263"/>
      <c r="BQ241" s="263"/>
      <c r="BR241" s="263"/>
      <c r="BS241" s="263"/>
      <c r="BT241" s="2208"/>
      <c r="BU241" s="2217">
        <f t="shared" si="141"/>
        <v>11.333116043104379</v>
      </c>
      <c r="BV241" s="2217">
        <f t="shared" si="122"/>
        <v>7427.6680210572868</v>
      </c>
      <c r="BW241" s="2217">
        <f t="shared" si="131"/>
        <v>25.719450048982253</v>
      </c>
      <c r="BX241" s="2212">
        <v>94</v>
      </c>
      <c r="BY241" s="2219"/>
      <c r="BZ241" s="2213"/>
      <c r="CA241" s="2219"/>
      <c r="CB241" s="2213"/>
      <c r="CC241" s="2213"/>
      <c r="CD241" s="2213"/>
      <c r="CE241" s="2213"/>
      <c r="CF241" s="2208"/>
      <c r="CG241" s="2217">
        <f t="shared" si="142"/>
        <v>14.419450048982252</v>
      </c>
      <c r="CH241" s="2217">
        <f t="shared" si="123"/>
        <v>7427.6680210572868</v>
      </c>
      <c r="CI241" s="2217">
        <f t="shared" si="132"/>
        <v>25.719450048982253</v>
      </c>
      <c r="CJ241" s="2212">
        <v>94</v>
      </c>
      <c r="CK241" s="2219"/>
      <c r="CL241" s="2213"/>
      <c r="CM241" s="2219"/>
      <c r="CN241" s="2213"/>
      <c r="CO241" s="2213"/>
      <c r="CP241" s="2213"/>
      <c r="CQ241" s="2213"/>
      <c r="CR241" s="2208"/>
      <c r="CS241" s="2217">
        <f t="shared" si="143"/>
        <v>4.9255150000344194</v>
      </c>
      <c r="CT241" s="2217">
        <f t="shared" si="133"/>
        <v>6176.1539999989945</v>
      </c>
      <c r="CU241" s="2217">
        <f t="shared" si="124"/>
        <v>12.018900000025496</v>
      </c>
      <c r="CV241" s="2212">
        <v>94</v>
      </c>
      <c r="CW241" s="2208"/>
      <c r="CX241" s="263"/>
      <c r="CY241" s="2208"/>
      <c r="CZ241" s="263"/>
      <c r="DA241" s="263"/>
      <c r="DB241" s="263"/>
      <c r="DC241" s="263"/>
      <c r="DD241" s="2208"/>
    </row>
    <row r="242" spans="1:108">
      <c r="A242" s="2217">
        <f t="shared" si="134"/>
        <v>18.588319097019436</v>
      </c>
      <c r="B242" s="2217">
        <f t="shared" si="125"/>
        <v>7401.9485710083045</v>
      </c>
      <c r="C242" s="2217">
        <f t="shared" si="126"/>
        <v>25.989842693060382</v>
      </c>
      <c r="D242" s="2212">
        <v>93</v>
      </c>
      <c r="E242" s="2219"/>
      <c r="F242" s="2213"/>
      <c r="G242" s="2219"/>
      <c r="H242" s="2213"/>
      <c r="I242" s="2213"/>
      <c r="J242" s="2213"/>
      <c r="K242" s="2213"/>
      <c r="L242" s="2213"/>
      <c r="M242" s="2217">
        <f t="shared" si="135"/>
        <v>20.407608085533663</v>
      </c>
      <c r="N242" s="2217">
        <f t="shared" si="117"/>
        <v>7401.9485710083045</v>
      </c>
      <c r="O242" s="2217">
        <f t="shared" si="127"/>
        <v>25.989842693060382</v>
      </c>
      <c r="P242" s="2212">
        <v>93</v>
      </c>
      <c r="Q242" s="2219"/>
      <c r="R242" s="2213"/>
      <c r="S242" s="2219"/>
      <c r="T242" s="2213"/>
      <c r="U242" s="2213"/>
      <c r="V242" s="2213"/>
      <c r="W242" s="2213"/>
      <c r="X242" s="2213"/>
      <c r="Y242" s="2217">
        <f t="shared" si="136"/>
        <v>22.746693927909103</v>
      </c>
      <c r="Z242" s="2217">
        <f t="shared" si="118"/>
        <v>7401.9485710083045</v>
      </c>
      <c r="AA242" s="2217">
        <f t="shared" si="128"/>
        <v>25.989842693060382</v>
      </c>
      <c r="AB242" s="2212">
        <v>93</v>
      </c>
      <c r="AC242" s="2219"/>
      <c r="AD242" s="2213"/>
      <c r="AE242" s="2219"/>
      <c r="AF242" s="2213"/>
      <c r="AG242" s="2213"/>
      <c r="AH242" s="2213"/>
      <c r="AI242" s="2213"/>
      <c r="AJ242" s="2213"/>
      <c r="AK242" s="2217">
        <f t="shared" si="137"/>
        <v>11.571061569893132</v>
      </c>
      <c r="AL242" s="2217">
        <f t="shared" si="119"/>
        <v>7401.9485710083045</v>
      </c>
      <c r="AM242" s="2217">
        <f t="shared" si="129"/>
        <v>25.989842693060382</v>
      </c>
      <c r="AN242" s="2212">
        <v>93</v>
      </c>
      <c r="AO242" s="2219"/>
      <c r="AP242" s="2213"/>
      <c r="AQ242" s="2219"/>
      <c r="AR242" s="2213"/>
      <c r="AS242" s="2213"/>
      <c r="AT242" s="2213"/>
      <c r="AU242" s="2213"/>
      <c r="AV242" s="2213"/>
      <c r="AW242" s="2217">
        <f t="shared" si="138"/>
        <v>1.6403740000263856</v>
      </c>
      <c r="AX242" s="2217">
        <f t="shared" si="139"/>
        <v>6164.1350999989691</v>
      </c>
      <c r="AY242" s="2217">
        <f t="shared" si="120"/>
        <v>12.207900000024893</v>
      </c>
      <c r="AZ242" s="2212">
        <v>93</v>
      </c>
      <c r="BA242" s="2208"/>
      <c r="BB242" s="263"/>
      <c r="BC242" s="2208"/>
      <c r="BD242" s="263"/>
      <c r="BE242" s="263"/>
      <c r="BF242" s="263"/>
      <c r="BG242" s="263"/>
      <c r="BH242" s="2208"/>
      <c r="BI242" s="2217">
        <f t="shared" si="140"/>
        <v>5.4248230000341024</v>
      </c>
      <c r="BJ242" s="2217">
        <f t="shared" si="130"/>
        <v>6164.1350999989691</v>
      </c>
      <c r="BK242" s="2217">
        <f t="shared" si="121"/>
        <v>12.207900000024893</v>
      </c>
      <c r="BL242" s="2212">
        <v>93</v>
      </c>
      <c r="BM242" s="2208"/>
      <c r="BN242" s="263"/>
      <c r="BO242" s="2208"/>
      <c r="BP242" s="263"/>
      <c r="BQ242" s="263"/>
      <c r="BR242" s="263"/>
      <c r="BS242" s="263"/>
      <c r="BT242" s="2208"/>
      <c r="BU242" s="2217">
        <f t="shared" si="141"/>
        <v>11.571061569893132</v>
      </c>
      <c r="BV242" s="2217">
        <f t="shared" si="122"/>
        <v>7401.9485710083045</v>
      </c>
      <c r="BW242" s="2217">
        <f t="shared" si="131"/>
        <v>25.989842693060382</v>
      </c>
      <c r="BX242" s="2212">
        <v>93</v>
      </c>
      <c r="BY242" s="2219"/>
      <c r="BZ242" s="2213"/>
      <c r="CA242" s="2219"/>
      <c r="CB242" s="2213"/>
      <c r="CC242" s="2213"/>
      <c r="CD242" s="2213"/>
      <c r="CE242" s="2213"/>
      <c r="CF242" s="2208"/>
      <c r="CG242" s="2217">
        <f t="shared" si="142"/>
        <v>14.689842693060381</v>
      </c>
      <c r="CH242" s="2217">
        <f t="shared" si="123"/>
        <v>7401.9485710083045</v>
      </c>
      <c r="CI242" s="2217">
        <f t="shared" si="132"/>
        <v>25.989842693060382</v>
      </c>
      <c r="CJ242" s="2212">
        <v>93</v>
      </c>
      <c r="CK242" s="2219"/>
      <c r="CL242" s="2213"/>
      <c r="CM242" s="2219"/>
      <c r="CN242" s="2213"/>
      <c r="CO242" s="2213"/>
      <c r="CP242" s="2213"/>
      <c r="CQ242" s="2213"/>
      <c r="CR242" s="2208"/>
      <c r="CS242" s="2217">
        <f t="shared" si="143"/>
        <v>5.1806650000336063</v>
      </c>
      <c r="CT242" s="2217">
        <f t="shared" si="133"/>
        <v>6164.1350999989691</v>
      </c>
      <c r="CU242" s="2217">
        <f t="shared" si="124"/>
        <v>12.207900000024893</v>
      </c>
      <c r="CV242" s="2212">
        <v>93</v>
      </c>
      <c r="CW242" s="2208"/>
      <c r="CX242" s="263"/>
      <c r="CY242" s="2208"/>
      <c r="CZ242" s="263"/>
      <c r="DA242" s="263"/>
      <c r="DB242" s="263"/>
      <c r="DC242" s="263"/>
      <c r="DD242" s="2208"/>
    </row>
    <row r="243" spans="1:108">
      <c r="A243" s="2217">
        <f t="shared" si="134"/>
        <v>18.900583541809191</v>
      </c>
      <c r="B243" s="2217">
        <f t="shared" si="125"/>
        <v>7375.9587283152441</v>
      </c>
      <c r="C243" s="2217">
        <f t="shared" si="126"/>
        <v>26.261376992877558</v>
      </c>
      <c r="D243" s="2212">
        <v>92</v>
      </c>
      <c r="E243" s="2219"/>
      <c r="F243" s="2213"/>
      <c r="G243" s="2219"/>
      <c r="H243" s="2213"/>
      <c r="I243" s="2213"/>
      <c r="J243" s="2213"/>
      <c r="K243" s="2213"/>
      <c r="L243" s="2213"/>
      <c r="M243" s="2217">
        <f t="shared" si="135"/>
        <v>20.738879931310617</v>
      </c>
      <c r="N243" s="2217">
        <f t="shared" si="117"/>
        <v>7375.9587283152441</v>
      </c>
      <c r="O243" s="2217">
        <f t="shared" si="127"/>
        <v>26.261376992877558</v>
      </c>
      <c r="P243" s="2212">
        <v>92</v>
      </c>
      <c r="Q243" s="2219"/>
      <c r="R243" s="2213"/>
      <c r="S243" s="2219"/>
      <c r="T243" s="2213"/>
      <c r="U243" s="2213"/>
      <c r="V243" s="2213"/>
      <c r="W243" s="2213"/>
      <c r="X243" s="2213"/>
      <c r="Y243" s="2217">
        <f t="shared" si="136"/>
        <v>23.1024038606696</v>
      </c>
      <c r="Z243" s="2217">
        <f t="shared" si="118"/>
        <v>7375.9587283152441</v>
      </c>
      <c r="AA243" s="2217">
        <f t="shared" si="128"/>
        <v>26.261376992877558</v>
      </c>
      <c r="AB243" s="2212">
        <v>92</v>
      </c>
      <c r="AC243" s="2219"/>
      <c r="AD243" s="2213"/>
      <c r="AE243" s="2219"/>
      <c r="AF243" s="2213"/>
      <c r="AG243" s="2213"/>
      <c r="AH243" s="2213"/>
      <c r="AI243" s="2213"/>
      <c r="AJ243" s="2213"/>
      <c r="AK243" s="2217">
        <f t="shared" si="137"/>
        <v>11.810011753732248</v>
      </c>
      <c r="AL243" s="2217">
        <f t="shared" si="119"/>
        <v>7375.9587283152441</v>
      </c>
      <c r="AM243" s="2217">
        <f t="shared" si="129"/>
        <v>26.261376992877558</v>
      </c>
      <c r="AN243" s="2212">
        <v>92</v>
      </c>
      <c r="AO243" s="2219"/>
      <c r="AP243" s="2213"/>
      <c r="AQ243" s="2219"/>
      <c r="AR243" s="2213"/>
      <c r="AS243" s="2213"/>
      <c r="AT243" s="2213"/>
      <c r="AU243" s="2213"/>
      <c r="AV243" s="2213"/>
      <c r="AW243" s="2217">
        <f t="shared" si="138"/>
        <v>1.8445300000228606</v>
      </c>
      <c r="AX243" s="2217">
        <f t="shared" si="139"/>
        <v>6151.9271999989442</v>
      </c>
      <c r="AY243" s="2217">
        <f t="shared" si="120"/>
        <v>12.400500000021566</v>
      </c>
      <c r="AZ243" s="2212">
        <v>92</v>
      </c>
      <c r="BA243" s="2208"/>
      <c r="BB243" s="263"/>
      <c r="BC243" s="2208"/>
      <c r="BD243" s="263"/>
      <c r="BE243" s="263"/>
      <c r="BF243" s="263"/>
      <c r="BG243" s="263"/>
      <c r="BH243" s="2208"/>
      <c r="BI243" s="2217">
        <f t="shared" si="140"/>
        <v>5.6886850000295475</v>
      </c>
      <c r="BJ243" s="2217">
        <f t="shared" si="130"/>
        <v>6151.9271999989442</v>
      </c>
      <c r="BK243" s="2217">
        <f t="shared" si="121"/>
        <v>12.400500000021566</v>
      </c>
      <c r="BL243" s="2212">
        <v>92</v>
      </c>
      <c r="BM243" s="2208"/>
      <c r="BN243" s="263"/>
      <c r="BO243" s="2208"/>
      <c r="BP243" s="263"/>
      <c r="BQ243" s="263"/>
      <c r="BR243" s="263"/>
      <c r="BS243" s="263"/>
      <c r="BT243" s="2208"/>
      <c r="BU243" s="2217">
        <f t="shared" si="141"/>
        <v>11.810011753732248</v>
      </c>
      <c r="BV243" s="2217">
        <f t="shared" si="122"/>
        <v>7375.9587283152441</v>
      </c>
      <c r="BW243" s="2217">
        <f t="shared" si="131"/>
        <v>26.261376992877558</v>
      </c>
      <c r="BX243" s="2212">
        <v>92</v>
      </c>
      <c r="BY243" s="2219"/>
      <c r="BZ243" s="2213"/>
      <c r="CA243" s="2219"/>
      <c r="CB243" s="2213"/>
      <c r="CC243" s="2213"/>
      <c r="CD243" s="2213"/>
      <c r="CE243" s="2213"/>
      <c r="CF243" s="2208"/>
      <c r="CG243" s="2217">
        <f t="shared" si="142"/>
        <v>14.961376992877558</v>
      </c>
      <c r="CH243" s="2217">
        <f t="shared" si="123"/>
        <v>7375.9587283152441</v>
      </c>
      <c r="CI243" s="2217">
        <f t="shared" si="132"/>
        <v>26.261376992877558</v>
      </c>
      <c r="CJ243" s="2212">
        <v>92</v>
      </c>
      <c r="CK243" s="2219"/>
      <c r="CL243" s="2213"/>
      <c r="CM243" s="2219"/>
      <c r="CN243" s="2213"/>
      <c r="CO243" s="2213"/>
      <c r="CP243" s="2213"/>
      <c r="CQ243" s="2213"/>
      <c r="CR243" s="2208"/>
      <c r="CS243" s="2217">
        <f t="shared" si="143"/>
        <v>5.4406750000291133</v>
      </c>
      <c r="CT243" s="2217">
        <f t="shared" si="133"/>
        <v>6151.9271999989442</v>
      </c>
      <c r="CU243" s="2217">
        <f t="shared" si="124"/>
        <v>12.400500000021566</v>
      </c>
      <c r="CV243" s="2212">
        <v>92</v>
      </c>
      <c r="CW243" s="2208"/>
      <c r="CX243" s="263"/>
      <c r="CY243" s="2208"/>
      <c r="CZ243" s="263"/>
      <c r="DA243" s="263"/>
      <c r="DB243" s="263"/>
      <c r="DC243" s="263"/>
      <c r="DD243" s="2208"/>
    </row>
    <row r="244" spans="1:108">
      <c r="A244" s="2217">
        <f t="shared" si="134"/>
        <v>19.214160890689435</v>
      </c>
      <c r="B244" s="2217">
        <f t="shared" si="125"/>
        <v>7349.6973513223666</v>
      </c>
      <c r="C244" s="2217">
        <f t="shared" si="126"/>
        <v>26.534052948425597</v>
      </c>
      <c r="D244" s="2212">
        <v>91</v>
      </c>
      <c r="E244" s="2219"/>
      <c r="F244" s="2213"/>
      <c r="G244" s="2219"/>
      <c r="H244" s="2213"/>
      <c r="I244" s="2213"/>
      <c r="J244" s="2213"/>
      <c r="K244" s="2213"/>
      <c r="L244" s="2213"/>
      <c r="M244" s="2217">
        <f t="shared" si="135"/>
        <v>21.071544597079228</v>
      </c>
      <c r="N244" s="2217">
        <f t="shared" si="117"/>
        <v>7349.6973513223666</v>
      </c>
      <c r="O244" s="2217">
        <f t="shared" si="127"/>
        <v>26.534052948425597</v>
      </c>
      <c r="P244" s="2212">
        <v>91</v>
      </c>
      <c r="Q244" s="2219"/>
      <c r="R244" s="2213"/>
      <c r="S244" s="2219"/>
      <c r="T244" s="2213"/>
      <c r="U244" s="2213"/>
      <c r="V244" s="2213"/>
      <c r="W244" s="2213"/>
      <c r="X244" s="2213"/>
      <c r="Y244" s="2217">
        <f t="shared" si="136"/>
        <v>23.459609362437529</v>
      </c>
      <c r="Z244" s="2217">
        <f t="shared" si="118"/>
        <v>7349.6973513223666</v>
      </c>
      <c r="AA244" s="2217">
        <f t="shared" si="128"/>
        <v>26.534052948425597</v>
      </c>
      <c r="AB244" s="2212">
        <v>91</v>
      </c>
      <c r="AC244" s="2219"/>
      <c r="AD244" s="2213"/>
      <c r="AE244" s="2219"/>
      <c r="AF244" s="2213"/>
      <c r="AG244" s="2213"/>
      <c r="AH244" s="2213"/>
      <c r="AI244" s="2213"/>
      <c r="AJ244" s="2213"/>
      <c r="AK244" s="2217">
        <f t="shared" si="137"/>
        <v>12.049966594614521</v>
      </c>
      <c r="AL244" s="2217">
        <f t="shared" si="119"/>
        <v>7349.6973513223666</v>
      </c>
      <c r="AM244" s="2217">
        <f t="shared" si="129"/>
        <v>26.534052948425597</v>
      </c>
      <c r="AN244" s="2212">
        <v>91</v>
      </c>
      <c r="AO244" s="2219"/>
      <c r="AP244" s="2213"/>
      <c r="AQ244" s="2219"/>
      <c r="AR244" s="2213"/>
      <c r="AS244" s="2213"/>
      <c r="AT244" s="2213"/>
      <c r="AU244" s="2213"/>
      <c r="AV244" s="2213"/>
      <c r="AW244" s="2217">
        <f t="shared" si="138"/>
        <v>2.0525020000251235</v>
      </c>
      <c r="AX244" s="2217">
        <f t="shared" si="139"/>
        <v>6139.5266999989226</v>
      </c>
      <c r="AY244" s="2217">
        <f t="shared" si="120"/>
        <v>12.596700000023702</v>
      </c>
      <c r="AZ244" s="2212">
        <v>91</v>
      </c>
      <c r="BA244" s="2208"/>
      <c r="BB244" s="263"/>
      <c r="BC244" s="2208"/>
      <c r="BD244" s="263"/>
      <c r="BE244" s="263"/>
      <c r="BF244" s="263"/>
      <c r="BG244" s="263"/>
      <c r="BH244" s="2208"/>
      <c r="BI244" s="2217">
        <f t="shared" si="140"/>
        <v>5.9574790000324711</v>
      </c>
      <c r="BJ244" s="2217">
        <f t="shared" si="130"/>
        <v>6139.5266999989226</v>
      </c>
      <c r="BK244" s="2217">
        <f t="shared" si="121"/>
        <v>12.596700000023702</v>
      </c>
      <c r="BL244" s="2212">
        <v>91</v>
      </c>
      <c r="BM244" s="2208"/>
      <c r="BN244" s="263"/>
      <c r="BO244" s="2208"/>
      <c r="BP244" s="263"/>
      <c r="BQ244" s="263"/>
      <c r="BR244" s="263"/>
      <c r="BS244" s="263"/>
      <c r="BT244" s="2208"/>
      <c r="BU244" s="2217">
        <f t="shared" si="141"/>
        <v>12.049966594614521</v>
      </c>
      <c r="BV244" s="2217">
        <f t="shared" si="122"/>
        <v>7349.6973513223666</v>
      </c>
      <c r="BW244" s="2217">
        <f t="shared" si="131"/>
        <v>26.534052948425597</v>
      </c>
      <c r="BX244" s="2212">
        <v>91</v>
      </c>
      <c r="BY244" s="2219"/>
      <c r="BZ244" s="2213"/>
      <c r="CA244" s="2219"/>
      <c r="CB244" s="2213"/>
      <c r="CC244" s="2213"/>
      <c r="CD244" s="2213"/>
      <c r="CE244" s="2213"/>
      <c r="CF244" s="2208"/>
      <c r="CG244" s="2217">
        <f t="shared" si="142"/>
        <v>15.234052948425596</v>
      </c>
      <c r="CH244" s="2217">
        <f t="shared" si="123"/>
        <v>7349.6973513223666</v>
      </c>
      <c r="CI244" s="2217">
        <f t="shared" si="132"/>
        <v>26.534052948425597</v>
      </c>
      <c r="CJ244" s="2212">
        <v>91</v>
      </c>
      <c r="CK244" s="2219"/>
      <c r="CL244" s="2213"/>
      <c r="CM244" s="2219"/>
      <c r="CN244" s="2213"/>
      <c r="CO244" s="2213"/>
      <c r="CP244" s="2213"/>
      <c r="CQ244" s="2213"/>
      <c r="CR244" s="2208"/>
      <c r="CS244" s="2217">
        <f t="shared" si="143"/>
        <v>5.705545000032</v>
      </c>
      <c r="CT244" s="2217">
        <f t="shared" si="133"/>
        <v>6139.5266999989226</v>
      </c>
      <c r="CU244" s="2217">
        <f t="shared" si="124"/>
        <v>12.596700000023702</v>
      </c>
      <c r="CV244" s="2212">
        <v>91</v>
      </c>
      <c r="CW244" s="2208"/>
      <c r="CX244" s="263"/>
      <c r="CY244" s="2208"/>
      <c r="CZ244" s="263"/>
      <c r="DA244" s="263"/>
      <c r="DB244" s="263"/>
      <c r="DC244" s="263"/>
      <c r="DD244" s="2208"/>
    </row>
    <row r="245" spans="1:108">
      <c r="A245" s="2217">
        <f t="shared" si="134"/>
        <v>19.529051143666443</v>
      </c>
      <c r="B245" s="2217">
        <f t="shared" si="125"/>
        <v>7323.163298373941</v>
      </c>
      <c r="C245" s="2217">
        <f t="shared" si="126"/>
        <v>26.807870559709954</v>
      </c>
      <c r="D245" s="2212">
        <v>90</v>
      </c>
      <c r="E245" s="2219"/>
      <c r="F245" s="2213"/>
      <c r="G245" s="2219"/>
      <c r="H245" s="2213"/>
      <c r="I245" s="2213"/>
      <c r="J245" s="2213"/>
      <c r="K245" s="2213"/>
      <c r="L245" s="2213"/>
      <c r="M245" s="2217">
        <f t="shared" si="135"/>
        <v>21.405602082846141</v>
      </c>
      <c r="N245" s="2217">
        <f t="shared" si="117"/>
        <v>7323.163298373941</v>
      </c>
      <c r="O245" s="2217">
        <f t="shared" si="127"/>
        <v>26.807870559709954</v>
      </c>
      <c r="P245" s="2212">
        <v>90</v>
      </c>
      <c r="Q245" s="2219"/>
      <c r="R245" s="2213"/>
      <c r="S245" s="2219"/>
      <c r="T245" s="2213"/>
      <c r="U245" s="2213"/>
      <c r="V245" s="2213"/>
      <c r="W245" s="2213"/>
      <c r="X245" s="2213"/>
      <c r="Y245" s="2217">
        <f t="shared" si="136"/>
        <v>23.818310433220038</v>
      </c>
      <c r="Z245" s="2217">
        <f t="shared" si="118"/>
        <v>7323.163298373941</v>
      </c>
      <c r="AA245" s="2217">
        <f t="shared" si="128"/>
        <v>26.807870559709954</v>
      </c>
      <c r="AB245" s="2212">
        <v>90</v>
      </c>
      <c r="AC245" s="2219"/>
      <c r="AD245" s="2213"/>
      <c r="AE245" s="2219"/>
      <c r="AF245" s="2213"/>
      <c r="AG245" s="2213"/>
      <c r="AH245" s="2213"/>
      <c r="AI245" s="2213"/>
      <c r="AJ245" s="2213"/>
      <c r="AK245" s="2217">
        <f t="shared" si="137"/>
        <v>12.290926092544755</v>
      </c>
      <c r="AL245" s="2217">
        <f t="shared" si="119"/>
        <v>7323.163298373941</v>
      </c>
      <c r="AM245" s="2217">
        <f t="shared" si="129"/>
        <v>26.807870559709954</v>
      </c>
      <c r="AN245" s="2212">
        <v>90</v>
      </c>
      <c r="AO245" s="2219"/>
      <c r="AP245" s="2213"/>
      <c r="AQ245" s="2219"/>
      <c r="AR245" s="2213"/>
      <c r="AS245" s="2213"/>
      <c r="AT245" s="2213"/>
      <c r="AU245" s="2213"/>
      <c r="AV245" s="2213"/>
      <c r="AW245" s="2217">
        <f t="shared" si="138"/>
        <v>2.2642900000235393</v>
      </c>
      <c r="AX245" s="2217">
        <f t="shared" si="139"/>
        <v>6126.9299999988989</v>
      </c>
      <c r="AY245" s="2217">
        <f t="shared" si="120"/>
        <v>12.796500000022206</v>
      </c>
      <c r="AZ245" s="2212">
        <v>90</v>
      </c>
      <c r="BA245" s="2208"/>
      <c r="BB245" s="263"/>
      <c r="BC245" s="2208"/>
      <c r="BD245" s="263"/>
      <c r="BE245" s="263"/>
      <c r="BF245" s="263"/>
      <c r="BG245" s="263"/>
      <c r="BH245" s="2208"/>
      <c r="BI245" s="2217">
        <f t="shared" si="140"/>
        <v>6.2312050000304247</v>
      </c>
      <c r="BJ245" s="2217">
        <f t="shared" si="130"/>
        <v>6126.9299999988989</v>
      </c>
      <c r="BK245" s="2217">
        <f t="shared" si="121"/>
        <v>12.796500000022206</v>
      </c>
      <c r="BL245" s="2212">
        <v>90</v>
      </c>
      <c r="BM245" s="2208"/>
      <c r="BN245" s="263"/>
      <c r="BO245" s="2208"/>
      <c r="BP245" s="263"/>
      <c r="BQ245" s="263"/>
      <c r="BR245" s="263"/>
      <c r="BS245" s="263"/>
      <c r="BT245" s="2208"/>
      <c r="BU245" s="2217">
        <f t="shared" si="141"/>
        <v>12.290926092544755</v>
      </c>
      <c r="BV245" s="2217">
        <f t="shared" si="122"/>
        <v>7323.163298373941</v>
      </c>
      <c r="BW245" s="2217">
        <f t="shared" si="131"/>
        <v>26.807870559709954</v>
      </c>
      <c r="BX245" s="2212">
        <v>90</v>
      </c>
      <c r="BY245" s="2219"/>
      <c r="BZ245" s="2213"/>
      <c r="CA245" s="2219"/>
      <c r="CB245" s="2213"/>
      <c r="CC245" s="2213"/>
      <c r="CD245" s="2213"/>
      <c r="CE245" s="2213"/>
      <c r="CF245" s="2208"/>
      <c r="CG245" s="2217">
        <f t="shared" si="142"/>
        <v>15.507870559709954</v>
      </c>
      <c r="CH245" s="2217">
        <f t="shared" si="123"/>
        <v>7323.163298373941</v>
      </c>
      <c r="CI245" s="2217">
        <f t="shared" si="132"/>
        <v>26.807870559709954</v>
      </c>
      <c r="CJ245" s="2212">
        <v>90</v>
      </c>
      <c r="CK245" s="2219"/>
      <c r="CL245" s="2213"/>
      <c r="CM245" s="2219"/>
      <c r="CN245" s="2213"/>
      <c r="CO245" s="2213"/>
      <c r="CP245" s="2213"/>
      <c r="CQ245" s="2213"/>
      <c r="CR245" s="2208"/>
      <c r="CS245" s="2217">
        <f t="shared" si="143"/>
        <v>5.9752750000299777</v>
      </c>
      <c r="CT245" s="2217">
        <f t="shared" si="133"/>
        <v>6126.9299999988989</v>
      </c>
      <c r="CU245" s="2217">
        <f t="shared" si="124"/>
        <v>12.796500000022206</v>
      </c>
      <c r="CV245" s="2212">
        <v>90</v>
      </c>
      <c r="CW245" s="2208"/>
      <c r="CX245" s="263"/>
      <c r="CY245" s="2208"/>
      <c r="CZ245" s="263"/>
      <c r="DA245" s="263"/>
      <c r="DB245" s="263"/>
      <c r="DC245" s="263"/>
      <c r="DD245" s="2208"/>
    </row>
    <row r="246" spans="1:108">
      <c r="A246" s="2217">
        <f t="shared" si="134"/>
        <v>19.845254300737086</v>
      </c>
      <c r="B246" s="2217">
        <f t="shared" si="125"/>
        <v>7296.355427814231</v>
      </c>
      <c r="C246" s="2217">
        <f t="shared" si="126"/>
        <v>27.082829826727902</v>
      </c>
      <c r="D246" s="2212">
        <v>89</v>
      </c>
      <c r="E246" s="2219"/>
      <c r="F246" s="2213"/>
      <c r="G246" s="2219"/>
      <c r="H246" s="2213"/>
      <c r="I246" s="2213"/>
      <c r="J246" s="2213"/>
      <c r="K246" s="2213"/>
      <c r="L246" s="2213"/>
      <c r="M246" s="2217">
        <f t="shared" si="135"/>
        <v>21.741052388608036</v>
      </c>
      <c r="N246" s="2217">
        <f t="shared" si="117"/>
        <v>7296.355427814231</v>
      </c>
      <c r="O246" s="2217">
        <f t="shared" si="127"/>
        <v>27.082829826727902</v>
      </c>
      <c r="P246" s="2212">
        <v>89</v>
      </c>
      <c r="Q246" s="2219"/>
      <c r="R246" s="2213"/>
      <c r="S246" s="2219"/>
      <c r="T246" s="2213"/>
      <c r="U246" s="2213"/>
      <c r="V246" s="2213"/>
      <c r="W246" s="2213"/>
      <c r="X246" s="2213"/>
      <c r="Y246" s="2217">
        <f t="shared" si="136"/>
        <v>24.178507073013552</v>
      </c>
      <c r="Z246" s="2217">
        <f t="shared" si="118"/>
        <v>7296.355427814231</v>
      </c>
      <c r="AA246" s="2217">
        <f t="shared" si="128"/>
        <v>27.082829826727902</v>
      </c>
      <c r="AB246" s="2212">
        <v>89</v>
      </c>
      <c r="AC246" s="2219"/>
      <c r="AD246" s="2213"/>
      <c r="AE246" s="2219"/>
      <c r="AF246" s="2213"/>
      <c r="AG246" s="2213"/>
      <c r="AH246" s="2213"/>
      <c r="AI246" s="2213"/>
      <c r="AJ246" s="2213"/>
      <c r="AK246" s="2217">
        <f t="shared" si="137"/>
        <v>12.532890247520552</v>
      </c>
      <c r="AL246" s="2217">
        <f t="shared" si="119"/>
        <v>7296.355427814231</v>
      </c>
      <c r="AM246" s="2217">
        <f t="shared" si="129"/>
        <v>27.082829826727902</v>
      </c>
      <c r="AN246" s="2212">
        <v>89</v>
      </c>
      <c r="AO246" s="2219"/>
      <c r="AP246" s="2213"/>
      <c r="AQ246" s="2219"/>
      <c r="AR246" s="2213"/>
      <c r="AS246" s="2213"/>
      <c r="AT246" s="2213"/>
      <c r="AU246" s="2213"/>
      <c r="AV246" s="2213"/>
      <c r="AW246" s="2217">
        <f t="shared" si="138"/>
        <v>2.4798940000219591</v>
      </c>
      <c r="AX246" s="2217">
        <f t="shared" si="139"/>
        <v>6114.1334999988767</v>
      </c>
      <c r="AY246" s="2217">
        <f t="shared" si="120"/>
        <v>12.999900000020716</v>
      </c>
      <c r="AZ246" s="2212">
        <v>89</v>
      </c>
      <c r="BA246" s="2208"/>
      <c r="BB246" s="263"/>
      <c r="BC246" s="2208"/>
      <c r="BD246" s="263"/>
      <c r="BE246" s="263"/>
      <c r="BF246" s="263"/>
      <c r="BG246" s="263"/>
      <c r="BH246" s="2208"/>
      <c r="BI246" s="2217">
        <f t="shared" si="140"/>
        <v>6.5098630000283819</v>
      </c>
      <c r="BJ246" s="2217">
        <f t="shared" si="130"/>
        <v>6114.1334999988767</v>
      </c>
      <c r="BK246" s="2217">
        <f t="shared" si="121"/>
        <v>12.999900000020716</v>
      </c>
      <c r="BL246" s="2212">
        <v>89</v>
      </c>
      <c r="BM246" s="2208"/>
      <c r="BN246" s="263"/>
      <c r="BO246" s="2208"/>
      <c r="BP246" s="263"/>
      <c r="BQ246" s="263"/>
      <c r="BR246" s="263"/>
      <c r="BS246" s="263"/>
      <c r="BT246" s="2208"/>
      <c r="BU246" s="2217">
        <f t="shared" si="141"/>
        <v>12.532890247520552</v>
      </c>
      <c r="BV246" s="2217">
        <f t="shared" si="122"/>
        <v>7296.355427814231</v>
      </c>
      <c r="BW246" s="2217">
        <f t="shared" si="131"/>
        <v>27.082829826727902</v>
      </c>
      <c r="BX246" s="2212">
        <v>89</v>
      </c>
      <c r="BY246" s="2219"/>
      <c r="BZ246" s="2213"/>
      <c r="CA246" s="2219"/>
      <c r="CB246" s="2213"/>
      <c r="CC246" s="2213"/>
      <c r="CD246" s="2213"/>
      <c r="CE246" s="2213"/>
      <c r="CF246" s="2208"/>
      <c r="CG246" s="2217">
        <f t="shared" si="142"/>
        <v>15.782829826727902</v>
      </c>
      <c r="CH246" s="2217">
        <f t="shared" si="123"/>
        <v>7296.355427814231</v>
      </c>
      <c r="CI246" s="2217">
        <f t="shared" si="132"/>
        <v>27.082829826727902</v>
      </c>
      <c r="CJ246" s="2212">
        <v>89</v>
      </c>
      <c r="CK246" s="2219"/>
      <c r="CL246" s="2213"/>
      <c r="CM246" s="2219"/>
      <c r="CN246" s="2213"/>
      <c r="CO246" s="2213"/>
      <c r="CP246" s="2213"/>
      <c r="CQ246" s="2213"/>
      <c r="CR246" s="2208"/>
      <c r="CS246" s="2217">
        <f t="shared" si="143"/>
        <v>6.2498650000279667</v>
      </c>
      <c r="CT246" s="2217">
        <f t="shared" si="133"/>
        <v>6114.1334999988767</v>
      </c>
      <c r="CU246" s="2217">
        <f t="shared" si="124"/>
        <v>12.999900000020716</v>
      </c>
      <c r="CV246" s="2212">
        <v>89</v>
      </c>
      <c r="CW246" s="2208"/>
      <c r="CX246" s="263"/>
      <c r="CY246" s="2208"/>
      <c r="CZ246" s="263"/>
      <c r="DA246" s="263"/>
      <c r="DB246" s="263"/>
      <c r="DC246" s="263"/>
      <c r="DD246" s="2208"/>
    </row>
    <row r="247" spans="1:108">
      <c r="A247" s="2217">
        <f t="shared" si="134"/>
        <v>20.162770361903448</v>
      </c>
      <c r="B247" s="2217">
        <f t="shared" si="125"/>
        <v>7269.2725979875031</v>
      </c>
      <c r="C247" s="2217">
        <f t="shared" si="126"/>
        <v>27.35893074948126</v>
      </c>
      <c r="D247" s="2212">
        <v>88</v>
      </c>
      <c r="E247" s="2219"/>
      <c r="F247" s="2213"/>
      <c r="G247" s="2219"/>
      <c r="H247" s="2213"/>
      <c r="I247" s="2213"/>
      <c r="J247" s="2213"/>
      <c r="K247" s="2213"/>
      <c r="L247" s="2213"/>
      <c r="M247" s="2217">
        <f t="shared" si="135"/>
        <v>22.077895514367139</v>
      </c>
      <c r="N247" s="2217">
        <f t="shared" si="117"/>
        <v>7269.2725979875031</v>
      </c>
      <c r="O247" s="2217">
        <f t="shared" si="127"/>
        <v>27.35893074948126</v>
      </c>
      <c r="P247" s="2212">
        <v>88</v>
      </c>
      <c r="Q247" s="2219"/>
      <c r="R247" s="2213"/>
      <c r="S247" s="2219"/>
      <c r="T247" s="2213"/>
      <c r="U247" s="2213"/>
      <c r="V247" s="2213"/>
      <c r="W247" s="2213"/>
      <c r="X247" s="2213"/>
      <c r="Y247" s="2217">
        <f t="shared" si="136"/>
        <v>24.540199281820453</v>
      </c>
      <c r="Z247" s="2217">
        <f t="shared" si="118"/>
        <v>7269.2725979875031</v>
      </c>
      <c r="AA247" s="2217">
        <f t="shared" si="128"/>
        <v>27.35893074948126</v>
      </c>
      <c r="AB247" s="2212">
        <v>88</v>
      </c>
      <c r="AC247" s="2219"/>
      <c r="AD247" s="2213"/>
      <c r="AE247" s="2219"/>
      <c r="AF247" s="2213"/>
      <c r="AG247" s="2213"/>
      <c r="AH247" s="2213"/>
      <c r="AI247" s="2213"/>
      <c r="AJ247" s="2213"/>
      <c r="AK247" s="2217">
        <f t="shared" si="137"/>
        <v>12.775859059543507</v>
      </c>
      <c r="AL247" s="2217">
        <f t="shared" si="119"/>
        <v>7269.2725979875031</v>
      </c>
      <c r="AM247" s="2217">
        <f t="shared" si="129"/>
        <v>27.35893074948126</v>
      </c>
      <c r="AN247" s="2212">
        <v>88</v>
      </c>
      <c r="AO247" s="2219"/>
      <c r="AP247" s="2213"/>
      <c r="AQ247" s="2219"/>
      <c r="AR247" s="2213"/>
      <c r="AS247" s="2213"/>
      <c r="AT247" s="2213"/>
      <c r="AU247" s="2213"/>
      <c r="AV247" s="2213"/>
      <c r="AW247" s="2217">
        <f t="shared" si="138"/>
        <v>2.6993140000203866</v>
      </c>
      <c r="AX247" s="2217">
        <f t="shared" si="139"/>
        <v>6101.133599998856</v>
      </c>
      <c r="AY247" s="2217">
        <f t="shared" si="120"/>
        <v>13.206900000019232</v>
      </c>
      <c r="AZ247" s="2212">
        <v>88</v>
      </c>
      <c r="BA247" s="2208"/>
      <c r="BB247" s="263"/>
      <c r="BC247" s="2208"/>
      <c r="BD247" s="263"/>
      <c r="BE247" s="263"/>
      <c r="BF247" s="263"/>
      <c r="BG247" s="263"/>
      <c r="BH247" s="2208"/>
      <c r="BI247" s="2217">
        <f t="shared" si="140"/>
        <v>6.79345300002635</v>
      </c>
      <c r="BJ247" s="2217">
        <f t="shared" si="130"/>
        <v>6101.133599998856</v>
      </c>
      <c r="BK247" s="2217">
        <f t="shared" si="121"/>
        <v>13.206900000019232</v>
      </c>
      <c r="BL247" s="2212">
        <v>88</v>
      </c>
      <c r="BM247" s="2208"/>
      <c r="BN247" s="263"/>
      <c r="BO247" s="2208"/>
      <c r="BP247" s="263"/>
      <c r="BQ247" s="263"/>
      <c r="BR247" s="263"/>
      <c r="BS247" s="263"/>
      <c r="BT247" s="2208"/>
      <c r="BU247" s="2217">
        <f t="shared" si="141"/>
        <v>12.775859059543507</v>
      </c>
      <c r="BV247" s="2217">
        <f t="shared" si="122"/>
        <v>7269.2725979875031</v>
      </c>
      <c r="BW247" s="2217">
        <f t="shared" si="131"/>
        <v>27.35893074948126</v>
      </c>
      <c r="BX247" s="2212">
        <v>88</v>
      </c>
      <c r="BY247" s="2219"/>
      <c r="BZ247" s="2213"/>
      <c r="CA247" s="2219"/>
      <c r="CB247" s="2213"/>
      <c r="CC247" s="2213"/>
      <c r="CD247" s="2213"/>
      <c r="CE247" s="2213"/>
      <c r="CF247" s="2208"/>
      <c r="CG247" s="2217">
        <f t="shared" si="142"/>
        <v>16.058930749481259</v>
      </c>
      <c r="CH247" s="2217">
        <f t="shared" si="123"/>
        <v>7269.2725979875031</v>
      </c>
      <c r="CI247" s="2217">
        <f t="shared" si="132"/>
        <v>27.35893074948126</v>
      </c>
      <c r="CJ247" s="2212">
        <v>88</v>
      </c>
      <c r="CK247" s="2219"/>
      <c r="CL247" s="2213"/>
      <c r="CM247" s="2219"/>
      <c r="CN247" s="2213"/>
      <c r="CO247" s="2213"/>
      <c r="CP247" s="2213"/>
      <c r="CQ247" s="2213"/>
      <c r="CR247" s="2208"/>
      <c r="CS247" s="2217">
        <f t="shared" si="143"/>
        <v>6.5293150000259637</v>
      </c>
      <c r="CT247" s="2217">
        <f t="shared" si="133"/>
        <v>6101.133599998856</v>
      </c>
      <c r="CU247" s="2217">
        <f t="shared" si="124"/>
        <v>13.206900000019232</v>
      </c>
      <c r="CV247" s="2212">
        <v>88</v>
      </c>
      <c r="CW247" s="2208"/>
      <c r="CX247" s="263"/>
      <c r="CY247" s="2208"/>
      <c r="CZ247" s="263"/>
      <c r="DA247" s="263"/>
      <c r="DB247" s="263"/>
      <c r="DC247" s="263"/>
      <c r="DD247" s="2208"/>
    </row>
    <row r="248" spans="1:108">
      <c r="A248" s="2217">
        <f t="shared" si="134"/>
        <v>20.481599327165529</v>
      </c>
      <c r="B248" s="2217">
        <f t="shared" si="125"/>
        <v>7241.9136672380218</v>
      </c>
      <c r="C248" s="2217">
        <f t="shared" si="126"/>
        <v>27.636173327970027</v>
      </c>
      <c r="D248" s="2212">
        <v>87</v>
      </c>
      <c r="E248" s="2219"/>
      <c r="F248" s="2213"/>
      <c r="G248" s="2219"/>
      <c r="H248" s="2213"/>
      <c r="I248" s="2213"/>
      <c r="J248" s="2213"/>
      <c r="K248" s="2213"/>
      <c r="L248" s="2213"/>
      <c r="M248" s="2217">
        <f t="shared" si="135"/>
        <v>22.416131460123434</v>
      </c>
      <c r="N248" s="2217">
        <f t="shared" si="117"/>
        <v>7241.9136672380218</v>
      </c>
      <c r="O248" s="2217">
        <f t="shared" si="127"/>
        <v>27.636173327970027</v>
      </c>
      <c r="P248" s="2212">
        <v>87</v>
      </c>
      <c r="Q248" s="2219"/>
      <c r="R248" s="2213"/>
      <c r="S248" s="2219"/>
      <c r="T248" s="2213"/>
      <c r="U248" s="2213"/>
      <c r="V248" s="2213"/>
      <c r="W248" s="2213"/>
      <c r="X248" s="2213"/>
      <c r="Y248" s="2217">
        <f t="shared" si="136"/>
        <v>24.903387059640739</v>
      </c>
      <c r="Z248" s="2217">
        <f t="shared" si="118"/>
        <v>7241.9136672380218</v>
      </c>
      <c r="AA248" s="2217">
        <f t="shared" si="128"/>
        <v>27.636173327970027</v>
      </c>
      <c r="AB248" s="2212">
        <v>87</v>
      </c>
      <c r="AC248" s="2219"/>
      <c r="AD248" s="2213"/>
      <c r="AE248" s="2219"/>
      <c r="AF248" s="2213"/>
      <c r="AG248" s="2213"/>
      <c r="AH248" s="2213"/>
      <c r="AI248" s="2213"/>
      <c r="AJ248" s="2213"/>
      <c r="AK248" s="2217">
        <f t="shared" si="137"/>
        <v>13.01983252861362</v>
      </c>
      <c r="AL248" s="2217">
        <f t="shared" si="119"/>
        <v>7241.9136672380218</v>
      </c>
      <c r="AM248" s="2217">
        <f t="shared" si="129"/>
        <v>27.636173327970027</v>
      </c>
      <c r="AN248" s="2212">
        <v>87</v>
      </c>
      <c r="AO248" s="2219"/>
      <c r="AP248" s="2213"/>
      <c r="AQ248" s="2219"/>
      <c r="AR248" s="2213"/>
      <c r="AS248" s="2213"/>
      <c r="AT248" s="2213"/>
      <c r="AU248" s="2213"/>
      <c r="AV248" s="2213"/>
      <c r="AW248" s="2217">
        <f t="shared" si="138"/>
        <v>2.9225500000217099</v>
      </c>
      <c r="AX248" s="2217">
        <f t="shared" si="139"/>
        <v>6087.9266999988367</v>
      </c>
      <c r="AY248" s="2217">
        <f t="shared" si="120"/>
        <v>13.417500000020482</v>
      </c>
      <c r="AZ248" s="2212">
        <v>87</v>
      </c>
      <c r="BA248" s="2208"/>
      <c r="BB248" s="263"/>
      <c r="BC248" s="2208"/>
      <c r="BD248" s="263"/>
      <c r="BE248" s="263"/>
      <c r="BF248" s="263"/>
      <c r="BG248" s="263"/>
      <c r="BH248" s="2208"/>
      <c r="BI248" s="2217">
        <f t="shared" si="140"/>
        <v>7.0819750000280592</v>
      </c>
      <c r="BJ248" s="2217">
        <f t="shared" si="130"/>
        <v>6087.9266999988367</v>
      </c>
      <c r="BK248" s="2217">
        <f t="shared" si="121"/>
        <v>13.417500000020482</v>
      </c>
      <c r="BL248" s="2212">
        <v>87</v>
      </c>
      <c r="BM248" s="2208"/>
      <c r="BN248" s="263"/>
      <c r="BO248" s="2208"/>
      <c r="BP248" s="263"/>
      <c r="BQ248" s="263"/>
      <c r="BR248" s="263"/>
      <c r="BS248" s="263"/>
      <c r="BT248" s="2208"/>
      <c r="BU248" s="2217">
        <f t="shared" si="141"/>
        <v>13.01983252861362</v>
      </c>
      <c r="BV248" s="2217">
        <f t="shared" si="122"/>
        <v>7241.9136672380218</v>
      </c>
      <c r="BW248" s="2217">
        <f t="shared" si="131"/>
        <v>27.636173327970027</v>
      </c>
      <c r="BX248" s="2212">
        <v>87</v>
      </c>
      <c r="BY248" s="2219"/>
      <c r="BZ248" s="2213"/>
      <c r="CA248" s="2219"/>
      <c r="CB248" s="2213"/>
      <c r="CC248" s="2213"/>
      <c r="CD248" s="2213"/>
      <c r="CE248" s="2213"/>
      <c r="CF248" s="2208"/>
      <c r="CG248" s="2217">
        <f t="shared" si="142"/>
        <v>16.336173327970027</v>
      </c>
      <c r="CH248" s="2217">
        <f t="shared" si="123"/>
        <v>7241.9136672380218</v>
      </c>
      <c r="CI248" s="2217">
        <f t="shared" si="132"/>
        <v>27.636173327970027</v>
      </c>
      <c r="CJ248" s="2212">
        <v>87</v>
      </c>
      <c r="CK248" s="2219"/>
      <c r="CL248" s="2213"/>
      <c r="CM248" s="2219"/>
      <c r="CN248" s="2213"/>
      <c r="CO248" s="2213"/>
      <c r="CP248" s="2213"/>
      <c r="CQ248" s="2213"/>
      <c r="CR248" s="2208"/>
      <c r="CS248" s="2217">
        <f t="shared" si="143"/>
        <v>6.8136250000276526</v>
      </c>
      <c r="CT248" s="2217">
        <f t="shared" si="133"/>
        <v>6087.9266999988367</v>
      </c>
      <c r="CU248" s="2217">
        <f t="shared" si="124"/>
        <v>13.417500000020482</v>
      </c>
      <c r="CV248" s="2212">
        <v>87</v>
      </c>
      <c r="CW248" s="2208"/>
      <c r="CX248" s="263"/>
      <c r="CY248" s="2208"/>
      <c r="CZ248" s="263"/>
      <c r="DA248" s="263"/>
      <c r="DB248" s="263"/>
      <c r="DC248" s="263"/>
      <c r="DD248" s="2208"/>
    </row>
    <row r="249" spans="1:108">
      <c r="A249" s="2217">
        <f t="shared" si="134"/>
        <v>20.801741196520194</v>
      </c>
      <c r="B249" s="2217">
        <f t="shared" si="125"/>
        <v>7214.2774939100518</v>
      </c>
      <c r="C249" s="2217">
        <f t="shared" si="126"/>
        <v>27.914557562191476</v>
      </c>
      <c r="D249" s="2212">
        <v>86</v>
      </c>
      <c r="E249" s="2219"/>
      <c r="F249" s="2213"/>
      <c r="G249" s="2219"/>
      <c r="H249" s="2213"/>
      <c r="I249" s="2213"/>
      <c r="J249" s="2213"/>
      <c r="K249" s="2213"/>
      <c r="L249" s="2213"/>
      <c r="M249" s="2217">
        <f t="shared" si="135"/>
        <v>22.755760225873598</v>
      </c>
      <c r="N249" s="2217">
        <f t="shared" si="117"/>
        <v>7214.2774939100518</v>
      </c>
      <c r="O249" s="2217">
        <f t="shared" si="127"/>
        <v>27.914557562191476</v>
      </c>
      <c r="P249" s="2212">
        <v>86</v>
      </c>
      <c r="Q249" s="2219"/>
      <c r="R249" s="2213"/>
      <c r="S249" s="2219"/>
      <c r="T249" s="2213"/>
      <c r="U249" s="2213"/>
      <c r="V249" s="2213"/>
      <c r="W249" s="2213"/>
      <c r="X249" s="2213"/>
      <c r="Y249" s="2217">
        <f t="shared" si="136"/>
        <v>25.268070406470837</v>
      </c>
      <c r="Z249" s="2217">
        <f t="shared" si="118"/>
        <v>7214.2774939100518</v>
      </c>
      <c r="AA249" s="2217">
        <f t="shared" si="128"/>
        <v>27.914557562191476</v>
      </c>
      <c r="AB249" s="2212">
        <v>86</v>
      </c>
      <c r="AC249" s="2219"/>
      <c r="AD249" s="2213"/>
      <c r="AE249" s="2219"/>
      <c r="AF249" s="2213"/>
      <c r="AG249" s="2213"/>
      <c r="AH249" s="2213"/>
      <c r="AI249" s="2213"/>
      <c r="AJ249" s="2213"/>
      <c r="AK249" s="2217">
        <f t="shared" si="137"/>
        <v>13.264810654728496</v>
      </c>
      <c r="AL249" s="2217">
        <f t="shared" si="119"/>
        <v>7214.2774939100518</v>
      </c>
      <c r="AM249" s="2217">
        <f t="shared" si="129"/>
        <v>27.914557562191476</v>
      </c>
      <c r="AN249" s="2212">
        <v>86</v>
      </c>
      <c r="AO249" s="2219"/>
      <c r="AP249" s="2213"/>
      <c r="AQ249" s="2219"/>
      <c r="AR249" s="2213"/>
      <c r="AS249" s="2213"/>
      <c r="AT249" s="2213"/>
      <c r="AU249" s="2213"/>
      <c r="AV249" s="2213"/>
      <c r="AW249" s="2217">
        <f t="shared" si="138"/>
        <v>3.149602000020149</v>
      </c>
      <c r="AX249" s="2217">
        <f t="shared" si="139"/>
        <v>6074.5091999988163</v>
      </c>
      <c r="AY249" s="2217">
        <f t="shared" si="120"/>
        <v>13.631700000019009</v>
      </c>
      <c r="AZ249" s="2212">
        <v>86</v>
      </c>
      <c r="BA249" s="2208"/>
      <c r="BB249" s="263"/>
      <c r="BC249" s="2208"/>
      <c r="BD249" s="263"/>
      <c r="BE249" s="263"/>
      <c r="BF249" s="263"/>
      <c r="BG249" s="263"/>
      <c r="BH249" s="2208"/>
      <c r="BI249" s="2217">
        <f t="shared" si="140"/>
        <v>7.3754290000260418</v>
      </c>
      <c r="BJ249" s="2217">
        <f t="shared" si="130"/>
        <v>6074.5091999988163</v>
      </c>
      <c r="BK249" s="2217">
        <f t="shared" si="121"/>
        <v>13.631700000019009</v>
      </c>
      <c r="BL249" s="2212">
        <v>86</v>
      </c>
      <c r="BM249" s="2208"/>
      <c r="BN249" s="263"/>
      <c r="BO249" s="2208"/>
      <c r="BP249" s="263"/>
      <c r="BQ249" s="263"/>
      <c r="BR249" s="263"/>
      <c r="BS249" s="263"/>
      <c r="BT249" s="2208"/>
      <c r="BU249" s="2217">
        <f t="shared" si="141"/>
        <v>13.264810654728496</v>
      </c>
      <c r="BV249" s="2217">
        <f t="shared" si="122"/>
        <v>7214.2774939100518</v>
      </c>
      <c r="BW249" s="2217">
        <f t="shared" si="131"/>
        <v>27.914557562191476</v>
      </c>
      <c r="BX249" s="2212">
        <v>86</v>
      </c>
      <c r="BY249" s="2219"/>
      <c r="BZ249" s="2213"/>
      <c r="CA249" s="2219"/>
      <c r="CB249" s="2213"/>
      <c r="CC249" s="2213"/>
      <c r="CD249" s="2213"/>
      <c r="CE249" s="2213"/>
      <c r="CF249" s="2208"/>
      <c r="CG249" s="2217">
        <f t="shared" si="142"/>
        <v>16.614557562191475</v>
      </c>
      <c r="CH249" s="2217">
        <f t="shared" si="123"/>
        <v>7214.2774939100518</v>
      </c>
      <c r="CI249" s="2217">
        <f t="shared" si="132"/>
        <v>27.914557562191476</v>
      </c>
      <c r="CJ249" s="2212">
        <v>86</v>
      </c>
      <c r="CK249" s="2219"/>
      <c r="CL249" s="2213"/>
      <c r="CM249" s="2219"/>
      <c r="CN249" s="2213"/>
      <c r="CO249" s="2213"/>
      <c r="CP249" s="2213"/>
      <c r="CQ249" s="2213"/>
      <c r="CR249" s="2208"/>
      <c r="CS249" s="2217">
        <f t="shared" si="143"/>
        <v>7.1027950000256617</v>
      </c>
      <c r="CT249" s="2217">
        <f t="shared" si="133"/>
        <v>6074.5091999988163</v>
      </c>
      <c r="CU249" s="2217">
        <f t="shared" si="124"/>
        <v>13.631700000019009</v>
      </c>
      <c r="CV249" s="2212">
        <v>86</v>
      </c>
      <c r="CW249" s="2208"/>
      <c r="CX249" s="263"/>
      <c r="CY249" s="2208"/>
      <c r="CZ249" s="263"/>
      <c r="DA249" s="263"/>
      <c r="DB249" s="263"/>
      <c r="DC249" s="263"/>
      <c r="DD249" s="2208"/>
    </row>
    <row r="250" spans="1:108">
      <c r="A250" s="2217">
        <f t="shared" si="134"/>
        <v>21.123195969971629</v>
      </c>
      <c r="B250" s="2217">
        <f t="shared" si="125"/>
        <v>7186.3629363478603</v>
      </c>
      <c r="C250" s="2217">
        <f t="shared" si="126"/>
        <v>28.194083452149243</v>
      </c>
      <c r="D250" s="2212">
        <v>85</v>
      </c>
      <c r="E250" s="2219"/>
      <c r="F250" s="2213"/>
      <c r="G250" s="2219"/>
      <c r="H250" s="2213"/>
      <c r="I250" s="2213"/>
      <c r="J250" s="2213"/>
      <c r="K250" s="2213"/>
      <c r="L250" s="2213"/>
      <c r="M250" s="2217">
        <f t="shared" si="135"/>
        <v>23.096781811622076</v>
      </c>
      <c r="N250" s="2217">
        <f t="shared" si="117"/>
        <v>7186.3629363478603</v>
      </c>
      <c r="O250" s="2217">
        <f t="shared" si="127"/>
        <v>28.194083452149243</v>
      </c>
      <c r="P250" s="2212">
        <v>85</v>
      </c>
      <c r="Q250" s="2219"/>
      <c r="R250" s="2213"/>
      <c r="S250" s="2219"/>
      <c r="T250" s="2213"/>
      <c r="U250" s="2213"/>
      <c r="V250" s="2213"/>
      <c r="W250" s="2213"/>
      <c r="X250" s="2213"/>
      <c r="Y250" s="2217">
        <f t="shared" si="136"/>
        <v>25.634249322315508</v>
      </c>
      <c r="Z250" s="2217">
        <f t="shared" si="118"/>
        <v>7186.3629363478603</v>
      </c>
      <c r="AA250" s="2217">
        <f t="shared" si="128"/>
        <v>28.194083452149243</v>
      </c>
      <c r="AB250" s="2212">
        <v>85</v>
      </c>
      <c r="AC250" s="2219"/>
      <c r="AD250" s="2213"/>
      <c r="AE250" s="2219"/>
      <c r="AF250" s="2213"/>
      <c r="AG250" s="2213"/>
      <c r="AH250" s="2213"/>
      <c r="AI250" s="2213"/>
      <c r="AJ250" s="2213"/>
      <c r="AK250" s="2217">
        <f t="shared" si="137"/>
        <v>13.51079343789133</v>
      </c>
      <c r="AL250" s="2217">
        <f t="shared" si="119"/>
        <v>7186.3629363478603</v>
      </c>
      <c r="AM250" s="2217">
        <f t="shared" si="129"/>
        <v>28.194083452149243</v>
      </c>
      <c r="AN250" s="2212">
        <v>85</v>
      </c>
      <c r="AO250" s="2219"/>
      <c r="AP250" s="2213"/>
      <c r="AQ250" s="2219"/>
      <c r="AR250" s="2213"/>
      <c r="AS250" s="2213"/>
      <c r="AT250" s="2213"/>
      <c r="AU250" s="2213"/>
      <c r="AV250" s="2213"/>
      <c r="AW250" s="2217">
        <f t="shared" si="138"/>
        <v>3.3804700000185957</v>
      </c>
      <c r="AX250" s="2217">
        <f t="shared" si="139"/>
        <v>6060.8774999987972</v>
      </c>
      <c r="AY250" s="2217">
        <f t="shared" si="120"/>
        <v>13.849500000017542</v>
      </c>
      <c r="AZ250" s="2212">
        <v>85</v>
      </c>
      <c r="BA250" s="2208"/>
      <c r="BB250" s="263"/>
      <c r="BC250" s="2208"/>
      <c r="BD250" s="263"/>
      <c r="BE250" s="263"/>
      <c r="BF250" s="263"/>
      <c r="BG250" s="263"/>
      <c r="BH250" s="2208"/>
      <c r="BI250" s="2217">
        <f t="shared" si="140"/>
        <v>7.6738150000240353</v>
      </c>
      <c r="BJ250" s="2217">
        <f t="shared" si="130"/>
        <v>6060.8774999987972</v>
      </c>
      <c r="BK250" s="2217">
        <f t="shared" si="121"/>
        <v>13.849500000017542</v>
      </c>
      <c r="BL250" s="2212">
        <v>85</v>
      </c>
      <c r="BM250" s="2208"/>
      <c r="BN250" s="263"/>
      <c r="BO250" s="2208"/>
      <c r="BP250" s="263"/>
      <c r="BQ250" s="263"/>
      <c r="BR250" s="263"/>
      <c r="BS250" s="263"/>
      <c r="BT250" s="2208"/>
      <c r="BU250" s="2217">
        <f t="shared" si="141"/>
        <v>13.51079343789133</v>
      </c>
      <c r="BV250" s="2217">
        <f t="shared" si="122"/>
        <v>7186.3629363478603</v>
      </c>
      <c r="BW250" s="2217">
        <f t="shared" si="131"/>
        <v>28.194083452149243</v>
      </c>
      <c r="BX250" s="2212">
        <v>85</v>
      </c>
      <c r="BY250" s="2219"/>
      <c r="BZ250" s="2213"/>
      <c r="CA250" s="2219"/>
      <c r="CB250" s="2213"/>
      <c r="CC250" s="2213"/>
      <c r="CD250" s="2213"/>
      <c r="CE250" s="2213"/>
      <c r="CF250" s="2208"/>
      <c r="CG250" s="2217">
        <f t="shared" si="142"/>
        <v>16.894083452149243</v>
      </c>
      <c r="CH250" s="2217">
        <f t="shared" si="123"/>
        <v>7186.3629363478603</v>
      </c>
      <c r="CI250" s="2217">
        <f t="shared" si="132"/>
        <v>28.194083452149243</v>
      </c>
      <c r="CJ250" s="2212">
        <v>85</v>
      </c>
      <c r="CK250" s="2219"/>
      <c r="CL250" s="2213"/>
      <c r="CM250" s="2219"/>
      <c r="CN250" s="2213"/>
      <c r="CO250" s="2213"/>
      <c r="CP250" s="2213"/>
      <c r="CQ250" s="2213"/>
      <c r="CR250" s="2208"/>
      <c r="CS250" s="2217">
        <f t="shared" si="143"/>
        <v>7.3968250000236822</v>
      </c>
      <c r="CT250" s="2217">
        <f t="shared" si="133"/>
        <v>6060.8774999987972</v>
      </c>
      <c r="CU250" s="2217">
        <f t="shared" si="124"/>
        <v>13.849500000017542</v>
      </c>
      <c r="CV250" s="2212">
        <v>85</v>
      </c>
      <c r="CW250" s="2208"/>
      <c r="CX250" s="263"/>
      <c r="CY250" s="2208"/>
      <c r="CZ250" s="263"/>
      <c r="DA250" s="263"/>
      <c r="DB250" s="263"/>
      <c r="DC250" s="263"/>
      <c r="DD250" s="2208"/>
    </row>
    <row r="251" spans="1:108">
      <c r="A251" s="2217">
        <f t="shared" si="134"/>
        <v>21.445963647515644</v>
      </c>
      <c r="B251" s="2217">
        <f t="shared" si="125"/>
        <v>7158.1688528957111</v>
      </c>
      <c r="C251" s="2217">
        <f t="shared" si="126"/>
        <v>28.474750997839692</v>
      </c>
      <c r="D251" s="2212">
        <v>84</v>
      </c>
      <c r="E251" s="2219"/>
      <c r="F251" s="2213"/>
      <c r="G251" s="2219"/>
      <c r="H251" s="2213"/>
      <c r="I251" s="2213"/>
      <c r="J251" s="2213"/>
      <c r="K251" s="2213"/>
      <c r="L251" s="2213"/>
      <c r="M251" s="2217">
        <f t="shared" si="135"/>
        <v>23.439196217364422</v>
      </c>
      <c r="N251" s="2217">
        <f t="shared" si="117"/>
        <v>7158.1688528957111</v>
      </c>
      <c r="O251" s="2217">
        <f t="shared" si="127"/>
        <v>28.474750997839692</v>
      </c>
      <c r="P251" s="2212">
        <v>84</v>
      </c>
      <c r="Q251" s="2219"/>
      <c r="R251" s="2213"/>
      <c r="S251" s="2219"/>
      <c r="T251" s="2213"/>
      <c r="U251" s="2213"/>
      <c r="V251" s="2213"/>
      <c r="W251" s="2213"/>
      <c r="X251" s="2213"/>
      <c r="Y251" s="2217">
        <f t="shared" si="136"/>
        <v>26.001923807169998</v>
      </c>
      <c r="Z251" s="2217">
        <f t="shared" si="118"/>
        <v>7158.1688528957111</v>
      </c>
      <c r="AA251" s="2217">
        <f t="shared" si="128"/>
        <v>28.474750997839692</v>
      </c>
      <c r="AB251" s="2212">
        <v>84</v>
      </c>
      <c r="AC251" s="2219"/>
      <c r="AD251" s="2213"/>
      <c r="AE251" s="2219"/>
      <c r="AF251" s="2213"/>
      <c r="AG251" s="2213"/>
      <c r="AH251" s="2213"/>
      <c r="AI251" s="2213"/>
      <c r="AJ251" s="2213"/>
      <c r="AK251" s="2217">
        <f t="shared" si="137"/>
        <v>13.757780878098924</v>
      </c>
      <c r="AL251" s="2217">
        <f t="shared" si="119"/>
        <v>7158.1688528957111</v>
      </c>
      <c r="AM251" s="2217">
        <f t="shared" si="129"/>
        <v>28.474750997839692</v>
      </c>
      <c r="AN251" s="2212">
        <v>84</v>
      </c>
      <c r="AO251" s="2219"/>
      <c r="AP251" s="2213"/>
      <c r="AQ251" s="2219"/>
      <c r="AR251" s="2213"/>
      <c r="AS251" s="2213"/>
      <c r="AT251" s="2213"/>
      <c r="AU251" s="2213"/>
      <c r="AV251" s="2213"/>
      <c r="AW251" s="2217">
        <f t="shared" si="138"/>
        <v>3.6151540000170463</v>
      </c>
      <c r="AX251" s="2217">
        <f t="shared" si="139"/>
        <v>6047.0279999987797</v>
      </c>
      <c r="AY251" s="2217">
        <f t="shared" si="120"/>
        <v>14.070900000016081</v>
      </c>
      <c r="AZ251" s="2212">
        <v>84</v>
      </c>
      <c r="BA251" s="2208"/>
      <c r="BB251" s="263"/>
      <c r="BC251" s="2208"/>
      <c r="BD251" s="263"/>
      <c r="BE251" s="263"/>
      <c r="BF251" s="263"/>
      <c r="BG251" s="263"/>
      <c r="BH251" s="2208"/>
      <c r="BI251" s="2217">
        <f t="shared" si="140"/>
        <v>7.9771330000220324</v>
      </c>
      <c r="BJ251" s="2217">
        <f t="shared" si="130"/>
        <v>6047.0279999987797</v>
      </c>
      <c r="BK251" s="2217">
        <f t="shared" si="121"/>
        <v>14.070900000016081</v>
      </c>
      <c r="BL251" s="2212">
        <v>84</v>
      </c>
      <c r="BM251" s="2208"/>
      <c r="BN251" s="263"/>
      <c r="BO251" s="2208"/>
      <c r="BP251" s="263"/>
      <c r="BQ251" s="263"/>
      <c r="BR251" s="263"/>
      <c r="BS251" s="263"/>
      <c r="BT251" s="2208"/>
      <c r="BU251" s="2217">
        <f t="shared" si="141"/>
        <v>13.757780878098924</v>
      </c>
      <c r="BV251" s="2217">
        <f t="shared" si="122"/>
        <v>7158.1688528957111</v>
      </c>
      <c r="BW251" s="2217">
        <f t="shared" si="131"/>
        <v>28.474750997839692</v>
      </c>
      <c r="BX251" s="2212">
        <v>84</v>
      </c>
      <c r="BY251" s="2219"/>
      <c r="BZ251" s="2213"/>
      <c r="CA251" s="2219"/>
      <c r="CB251" s="2213"/>
      <c r="CC251" s="2213"/>
      <c r="CD251" s="2213"/>
      <c r="CE251" s="2213"/>
      <c r="CF251" s="2208"/>
      <c r="CG251" s="2217">
        <f t="shared" si="142"/>
        <v>17.174750997839691</v>
      </c>
      <c r="CH251" s="2217">
        <f t="shared" si="123"/>
        <v>7158.1688528957111</v>
      </c>
      <c r="CI251" s="2217">
        <f t="shared" si="132"/>
        <v>28.474750997839692</v>
      </c>
      <c r="CJ251" s="2212">
        <v>84</v>
      </c>
      <c r="CK251" s="2219"/>
      <c r="CL251" s="2213"/>
      <c r="CM251" s="2219"/>
      <c r="CN251" s="2213"/>
      <c r="CO251" s="2213"/>
      <c r="CP251" s="2213"/>
      <c r="CQ251" s="2213"/>
      <c r="CR251" s="2208"/>
      <c r="CS251" s="2217">
        <f t="shared" si="143"/>
        <v>7.6957150000217105</v>
      </c>
      <c r="CT251" s="2217">
        <f t="shared" si="133"/>
        <v>6047.0279999987797</v>
      </c>
      <c r="CU251" s="2217">
        <f t="shared" si="124"/>
        <v>14.070900000016081</v>
      </c>
      <c r="CV251" s="2212">
        <v>84</v>
      </c>
      <c r="CW251" s="2208"/>
      <c r="CX251" s="263"/>
      <c r="CY251" s="2208"/>
      <c r="CZ251" s="263"/>
      <c r="DA251" s="263"/>
      <c r="DB251" s="263"/>
      <c r="DC251" s="263"/>
      <c r="DD251" s="2208"/>
    </row>
    <row r="252" spans="1:108">
      <c r="A252" s="2217">
        <f t="shared" si="134"/>
        <v>21.770044229157474</v>
      </c>
      <c r="B252" s="2217">
        <f t="shared" si="125"/>
        <v>7129.6941018978714</v>
      </c>
      <c r="C252" s="2217">
        <f t="shared" si="126"/>
        <v>28.756560199267369</v>
      </c>
      <c r="D252" s="2212">
        <v>83</v>
      </c>
      <c r="E252" s="2219"/>
      <c r="F252" s="2213"/>
      <c r="G252" s="2219"/>
      <c r="H252" s="2213"/>
      <c r="I252" s="2213"/>
      <c r="J252" s="2213"/>
      <c r="K252" s="2213"/>
      <c r="L252" s="2213"/>
      <c r="M252" s="2217">
        <f t="shared" si="135"/>
        <v>23.783003443106185</v>
      </c>
      <c r="N252" s="2217">
        <f t="shared" si="117"/>
        <v>7129.6941018978714</v>
      </c>
      <c r="O252" s="2217">
        <f t="shared" si="127"/>
        <v>28.756560199267369</v>
      </c>
      <c r="P252" s="2212">
        <v>83</v>
      </c>
      <c r="Q252" s="2219"/>
      <c r="R252" s="2213"/>
      <c r="S252" s="2219"/>
      <c r="T252" s="2213"/>
      <c r="U252" s="2213"/>
      <c r="V252" s="2213"/>
      <c r="W252" s="2213"/>
      <c r="X252" s="2213"/>
      <c r="Y252" s="2217">
        <f t="shared" si="136"/>
        <v>26.371093861040254</v>
      </c>
      <c r="Z252" s="2217">
        <f t="shared" si="118"/>
        <v>7129.6941018978714</v>
      </c>
      <c r="AA252" s="2217">
        <f t="shared" si="128"/>
        <v>28.756560199267369</v>
      </c>
      <c r="AB252" s="2212">
        <v>83</v>
      </c>
      <c r="AC252" s="2219"/>
      <c r="AD252" s="2213"/>
      <c r="AE252" s="2219"/>
      <c r="AF252" s="2213"/>
      <c r="AG252" s="2213"/>
      <c r="AH252" s="2213"/>
      <c r="AI252" s="2213"/>
      <c r="AJ252" s="2213"/>
      <c r="AK252" s="2217">
        <f t="shared" si="137"/>
        <v>14.005772975355281</v>
      </c>
      <c r="AL252" s="2217">
        <f t="shared" si="119"/>
        <v>7129.6941018978714</v>
      </c>
      <c r="AM252" s="2217">
        <f t="shared" si="129"/>
        <v>28.756560199267369</v>
      </c>
      <c r="AN252" s="2212">
        <v>83</v>
      </c>
      <c r="AO252" s="2219"/>
      <c r="AP252" s="2213"/>
      <c r="AQ252" s="2219"/>
      <c r="AR252" s="2213"/>
      <c r="AS252" s="2213"/>
      <c r="AT252" s="2213"/>
      <c r="AU252" s="2213"/>
      <c r="AV252" s="2213"/>
      <c r="AW252" s="2217">
        <f t="shared" si="138"/>
        <v>3.853654000017432</v>
      </c>
      <c r="AX252" s="2217">
        <f t="shared" si="139"/>
        <v>6032.9570999987636</v>
      </c>
      <c r="AY252" s="2217">
        <f t="shared" si="120"/>
        <v>14.295900000016445</v>
      </c>
      <c r="AZ252" s="2212">
        <v>83</v>
      </c>
      <c r="BA252" s="2208"/>
      <c r="BB252" s="263"/>
      <c r="BC252" s="2208"/>
      <c r="BD252" s="263"/>
      <c r="BE252" s="263"/>
      <c r="BF252" s="263"/>
      <c r="BG252" s="263"/>
      <c r="BH252" s="2208"/>
      <c r="BI252" s="2217">
        <f t="shared" si="140"/>
        <v>8.2853830000225308</v>
      </c>
      <c r="BJ252" s="2217">
        <f t="shared" si="130"/>
        <v>6032.9570999987636</v>
      </c>
      <c r="BK252" s="2217">
        <f t="shared" si="121"/>
        <v>14.295900000016445</v>
      </c>
      <c r="BL252" s="2212">
        <v>83</v>
      </c>
      <c r="BM252" s="2208"/>
      <c r="BN252" s="263"/>
      <c r="BO252" s="2208"/>
      <c r="BP252" s="263"/>
      <c r="BQ252" s="263"/>
      <c r="BR252" s="263"/>
      <c r="BS252" s="263"/>
      <c r="BT252" s="2208"/>
      <c r="BU252" s="2217">
        <f t="shared" si="141"/>
        <v>14.005772975355281</v>
      </c>
      <c r="BV252" s="2217">
        <f t="shared" si="122"/>
        <v>7129.6941018978714</v>
      </c>
      <c r="BW252" s="2217">
        <f t="shared" si="131"/>
        <v>28.756560199267369</v>
      </c>
      <c r="BX252" s="2212">
        <v>83</v>
      </c>
      <c r="BY252" s="2219"/>
      <c r="BZ252" s="2213"/>
      <c r="CA252" s="2219"/>
      <c r="CB252" s="2213"/>
      <c r="CC252" s="2213"/>
      <c r="CD252" s="2213"/>
      <c r="CE252" s="2213"/>
      <c r="CF252" s="2208"/>
      <c r="CG252" s="2217">
        <f t="shared" si="142"/>
        <v>17.456560199267368</v>
      </c>
      <c r="CH252" s="2217">
        <f t="shared" si="123"/>
        <v>7129.6941018978714</v>
      </c>
      <c r="CI252" s="2217">
        <f t="shared" si="132"/>
        <v>28.756560199267369</v>
      </c>
      <c r="CJ252" s="2212">
        <v>83</v>
      </c>
      <c r="CK252" s="2219"/>
      <c r="CL252" s="2213"/>
      <c r="CM252" s="2219"/>
      <c r="CN252" s="2213"/>
      <c r="CO252" s="2213"/>
      <c r="CP252" s="2213"/>
      <c r="CQ252" s="2213"/>
      <c r="CR252" s="2208"/>
      <c r="CS252" s="2217">
        <f t="shared" si="143"/>
        <v>7.9994650000222016</v>
      </c>
      <c r="CT252" s="2217">
        <f t="shared" si="133"/>
        <v>6032.9570999987636</v>
      </c>
      <c r="CU252" s="2217">
        <f t="shared" si="124"/>
        <v>14.295900000016445</v>
      </c>
      <c r="CV252" s="2212">
        <v>83</v>
      </c>
      <c r="CW252" s="2208"/>
      <c r="CX252" s="263"/>
      <c r="CY252" s="2208"/>
      <c r="CZ252" s="263"/>
      <c r="DA252" s="263"/>
      <c r="DB252" s="263"/>
      <c r="DC252" s="263"/>
      <c r="DD252" s="2208"/>
    </row>
    <row r="253" spans="1:108">
      <c r="A253" s="2217">
        <f t="shared" si="134"/>
        <v>22.095437714891883</v>
      </c>
      <c r="B253" s="2217">
        <f t="shared" si="125"/>
        <v>7100.937541698604</v>
      </c>
      <c r="C253" s="2217">
        <f t="shared" si="126"/>
        <v>29.039511056427727</v>
      </c>
      <c r="D253" s="2212">
        <v>82</v>
      </c>
      <c r="E253" s="2219"/>
      <c r="F253" s="2213"/>
      <c r="G253" s="2219"/>
      <c r="H253" s="2213"/>
      <c r="I253" s="2213"/>
      <c r="J253" s="2213"/>
      <c r="K253" s="2213"/>
      <c r="L253" s="2213"/>
      <c r="M253" s="2217">
        <f t="shared" si="135"/>
        <v>24.128203488841823</v>
      </c>
      <c r="N253" s="2217">
        <f t="shared" si="117"/>
        <v>7100.937541698604</v>
      </c>
      <c r="O253" s="2217">
        <f t="shared" si="127"/>
        <v>29.039511056427727</v>
      </c>
      <c r="P253" s="2212">
        <v>82</v>
      </c>
      <c r="Q253" s="2219"/>
      <c r="R253" s="2213"/>
      <c r="S253" s="2219"/>
      <c r="T253" s="2213"/>
      <c r="U253" s="2213"/>
      <c r="V253" s="2213"/>
      <c r="W253" s="2213"/>
      <c r="X253" s="2213"/>
      <c r="Y253" s="2217">
        <f t="shared" si="136"/>
        <v>26.741759483920323</v>
      </c>
      <c r="Z253" s="2217">
        <f t="shared" si="118"/>
        <v>7100.937541698604</v>
      </c>
      <c r="AA253" s="2217">
        <f t="shared" si="128"/>
        <v>29.039511056427727</v>
      </c>
      <c r="AB253" s="2212">
        <v>82</v>
      </c>
      <c r="AC253" s="2219"/>
      <c r="AD253" s="2213"/>
      <c r="AE253" s="2219"/>
      <c r="AF253" s="2213"/>
      <c r="AG253" s="2213"/>
      <c r="AH253" s="2213"/>
      <c r="AI253" s="2213"/>
      <c r="AJ253" s="2213"/>
      <c r="AK253" s="2217">
        <f t="shared" si="137"/>
        <v>14.254769729656395</v>
      </c>
      <c r="AL253" s="2217">
        <f t="shared" si="119"/>
        <v>7100.937541698604</v>
      </c>
      <c r="AM253" s="2217">
        <f t="shared" si="129"/>
        <v>29.039511056427727</v>
      </c>
      <c r="AN253" s="2212">
        <v>82</v>
      </c>
      <c r="AO253" s="2219"/>
      <c r="AP253" s="2213"/>
      <c r="AQ253" s="2219"/>
      <c r="AR253" s="2213"/>
      <c r="AS253" s="2213"/>
      <c r="AT253" s="2213"/>
      <c r="AU253" s="2213"/>
      <c r="AV253" s="2213"/>
      <c r="AW253" s="2217">
        <f t="shared" si="138"/>
        <v>4.0959700000158961</v>
      </c>
      <c r="AX253" s="2217">
        <f t="shared" si="139"/>
        <v>6018.6611999987472</v>
      </c>
      <c r="AY253" s="2217">
        <f t="shared" si="120"/>
        <v>14.524500000014996</v>
      </c>
      <c r="AZ253" s="2212">
        <v>82</v>
      </c>
      <c r="BA253" s="2208"/>
      <c r="BB253" s="263"/>
      <c r="BC253" s="2208"/>
      <c r="BD253" s="263"/>
      <c r="BE253" s="263"/>
      <c r="BF253" s="263"/>
      <c r="BG253" s="263"/>
      <c r="BH253" s="2208"/>
      <c r="BI253" s="2217">
        <f t="shared" si="140"/>
        <v>8.598565000020546</v>
      </c>
      <c r="BJ253" s="2217">
        <f t="shared" si="130"/>
        <v>6018.6611999987472</v>
      </c>
      <c r="BK253" s="2217">
        <f t="shared" si="121"/>
        <v>14.524500000014996</v>
      </c>
      <c r="BL253" s="2212">
        <v>82</v>
      </c>
      <c r="BM253" s="2208"/>
      <c r="BN253" s="263"/>
      <c r="BO253" s="2208"/>
      <c r="BP253" s="263"/>
      <c r="BQ253" s="263"/>
      <c r="BR253" s="263"/>
      <c r="BS253" s="263"/>
      <c r="BT253" s="2208"/>
      <c r="BU253" s="2217">
        <f t="shared" si="141"/>
        <v>14.254769729656395</v>
      </c>
      <c r="BV253" s="2217">
        <f t="shared" si="122"/>
        <v>7100.937541698604</v>
      </c>
      <c r="BW253" s="2217">
        <f t="shared" si="131"/>
        <v>29.039511056427727</v>
      </c>
      <c r="BX253" s="2212">
        <v>82</v>
      </c>
      <c r="BY253" s="2219"/>
      <c r="BZ253" s="2213"/>
      <c r="CA253" s="2219"/>
      <c r="CB253" s="2213"/>
      <c r="CC253" s="2213"/>
      <c r="CD253" s="2213"/>
      <c r="CE253" s="2213"/>
      <c r="CF253" s="2208"/>
      <c r="CG253" s="2217">
        <f t="shared" si="142"/>
        <v>17.739511056427727</v>
      </c>
      <c r="CH253" s="2217">
        <f t="shared" si="123"/>
        <v>7100.937541698604</v>
      </c>
      <c r="CI253" s="2217">
        <f t="shared" si="132"/>
        <v>29.039511056427727</v>
      </c>
      <c r="CJ253" s="2212">
        <v>82</v>
      </c>
      <c r="CK253" s="2219"/>
      <c r="CL253" s="2213"/>
      <c r="CM253" s="2219"/>
      <c r="CN253" s="2213"/>
      <c r="CO253" s="2213"/>
      <c r="CP253" s="2213"/>
      <c r="CQ253" s="2213"/>
      <c r="CR253" s="2208"/>
      <c r="CS253" s="2217">
        <f t="shared" si="143"/>
        <v>8.3080750000202457</v>
      </c>
      <c r="CT253" s="2217">
        <f t="shared" si="133"/>
        <v>6018.6611999987472</v>
      </c>
      <c r="CU253" s="2217">
        <f t="shared" si="124"/>
        <v>14.524500000014996</v>
      </c>
      <c r="CV253" s="2212">
        <v>82</v>
      </c>
      <c r="CW253" s="2208"/>
      <c r="CX253" s="263"/>
      <c r="CY253" s="2208"/>
      <c r="CZ253" s="263"/>
      <c r="DA253" s="263"/>
      <c r="DB253" s="263"/>
      <c r="DC253" s="263"/>
      <c r="DD253" s="2208"/>
    </row>
    <row r="254" spans="1:108">
      <c r="A254" s="2217">
        <f t="shared" si="134"/>
        <v>22.422144104722019</v>
      </c>
      <c r="B254" s="2217">
        <f t="shared" si="125"/>
        <v>7071.8980306421763</v>
      </c>
      <c r="C254" s="2217">
        <f t="shared" si="126"/>
        <v>29.323603569323495</v>
      </c>
      <c r="D254" s="2212">
        <v>81</v>
      </c>
      <c r="E254" s="2219"/>
      <c r="F254" s="2213"/>
      <c r="G254" s="2219"/>
      <c r="H254" s="2213"/>
      <c r="I254" s="2213"/>
      <c r="J254" s="2213"/>
      <c r="K254" s="2213"/>
      <c r="L254" s="2213"/>
      <c r="M254" s="2217">
        <f t="shared" si="135"/>
        <v>24.474796354574661</v>
      </c>
      <c r="N254" s="2217">
        <f t="shared" si="117"/>
        <v>7071.8980306421763</v>
      </c>
      <c r="O254" s="2217">
        <f t="shared" si="127"/>
        <v>29.323603569323495</v>
      </c>
      <c r="P254" s="2212">
        <v>81</v>
      </c>
      <c r="Q254" s="2219"/>
      <c r="R254" s="2213"/>
      <c r="S254" s="2219"/>
      <c r="T254" s="2213"/>
      <c r="U254" s="2213"/>
      <c r="V254" s="2213"/>
      <c r="W254" s="2213"/>
      <c r="X254" s="2213"/>
      <c r="Y254" s="2217">
        <f t="shared" si="136"/>
        <v>27.113920675813777</v>
      </c>
      <c r="Z254" s="2217">
        <f t="shared" si="118"/>
        <v>7071.8980306421763</v>
      </c>
      <c r="AA254" s="2217">
        <f t="shared" si="128"/>
        <v>29.323603569323495</v>
      </c>
      <c r="AB254" s="2212">
        <v>81</v>
      </c>
      <c r="AC254" s="2219"/>
      <c r="AD254" s="2213"/>
      <c r="AE254" s="2219"/>
      <c r="AF254" s="2213"/>
      <c r="AG254" s="2213"/>
      <c r="AH254" s="2213"/>
      <c r="AI254" s="2213"/>
      <c r="AJ254" s="2213"/>
      <c r="AK254" s="2217">
        <f t="shared" si="137"/>
        <v>14.504771141004671</v>
      </c>
      <c r="AL254" s="2217">
        <f t="shared" si="119"/>
        <v>7071.8980306421763</v>
      </c>
      <c r="AM254" s="2217">
        <f t="shared" si="129"/>
        <v>29.323603569323495</v>
      </c>
      <c r="AN254" s="2212">
        <v>81</v>
      </c>
      <c r="AO254" s="2219"/>
      <c r="AP254" s="2213"/>
      <c r="AQ254" s="2219"/>
      <c r="AR254" s="2213"/>
      <c r="AS254" s="2213"/>
      <c r="AT254" s="2213"/>
      <c r="AU254" s="2213"/>
      <c r="AV254" s="2213"/>
      <c r="AW254" s="2217">
        <f t="shared" si="138"/>
        <v>4.3421020000153288</v>
      </c>
      <c r="AX254" s="2217">
        <f t="shared" si="139"/>
        <v>6004.1366999987322</v>
      </c>
      <c r="AY254" s="2217">
        <f t="shared" si="120"/>
        <v>14.756700000014462</v>
      </c>
      <c r="AZ254" s="2212">
        <v>81</v>
      </c>
      <c r="BA254" s="2208"/>
      <c r="BB254" s="263"/>
      <c r="BC254" s="2208"/>
      <c r="BD254" s="263"/>
      <c r="BE254" s="263"/>
      <c r="BF254" s="263"/>
      <c r="BG254" s="263"/>
      <c r="BH254" s="2208"/>
      <c r="BI254" s="2217">
        <f t="shared" si="140"/>
        <v>8.916679000019812</v>
      </c>
      <c r="BJ254" s="2217">
        <f t="shared" si="130"/>
        <v>6004.1366999987322</v>
      </c>
      <c r="BK254" s="2217">
        <f t="shared" si="121"/>
        <v>14.756700000014462</v>
      </c>
      <c r="BL254" s="2212">
        <v>81</v>
      </c>
      <c r="BM254" s="2208"/>
      <c r="BN254" s="263"/>
      <c r="BO254" s="2208"/>
      <c r="BP254" s="263"/>
      <c r="BQ254" s="263"/>
      <c r="BR254" s="263"/>
      <c r="BS254" s="263"/>
      <c r="BT254" s="2208"/>
      <c r="BU254" s="2217">
        <f t="shared" si="141"/>
        <v>14.504771141004671</v>
      </c>
      <c r="BV254" s="2217">
        <f t="shared" si="122"/>
        <v>7071.8980306421763</v>
      </c>
      <c r="BW254" s="2217">
        <f t="shared" si="131"/>
        <v>29.323603569323495</v>
      </c>
      <c r="BX254" s="2212">
        <v>81</v>
      </c>
      <c r="BY254" s="2219"/>
      <c r="BZ254" s="2213"/>
      <c r="CA254" s="2219"/>
      <c r="CB254" s="2213"/>
      <c r="CC254" s="2213"/>
      <c r="CD254" s="2213"/>
      <c r="CE254" s="2213"/>
      <c r="CF254" s="2208"/>
      <c r="CG254" s="2217">
        <f t="shared" si="142"/>
        <v>18.023603569323495</v>
      </c>
      <c r="CH254" s="2217">
        <f t="shared" si="123"/>
        <v>7071.8980306421763</v>
      </c>
      <c r="CI254" s="2217">
        <f t="shared" si="132"/>
        <v>29.323603569323495</v>
      </c>
      <c r="CJ254" s="2212">
        <v>81</v>
      </c>
      <c r="CK254" s="2219"/>
      <c r="CL254" s="2213"/>
      <c r="CM254" s="2219"/>
      <c r="CN254" s="2213"/>
      <c r="CO254" s="2213"/>
      <c r="CP254" s="2213"/>
      <c r="CQ254" s="2213"/>
      <c r="CR254" s="2208"/>
      <c r="CS254" s="2217">
        <f t="shared" si="143"/>
        <v>8.6215450000195233</v>
      </c>
      <c r="CT254" s="2217">
        <f t="shared" si="133"/>
        <v>6004.1366999987322</v>
      </c>
      <c r="CU254" s="2217">
        <f t="shared" si="124"/>
        <v>14.756700000014462</v>
      </c>
      <c r="CV254" s="2212">
        <v>81</v>
      </c>
      <c r="CW254" s="2208"/>
      <c r="CX254" s="263"/>
      <c r="CY254" s="2208"/>
      <c r="CZ254" s="263"/>
      <c r="DA254" s="263"/>
      <c r="DB254" s="263"/>
      <c r="DC254" s="263"/>
      <c r="DD254" s="2208"/>
    </row>
    <row r="255" spans="1:108">
      <c r="A255" s="2217">
        <f t="shared" si="134"/>
        <v>22.750163398646823</v>
      </c>
      <c r="B255" s="2217">
        <f t="shared" si="125"/>
        <v>7042.5744270728528</v>
      </c>
      <c r="C255" s="2217">
        <f t="shared" si="126"/>
        <v>29.608837737953763</v>
      </c>
      <c r="D255" s="2212">
        <v>80</v>
      </c>
      <c r="E255" s="2219"/>
      <c r="F255" s="2213"/>
      <c r="G255" s="2219"/>
      <c r="H255" s="2213"/>
      <c r="I255" s="2213"/>
      <c r="J255" s="2213"/>
      <c r="K255" s="2213"/>
      <c r="L255" s="2213"/>
      <c r="M255" s="2217">
        <f t="shared" si="135"/>
        <v>24.82278204030359</v>
      </c>
      <c r="N255" s="2217">
        <f t="shared" si="117"/>
        <v>7042.5744270728528</v>
      </c>
      <c r="O255" s="2217">
        <f t="shared" si="127"/>
        <v>29.608837737953763</v>
      </c>
      <c r="P255" s="2212">
        <v>80</v>
      </c>
      <c r="Q255" s="2219"/>
      <c r="R255" s="2213"/>
      <c r="S255" s="2219"/>
      <c r="T255" s="2213"/>
      <c r="U255" s="2213"/>
      <c r="V255" s="2213"/>
      <c r="W255" s="2213"/>
      <c r="X255" s="2213"/>
      <c r="Y255" s="2217">
        <f t="shared" si="136"/>
        <v>27.48757743671943</v>
      </c>
      <c r="Z255" s="2217">
        <f t="shared" si="118"/>
        <v>7042.5744270728528</v>
      </c>
      <c r="AA255" s="2217">
        <f t="shared" si="128"/>
        <v>29.608837737953763</v>
      </c>
      <c r="AB255" s="2212">
        <v>80</v>
      </c>
      <c r="AC255" s="2219"/>
      <c r="AD255" s="2213"/>
      <c r="AE255" s="2219"/>
      <c r="AF255" s="2213"/>
      <c r="AG255" s="2213"/>
      <c r="AH255" s="2213"/>
      <c r="AI255" s="2213"/>
      <c r="AJ255" s="2213"/>
      <c r="AK255" s="2217">
        <f t="shared" si="137"/>
        <v>14.755777209399309</v>
      </c>
      <c r="AL255" s="2217">
        <f t="shared" si="119"/>
        <v>7042.5744270728528</v>
      </c>
      <c r="AM255" s="2217">
        <f t="shared" si="129"/>
        <v>29.608837737953763</v>
      </c>
      <c r="AN255" s="2212">
        <v>80</v>
      </c>
      <c r="AO255" s="2219"/>
      <c r="AP255" s="2213"/>
      <c r="AQ255" s="2219"/>
      <c r="AR255" s="2213"/>
      <c r="AS255" s="2213"/>
      <c r="AT255" s="2213"/>
      <c r="AU255" s="2213"/>
      <c r="AV255" s="2213"/>
      <c r="AW255" s="2217">
        <f t="shared" si="138"/>
        <v>4.5920500000138063</v>
      </c>
      <c r="AX255" s="2217">
        <f t="shared" si="139"/>
        <v>5989.3799999987177</v>
      </c>
      <c r="AY255" s="2217">
        <f t="shared" si="120"/>
        <v>14.992500000013024</v>
      </c>
      <c r="AZ255" s="2212">
        <v>80</v>
      </c>
      <c r="BA255" s="2208"/>
      <c r="BB255" s="263"/>
      <c r="BC255" s="2208"/>
      <c r="BD255" s="263"/>
      <c r="BE255" s="263"/>
      <c r="BF255" s="263"/>
      <c r="BG255" s="263"/>
      <c r="BH255" s="2208"/>
      <c r="BI255" s="2217">
        <f t="shared" si="140"/>
        <v>9.2397250000178452</v>
      </c>
      <c r="BJ255" s="2217">
        <f t="shared" si="130"/>
        <v>5989.3799999987177</v>
      </c>
      <c r="BK255" s="2217">
        <f t="shared" si="121"/>
        <v>14.992500000013024</v>
      </c>
      <c r="BL255" s="2212">
        <v>80</v>
      </c>
      <c r="BM255" s="2208"/>
      <c r="BN255" s="263"/>
      <c r="BO255" s="2208"/>
      <c r="BP255" s="263"/>
      <c r="BQ255" s="263"/>
      <c r="BR255" s="263"/>
      <c r="BS255" s="263"/>
      <c r="BT255" s="2208"/>
      <c r="BU255" s="2217">
        <f t="shared" si="141"/>
        <v>14.755777209399309</v>
      </c>
      <c r="BV255" s="2217">
        <f t="shared" si="122"/>
        <v>7042.5744270728528</v>
      </c>
      <c r="BW255" s="2217">
        <f t="shared" si="131"/>
        <v>29.608837737953763</v>
      </c>
      <c r="BX255" s="2212">
        <v>80</v>
      </c>
      <c r="BY255" s="2219"/>
      <c r="BZ255" s="2213"/>
      <c r="CA255" s="2219"/>
      <c r="CB255" s="2213"/>
      <c r="CC255" s="2213"/>
      <c r="CD255" s="2213"/>
      <c r="CE255" s="2213"/>
      <c r="CF255" s="2208"/>
      <c r="CG255" s="2217">
        <f t="shared" si="142"/>
        <v>18.308837737953763</v>
      </c>
      <c r="CH255" s="2217">
        <f t="shared" si="123"/>
        <v>7042.5744270728528</v>
      </c>
      <c r="CI255" s="2217">
        <f t="shared" si="132"/>
        <v>29.608837737953763</v>
      </c>
      <c r="CJ255" s="2212">
        <v>80</v>
      </c>
      <c r="CK255" s="2219"/>
      <c r="CL255" s="2213"/>
      <c r="CM255" s="2219"/>
      <c r="CN255" s="2213"/>
      <c r="CO255" s="2213"/>
      <c r="CP255" s="2213"/>
      <c r="CQ255" s="2213"/>
      <c r="CR255" s="2208"/>
      <c r="CS255" s="2217">
        <f t="shared" si="143"/>
        <v>8.9398750000175831</v>
      </c>
      <c r="CT255" s="2217">
        <f t="shared" si="133"/>
        <v>5989.3799999987177</v>
      </c>
      <c r="CU255" s="2217">
        <f t="shared" si="124"/>
        <v>14.992500000013024</v>
      </c>
      <c r="CV255" s="2212">
        <v>80</v>
      </c>
      <c r="CW255" s="2208"/>
      <c r="CX255" s="263"/>
      <c r="CY255" s="2208"/>
      <c r="CZ255" s="263"/>
      <c r="DA255" s="263"/>
      <c r="DB255" s="263"/>
      <c r="DC255" s="263"/>
      <c r="DD255" s="2208"/>
    </row>
    <row r="256" spans="1:108">
      <c r="A256" s="2217">
        <f t="shared" si="134"/>
        <v>23.079495596666309</v>
      </c>
      <c r="B256" s="2217">
        <f t="shared" si="125"/>
        <v>7012.9655893348991</v>
      </c>
      <c r="C256" s="2217">
        <f t="shared" si="126"/>
        <v>29.895213562318531</v>
      </c>
      <c r="D256" s="2212">
        <v>79</v>
      </c>
      <c r="E256" s="2219"/>
      <c r="F256" s="2213"/>
      <c r="G256" s="2219"/>
      <c r="H256" s="2213"/>
      <c r="I256" s="2213"/>
      <c r="J256" s="2213"/>
      <c r="K256" s="2213"/>
      <c r="L256" s="2213"/>
      <c r="M256" s="2217">
        <f t="shared" si="135"/>
        <v>25.172160546028604</v>
      </c>
      <c r="N256" s="2217">
        <f t="shared" si="117"/>
        <v>7012.9655893348991</v>
      </c>
      <c r="O256" s="2217">
        <f t="shared" si="127"/>
        <v>29.895213562318531</v>
      </c>
      <c r="P256" s="2212">
        <v>79</v>
      </c>
      <c r="Q256" s="2219"/>
      <c r="R256" s="2213"/>
      <c r="S256" s="2219"/>
      <c r="T256" s="2213"/>
      <c r="U256" s="2213"/>
      <c r="V256" s="2213"/>
      <c r="W256" s="2213"/>
      <c r="X256" s="2213"/>
      <c r="Y256" s="2217">
        <f t="shared" si="136"/>
        <v>27.862729766637276</v>
      </c>
      <c r="Z256" s="2217">
        <f t="shared" si="118"/>
        <v>7012.9655893348991</v>
      </c>
      <c r="AA256" s="2217">
        <f t="shared" si="128"/>
        <v>29.895213562318531</v>
      </c>
      <c r="AB256" s="2212">
        <v>79</v>
      </c>
      <c r="AC256" s="2219"/>
      <c r="AD256" s="2213"/>
      <c r="AE256" s="2219"/>
      <c r="AF256" s="2213"/>
      <c r="AG256" s="2213"/>
      <c r="AH256" s="2213"/>
      <c r="AI256" s="2213"/>
      <c r="AJ256" s="2213"/>
      <c r="AK256" s="2217">
        <f t="shared" si="137"/>
        <v>15.007787934840305</v>
      </c>
      <c r="AL256" s="2217">
        <f t="shared" si="119"/>
        <v>7012.9655893348991</v>
      </c>
      <c r="AM256" s="2217">
        <f t="shared" si="129"/>
        <v>29.895213562318531</v>
      </c>
      <c r="AN256" s="2212">
        <v>79</v>
      </c>
      <c r="AO256" s="2219"/>
      <c r="AP256" s="2213"/>
      <c r="AQ256" s="2219"/>
      <c r="AR256" s="2213"/>
      <c r="AS256" s="2213"/>
      <c r="AT256" s="2213"/>
      <c r="AU256" s="2213"/>
      <c r="AV256" s="2213"/>
      <c r="AW256" s="2217">
        <f t="shared" si="138"/>
        <v>4.845814000012286</v>
      </c>
      <c r="AX256" s="2217">
        <f t="shared" si="139"/>
        <v>5974.3874999987047</v>
      </c>
      <c r="AY256" s="2217">
        <f t="shared" si="120"/>
        <v>15.231900000011592</v>
      </c>
      <c r="AZ256" s="2212">
        <v>79</v>
      </c>
      <c r="BA256" s="2208"/>
      <c r="BB256" s="263"/>
      <c r="BC256" s="2208"/>
      <c r="BD256" s="263"/>
      <c r="BE256" s="263"/>
      <c r="BF256" s="263"/>
      <c r="BG256" s="263"/>
      <c r="BH256" s="2208"/>
      <c r="BI256" s="2217">
        <f t="shared" si="140"/>
        <v>9.5677030000158823</v>
      </c>
      <c r="BJ256" s="2217">
        <f t="shared" si="130"/>
        <v>5974.3874999987047</v>
      </c>
      <c r="BK256" s="2217">
        <f t="shared" si="121"/>
        <v>15.231900000011592</v>
      </c>
      <c r="BL256" s="2212">
        <v>79</v>
      </c>
      <c r="BM256" s="2208"/>
      <c r="BN256" s="263"/>
      <c r="BO256" s="2208"/>
      <c r="BP256" s="263"/>
      <c r="BQ256" s="263"/>
      <c r="BR256" s="263"/>
      <c r="BS256" s="263"/>
      <c r="BT256" s="2208"/>
      <c r="BU256" s="2217">
        <f t="shared" si="141"/>
        <v>15.007787934840305</v>
      </c>
      <c r="BV256" s="2217">
        <f t="shared" si="122"/>
        <v>7012.9655893348991</v>
      </c>
      <c r="BW256" s="2217">
        <f t="shared" si="131"/>
        <v>29.895213562318531</v>
      </c>
      <c r="BX256" s="2212">
        <v>79</v>
      </c>
      <c r="BY256" s="2219"/>
      <c r="BZ256" s="2213"/>
      <c r="CA256" s="2219"/>
      <c r="CB256" s="2213"/>
      <c r="CC256" s="2213"/>
      <c r="CD256" s="2213"/>
      <c r="CE256" s="2213"/>
      <c r="CF256" s="2208"/>
      <c r="CG256" s="2217">
        <f t="shared" si="142"/>
        <v>18.595213562318531</v>
      </c>
      <c r="CH256" s="2217">
        <f t="shared" si="123"/>
        <v>7012.9655893348991</v>
      </c>
      <c r="CI256" s="2217">
        <f t="shared" si="132"/>
        <v>29.895213562318531</v>
      </c>
      <c r="CJ256" s="2212">
        <v>79</v>
      </c>
      <c r="CK256" s="2219"/>
      <c r="CL256" s="2213"/>
      <c r="CM256" s="2219"/>
      <c r="CN256" s="2213"/>
      <c r="CO256" s="2213"/>
      <c r="CP256" s="2213"/>
      <c r="CQ256" s="2213"/>
      <c r="CR256" s="2208"/>
      <c r="CS256" s="2217">
        <f t="shared" si="143"/>
        <v>9.2630650000156507</v>
      </c>
      <c r="CT256" s="2217">
        <f t="shared" si="133"/>
        <v>5974.3874999987047</v>
      </c>
      <c r="CU256" s="2217">
        <f t="shared" si="124"/>
        <v>15.231900000011592</v>
      </c>
      <c r="CV256" s="2212">
        <v>79</v>
      </c>
      <c r="CW256" s="2208"/>
      <c r="CX256" s="263"/>
      <c r="CY256" s="2208"/>
      <c r="CZ256" s="263"/>
      <c r="DA256" s="263"/>
      <c r="DB256" s="263"/>
      <c r="DC256" s="263"/>
      <c r="DD256" s="2208"/>
    </row>
    <row r="257" spans="1:108">
      <c r="A257" s="2217">
        <f t="shared" si="134"/>
        <v>23.410140698780463</v>
      </c>
      <c r="B257" s="2217">
        <f t="shared" si="125"/>
        <v>6983.0703757725805</v>
      </c>
      <c r="C257" s="2217">
        <f t="shared" si="126"/>
        <v>30.182731042417799</v>
      </c>
      <c r="D257" s="2212">
        <v>78</v>
      </c>
      <c r="E257" s="2219"/>
      <c r="F257" s="2213"/>
      <c r="G257" s="2219"/>
      <c r="H257" s="2213"/>
      <c r="I257" s="2213"/>
      <c r="J257" s="2213"/>
      <c r="K257" s="2213"/>
      <c r="L257" s="2213"/>
      <c r="M257" s="2217">
        <f t="shared" si="135"/>
        <v>25.522931871749716</v>
      </c>
      <c r="N257" s="2217">
        <f t="shared" si="117"/>
        <v>6983.0703757725805</v>
      </c>
      <c r="O257" s="2217">
        <f t="shared" si="127"/>
        <v>30.182731042417799</v>
      </c>
      <c r="P257" s="2212">
        <v>78</v>
      </c>
      <c r="Q257" s="2219"/>
      <c r="R257" s="2213"/>
      <c r="S257" s="2219"/>
      <c r="T257" s="2213"/>
      <c r="U257" s="2213"/>
      <c r="V257" s="2213"/>
      <c r="W257" s="2213"/>
      <c r="X257" s="2213"/>
      <c r="Y257" s="2217">
        <f t="shared" si="136"/>
        <v>28.239377665567321</v>
      </c>
      <c r="Z257" s="2217">
        <f t="shared" si="118"/>
        <v>6983.0703757725805</v>
      </c>
      <c r="AA257" s="2217">
        <f t="shared" si="128"/>
        <v>30.182731042417799</v>
      </c>
      <c r="AB257" s="2212">
        <v>78</v>
      </c>
      <c r="AC257" s="2219"/>
      <c r="AD257" s="2213"/>
      <c r="AE257" s="2219"/>
      <c r="AF257" s="2213"/>
      <c r="AG257" s="2213"/>
      <c r="AH257" s="2213"/>
      <c r="AI257" s="2213"/>
      <c r="AJ257" s="2213"/>
      <c r="AK257" s="2217">
        <f t="shared" si="137"/>
        <v>15.26080331732766</v>
      </c>
      <c r="AL257" s="2217">
        <f t="shared" si="119"/>
        <v>6983.0703757725805</v>
      </c>
      <c r="AM257" s="2217">
        <f t="shared" si="129"/>
        <v>30.182731042417799</v>
      </c>
      <c r="AN257" s="2212">
        <v>78</v>
      </c>
      <c r="AO257" s="2219"/>
      <c r="AP257" s="2213"/>
      <c r="AQ257" s="2219"/>
      <c r="AR257" s="2213"/>
      <c r="AS257" s="2213"/>
      <c r="AT257" s="2213"/>
      <c r="AU257" s="2213"/>
      <c r="AV257" s="2213"/>
      <c r="AW257" s="2217">
        <f t="shared" si="138"/>
        <v>5.1033940000136688</v>
      </c>
      <c r="AX257" s="2217">
        <f t="shared" si="139"/>
        <v>5959.1555999986931</v>
      </c>
      <c r="AY257" s="2217">
        <f t="shared" si="120"/>
        <v>15.474900000012894</v>
      </c>
      <c r="AZ257" s="2212">
        <v>78</v>
      </c>
      <c r="BA257" s="2208"/>
      <c r="BB257" s="263"/>
      <c r="BC257" s="2208"/>
      <c r="BD257" s="263"/>
      <c r="BE257" s="263"/>
      <c r="BF257" s="263"/>
      <c r="BG257" s="263"/>
      <c r="BH257" s="2208"/>
      <c r="BI257" s="2217">
        <f t="shared" si="140"/>
        <v>9.9006130000176675</v>
      </c>
      <c r="BJ257" s="2217">
        <f t="shared" si="130"/>
        <v>5959.1555999986931</v>
      </c>
      <c r="BK257" s="2217">
        <f t="shared" si="121"/>
        <v>15.474900000012894</v>
      </c>
      <c r="BL257" s="2212">
        <v>78</v>
      </c>
      <c r="BM257" s="2208"/>
      <c r="BN257" s="263"/>
      <c r="BO257" s="2208"/>
      <c r="BP257" s="263"/>
      <c r="BQ257" s="263"/>
      <c r="BR257" s="263"/>
      <c r="BS257" s="263"/>
      <c r="BT257" s="2208"/>
      <c r="BU257" s="2217">
        <f t="shared" si="141"/>
        <v>15.26080331732766</v>
      </c>
      <c r="BV257" s="2217">
        <f t="shared" si="122"/>
        <v>6983.0703757725805</v>
      </c>
      <c r="BW257" s="2217">
        <f t="shared" si="131"/>
        <v>30.182731042417799</v>
      </c>
      <c r="BX257" s="2212">
        <v>78</v>
      </c>
      <c r="BY257" s="2219"/>
      <c r="BZ257" s="2213"/>
      <c r="CA257" s="2219"/>
      <c r="CB257" s="2213"/>
      <c r="CC257" s="2213"/>
      <c r="CD257" s="2213"/>
      <c r="CE257" s="2213"/>
      <c r="CF257" s="2208"/>
      <c r="CG257" s="2217">
        <f t="shared" si="142"/>
        <v>18.882731042417799</v>
      </c>
      <c r="CH257" s="2217">
        <f t="shared" si="123"/>
        <v>6983.0703757725805</v>
      </c>
      <c r="CI257" s="2217">
        <f t="shared" si="132"/>
        <v>30.182731042417799</v>
      </c>
      <c r="CJ257" s="2212">
        <v>78</v>
      </c>
      <c r="CK257" s="2219"/>
      <c r="CL257" s="2213"/>
      <c r="CM257" s="2219"/>
      <c r="CN257" s="2213"/>
      <c r="CO257" s="2213"/>
      <c r="CP257" s="2213"/>
      <c r="CQ257" s="2213"/>
      <c r="CR257" s="2208"/>
      <c r="CS257" s="2217">
        <f t="shared" si="143"/>
        <v>9.5911150000174068</v>
      </c>
      <c r="CT257" s="2217">
        <f t="shared" si="133"/>
        <v>5959.1555999986931</v>
      </c>
      <c r="CU257" s="2217">
        <f t="shared" si="124"/>
        <v>15.474900000012894</v>
      </c>
      <c r="CV257" s="2212">
        <v>78</v>
      </c>
      <c r="CW257" s="2208"/>
      <c r="CX257" s="263"/>
      <c r="CY257" s="2208"/>
      <c r="CZ257" s="263"/>
      <c r="DA257" s="263"/>
      <c r="DB257" s="263"/>
      <c r="DC257" s="263"/>
      <c r="DD257" s="2208"/>
    </row>
    <row r="258" spans="1:108">
      <c r="A258" s="2217">
        <f t="shared" si="134"/>
        <v>23.742098704990344</v>
      </c>
      <c r="B258" s="2217">
        <f t="shared" si="125"/>
        <v>6952.8876447301627</v>
      </c>
      <c r="C258" s="2217">
        <f t="shared" si="126"/>
        <v>30.471390178252477</v>
      </c>
      <c r="D258" s="2212">
        <v>77</v>
      </c>
      <c r="E258" s="2219"/>
      <c r="F258" s="2213"/>
      <c r="G258" s="2219"/>
      <c r="H258" s="2213"/>
      <c r="I258" s="2213"/>
      <c r="J258" s="2213"/>
      <c r="K258" s="2213"/>
      <c r="L258" s="2213"/>
      <c r="M258" s="2217">
        <f t="shared" si="135"/>
        <v>25.875096017468021</v>
      </c>
      <c r="N258" s="2217">
        <f t="shared" si="117"/>
        <v>6952.8876447301627</v>
      </c>
      <c r="O258" s="2217">
        <f t="shared" si="127"/>
        <v>30.471390178252477</v>
      </c>
      <c r="P258" s="2212">
        <v>77</v>
      </c>
      <c r="Q258" s="2219"/>
      <c r="R258" s="2213"/>
      <c r="S258" s="2219"/>
      <c r="T258" s="2213"/>
      <c r="U258" s="2213"/>
      <c r="V258" s="2213"/>
      <c r="W258" s="2213"/>
      <c r="X258" s="2213"/>
      <c r="Y258" s="2217">
        <f t="shared" si="136"/>
        <v>28.617521133510746</v>
      </c>
      <c r="Z258" s="2217">
        <f t="shared" si="118"/>
        <v>6952.8876447301627</v>
      </c>
      <c r="AA258" s="2217">
        <f t="shared" si="128"/>
        <v>30.471390178252477</v>
      </c>
      <c r="AB258" s="2212">
        <v>77</v>
      </c>
      <c r="AC258" s="2219"/>
      <c r="AD258" s="2213"/>
      <c r="AE258" s="2219"/>
      <c r="AF258" s="2213"/>
      <c r="AG258" s="2213"/>
      <c r="AH258" s="2213"/>
      <c r="AI258" s="2213"/>
      <c r="AJ258" s="2213"/>
      <c r="AK258" s="2217">
        <f t="shared" si="137"/>
        <v>15.514823356862177</v>
      </c>
      <c r="AL258" s="2217">
        <f t="shared" si="119"/>
        <v>6952.8876447301627</v>
      </c>
      <c r="AM258" s="2217">
        <f t="shared" si="129"/>
        <v>30.471390178252477</v>
      </c>
      <c r="AN258" s="2212">
        <v>77</v>
      </c>
      <c r="AO258" s="2219"/>
      <c r="AP258" s="2213"/>
      <c r="AQ258" s="2219"/>
      <c r="AR258" s="2213"/>
      <c r="AS258" s="2213"/>
      <c r="AT258" s="2213"/>
      <c r="AU258" s="2213"/>
      <c r="AV258" s="2213"/>
      <c r="AW258" s="2217">
        <f t="shared" si="138"/>
        <v>5.3647900000111974</v>
      </c>
      <c r="AX258" s="2217">
        <f t="shared" si="139"/>
        <v>5943.6806999986802</v>
      </c>
      <c r="AY258" s="2217">
        <f t="shared" si="120"/>
        <v>15.721500000010565</v>
      </c>
      <c r="AZ258" s="2212">
        <v>77</v>
      </c>
      <c r="BA258" s="2208"/>
      <c r="BB258" s="263"/>
      <c r="BC258" s="2208"/>
      <c r="BD258" s="263"/>
      <c r="BE258" s="263"/>
      <c r="BF258" s="263"/>
      <c r="BG258" s="263"/>
      <c r="BH258" s="2208"/>
      <c r="BI258" s="2217">
        <f t="shared" si="140"/>
        <v>10.238455000014476</v>
      </c>
      <c r="BJ258" s="2217">
        <f t="shared" si="130"/>
        <v>5943.6806999986802</v>
      </c>
      <c r="BK258" s="2217">
        <f t="shared" si="121"/>
        <v>15.721500000010565</v>
      </c>
      <c r="BL258" s="2212">
        <v>77</v>
      </c>
      <c r="BM258" s="2208"/>
      <c r="BN258" s="263"/>
      <c r="BO258" s="2208"/>
      <c r="BP258" s="263"/>
      <c r="BQ258" s="263"/>
      <c r="BR258" s="263"/>
      <c r="BS258" s="263"/>
      <c r="BT258" s="2208"/>
      <c r="BU258" s="2217">
        <f t="shared" si="141"/>
        <v>15.514823356862177</v>
      </c>
      <c r="BV258" s="2217">
        <f t="shared" si="122"/>
        <v>6952.8876447301627</v>
      </c>
      <c r="BW258" s="2217">
        <f t="shared" si="131"/>
        <v>30.471390178252477</v>
      </c>
      <c r="BX258" s="2212">
        <v>77</v>
      </c>
      <c r="BY258" s="2219"/>
      <c r="BZ258" s="2213"/>
      <c r="CA258" s="2219"/>
      <c r="CB258" s="2213"/>
      <c r="CC258" s="2213"/>
      <c r="CD258" s="2213"/>
      <c r="CE258" s="2213"/>
      <c r="CF258" s="2208"/>
      <c r="CG258" s="2217">
        <f t="shared" si="142"/>
        <v>19.171390178252476</v>
      </c>
      <c r="CH258" s="2217">
        <f t="shared" si="123"/>
        <v>6952.8876447301627</v>
      </c>
      <c r="CI258" s="2217">
        <f t="shared" si="132"/>
        <v>30.471390178252477</v>
      </c>
      <c r="CJ258" s="2212">
        <v>77</v>
      </c>
      <c r="CK258" s="2219"/>
      <c r="CL258" s="2213"/>
      <c r="CM258" s="2219"/>
      <c r="CN258" s="2213"/>
      <c r="CO258" s="2213"/>
      <c r="CP258" s="2213"/>
      <c r="CQ258" s="2213"/>
      <c r="CR258" s="2208"/>
      <c r="CS258" s="2217">
        <f t="shared" si="143"/>
        <v>9.9240250000142645</v>
      </c>
      <c r="CT258" s="2217">
        <f t="shared" si="133"/>
        <v>5943.6806999986802</v>
      </c>
      <c r="CU258" s="2217">
        <f t="shared" si="124"/>
        <v>15.721500000010565</v>
      </c>
      <c r="CV258" s="2212">
        <v>77</v>
      </c>
      <c r="CW258" s="2208"/>
      <c r="CX258" s="263"/>
      <c r="CY258" s="2208"/>
      <c r="CZ258" s="263"/>
      <c r="DA258" s="263"/>
      <c r="DB258" s="263"/>
      <c r="DC258" s="263"/>
      <c r="DD258" s="2208"/>
    </row>
    <row r="259" spans="1:108">
      <c r="A259" s="2217">
        <f t="shared" si="134"/>
        <v>24.0753696152949</v>
      </c>
      <c r="B259" s="2217">
        <f t="shared" si="125"/>
        <v>6922.4162545519102</v>
      </c>
      <c r="C259" s="2217">
        <f t="shared" si="126"/>
        <v>30.761190969821655</v>
      </c>
      <c r="D259" s="2212">
        <v>76</v>
      </c>
      <c r="E259" s="2219"/>
      <c r="F259" s="2213"/>
      <c r="G259" s="2219"/>
      <c r="H259" s="2213"/>
      <c r="I259" s="2213"/>
      <c r="J259" s="2213"/>
      <c r="K259" s="2213"/>
      <c r="L259" s="2213"/>
      <c r="M259" s="2217">
        <f t="shared" si="135"/>
        <v>26.228652983182418</v>
      </c>
      <c r="N259" s="2217">
        <f t="shared" si="117"/>
        <v>6922.4162545519102</v>
      </c>
      <c r="O259" s="2217">
        <f t="shared" si="127"/>
        <v>30.761190969821655</v>
      </c>
      <c r="P259" s="2212">
        <v>76</v>
      </c>
      <c r="Q259" s="2219"/>
      <c r="R259" s="2213"/>
      <c r="S259" s="2219"/>
      <c r="T259" s="2213"/>
      <c r="U259" s="2213"/>
      <c r="V259" s="2213"/>
      <c r="W259" s="2213"/>
      <c r="X259" s="2213"/>
      <c r="Y259" s="2217">
        <f t="shared" si="136"/>
        <v>28.997160170466369</v>
      </c>
      <c r="Z259" s="2217">
        <f t="shared" si="118"/>
        <v>6922.4162545519102</v>
      </c>
      <c r="AA259" s="2217">
        <f t="shared" si="128"/>
        <v>30.761190969821655</v>
      </c>
      <c r="AB259" s="2212">
        <v>76</v>
      </c>
      <c r="AC259" s="2219"/>
      <c r="AD259" s="2213"/>
      <c r="AE259" s="2219"/>
      <c r="AF259" s="2213"/>
      <c r="AG259" s="2213"/>
      <c r="AH259" s="2213"/>
      <c r="AI259" s="2213"/>
      <c r="AJ259" s="2213"/>
      <c r="AK259" s="2217">
        <f t="shared" si="137"/>
        <v>15.769848053443052</v>
      </c>
      <c r="AL259" s="2217">
        <f t="shared" si="119"/>
        <v>6922.4162545519102</v>
      </c>
      <c r="AM259" s="2217">
        <f t="shared" si="129"/>
        <v>30.761190969821655</v>
      </c>
      <c r="AN259" s="2212">
        <v>76</v>
      </c>
      <c r="AO259" s="2219"/>
      <c r="AP259" s="2213"/>
      <c r="AQ259" s="2219"/>
      <c r="AR259" s="2213"/>
      <c r="AS259" s="2213"/>
      <c r="AT259" s="2213"/>
      <c r="AU259" s="2213"/>
      <c r="AV259" s="2213"/>
      <c r="AW259" s="2217">
        <f t="shared" si="138"/>
        <v>5.6300020000106628</v>
      </c>
      <c r="AX259" s="2217">
        <f t="shared" si="139"/>
        <v>5927.9591999986696</v>
      </c>
      <c r="AY259" s="2217">
        <f t="shared" si="120"/>
        <v>15.97170000001006</v>
      </c>
      <c r="AZ259" s="2212">
        <v>76</v>
      </c>
      <c r="BA259" s="2208"/>
      <c r="BB259" s="263"/>
      <c r="BC259" s="2208"/>
      <c r="BD259" s="263"/>
      <c r="BE259" s="263"/>
      <c r="BF259" s="263"/>
      <c r="BG259" s="263"/>
      <c r="BH259" s="2208"/>
      <c r="BI259" s="2217">
        <f t="shared" si="140"/>
        <v>10.581229000013781</v>
      </c>
      <c r="BJ259" s="2217">
        <f t="shared" si="130"/>
        <v>5927.9591999986696</v>
      </c>
      <c r="BK259" s="2217">
        <f t="shared" si="121"/>
        <v>15.97170000001006</v>
      </c>
      <c r="BL259" s="2212">
        <v>76</v>
      </c>
      <c r="BM259" s="2208"/>
      <c r="BN259" s="263"/>
      <c r="BO259" s="2208"/>
      <c r="BP259" s="263"/>
      <c r="BQ259" s="263"/>
      <c r="BR259" s="263"/>
      <c r="BS259" s="263"/>
      <c r="BT259" s="2208"/>
      <c r="BU259" s="2217">
        <f t="shared" si="141"/>
        <v>15.769848053443052</v>
      </c>
      <c r="BV259" s="2217">
        <f t="shared" si="122"/>
        <v>6922.4162545519102</v>
      </c>
      <c r="BW259" s="2217">
        <f t="shared" si="131"/>
        <v>30.761190969821655</v>
      </c>
      <c r="BX259" s="2212">
        <v>76</v>
      </c>
      <c r="BY259" s="2219"/>
      <c r="BZ259" s="2213"/>
      <c r="CA259" s="2219"/>
      <c r="CB259" s="2213"/>
      <c r="CC259" s="2213"/>
      <c r="CD259" s="2213"/>
      <c r="CE259" s="2213"/>
      <c r="CF259" s="2208"/>
      <c r="CG259" s="2217">
        <f t="shared" si="142"/>
        <v>19.461190969821654</v>
      </c>
      <c r="CH259" s="2217">
        <f t="shared" si="123"/>
        <v>6922.4162545519102</v>
      </c>
      <c r="CI259" s="2217">
        <f t="shared" si="132"/>
        <v>30.761190969821655</v>
      </c>
      <c r="CJ259" s="2212">
        <v>76</v>
      </c>
      <c r="CK259" s="2219"/>
      <c r="CL259" s="2213"/>
      <c r="CM259" s="2219"/>
      <c r="CN259" s="2213"/>
      <c r="CO259" s="2213"/>
      <c r="CP259" s="2213"/>
      <c r="CQ259" s="2213"/>
      <c r="CR259" s="2208"/>
      <c r="CS259" s="2217">
        <f t="shared" si="143"/>
        <v>10.261795000013581</v>
      </c>
      <c r="CT259" s="2217">
        <f t="shared" si="133"/>
        <v>5927.9591999986696</v>
      </c>
      <c r="CU259" s="2217">
        <f t="shared" si="124"/>
        <v>15.97170000001006</v>
      </c>
      <c r="CV259" s="2212">
        <v>76</v>
      </c>
      <c r="CW259" s="2208"/>
      <c r="CX259" s="263"/>
      <c r="CY259" s="2208"/>
      <c r="CZ259" s="263"/>
      <c r="DA259" s="263"/>
      <c r="DB259" s="263"/>
      <c r="DC259" s="263"/>
      <c r="DD259" s="2208"/>
    </row>
    <row r="260" spans="1:108">
      <c r="A260" s="2217">
        <f t="shared" si="134"/>
        <v>24.409953429693086</v>
      </c>
      <c r="B260" s="2217">
        <f t="shared" si="125"/>
        <v>6891.6550635820886</v>
      </c>
      <c r="C260" s="2217">
        <f t="shared" si="126"/>
        <v>31.052133417124423</v>
      </c>
      <c r="D260" s="2212">
        <v>75</v>
      </c>
      <c r="E260" s="2219"/>
      <c r="F260" s="2213"/>
      <c r="G260" s="2219"/>
      <c r="H260" s="2213"/>
      <c r="I260" s="2213"/>
      <c r="J260" s="2213"/>
      <c r="K260" s="2213"/>
      <c r="L260" s="2213"/>
      <c r="M260" s="2217">
        <f t="shared" si="135"/>
        <v>26.583602768891797</v>
      </c>
      <c r="N260" s="2217">
        <f t="shared" si="117"/>
        <v>6891.6550635820886</v>
      </c>
      <c r="O260" s="2217">
        <f t="shared" si="127"/>
        <v>31.052133417124423</v>
      </c>
      <c r="P260" s="2212">
        <v>75</v>
      </c>
      <c r="Q260" s="2219"/>
      <c r="R260" s="2213"/>
      <c r="S260" s="2219"/>
      <c r="T260" s="2213"/>
      <c r="U260" s="2213"/>
      <c r="V260" s="2213"/>
      <c r="W260" s="2213"/>
      <c r="X260" s="2213"/>
      <c r="Y260" s="2217">
        <f t="shared" si="136"/>
        <v>29.378294776432998</v>
      </c>
      <c r="Z260" s="2217">
        <f t="shared" si="118"/>
        <v>6891.6550635820886</v>
      </c>
      <c r="AA260" s="2217">
        <f t="shared" si="128"/>
        <v>31.052133417124423</v>
      </c>
      <c r="AB260" s="2212">
        <v>75</v>
      </c>
      <c r="AC260" s="2219"/>
      <c r="AD260" s="2213"/>
      <c r="AE260" s="2219"/>
      <c r="AF260" s="2213"/>
      <c r="AG260" s="2213"/>
      <c r="AH260" s="2213"/>
      <c r="AI260" s="2213"/>
      <c r="AJ260" s="2213"/>
      <c r="AK260" s="2217">
        <f t="shared" si="137"/>
        <v>16.025877407069487</v>
      </c>
      <c r="AL260" s="2217">
        <f t="shared" si="119"/>
        <v>6891.6550635820886</v>
      </c>
      <c r="AM260" s="2217">
        <f t="shared" si="129"/>
        <v>31.052133417124423</v>
      </c>
      <c r="AN260" s="2212">
        <v>75</v>
      </c>
      <c r="AO260" s="2219"/>
      <c r="AP260" s="2213"/>
      <c r="AQ260" s="2219"/>
      <c r="AR260" s="2213"/>
      <c r="AS260" s="2213"/>
      <c r="AT260" s="2213"/>
      <c r="AU260" s="2213"/>
      <c r="AV260" s="2213"/>
      <c r="AW260" s="2217">
        <f t="shared" si="138"/>
        <v>5.8990300000091693</v>
      </c>
      <c r="AX260" s="2217">
        <f t="shared" si="139"/>
        <v>5911.9874999986596</v>
      </c>
      <c r="AY260" s="2217">
        <f t="shared" si="120"/>
        <v>16.225500000008651</v>
      </c>
      <c r="AZ260" s="2212">
        <v>75</v>
      </c>
      <c r="BA260" s="2208"/>
      <c r="BB260" s="263"/>
      <c r="BC260" s="2208"/>
      <c r="BD260" s="263"/>
      <c r="BE260" s="263"/>
      <c r="BF260" s="263"/>
      <c r="BG260" s="263"/>
      <c r="BH260" s="2208"/>
      <c r="BI260" s="2217">
        <f t="shared" si="140"/>
        <v>10.928935000011855</v>
      </c>
      <c r="BJ260" s="2217">
        <f t="shared" si="130"/>
        <v>5911.9874999986596</v>
      </c>
      <c r="BK260" s="2217">
        <f t="shared" si="121"/>
        <v>16.225500000008651</v>
      </c>
      <c r="BL260" s="2212">
        <v>75</v>
      </c>
      <c r="BM260" s="2208"/>
      <c r="BN260" s="263"/>
      <c r="BO260" s="2208"/>
      <c r="BP260" s="263"/>
      <c r="BQ260" s="263"/>
      <c r="BR260" s="263"/>
      <c r="BS260" s="263"/>
      <c r="BT260" s="2208"/>
      <c r="BU260" s="2217">
        <f t="shared" si="141"/>
        <v>16.025877407069487</v>
      </c>
      <c r="BV260" s="2217">
        <f t="shared" si="122"/>
        <v>6891.6550635820886</v>
      </c>
      <c r="BW260" s="2217">
        <f t="shared" si="131"/>
        <v>31.052133417124423</v>
      </c>
      <c r="BX260" s="2212">
        <v>75</v>
      </c>
      <c r="BY260" s="2219"/>
      <c r="BZ260" s="2213"/>
      <c r="CA260" s="2219"/>
      <c r="CB260" s="2213"/>
      <c r="CC260" s="2213"/>
      <c r="CD260" s="2213"/>
      <c r="CE260" s="2213"/>
      <c r="CF260" s="2208"/>
      <c r="CG260" s="2217">
        <f t="shared" si="142"/>
        <v>19.752133417124423</v>
      </c>
      <c r="CH260" s="2217">
        <f t="shared" si="123"/>
        <v>6891.6550635820886</v>
      </c>
      <c r="CI260" s="2217">
        <f t="shared" si="132"/>
        <v>31.052133417124423</v>
      </c>
      <c r="CJ260" s="2212">
        <v>75</v>
      </c>
      <c r="CK260" s="2219"/>
      <c r="CL260" s="2213"/>
      <c r="CM260" s="2219"/>
      <c r="CN260" s="2213"/>
      <c r="CO260" s="2213"/>
      <c r="CP260" s="2213"/>
      <c r="CQ260" s="2213"/>
      <c r="CR260" s="2208"/>
      <c r="CS260" s="2217">
        <f t="shared" si="143"/>
        <v>10.60442500001168</v>
      </c>
      <c r="CT260" s="2217">
        <f t="shared" si="133"/>
        <v>5911.9874999986596</v>
      </c>
      <c r="CU260" s="2217">
        <f t="shared" si="124"/>
        <v>16.225500000008651</v>
      </c>
      <c r="CV260" s="2212">
        <v>75</v>
      </c>
      <c r="CW260" s="2208"/>
      <c r="CX260" s="263"/>
      <c r="CY260" s="2208"/>
      <c r="CZ260" s="263"/>
      <c r="DA260" s="263"/>
      <c r="DB260" s="263"/>
      <c r="DC260" s="263"/>
      <c r="DD260" s="2208"/>
    </row>
    <row r="261" spans="1:108">
      <c r="A261" s="2217">
        <f t="shared" si="134"/>
        <v>24.745850148185941</v>
      </c>
      <c r="B261" s="2217">
        <f t="shared" si="125"/>
        <v>6860.6029301649642</v>
      </c>
      <c r="C261" s="2217">
        <f t="shared" si="126"/>
        <v>31.344217520161692</v>
      </c>
      <c r="D261" s="2212">
        <v>74</v>
      </c>
      <c r="E261" s="2219"/>
      <c r="F261" s="2213"/>
      <c r="G261" s="2219"/>
      <c r="H261" s="2213"/>
      <c r="I261" s="2213"/>
      <c r="J261" s="2213"/>
      <c r="K261" s="2213"/>
      <c r="L261" s="2213"/>
      <c r="M261" s="2217">
        <f t="shared" si="135"/>
        <v>26.939945374597261</v>
      </c>
      <c r="N261" s="2217">
        <f t="shared" si="117"/>
        <v>6860.6029301649642</v>
      </c>
      <c r="O261" s="2217">
        <f t="shared" si="127"/>
        <v>31.344217520161692</v>
      </c>
      <c r="P261" s="2212">
        <v>74</v>
      </c>
      <c r="Q261" s="2219"/>
      <c r="R261" s="2213"/>
      <c r="S261" s="2219"/>
      <c r="T261" s="2213"/>
      <c r="U261" s="2213"/>
      <c r="V261" s="2213"/>
      <c r="W261" s="2213"/>
      <c r="X261" s="2213"/>
      <c r="Y261" s="2217">
        <f t="shared" si="136"/>
        <v>29.76092495141182</v>
      </c>
      <c r="Z261" s="2217">
        <f t="shared" si="118"/>
        <v>6860.6029301649642</v>
      </c>
      <c r="AA261" s="2217">
        <f t="shared" si="128"/>
        <v>31.344217520161692</v>
      </c>
      <c r="AB261" s="2212">
        <v>74</v>
      </c>
      <c r="AC261" s="2219"/>
      <c r="AD261" s="2213"/>
      <c r="AE261" s="2219"/>
      <c r="AF261" s="2213"/>
      <c r="AG261" s="2213"/>
      <c r="AH261" s="2213"/>
      <c r="AI261" s="2213"/>
      <c r="AJ261" s="2213"/>
      <c r="AK261" s="2217">
        <f t="shared" si="137"/>
        <v>16.282911417742284</v>
      </c>
      <c r="AL261" s="2217">
        <f t="shared" si="119"/>
        <v>6860.6029301649642</v>
      </c>
      <c r="AM261" s="2217">
        <f t="shared" si="129"/>
        <v>31.344217520161692</v>
      </c>
      <c r="AN261" s="2212">
        <v>74</v>
      </c>
      <c r="AO261" s="2219"/>
      <c r="AP261" s="2213"/>
      <c r="AQ261" s="2219"/>
      <c r="AR261" s="2213"/>
      <c r="AS261" s="2213"/>
      <c r="AT261" s="2213"/>
      <c r="AU261" s="2213"/>
      <c r="AV261" s="2213"/>
      <c r="AW261" s="2217">
        <f t="shared" si="138"/>
        <v>6.1718740000096126</v>
      </c>
      <c r="AX261" s="2217">
        <f t="shared" si="139"/>
        <v>5895.7619999986509</v>
      </c>
      <c r="AY261" s="2217">
        <f t="shared" si="120"/>
        <v>16.482900000009067</v>
      </c>
      <c r="AZ261" s="2212">
        <v>74</v>
      </c>
      <c r="BA261" s="2208"/>
      <c r="BB261" s="263"/>
      <c r="BC261" s="2208"/>
      <c r="BD261" s="263"/>
      <c r="BE261" s="263"/>
      <c r="BF261" s="263"/>
      <c r="BG261" s="263"/>
      <c r="BH261" s="2208"/>
      <c r="BI261" s="2217">
        <f t="shared" si="140"/>
        <v>11.281573000012422</v>
      </c>
      <c r="BJ261" s="2217">
        <f t="shared" si="130"/>
        <v>5895.7619999986509</v>
      </c>
      <c r="BK261" s="2217">
        <f t="shared" si="121"/>
        <v>16.482900000009067</v>
      </c>
      <c r="BL261" s="2212">
        <v>74</v>
      </c>
      <c r="BM261" s="2208"/>
      <c r="BN261" s="263"/>
      <c r="BO261" s="2208"/>
      <c r="BP261" s="263"/>
      <c r="BQ261" s="263"/>
      <c r="BR261" s="263"/>
      <c r="BS261" s="263"/>
      <c r="BT261" s="2208"/>
      <c r="BU261" s="2217">
        <f t="shared" si="141"/>
        <v>16.282911417742284</v>
      </c>
      <c r="BV261" s="2217">
        <f t="shared" si="122"/>
        <v>6860.6029301649642</v>
      </c>
      <c r="BW261" s="2217">
        <f t="shared" si="131"/>
        <v>31.344217520161692</v>
      </c>
      <c r="BX261" s="2212">
        <v>74</v>
      </c>
      <c r="BY261" s="2219"/>
      <c r="BZ261" s="2213"/>
      <c r="CA261" s="2219"/>
      <c r="CB261" s="2213"/>
      <c r="CC261" s="2213"/>
      <c r="CD261" s="2213"/>
      <c r="CE261" s="2213"/>
      <c r="CF261" s="2208"/>
      <c r="CG261" s="2217">
        <f t="shared" si="142"/>
        <v>20.044217520161691</v>
      </c>
      <c r="CH261" s="2217">
        <f t="shared" si="123"/>
        <v>6860.6029301649642</v>
      </c>
      <c r="CI261" s="2217">
        <f t="shared" si="132"/>
        <v>31.344217520161692</v>
      </c>
      <c r="CJ261" s="2212">
        <v>74</v>
      </c>
      <c r="CK261" s="2219"/>
      <c r="CL261" s="2213"/>
      <c r="CM261" s="2219"/>
      <c r="CN261" s="2213"/>
      <c r="CO261" s="2213"/>
      <c r="CP261" s="2213"/>
      <c r="CQ261" s="2213"/>
      <c r="CR261" s="2208"/>
      <c r="CS261" s="2217">
        <f t="shared" si="143"/>
        <v>10.951915000012242</v>
      </c>
      <c r="CT261" s="2217">
        <f t="shared" si="133"/>
        <v>5895.7619999986509</v>
      </c>
      <c r="CU261" s="2217">
        <f t="shared" si="124"/>
        <v>16.482900000009067</v>
      </c>
      <c r="CV261" s="2212">
        <v>74</v>
      </c>
      <c r="CW261" s="2208"/>
      <c r="CX261" s="263"/>
      <c r="CY261" s="2208"/>
      <c r="CZ261" s="263"/>
      <c r="DA261" s="263"/>
      <c r="DB261" s="263"/>
      <c r="DC261" s="263"/>
      <c r="DD261" s="2208"/>
    </row>
    <row r="262" spans="1:108">
      <c r="A262" s="2217">
        <f t="shared" si="134"/>
        <v>25.083059770775566</v>
      </c>
      <c r="B262" s="2217">
        <f t="shared" si="125"/>
        <v>6829.2587126448025</v>
      </c>
      <c r="C262" s="2217">
        <f t="shared" si="126"/>
        <v>31.63744327893528</v>
      </c>
      <c r="D262" s="2212">
        <v>73</v>
      </c>
      <c r="E262" s="2219"/>
      <c r="F262" s="2213"/>
      <c r="G262" s="2219"/>
      <c r="H262" s="2213"/>
      <c r="I262" s="2213"/>
      <c r="J262" s="2213"/>
      <c r="K262" s="2213"/>
      <c r="L262" s="2213"/>
      <c r="M262" s="2217">
        <f t="shared" si="135"/>
        <v>27.297680800301041</v>
      </c>
      <c r="N262" s="2217">
        <f t="shared" si="117"/>
        <v>6829.2587126448025</v>
      </c>
      <c r="O262" s="2217">
        <f t="shared" si="127"/>
        <v>31.63744327893528</v>
      </c>
      <c r="P262" s="2212">
        <v>73</v>
      </c>
      <c r="Q262" s="2219"/>
      <c r="R262" s="2213"/>
      <c r="S262" s="2219"/>
      <c r="T262" s="2213"/>
      <c r="U262" s="2213"/>
      <c r="V262" s="2213"/>
      <c r="W262" s="2213"/>
      <c r="X262" s="2213"/>
      <c r="Y262" s="2217">
        <f t="shared" si="136"/>
        <v>30.145050695405214</v>
      </c>
      <c r="Z262" s="2217">
        <f t="shared" si="118"/>
        <v>6829.2587126448025</v>
      </c>
      <c r="AA262" s="2217">
        <f t="shared" si="128"/>
        <v>31.63744327893528</v>
      </c>
      <c r="AB262" s="2212">
        <v>73</v>
      </c>
      <c r="AC262" s="2219"/>
      <c r="AD262" s="2213"/>
      <c r="AE262" s="2219"/>
      <c r="AF262" s="2213"/>
      <c r="AG262" s="2213"/>
      <c r="AH262" s="2213"/>
      <c r="AI262" s="2213"/>
      <c r="AJ262" s="2213"/>
      <c r="AK262" s="2217">
        <f t="shared" si="137"/>
        <v>16.540950085463042</v>
      </c>
      <c r="AL262" s="2217">
        <f t="shared" si="119"/>
        <v>6829.2587126448025</v>
      </c>
      <c r="AM262" s="2217">
        <f t="shared" si="129"/>
        <v>31.63744327893528</v>
      </c>
      <c r="AN262" s="2212">
        <v>73</v>
      </c>
      <c r="AO262" s="2219"/>
      <c r="AP262" s="2213"/>
      <c r="AQ262" s="2219"/>
      <c r="AR262" s="2213"/>
      <c r="AS262" s="2213"/>
      <c r="AT262" s="2213"/>
      <c r="AU262" s="2213"/>
      <c r="AV262" s="2213"/>
      <c r="AW262" s="2217">
        <f t="shared" si="138"/>
        <v>6.448534000007168</v>
      </c>
      <c r="AX262" s="2217">
        <f t="shared" si="139"/>
        <v>5879.2790999986419</v>
      </c>
      <c r="AY262" s="2217">
        <f t="shared" si="120"/>
        <v>16.743900000006761</v>
      </c>
      <c r="AZ262" s="2212">
        <v>73</v>
      </c>
      <c r="BA262" s="2208"/>
      <c r="BB262" s="263"/>
      <c r="BC262" s="2208"/>
      <c r="BD262" s="263"/>
      <c r="BE262" s="263"/>
      <c r="BF262" s="263"/>
      <c r="BG262" s="263"/>
      <c r="BH262" s="2208"/>
      <c r="BI262" s="2217">
        <f t="shared" si="140"/>
        <v>11.639143000009263</v>
      </c>
      <c r="BJ262" s="2217">
        <f t="shared" si="130"/>
        <v>5879.2790999986419</v>
      </c>
      <c r="BK262" s="2217">
        <f t="shared" si="121"/>
        <v>16.743900000006761</v>
      </c>
      <c r="BL262" s="2212">
        <v>73</v>
      </c>
      <c r="BM262" s="2208"/>
      <c r="BN262" s="263"/>
      <c r="BO262" s="2208"/>
      <c r="BP262" s="263"/>
      <c r="BQ262" s="263"/>
      <c r="BR262" s="263"/>
      <c r="BS262" s="263"/>
      <c r="BT262" s="2208"/>
      <c r="BU262" s="2217">
        <f t="shared" si="141"/>
        <v>16.540950085463042</v>
      </c>
      <c r="BV262" s="2217">
        <f t="shared" si="122"/>
        <v>6829.2587126448025</v>
      </c>
      <c r="BW262" s="2217">
        <f t="shared" si="131"/>
        <v>31.63744327893528</v>
      </c>
      <c r="BX262" s="2212">
        <v>73</v>
      </c>
      <c r="BY262" s="2219"/>
      <c r="BZ262" s="2213"/>
      <c r="CA262" s="2219"/>
      <c r="CB262" s="2213"/>
      <c r="CC262" s="2213"/>
      <c r="CD262" s="2213"/>
      <c r="CE262" s="2213"/>
      <c r="CF262" s="2208"/>
      <c r="CG262" s="2217">
        <f t="shared" si="142"/>
        <v>20.337443278935279</v>
      </c>
      <c r="CH262" s="2217">
        <f t="shared" si="123"/>
        <v>6829.2587126448025</v>
      </c>
      <c r="CI262" s="2217">
        <f t="shared" si="132"/>
        <v>31.63744327893528</v>
      </c>
      <c r="CJ262" s="2212">
        <v>73</v>
      </c>
      <c r="CK262" s="2219"/>
      <c r="CL262" s="2213"/>
      <c r="CM262" s="2219"/>
      <c r="CN262" s="2213"/>
      <c r="CO262" s="2213"/>
      <c r="CP262" s="2213"/>
      <c r="CQ262" s="2213"/>
      <c r="CR262" s="2208"/>
      <c r="CS262" s="2217">
        <f t="shared" si="143"/>
        <v>11.304265000009128</v>
      </c>
      <c r="CT262" s="2217">
        <f t="shared" si="133"/>
        <v>5879.2790999986419</v>
      </c>
      <c r="CU262" s="2217">
        <f t="shared" si="124"/>
        <v>16.743900000006761</v>
      </c>
      <c r="CV262" s="2212">
        <v>73</v>
      </c>
      <c r="CW262" s="2208"/>
      <c r="CX262" s="263"/>
      <c r="CY262" s="2208"/>
      <c r="CZ262" s="263"/>
      <c r="DA262" s="263"/>
      <c r="DB262" s="263"/>
      <c r="DC262" s="263"/>
      <c r="DD262" s="2208"/>
    </row>
    <row r="263" spans="1:108">
      <c r="A263" s="2217">
        <f t="shared" si="134"/>
        <v>25.421582297458823</v>
      </c>
      <c r="B263" s="2217">
        <f t="shared" si="125"/>
        <v>6797.6212693658672</v>
      </c>
      <c r="C263" s="2217">
        <f t="shared" si="126"/>
        <v>31.931810693442458</v>
      </c>
      <c r="D263" s="2212">
        <v>72</v>
      </c>
      <c r="E263" s="2219"/>
      <c r="F263" s="2213"/>
      <c r="G263" s="2219"/>
      <c r="H263" s="2213"/>
      <c r="I263" s="2213"/>
      <c r="J263" s="2213"/>
      <c r="K263" s="2213"/>
      <c r="L263" s="2213"/>
      <c r="M263" s="2217">
        <f t="shared" si="135"/>
        <v>27.656809045999797</v>
      </c>
      <c r="N263" s="2217">
        <f t="shared" si="117"/>
        <v>6797.6212693658672</v>
      </c>
      <c r="O263" s="2217">
        <f t="shared" si="127"/>
        <v>31.931810693442458</v>
      </c>
      <c r="P263" s="2212">
        <v>72</v>
      </c>
      <c r="Q263" s="2219"/>
      <c r="R263" s="2213"/>
      <c r="S263" s="2219"/>
      <c r="T263" s="2213"/>
      <c r="U263" s="2213"/>
      <c r="V263" s="2213"/>
      <c r="W263" s="2213"/>
      <c r="X263" s="2213"/>
      <c r="Y263" s="2217">
        <f t="shared" si="136"/>
        <v>30.530672008409621</v>
      </c>
      <c r="Z263" s="2217">
        <f t="shared" si="118"/>
        <v>6797.6212693658672</v>
      </c>
      <c r="AA263" s="2217">
        <f t="shared" si="128"/>
        <v>31.931810693442458</v>
      </c>
      <c r="AB263" s="2212">
        <v>72</v>
      </c>
      <c r="AC263" s="2219"/>
      <c r="AD263" s="2213"/>
      <c r="AE263" s="2219"/>
      <c r="AF263" s="2213"/>
      <c r="AG263" s="2213"/>
      <c r="AH263" s="2213"/>
      <c r="AI263" s="2213"/>
      <c r="AJ263" s="2213"/>
      <c r="AK263" s="2217">
        <f t="shared" si="137"/>
        <v>16.799993410229359</v>
      </c>
      <c r="AL263" s="2217">
        <f t="shared" si="119"/>
        <v>6797.6212693658672</v>
      </c>
      <c r="AM263" s="2217">
        <f t="shared" si="129"/>
        <v>31.931810693442458</v>
      </c>
      <c r="AN263" s="2212">
        <v>72</v>
      </c>
      <c r="AO263" s="2219"/>
      <c r="AP263" s="2213"/>
      <c r="AQ263" s="2219"/>
      <c r="AR263" s="2213"/>
      <c r="AS263" s="2213"/>
      <c r="AT263" s="2213"/>
      <c r="AU263" s="2213"/>
      <c r="AV263" s="2213"/>
      <c r="AW263" s="2217">
        <f t="shared" si="138"/>
        <v>6.7290100000076194</v>
      </c>
      <c r="AX263" s="2217">
        <f t="shared" si="139"/>
        <v>5862.5351999986351</v>
      </c>
      <c r="AY263" s="2217">
        <f t="shared" si="120"/>
        <v>17.008500000007189</v>
      </c>
      <c r="AZ263" s="2212">
        <v>72</v>
      </c>
      <c r="BA263" s="2208"/>
      <c r="BB263" s="263"/>
      <c r="BC263" s="2208"/>
      <c r="BD263" s="263"/>
      <c r="BE263" s="263"/>
      <c r="BF263" s="263"/>
      <c r="BG263" s="263"/>
      <c r="BH263" s="2208"/>
      <c r="BI263" s="2217">
        <f t="shared" si="140"/>
        <v>12.001645000009848</v>
      </c>
      <c r="BJ263" s="2217">
        <f t="shared" si="130"/>
        <v>5862.5351999986351</v>
      </c>
      <c r="BK263" s="2217">
        <f t="shared" si="121"/>
        <v>17.008500000007189</v>
      </c>
      <c r="BL263" s="2212">
        <v>72</v>
      </c>
      <c r="BM263" s="2208"/>
      <c r="BN263" s="263"/>
      <c r="BO263" s="2208"/>
      <c r="BP263" s="263"/>
      <c r="BQ263" s="263"/>
      <c r="BR263" s="263"/>
      <c r="BS263" s="263"/>
      <c r="BT263" s="2208"/>
      <c r="BU263" s="2217">
        <f t="shared" si="141"/>
        <v>16.799993410229359</v>
      </c>
      <c r="BV263" s="2217">
        <f t="shared" si="122"/>
        <v>6797.6212693658672</v>
      </c>
      <c r="BW263" s="2217">
        <f t="shared" si="131"/>
        <v>31.931810693442458</v>
      </c>
      <c r="BX263" s="2212">
        <v>72</v>
      </c>
      <c r="BY263" s="2219"/>
      <c r="BZ263" s="2213"/>
      <c r="CA263" s="2219"/>
      <c r="CB263" s="2213"/>
      <c r="CC263" s="2213"/>
      <c r="CD263" s="2213"/>
      <c r="CE263" s="2213"/>
      <c r="CF263" s="2208"/>
      <c r="CG263" s="2217">
        <f t="shared" si="142"/>
        <v>20.631810693442457</v>
      </c>
      <c r="CH263" s="2217">
        <f t="shared" si="123"/>
        <v>6797.6212693658672</v>
      </c>
      <c r="CI263" s="2217">
        <f t="shared" si="132"/>
        <v>31.931810693442458</v>
      </c>
      <c r="CJ263" s="2212">
        <v>72</v>
      </c>
      <c r="CK263" s="2219"/>
      <c r="CL263" s="2213"/>
      <c r="CM263" s="2219"/>
      <c r="CN263" s="2213"/>
      <c r="CO263" s="2213"/>
      <c r="CP263" s="2213"/>
      <c r="CQ263" s="2213"/>
      <c r="CR263" s="2208"/>
      <c r="CS263" s="2217">
        <f t="shared" si="143"/>
        <v>11.661475000009705</v>
      </c>
      <c r="CT263" s="2217">
        <f t="shared" si="133"/>
        <v>5862.5351999986351</v>
      </c>
      <c r="CU263" s="2217">
        <f t="shared" si="124"/>
        <v>17.008500000007189</v>
      </c>
      <c r="CV263" s="2212">
        <v>72</v>
      </c>
      <c r="CW263" s="2208"/>
      <c r="CX263" s="263"/>
      <c r="CY263" s="2208"/>
      <c r="CZ263" s="263"/>
      <c r="DA263" s="263"/>
      <c r="DB263" s="263"/>
      <c r="DC263" s="263"/>
      <c r="DD263" s="2208"/>
    </row>
    <row r="264" spans="1:108">
      <c r="A264" s="2217">
        <f t="shared" si="134"/>
        <v>25.761417728236754</v>
      </c>
      <c r="B264" s="2217">
        <f t="shared" si="125"/>
        <v>6765.6894586724247</v>
      </c>
      <c r="C264" s="2217">
        <f t="shared" si="126"/>
        <v>32.227319763684136</v>
      </c>
      <c r="D264" s="2212">
        <v>71</v>
      </c>
      <c r="E264" s="2219"/>
      <c r="F264" s="2213"/>
      <c r="G264" s="2219"/>
      <c r="H264" s="2213"/>
      <c r="I264" s="2213"/>
      <c r="J264" s="2213"/>
      <c r="K264" s="2213"/>
      <c r="L264" s="2213"/>
      <c r="M264" s="2217">
        <f t="shared" si="135"/>
        <v>28.017330111694644</v>
      </c>
      <c r="N264" s="2217">
        <f t="shared" si="117"/>
        <v>6765.6894586724247</v>
      </c>
      <c r="O264" s="2217">
        <f t="shared" si="127"/>
        <v>32.227319763684136</v>
      </c>
      <c r="P264" s="2212">
        <v>71</v>
      </c>
      <c r="Q264" s="2219"/>
      <c r="R264" s="2213"/>
      <c r="S264" s="2219"/>
      <c r="T264" s="2213"/>
      <c r="U264" s="2213"/>
      <c r="V264" s="2213"/>
      <c r="W264" s="2213"/>
      <c r="X264" s="2213"/>
      <c r="Y264" s="2217">
        <f t="shared" si="136"/>
        <v>30.91778889042622</v>
      </c>
      <c r="Z264" s="2217">
        <f t="shared" si="118"/>
        <v>6765.6894586724247</v>
      </c>
      <c r="AA264" s="2217">
        <f t="shared" si="128"/>
        <v>32.227319763684136</v>
      </c>
      <c r="AB264" s="2212">
        <v>71</v>
      </c>
      <c r="AC264" s="2219"/>
      <c r="AD264" s="2213"/>
      <c r="AE264" s="2219"/>
      <c r="AF264" s="2213"/>
      <c r="AG264" s="2213"/>
      <c r="AH264" s="2213"/>
      <c r="AI264" s="2213"/>
      <c r="AJ264" s="2213"/>
      <c r="AK264" s="2217">
        <f t="shared" si="137"/>
        <v>17.060041392042034</v>
      </c>
      <c r="AL264" s="2217">
        <f t="shared" si="119"/>
        <v>6765.6894586724247</v>
      </c>
      <c r="AM264" s="2217">
        <f t="shared" si="129"/>
        <v>32.227319763684136</v>
      </c>
      <c r="AN264" s="2212">
        <v>71</v>
      </c>
      <c r="AO264" s="2219"/>
      <c r="AP264" s="2213"/>
      <c r="AQ264" s="2219"/>
      <c r="AR264" s="2213"/>
      <c r="AS264" s="2213"/>
      <c r="AT264" s="2213"/>
      <c r="AU264" s="2213"/>
      <c r="AV264" s="2213"/>
      <c r="AW264" s="2217">
        <f t="shared" si="138"/>
        <v>7.0133020000051864</v>
      </c>
      <c r="AX264" s="2217">
        <f t="shared" si="139"/>
        <v>5845.5266999986279</v>
      </c>
      <c r="AY264" s="2217">
        <f t="shared" si="120"/>
        <v>17.276700000004894</v>
      </c>
      <c r="AZ264" s="2212">
        <v>71</v>
      </c>
      <c r="BA264" s="2208"/>
      <c r="BB264" s="263"/>
      <c r="BC264" s="2208"/>
      <c r="BD264" s="263"/>
      <c r="BE264" s="263"/>
      <c r="BF264" s="263"/>
      <c r="BG264" s="263"/>
      <c r="BH264" s="2208"/>
      <c r="BI264" s="2217">
        <f t="shared" si="140"/>
        <v>12.369079000006707</v>
      </c>
      <c r="BJ264" s="2217">
        <f t="shared" si="130"/>
        <v>5845.5266999986279</v>
      </c>
      <c r="BK264" s="2217">
        <f t="shared" si="121"/>
        <v>17.276700000004894</v>
      </c>
      <c r="BL264" s="2212">
        <v>71</v>
      </c>
      <c r="BM264" s="2208"/>
      <c r="BN264" s="263"/>
      <c r="BO264" s="2208"/>
      <c r="BP264" s="263"/>
      <c r="BQ264" s="263"/>
      <c r="BR264" s="263"/>
      <c r="BS264" s="263"/>
      <c r="BT264" s="2208"/>
      <c r="BU264" s="2217">
        <f t="shared" si="141"/>
        <v>17.060041392042034</v>
      </c>
      <c r="BV264" s="2217">
        <f t="shared" si="122"/>
        <v>6765.6894586724247</v>
      </c>
      <c r="BW264" s="2217">
        <f t="shared" si="131"/>
        <v>32.227319763684136</v>
      </c>
      <c r="BX264" s="2212">
        <v>71</v>
      </c>
      <c r="BY264" s="2219"/>
      <c r="BZ264" s="2213"/>
      <c r="CA264" s="2219"/>
      <c r="CB264" s="2213"/>
      <c r="CC264" s="2213"/>
      <c r="CD264" s="2213"/>
      <c r="CE264" s="2213"/>
      <c r="CF264" s="2208"/>
      <c r="CG264" s="2217">
        <f t="shared" si="142"/>
        <v>20.927319763684135</v>
      </c>
      <c r="CH264" s="2217">
        <f t="shared" si="123"/>
        <v>6765.6894586724247</v>
      </c>
      <c r="CI264" s="2217">
        <f t="shared" si="132"/>
        <v>32.227319763684136</v>
      </c>
      <c r="CJ264" s="2212">
        <v>71</v>
      </c>
      <c r="CK264" s="2219"/>
      <c r="CL264" s="2213"/>
      <c r="CM264" s="2219"/>
      <c r="CN264" s="2213"/>
      <c r="CO264" s="2213"/>
      <c r="CP264" s="2213"/>
      <c r="CQ264" s="2213"/>
      <c r="CR264" s="2208"/>
      <c r="CS264" s="2217">
        <f t="shared" si="143"/>
        <v>12.023545000006607</v>
      </c>
      <c r="CT264" s="2217">
        <f t="shared" si="133"/>
        <v>5845.5266999986279</v>
      </c>
      <c r="CU264" s="2217">
        <f t="shared" si="124"/>
        <v>17.276700000004894</v>
      </c>
      <c r="CV264" s="2212">
        <v>71</v>
      </c>
      <c r="CW264" s="2208"/>
      <c r="CX264" s="263"/>
      <c r="CY264" s="2208"/>
      <c r="CZ264" s="263"/>
      <c r="DA264" s="263"/>
      <c r="DB264" s="263"/>
      <c r="DC264" s="263"/>
      <c r="DD264" s="2208"/>
    </row>
    <row r="265" spans="1:108">
      <c r="A265" s="2217">
        <f t="shared" si="134"/>
        <v>26.102566063110405</v>
      </c>
      <c r="B265" s="2217">
        <f t="shared" si="125"/>
        <v>6733.4621389087406</v>
      </c>
      <c r="C265" s="2217">
        <f t="shared" si="126"/>
        <v>32.523970489661224</v>
      </c>
      <c r="D265" s="2212">
        <v>70</v>
      </c>
      <c r="E265" s="2219"/>
      <c r="F265" s="2213"/>
      <c r="G265" s="2219"/>
      <c r="H265" s="2213"/>
      <c r="I265" s="2213"/>
      <c r="J265" s="2213"/>
      <c r="K265" s="2213"/>
      <c r="L265" s="2213"/>
      <c r="M265" s="2217">
        <f t="shared" si="135"/>
        <v>28.379243997386691</v>
      </c>
      <c r="N265" s="2217">
        <f t="shared" si="117"/>
        <v>6733.4621389087406</v>
      </c>
      <c r="O265" s="2217">
        <f t="shared" si="127"/>
        <v>32.523970489661224</v>
      </c>
      <c r="P265" s="2212">
        <v>70</v>
      </c>
      <c r="Q265" s="2219"/>
      <c r="R265" s="2213"/>
      <c r="S265" s="2219"/>
      <c r="T265" s="2213"/>
      <c r="U265" s="2213"/>
      <c r="V265" s="2213"/>
      <c r="W265" s="2213"/>
      <c r="X265" s="2213"/>
      <c r="Y265" s="2217">
        <f t="shared" si="136"/>
        <v>31.306401341456205</v>
      </c>
      <c r="Z265" s="2217">
        <f t="shared" si="118"/>
        <v>6733.4621389087406</v>
      </c>
      <c r="AA265" s="2217">
        <f t="shared" si="128"/>
        <v>32.523970489661224</v>
      </c>
      <c r="AB265" s="2212">
        <v>70</v>
      </c>
      <c r="AC265" s="2219"/>
      <c r="AD265" s="2213"/>
      <c r="AE265" s="2219"/>
      <c r="AF265" s="2213"/>
      <c r="AG265" s="2213"/>
      <c r="AH265" s="2213"/>
      <c r="AI265" s="2213"/>
      <c r="AJ265" s="2213"/>
      <c r="AK265" s="2217">
        <f t="shared" si="137"/>
        <v>17.321094030901872</v>
      </c>
      <c r="AL265" s="2217">
        <f t="shared" si="119"/>
        <v>6733.4621389087406</v>
      </c>
      <c r="AM265" s="2217">
        <f t="shared" si="129"/>
        <v>32.523970489661224</v>
      </c>
      <c r="AN265" s="2212">
        <v>70</v>
      </c>
      <c r="AO265" s="2219"/>
      <c r="AP265" s="2213"/>
      <c r="AQ265" s="2219"/>
      <c r="AR265" s="2213"/>
      <c r="AS265" s="2213"/>
      <c r="AT265" s="2213"/>
      <c r="AU265" s="2213"/>
      <c r="AV265" s="2213"/>
      <c r="AW265" s="2217">
        <f t="shared" si="138"/>
        <v>7.301410000005653</v>
      </c>
      <c r="AX265" s="2217">
        <f t="shared" si="139"/>
        <v>5828.249999998623</v>
      </c>
      <c r="AY265" s="2217">
        <f t="shared" si="120"/>
        <v>17.548500000005333</v>
      </c>
      <c r="AZ265" s="2212">
        <v>70</v>
      </c>
      <c r="BA265" s="2208"/>
      <c r="BB265" s="263"/>
      <c r="BC265" s="2208"/>
      <c r="BD265" s="263"/>
      <c r="BE265" s="263"/>
      <c r="BF265" s="263"/>
      <c r="BG265" s="263"/>
      <c r="BH265" s="2208"/>
      <c r="BI265" s="2217">
        <f t="shared" si="140"/>
        <v>12.741445000007307</v>
      </c>
      <c r="BJ265" s="2217">
        <f t="shared" si="130"/>
        <v>5828.249999998623</v>
      </c>
      <c r="BK265" s="2217">
        <f t="shared" si="121"/>
        <v>17.548500000005333</v>
      </c>
      <c r="BL265" s="2212">
        <v>70</v>
      </c>
      <c r="BM265" s="2208"/>
      <c r="BN265" s="263"/>
      <c r="BO265" s="2208"/>
      <c r="BP265" s="263"/>
      <c r="BQ265" s="263"/>
      <c r="BR265" s="263"/>
      <c r="BS265" s="263"/>
      <c r="BT265" s="2208"/>
      <c r="BU265" s="2217">
        <f t="shared" si="141"/>
        <v>17.321094030901872</v>
      </c>
      <c r="BV265" s="2217">
        <f t="shared" si="122"/>
        <v>6733.4621389087406</v>
      </c>
      <c r="BW265" s="2217">
        <f t="shared" si="131"/>
        <v>32.523970489661224</v>
      </c>
      <c r="BX265" s="2212">
        <v>70</v>
      </c>
      <c r="BY265" s="2219"/>
      <c r="BZ265" s="2213"/>
      <c r="CA265" s="2219"/>
      <c r="CB265" s="2213"/>
      <c r="CC265" s="2213"/>
      <c r="CD265" s="2213"/>
      <c r="CE265" s="2213"/>
      <c r="CF265" s="2208"/>
      <c r="CG265" s="2217">
        <f t="shared" si="142"/>
        <v>21.223970489661223</v>
      </c>
      <c r="CH265" s="2217">
        <f t="shared" si="123"/>
        <v>6733.4621389087406</v>
      </c>
      <c r="CI265" s="2217">
        <f t="shared" si="132"/>
        <v>32.523970489661224</v>
      </c>
      <c r="CJ265" s="2212">
        <v>70</v>
      </c>
      <c r="CK265" s="2219"/>
      <c r="CL265" s="2213"/>
      <c r="CM265" s="2219"/>
      <c r="CN265" s="2213"/>
      <c r="CO265" s="2213"/>
      <c r="CP265" s="2213"/>
      <c r="CQ265" s="2213"/>
      <c r="CR265" s="2208"/>
      <c r="CS265" s="2217">
        <f t="shared" si="143"/>
        <v>12.3904750000072</v>
      </c>
      <c r="CT265" s="2217">
        <f t="shared" si="133"/>
        <v>5828.249999998623</v>
      </c>
      <c r="CU265" s="2217">
        <f t="shared" si="124"/>
        <v>17.548500000005333</v>
      </c>
      <c r="CV265" s="2212">
        <v>70</v>
      </c>
      <c r="CW265" s="2208"/>
      <c r="CX265" s="263"/>
      <c r="CY265" s="2208"/>
      <c r="CZ265" s="263"/>
      <c r="DA265" s="263"/>
      <c r="DB265" s="263"/>
      <c r="DC265" s="263"/>
      <c r="DD265" s="2208"/>
    </row>
    <row r="266" spans="1:108">
      <c r="A266" s="2217">
        <f t="shared" si="134"/>
        <v>26.445027302077687</v>
      </c>
      <c r="B266" s="2217">
        <f t="shared" si="125"/>
        <v>6700.9381684190794</v>
      </c>
      <c r="C266" s="2217">
        <f t="shared" si="126"/>
        <v>32.821762871371902</v>
      </c>
      <c r="D266" s="2212">
        <v>69</v>
      </c>
      <c r="E266" s="2219"/>
      <c r="F266" s="2213"/>
      <c r="G266" s="2219"/>
      <c r="H266" s="2213"/>
      <c r="I266" s="2213"/>
      <c r="J266" s="2213"/>
      <c r="K266" s="2213"/>
      <c r="L266" s="2213"/>
      <c r="M266" s="2217">
        <f t="shared" si="135"/>
        <v>28.742550703073722</v>
      </c>
      <c r="N266" s="2217">
        <f t="shared" si="117"/>
        <v>6700.9381684190794</v>
      </c>
      <c r="O266" s="2217">
        <f t="shared" si="127"/>
        <v>32.821762871371902</v>
      </c>
      <c r="P266" s="2212">
        <v>69</v>
      </c>
      <c r="Q266" s="2219"/>
      <c r="R266" s="2213"/>
      <c r="S266" s="2219"/>
      <c r="T266" s="2213"/>
      <c r="U266" s="2213"/>
      <c r="V266" s="2213"/>
      <c r="W266" s="2213"/>
      <c r="X266" s="2213"/>
      <c r="Y266" s="2217">
        <f t="shared" si="136"/>
        <v>31.696509361497196</v>
      </c>
      <c r="Z266" s="2217">
        <f t="shared" si="118"/>
        <v>6700.9381684190794</v>
      </c>
      <c r="AA266" s="2217">
        <f t="shared" si="128"/>
        <v>32.821762871371902</v>
      </c>
      <c r="AB266" s="2212">
        <v>69</v>
      </c>
      <c r="AC266" s="2219"/>
      <c r="AD266" s="2213"/>
      <c r="AE266" s="2219"/>
      <c r="AF266" s="2213"/>
      <c r="AG266" s="2213"/>
      <c r="AH266" s="2213"/>
      <c r="AI266" s="2213"/>
      <c r="AJ266" s="2213"/>
      <c r="AK266" s="2217">
        <f t="shared" si="137"/>
        <v>17.583151326807268</v>
      </c>
      <c r="AL266" s="2217">
        <f t="shared" si="119"/>
        <v>6700.9381684190794</v>
      </c>
      <c r="AM266" s="2217">
        <f t="shared" si="129"/>
        <v>32.821762871371902</v>
      </c>
      <c r="AN266" s="2212">
        <v>69</v>
      </c>
      <c r="AO266" s="2219"/>
      <c r="AP266" s="2213"/>
      <c r="AQ266" s="2219"/>
      <c r="AR266" s="2213"/>
      <c r="AS266" s="2213"/>
      <c r="AT266" s="2213"/>
      <c r="AU266" s="2213"/>
      <c r="AV266" s="2213"/>
      <c r="AW266" s="2217">
        <f t="shared" si="138"/>
        <v>7.593334000004198</v>
      </c>
      <c r="AX266" s="2217">
        <f t="shared" si="139"/>
        <v>5810.7014999986177</v>
      </c>
      <c r="AY266" s="2217">
        <f t="shared" si="120"/>
        <v>17.82390000000396</v>
      </c>
      <c r="AZ266" s="2212">
        <v>69</v>
      </c>
      <c r="BA266" s="2208"/>
      <c r="BB266" s="263"/>
      <c r="BC266" s="2208"/>
      <c r="BD266" s="263"/>
      <c r="BE266" s="263"/>
      <c r="BF266" s="263"/>
      <c r="BG266" s="263"/>
      <c r="BH266" s="2208"/>
      <c r="BI266" s="2217">
        <f t="shared" si="140"/>
        <v>13.118743000005427</v>
      </c>
      <c r="BJ266" s="2217">
        <f t="shared" si="130"/>
        <v>5810.7014999986177</v>
      </c>
      <c r="BK266" s="2217">
        <f t="shared" si="121"/>
        <v>17.82390000000396</v>
      </c>
      <c r="BL266" s="2212">
        <v>69</v>
      </c>
      <c r="BM266" s="2208"/>
      <c r="BN266" s="263"/>
      <c r="BO266" s="2208"/>
      <c r="BP266" s="263"/>
      <c r="BQ266" s="263"/>
      <c r="BR266" s="263"/>
      <c r="BS266" s="263"/>
      <c r="BT266" s="2208"/>
      <c r="BU266" s="2217">
        <f t="shared" si="141"/>
        <v>17.583151326807268</v>
      </c>
      <c r="BV266" s="2217">
        <f t="shared" si="122"/>
        <v>6700.9381684190794</v>
      </c>
      <c r="BW266" s="2217">
        <f t="shared" si="131"/>
        <v>32.821762871371902</v>
      </c>
      <c r="BX266" s="2212">
        <v>69</v>
      </c>
      <c r="BY266" s="2219"/>
      <c r="BZ266" s="2213"/>
      <c r="CA266" s="2219"/>
      <c r="CB266" s="2213"/>
      <c r="CC266" s="2213"/>
      <c r="CD266" s="2213"/>
      <c r="CE266" s="2213"/>
      <c r="CF266" s="2208"/>
      <c r="CG266" s="2217">
        <f t="shared" si="142"/>
        <v>21.521762871371902</v>
      </c>
      <c r="CH266" s="2217">
        <f t="shared" si="123"/>
        <v>6700.9381684190794</v>
      </c>
      <c r="CI266" s="2217">
        <f t="shared" si="132"/>
        <v>32.821762871371902</v>
      </c>
      <c r="CJ266" s="2212">
        <v>69</v>
      </c>
      <c r="CK266" s="2219"/>
      <c r="CL266" s="2213"/>
      <c r="CM266" s="2219"/>
      <c r="CN266" s="2213"/>
      <c r="CO266" s="2213"/>
      <c r="CP266" s="2213"/>
      <c r="CQ266" s="2213"/>
      <c r="CR266" s="2208"/>
      <c r="CS266" s="2217">
        <f t="shared" si="143"/>
        <v>12.762265000005346</v>
      </c>
      <c r="CT266" s="2217">
        <f t="shared" si="133"/>
        <v>5810.7014999986177</v>
      </c>
      <c r="CU266" s="2217">
        <f t="shared" si="124"/>
        <v>17.82390000000396</v>
      </c>
      <c r="CV266" s="2212">
        <v>69</v>
      </c>
      <c r="CW266" s="2208"/>
      <c r="CX266" s="263"/>
      <c r="CY266" s="2208"/>
      <c r="CZ266" s="263"/>
      <c r="DA266" s="263"/>
      <c r="DB266" s="263"/>
      <c r="DC266" s="263"/>
      <c r="DD266" s="2208"/>
    </row>
    <row r="267" spans="1:108">
      <c r="A267" s="2217">
        <f t="shared" si="134"/>
        <v>26.788801445139637</v>
      </c>
      <c r="B267" s="2217">
        <f t="shared" si="125"/>
        <v>6668.1164055477075</v>
      </c>
      <c r="C267" s="2217">
        <f t="shared" si="126"/>
        <v>33.120696908817081</v>
      </c>
      <c r="D267" s="2212">
        <v>68</v>
      </c>
      <c r="E267" s="2219"/>
      <c r="F267" s="2213"/>
      <c r="G267" s="2219"/>
      <c r="H267" s="2213"/>
      <c r="I267" s="2213"/>
      <c r="J267" s="2213"/>
      <c r="K267" s="2213"/>
      <c r="L267" s="2213"/>
      <c r="M267" s="2217">
        <f t="shared" si="135"/>
        <v>29.107250228756836</v>
      </c>
      <c r="N267" s="2217">
        <f t="shared" si="117"/>
        <v>6668.1164055477075</v>
      </c>
      <c r="O267" s="2217">
        <f t="shared" si="127"/>
        <v>33.120696908817081</v>
      </c>
      <c r="P267" s="2212">
        <v>68</v>
      </c>
      <c r="Q267" s="2219"/>
      <c r="R267" s="2213"/>
      <c r="S267" s="2219"/>
      <c r="T267" s="2213"/>
      <c r="U267" s="2213"/>
      <c r="V267" s="2213"/>
      <c r="W267" s="2213"/>
      <c r="X267" s="2213"/>
      <c r="Y267" s="2217">
        <f t="shared" si="136"/>
        <v>32.088112950550382</v>
      </c>
      <c r="Z267" s="2217">
        <f t="shared" si="118"/>
        <v>6668.1164055477075</v>
      </c>
      <c r="AA267" s="2217">
        <f t="shared" si="128"/>
        <v>33.120696908817081</v>
      </c>
      <c r="AB267" s="2212">
        <v>68</v>
      </c>
      <c r="AC267" s="2219"/>
      <c r="AD267" s="2213"/>
      <c r="AE267" s="2219"/>
      <c r="AF267" s="2213"/>
      <c r="AG267" s="2213"/>
      <c r="AH267" s="2213"/>
      <c r="AI267" s="2213"/>
      <c r="AJ267" s="2213"/>
      <c r="AK267" s="2217">
        <f t="shared" si="137"/>
        <v>17.846213279759027</v>
      </c>
      <c r="AL267" s="2217">
        <f t="shared" si="119"/>
        <v>6668.1164055477075</v>
      </c>
      <c r="AM267" s="2217">
        <f t="shared" si="129"/>
        <v>33.120696908817081</v>
      </c>
      <c r="AN267" s="2212">
        <v>68</v>
      </c>
      <c r="AO267" s="2219"/>
      <c r="AP267" s="2213"/>
      <c r="AQ267" s="2219"/>
      <c r="AR267" s="2213"/>
      <c r="AS267" s="2213"/>
      <c r="AT267" s="2213"/>
      <c r="AU267" s="2213"/>
      <c r="AV267" s="2213"/>
      <c r="AW267" s="2217">
        <f t="shared" si="138"/>
        <v>7.8890740000027471</v>
      </c>
      <c r="AX267" s="2217">
        <f t="shared" si="139"/>
        <v>5792.8775999986137</v>
      </c>
      <c r="AY267" s="2217">
        <f t="shared" si="120"/>
        <v>18.102900000002592</v>
      </c>
      <c r="AZ267" s="2212">
        <v>68</v>
      </c>
      <c r="BA267" s="2208"/>
      <c r="BB267" s="263"/>
      <c r="BC267" s="2208"/>
      <c r="BD267" s="263"/>
      <c r="BE267" s="263"/>
      <c r="BF267" s="263"/>
      <c r="BG267" s="263"/>
      <c r="BH267" s="2208"/>
      <c r="BI267" s="2217">
        <f t="shared" si="140"/>
        <v>13.500973000003551</v>
      </c>
      <c r="BJ267" s="2217">
        <f t="shared" si="130"/>
        <v>5792.8775999986137</v>
      </c>
      <c r="BK267" s="2217">
        <f t="shared" si="121"/>
        <v>18.102900000002592</v>
      </c>
      <c r="BL267" s="2212">
        <v>68</v>
      </c>
      <c r="BM267" s="2208"/>
      <c r="BN267" s="263"/>
      <c r="BO267" s="2208"/>
      <c r="BP267" s="263"/>
      <c r="BQ267" s="263"/>
      <c r="BR267" s="263"/>
      <c r="BS267" s="263"/>
      <c r="BT267" s="2208"/>
      <c r="BU267" s="2217">
        <f t="shared" si="141"/>
        <v>17.846213279759027</v>
      </c>
      <c r="BV267" s="2217">
        <f t="shared" si="122"/>
        <v>6668.1164055477075</v>
      </c>
      <c r="BW267" s="2217">
        <f t="shared" si="131"/>
        <v>33.120696908817081</v>
      </c>
      <c r="BX267" s="2212">
        <v>68</v>
      </c>
      <c r="BY267" s="2219"/>
      <c r="BZ267" s="2213"/>
      <c r="CA267" s="2219"/>
      <c r="CB267" s="2213"/>
      <c r="CC267" s="2213"/>
      <c r="CD267" s="2213"/>
      <c r="CE267" s="2213"/>
      <c r="CF267" s="2208"/>
      <c r="CG267" s="2217">
        <f t="shared" si="142"/>
        <v>21.82069690881708</v>
      </c>
      <c r="CH267" s="2217">
        <f t="shared" si="123"/>
        <v>6668.1164055477075</v>
      </c>
      <c r="CI267" s="2217">
        <f t="shared" si="132"/>
        <v>33.120696908817081</v>
      </c>
      <c r="CJ267" s="2212">
        <v>68</v>
      </c>
      <c r="CK267" s="2219"/>
      <c r="CL267" s="2213"/>
      <c r="CM267" s="2219"/>
      <c r="CN267" s="2213"/>
      <c r="CO267" s="2213"/>
      <c r="CP267" s="2213"/>
      <c r="CQ267" s="2213"/>
      <c r="CR267" s="2208"/>
      <c r="CS267" s="2217">
        <f t="shared" si="143"/>
        <v>13.1389150000035</v>
      </c>
      <c r="CT267" s="2217">
        <f t="shared" si="133"/>
        <v>5792.8775999986137</v>
      </c>
      <c r="CU267" s="2217">
        <f t="shared" si="124"/>
        <v>18.102900000002592</v>
      </c>
      <c r="CV267" s="2212">
        <v>68</v>
      </c>
      <c r="CW267" s="2208"/>
      <c r="CX267" s="263"/>
      <c r="CY267" s="2208"/>
      <c r="CZ267" s="263"/>
      <c r="DA267" s="263"/>
      <c r="DB267" s="263"/>
      <c r="DC267" s="263"/>
      <c r="DD267" s="2208"/>
    </row>
    <row r="268" spans="1:108">
      <c r="A268" s="2217">
        <f t="shared" si="134"/>
        <v>27.133888492299409</v>
      </c>
      <c r="B268" s="2217">
        <f t="shared" si="125"/>
        <v>6634.9957086388904</v>
      </c>
      <c r="C268" s="2217">
        <f t="shared" si="126"/>
        <v>33.420772601999488</v>
      </c>
      <c r="D268" s="2212">
        <v>67</v>
      </c>
      <c r="E268" s="2219"/>
      <c r="F268" s="2213"/>
      <c r="G268" s="2219"/>
      <c r="H268" s="2213"/>
      <c r="I268" s="2213"/>
      <c r="J268" s="2213"/>
      <c r="K268" s="2213"/>
      <c r="L268" s="2213"/>
      <c r="M268" s="2217">
        <f t="shared" si="135"/>
        <v>29.473342574439375</v>
      </c>
      <c r="N268" s="2217">
        <f t="shared" si="117"/>
        <v>6634.9957086388904</v>
      </c>
      <c r="O268" s="2217">
        <f t="shared" si="127"/>
        <v>33.420772601999488</v>
      </c>
      <c r="P268" s="2212">
        <v>67</v>
      </c>
      <c r="Q268" s="2219"/>
      <c r="R268" s="2213"/>
      <c r="S268" s="2219"/>
      <c r="T268" s="2213"/>
      <c r="U268" s="2213"/>
      <c r="V268" s="2213"/>
      <c r="W268" s="2213"/>
      <c r="X268" s="2213"/>
      <c r="Y268" s="2217">
        <f t="shared" si="136"/>
        <v>32.481212108619332</v>
      </c>
      <c r="Z268" s="2217">
        <f t="shared" si="118"/>
        <v>6634.9957086388904</v>
      </c>
      <c r="AA268" s="2217">
        <f t="shared" si="128"/>
        <v>33.420772601999488</v>
      </c>
      <c r="AB268" s="2212">
        <v>67</v>
      </c>
      <c r="AC268" s="2219"/>
      <c r="AD268" s="2213"/>
      <c r="AE268" s="2219"/>
      <c r="AF268" s="2213"/>
      <c r="AG268" s="2213"/>
      <c r="AH268" s="2213"/>
      <c r="AI268" s="2213"/>
      <c r="AJ268" s="2213"/>
      <c r="AK268" s="2217">
        <f t="shared" si="137"/>
        <v>18.110279889759546</v>
      </c>
      <c r="AL268" s="2217">
        <f t="shared" si="119"/>
        <v>6634.9957086388904</v>
      </c>
      <c r="AM268" s="2217">
        <f t="shared" si="129"/>
        <v>33.420772601999488</v>
      </c>
      <c r="AN268" s="2212">
        <v>67</v>
      </c>
      <c r="AO268" s="2219"/>
      <c r="AP268" s="2213"/>
      <c r="AQ268" s="2219"/>
      <c r="AR268" s="2213"/>
      <c r="AS268" s="2213"/>
      <c r="AT268" s="2213"/>
      <c r="AU268" s="2213"/>
      <c r="AV268" s="2213"/>
      <c r="AW268" s="2217">
        <f t="shared" si="138"/>
        <v>8.1886300000022665</v>
      </c>
      <c r="AX268" s="2217">
        <f t="shared" si="139"/>
        <v>5774.7746999986111</v>
      </c>
      <c r="AY268" s="2217">
        <f t="shared" si="120"/>
        <v>18.385500000002139</v>
      </c>
      <c r="AZ268" s="2212">
        <v>67</v>
      </c>
      <c r="BA268" s="2208"/>
      <c r="BB268" s="263"/>
      <c r="BC268" s="2208"/>
      <c r="BD268" s="263"/>
      <c r="BE268" s="263"/>
      <c r="BF268" s="263"/>
      <c r="BG268" s="263"/>
      <c r="BH268" s="2208"/>
      <c r="BI268" s="2217">
        <f t="shared" si="140"/>
        <v>13.888135000002933</v>
      </c>
      <c r="BJ268" s="2217">
        <f t="shared" si="130"/>
        <v>5774.7746999986111</v>
      </c>
      <c r="BK268" s="2217">
        <f t="shared" si="121"/>
        <v>18.385500000002139</v>
      </c>
      <c r="BL268" s="2212">
        <v>67</v>
      </c>
      <c r="BM268" s="2208"/>
      <c r="BN268" s="263"/>
      <c r="BO268" s="2208"/>
      <c r="BP268" s="263"/>
      <c r="BQ268" s="263"/>
      <c r="BR268" s="263"/>
      <c r="BS268" s="263"/>
      <c r="BT268" s="2208"/>
      <c r="BU268" s="2217">
        <f t="shared" si="141"/>
        <v>18.110279889759546</v>
      </c>
      <c r="BV268" s="2217">
        <f t="shared" si="122"/>
        <v>6634.9957086388904</v>
      </c>
      <c r="BW268" s="2217">
        <f t="shared" si="131"/>
        <v>33.420772601999488</v>
      </c>
      <c r="BX268" s="2212">
        <v>67</v>
      </c>
      <c r="BY268" s="2219"/>
      <c r="BZ268" s="2213"/>
      <c r="CA268" s="2219"/>
      <c r="CB268" s="2213"/>
      <c r="CC268" s="2213"/>
      <c r="CD268" s="2213"/>
      <c r="CE268" s="2213"/>
      <c r="CF268" s="2208"/>
      <c r="CG268" s="2217">
        <f t="shared" si="142"/>
        <v>22.120772601999487</v>
      </c>
      <c r="CH268" s="2217">
        <f t="shared" si="123"/>
        <v>6634.9957086388904</v>
      </c>
      <c r="CI268" s="2217">
        <f t="shared" si="132"/>
        <v>33.420772601999488</v>
      </c>
      <c r="CJ268" s="2212">
        <v>67</v>
      </c>
      <c r="CK268" s="2219"/>
      <c r="CL268" s="2213"/>
      <c r="CM268" s="2219"/>
      <c r="CN268" s="2213"/>
      <c r="CO268" s="2213"/>
      <c r="CP268" s="2213"/>
      <c r="CQ268" s="2213"/>
      <c r="CR268" s="2208"/>
      <c r="CS268" s="2217">
        <f t="shared" si="143"/>
        <v>13.520425000002888</v>
      </c>
      <c r="CT268" s="2217">
        <f t="shared" si="133"/>
        <v>5774.7746999986111</v>
      </c>
      <c r="CU268" s="2217">
        <f t="shared" si="124"/>
        <v>18.385500000002139</v>
      </c>
      <c r="CV268" s="2212">
        <v>67</v>
      </c>
      <c r="CW268" s="2208"/>
      <c r="CX268" s="263"/>
      <c r="CY268" s="2208"/>
      <c r="CZ268" s="263"/>
      <c r="DA268" s="263"/>
      <c r="DB268" s="263"/>
      <c r="DC268" s="263"/>
      <c r="DD268" s="2208"/>
    </row>
    <row r="269" spans="1:108">
      <c r="A269" s="2217">
        <f t="shared" si="134"/>
        <v>27.480288443549664</v>
      </c>
      <c r="B269" s="2217">
        <f t="shared" si="125"/>
        <v>6601.5749360368909</v>
      </c>
      <c r="C269" s="2217">
        <f t="shared" si="126"/>
        <v>33.721989950912757</v>
      </c>
      <c r="D269" s="2212">
        <v>66</v>
      </c>
      <c r="E269" s="2219"/>
      <c r="F269" s="2213"/>
      <c r="G269" s="2219"/>
      <c r="H269" s="2213"/>
      <c r="I269" s="2213"/>
      <c r="J269" s="2213"/>
      <c r="K269" s="2213"/>
      <c r="L269" s="2213"/>
      <c r="M269" s="2217">
        <f t="shared" si="135"/>
        <v>29.840827740113564</v>
      </c>
      <c r="N269" s="2217">
        <f t="shared" si="117"/>
        <v>6601.5749360368909</v>
      </c>
      <c r="O269" s="2217">
        <f t="shared" si="127"/>
        <v>33.721989950912757</v>
      </c>
      <c r="P269" s="2212">
        <v>66</v>
      </c>
      <c r="Q269" s="2219"/>
      <c r="R269" s="2213"/>
      <c r="S269" s="2219"/>
      <c r="T269" s="2213"/>
      <c r="U269" s="2213"/>
      <c r="V269" s="2213"/>
      <c r="W269" s="2213"/>
      <c r="X269" s="2213"/>
      <c r="Y269" s="2217">
        <f t="shared" si="136"/>
        <v>32.875806835695712</v>
      </c>
      <c r="Z269" s="2217">
        <f t="shared" si="118"/>
        <v>6601.5749360368909</v>
      </c>
      <c r="AA269" s="2217">
        <f t="shared" si="128"/>
        <v>33.721989950912757</v>
      </c>
      <c r="AB269" s="2212">
        <v>66</v>
      </c>
      <c r="AC269" s="2219"/>
      <c r="AD269" s="2213"/>
      <c r="AE269" s="2219"/>
      <c r="AF269" s="2213"/>
      <c r="AG269" s="2213"/>
      <c r="AH269" s="2213"/>
      <c r="AI269" s="2213"/>
      <c r="AJ269" s="2213"/>
      <c r="AK269" s="2217">
        <f t="shared" si="137"/>
        <v>18.375351156803223</v>
      </c>
      <c r="AL269" s="2217">
        <f t="shared" si="119"/>
        <v>6601.5749360368909</v>
      </c>
      <c r="AM269" s="2217">
        <f t="shared" si="129"/>
        <v>33.721989950912757</v>
      </c>
      <c r="AN269" s="2212">
        <v>66</v>
      </c>
      <c r="AO269" s="2219"/>
      <c r="AP269" s="2213"/>
      <c r="AQ269" s="2219"/>
      <c r="AR269" s="2213"/>
      <c r="AS269" s="2213"/>
      <c r="AT269" s="2213"/>
      <c r="AU269" s="2213"/>
      <c r="AV269" s="2213"/>
      <c r="AW269" s="2217">
        <f t="shared" si="138"/>
        <v>8.4920020000008307</v>
      </c>
      <c r="AX269" s="2217">
        <f t="shared" si="139"/>
        <v>5756.389199998609</v>
      </c>
      <c r="AY269" s="2217">
        <f t="shared" si="120"/>
        <v>18.671700000000783</v>
      </c>
      <c r="AZ269" s="2212">
        <v>66</v>
      </c>
      <c r="BA269" s="2208"/>
      <c r="BB269" s="263"/>
      <c r="BC269" s="2208"/>
      <c r="BD269" s="263"/>
      <c r="BE269" s="263"/>
      <c r="BF269" s="263"/>
      <c r="BG269" s="263"/>
      <c r="BH269" s="2208"/>
      <c r="BI269" s="2217">
        <f t="shared" si="140"/>
        <v>14.280229000001075</v>
      </c>
      <c r="BJ269" s="2217">
        <f t="shared" si="130"/>
        <v>5756.389199998609</v>
      </c>
      <c r="BK269" s="2217">
        <f t="shared" si="121"/>
        <v>18.671700000000783</v>
      </c>
      <c r="BL269" s="2212">
        <v>66</v>
      </c>
      <c r="BM269" s="2208"/>
      <c r="BN269" s="263"/>
      <c r="BO269" s="2208"/>
      <c r="BP269" s="263"/>
      <c r="BQ269" s="263"/>
      <c r="BR269" s="263"/>
      <c r="BS269" s="263"/>
      <c r="BT269" s="2208"/>
      <c r="BU269" s="2217">
        <f t="shared" si="141"/>
        <v>18.375351156803223</v>
      </c>
      <c r="BV269" s="2217">
        <f t="shared" si="122"/>
        <v>6601.5749360368909</v>
      </c>
      <c r="BW269" s="2217">
        <f t="shared" si="131"/>
        <v>33.721989950912757</v>
      </c>
      <c r="BX269" s="2212">
        <v>66</v>
      </c>
      <c r="BY269" s="2219"/>
      <c r="BZ269" s="2213"/>
      <c r="CA269" s="2219"/>
      <c r="CB269" s="2213"/>
      <c r="CC269" s="2213"/>
      <c r="CD269" s="2213"/>
      <c r="CE269" s="2213"/>
      <c r="CF269" s="2208"/>
      <c r="CG269" s="2217">
        <f t="shared" si="142"/>
        <v>22.421989950912756</v>
      </c>
      <c r="CH269" s="2217">
        <f t="shared" si="123"/>
        <v>6601.5749360368909</v>
      </c>
      <c r="CI269" s="2217">
        <f t="shared" si="132"/>
        <v>33.721989950912757</v>
      </c>
      <c r="CJ269" s="2212">
        <v>66</v>
      </c>
      <c r="CK269" s="2219"/>
      <c r="CL269" s="2213"/>
      <c r="CM269" s="2219"/>
      <c r="CN269" s="2213"/>
      <c r="CO269" s="2213"/>
      <c r="CP269" s="2213"/>
      <c r="CQ269" s="2213"/>
      <c r="CR269" s="2208"/>
      <c r="CS269" s="2217">
        <f t="shared" si="143"/>
        <v>13.906795000001058</v>
      </c>
      <c r="CT269" s="2217">
        <f t="shared" si="133"/>
        <v>5756.389199998609</v>
      </c>
      <c r="CU269" s="2217">
        <f t="shared" si="124"/>
        <v>18.671700000000783</v>
      </c>
      <c r="CV269" s="2212">
        <v>66</v>
      </c>
      <c r="CW269" s="2208"/>
      <c r="CX269" s="263"/>
      <c r="CY269" s="2208"/>
      <c r="CZ269" s="263"/>
      <c r="DA269" s="263"/>
      <c r="DB269" s="263"/>
      <c r="DC269" s="263"/>
      <c r="DD269" s="2208"/>
    </row>
    <row r="270" spans="1:108">
      <c r="A270" s="2217">
        <f t="shared" si="134"/>
        <v>27.828001298897743</v>
      </c>
      <c r="B270" s="2217">
        <f t="shared" si="125"/>
        <v>6567.8529460859781</v>
      </c>
      <c r="C270" s="2217">
        <f t="shared" si="126"/>
        <v>34.024348955563255</v>
      </c>
      <c r="D270" s="2212">
        <v>65</v>
      </c>
      <c r="E270" s="2219"/>
      <c r="F270" s="2213"/>
      <c r="G270" s="2219"/>
      <c r="H270" s="2213"/>
      <c r="I270" s="2213"/>
      <c r="J270" s="2213"/>
      <c r="K270" s="2213"/>
      <c r="L270" s="2213"/>
      <c r="M270" s="2217">
        <f t="shared" si="135"/>
        <v>30.20970572578717</v>
      </c>
      <c r="N270" s="2217">
        <f t="shared" si="117"/>
        <v>6567.8529460859781</v>
      </c>
      <c r="O270" s="2217">
        <f t="shared" si="127"/>
        <v>34.024348955563255</v>
      </c>
      <c r="P270" s="2212">
        <v>65</v>
      </c>
      <c r="Q270" s="2219"/>
      <c r="R270" s="2213"/>
      <c r="S270" s="2219"/>
      <c r="T270" s="2213"/>
      <c r="U270" s="2213"/>
      <c r="V270" s="2213"/>
      <c r="W270" s="2213"/>
      <c r="X270" s="2213"/>
      <c r="Y270" s="2217">
        <f t="shared" si="136"/>
        <v>33.271897131787867</v>
      </c>
      <c r="Z270" s="2217">
        <f t="shared" si="118"/>
        <v>6567.8529460859781</v>
      </c>
      <c r="AA270" s="2217">
        <f t="shared" si="128"/>
        <v>34.024348955563255</v>
      </c>
      <c r="AB270" s="2212">
        <v>65</v>
      </c>
      <c r="AC270" s="2219"/>
      <c r="AD270" s="2213"/>
      <c r="AE270" s="2219"/>
      <c r="AF270" s="2213"/>
      <c r="AG270" s="2213"/>
      <c r="AH270" s="2213"/>
      <c r="AI270" s="2213"/>
      <c r="AJ270" s="2213"/>
      <c r="AK270" s="2217">
        <f t="shared" si="137"/>
        <v>18.64142708089566</v>
      </c>
      <c r="AL270" s="2217">
        <f t="shared" si="119"/>
        <v>6567.8529460859781</v>
      </c>
      <c r="AM270" s="2217">
        <f t="shared" si="129"/>
        <v>34.024348955563255</v>
      </c>
      <c r="AN270" s="2212">
        <v>65</v>
      </c>
      <c r="AO270" s="2219"/>
      <c r="AP270" s="2213"/>
      <c r="AQ270" s="2219"/>
      <c r="AR270" s="2213"/>
      <c r="AS270" s="2213"/>
      <c r="AT270" s="2213"/>
      <c r="AU270" s="2213"/>
      <c r="AV270" s="2213"/>
      <c r="AW270" s="2217">
        <f t="shared" si="138"/>
        <v>8.7991900000003618</v>
      </c>
      <c r="AX270" s="2217">
        <f t="shared" si="139"/>
        <v>5737.7174999986082</v>
      </c>
      <c r="AY270" s="2217">
        <f t="shared" si="120"/>
        <v>18.961500000000342</v>
      </c>
      <c r="AZ270" s="2212">
        <v>65</v>
      </c>
      <c r="BA270" s="2208"/>
      <c r="BB270" s="263"/>
      <c r="BC270" s="2208"/>
      <c r="BD270" s="263"/>
      <c r="BE270" s="263"/>
      <c r="BF270" s="263"/>
      <c r="BG270" s="263"/>
      <c r="BH270" s="2208"/>
      <c r="BI270" s="2217">
        <f t="shared" si="140"/>
        <v>14.677255000000471</v>
      </c>
      <c r="BJ270" s="2217">
        <f t="shared" si="130"/>
        <v>5737.7174999986082</v>
      </c>
      <c r="BK270" s="2217">
        <f t="shared" si="121"/>
        <v>18.961500000000342</v>
      </c>
      <c r="BL270" s="2212">
        <v>65</v>
      </c>
      <c r="BM270" s="2208"/>
      <c r="BN270" s="263"/>
      <c r="BO270" s="2208"/>
      <c r="BP270" s="263"/>
      <c r="BQ270" s="263"/>
      <c r="BR270" s="263"/>
      <c r="BS270" s="263"/>
      <c r="BT270" s="2208"/>
      <c r="BU270" s="2217">
        <f t="shared" si="141"/>
        <v>18.64142708089566</v>
      </c>
      <c r="BV270" s="2217">
        <f t="shared" si="122"/>
        <v>6567.8529460859781</v>
      </c>
      <c r="BW270" s="2217">
        <f t="shared" si="131"/>
        <v>34.024348955563255</v>
      </c>
      <c r="BX270" s="2212">
        <v>65</v>
      </c>
      <c r="BY270" s="2219"/>
      <c r="BZ270" s="2213"/>
      <c r="CA270" s="2219"/>
      <c r="CB270" s="2213"/>
      <c r="CC270" s="2213"/>
      <c r="CD270" s="2213"/>
      <c r="CE270" s="2213"/>
      <c r="CF270" s="2208"/>
      <c r="CG270" s="2217">
        <f t="shared" si="142"/>
        <v>22.724348955563254</v>
      </c>
      <c r="CH270" s="2217">
        <f t="shared" si="123"/>
        <v>6567.8529460859781</v>
      </c>
      <c r="CI270" s="2217">
        <f t="shared" si="132"/>
        <v>34.024348955563255</v>
      </c>
      <c r="CJ270" s="2212">
        <v>65</v>
      </c>
      <c r="CK270" s="2219"/>
      <c r="CL270" s="2213"/>
      <c r="CM270" s="2219"/>
      <c r="CN270" s="2213"/>
      <c r="CO270" s="2213"/>
      <c r="CP270" s="2213"/>
      <c r="CQ270" s="2213"/>
      <c r="CR270" s="2208"/>
      <c r="CS270" s="2217">
        <f t="shared" si="143"/>
        <v>14.298025000000461</v>
      </c>
      <c r="CT270" s="2217">
        <f t="shared" si="133"/>
        <v>5737.7174999986082</v>
      </c>
      <c r="CU270" s="2217">
        <f t="shared" si="124"/>
        <v>18.961500000000342</v>
      </c>
      <c r="CV270" s="2212">
        <v>65</v>
      </c>
      <c r="CW270" s="2208"/>
      <c r="CX270" s="263"/>
      <c r="CY270" s="2208"/>
      <c r="CZ270" s="263"/>
      <c r="DA270" s="263"/>
      <c r="DB270" s="263"/>
      <c r="DC270" s="263"/>
      <c r="DD270" s="2208"/>
    </row>
    <row r="271" spans="1:108">
      <c r="A271" s="2217">
        <f t="shared" si="134"/>
        <v>28.177027058339444</v>
      </c>
      <c r="B271" s="2217">
        <f t="shared" si="125"/>
        <v>6533.8285971304149</v>
      </c>
      <c r="C271" s="2217">
        <f t="shared" si="126"/>
        <v>34.327849615947343</v>
      </c>
      <c r="D271" s="2212">
        <v>64</v>
      </c>
      <c r="E271" s="2219"/>
      <c r="F271" s="2213"/>
      <c r="G271" s="2219"/>
      <c r="H271" s="2213"/>
      <c r="I271" s="2213"/>
      <c r="J271" s="2213"/>
      <c r="K271" s="2213"/>
      <c r="L271" s="2213"/>
      <c r="M271" s="2217">
        <f t="shared" si="135"/>
        <v>30.57997653145576</v>
      </c>
      <c r="N271" s="2217">
        <f t="shared" si="117"/>
        <v>6533.8285971304149</v>
      </c>
      <c r="O271" s="2217">
        <f t="shared" si="127"/>
        <v>34.327849615947343</v>
      </c>
      <c r="P271" s="2212">
        <v>64</v>
      </c>
      <c r="Q271" s="2219"/>
      <c r="R271" s="2213"/>
      <c r="S271" s="2219"/>
      <c r="T271" s="2213"/>
      <c r="U271" s="2213"/>
      <c r="V271" s="2213"/>
      <c r="W271" s="2213"/>
      <c r="X271" s="2213"/>
      <c r="Y271" s="2217">
        <f t="shared" si="136"/>
        <v>33.66948299689102</v>
      </c>
      <c r="Z271" s="2217">
        <f t="shared" si="118"/>
        <v>6533.8285971304149</v>
      </c>
      <c r="AA271" s="2217">
        <f t="shared" si="128"/>
        <v>34.327849615947343</v>
      </c>
      <c r="AB271" s="2212">
        <v>64</v>
      </c>
      <c r="AC271" s="2219"/>
      <c r="AD271" s="2213"/>
      <c r="AE271" s="2219"/>
      <c r="AF271" s="2213"/>
      <c r="AG271" s="2213"/>
      <c r="AH271" s="2213"/>
      <c r="AI271" s="2213"/>
      <c r="AJ271" s="2213"/>
      <c r="AK271" s="2217">
        <f t="shared" si="137"/>
        <v>18.908507662033657</v>
      </c>
      <c r="AL271" s="2217">
        <f t="shared" si="119"/>
        <v>6533.8285971304149</v>
      </c>
      <c r="AM271" s="2217">
        <f t="shared" si="129"/>
        <v>34.327849615947343</v>
      </c>
      <c r="AN271" s="2212">
        <v>64</v>
      </c>
      <c r="AO271" s="2219"/>
      <c r="AP271" s="2213"/>
      <c r="AQ271" s="2219"/>
      <c r="AR271" s="2213"/>
      <c r="AS271" s="2213"/>
      <c r="AT271" s="2213"/>
      <c r="AU271" s="2213"/>
      <c r="AV271" s="2213"/>
      <c r="AW271" s="2217">
        <f t="shared" si="138"/>
        <v>9.1101939999989376</v>
      </c>
      <c r="AX271" s="2217">
        <f t="shared" si="139"/>
        <v>5718.7559999986079</v>
      </c>
      <c r="AY271" s="2217">
        <f t="shared" si="120"/>
        <v>19.254899999998997</v>
      </c>
      <c r="AZ271" s="2212">
        <v>64</v>
      </c>
      <c r="BA271" s="2208"/>
      <c r="BB271" s="263"/>
      <c r="BC271" s="2208"/>
      <c r="BD271" s="263"/>
      <c r="BE271" s="263"/>
      <c r="BF271" s="263"/>
      <c r="BG271" s="263"/>
      <c r="BH271" s="2208"/>
      <c r="BI271" s="2217">
        <f t="shared" si="140"/>
        <v>15.079212999998628</v>
      </c>
      <c r="BJ271" s="2217">
        <f t="shared" si="130"/>
        <v>5718.7559999986079</v>
      </c>
      <c r="BK271" s="2217">
        <f t="shared" si="121"/>
        <v>19.254899999998997</v>
      </c>
      <c r="BL271" s="2212">
        <v>64</v>
      </c>
      <c r="BM271" s="2208"/>
      <c r="BN271" s="263"/>
      <c r="BO271" s="2208"/>
      <c r="BP271" s="263"/>
      <c r="BQ271" s="263"/>
      <c r="BR271" s="263"/>
      <c r="BS271" s="263"/>
      <c r="BT271" s="2208"/>
      <c r="BU271" s="2217">
        <f t="shared" si="141"/>
        <v>18.908507662033657</v>
      </c>
      <c r="BV271" s="2217">
        <f t="shared" si="122"/>
        <v>6533.8285971304149</v>
      </c>
      <c r="BW271" s="2217">
        <f t="shared" si="131"/>
        <v>34.327849615947343</v>
      </c>
      <c r="BX271" s="2212">
        <v>64</v>
      </c>
      <c r="BY271" s="2219"/>
      <c r="BZ271" s="2213"/>
      <c r="CA271" s="2219"/>
      <c r="CB271" s="2213"/>
      <c r="CC271" s="2213"/>
      <c r="CD271" s="2213"/>
      <c r="CE271" s="2213"/>
      <c r="CF271" s="2208"/>
      <c r="CG271" s="2217">
        <f t="shared" si="142"/>
        <v>23.027849615947343</v>
      </c>
      <c r="CH271" s="2217">
        <f t="shared" si="123"/>
        <v>6533.8285971304149</v>
      </c>
      <c r="CI271" s="2217">
        <f t="shared" si="132"/>
        <v>34.327849615947343</v>
      </c>
      <c r="CJ271" s="2212">
        <v>64</v>
      </c>
      <c r="CK271" s="2219"/>
      <c r="CL271" s="2213"/>
      <c r="CM271" s="2219"/>
      <c r="CN271" s="2213"/>
      <c r="CO271" s="2213"/>
      <c r="CP271" s="2213"/>
      <c r="CQ271" s="2213"/>
      <c r="CR271" s="2208"/>
      <c r="CS271" s="2217">
        <f t="shared" si="143"/>
        <v>14.694114999998646</v>
      </c>
      <c r="CT271" s="2217">
        <f t="shared" si="133"/>
        <v>5718.7559999986079</v>
      </c>
      <c r="CU271" s="2217">
        <f t="shared" si="124"/>
        <v>19.254899999998997</v>
      </c>
      <c r="CV271" s="2212">
        <v>64</v>
      </c>
      <c r="CW271" s="2208"/>
      <c r="CX271" s="263"/>
      <c r="CY271" s="2208"/>
      <c r="CZ271" s="263"/>
      <c r="DA271" s="263"/>
      <c r="DB271" s="263"/>
      <c r="DC271" s="263"/>
      <c r="DD271" s="2208"/>
    </row>
    <row r="272" spans="1:108">
      <c r="A272" s="2217">
        <f t="shared" si="134"/>
        <v>28.527365721875821</v>
      </c>
      <c r="B272" s="2217">
        <f t="shared" si="125"/>
        <v>6499.5007475144675</v>
      </c>
      <c r="C272" s="2217">
        <f t="shared" si="126"/>
        <v>34.632491932065932</v>
      </c>
      <c r="D272" s="2212">
        <v>63</v>
      </c>
      <c r="E272" s="2219"/>
      <c r="F272" s="2213"/>
      <c r="G272" s="2219"/>
      <c r="H272" s="2213"/>
      <c r="I272" s="2213"/>
      <c r="J272" s="2213"/>
      <c r="K272" s="2213"/>
      <c r="L272" s="2213"/>
      <c r="M272" s="2217">
        <f t="shared" si="135"/>
        <v>30.951640157120433</v>
      </c>
      <c r="N272" s="2217">
        <f t="shared" si="117"/>
        <v>6499.5007475144675</v>
      </c>
      <c r="O272" s="2217">
        <f t="shared" si="127"/>
        <v>34.632491932065932</v>
      </c>
      <c r="P272" s="2212">
        <v>63</v>
      </c>
      <c r="Q272" s="2219"/>
      <c r="R272" s="2213"/>
      <c r="S272" s="2219"/>
      <c r="T272" s="2213"/>
      <c r="U272" s="2213"/>
      <c r="V272" s="2213"/>
      <c r="W272" s="2213"/>
      <c r="X272" s="2213"/>
      <c r="Y272" s="2217">
        <f t="shared" si="136"/>
        <v>34.068564431006365</v>
      </c>
      <c r="Z272" s="2217">
        <f t="shared" si="118"/>
        <v>6499.5007475144675</v>
      </c>
      <c r="AA272" s="2217">
        <f t="shared" si="128"/>
        <v>34.632491932065932</v>
      </c>
      <c r="AB272" s="2212">
        <v>63</v>
      </c>
      <c r="AC272" s="2219"/>
      <c r="AD272" s="2213"/>
      <c r="AE272" s="2219"/>
      <c r="AF272" s="2213"/>
      <c r="AG272" s="2213"/>
      <c r="AH272" s="2213"/>
      <c r="AI272" s="2213"/>
      <c r="AJ272" s="2213"/>
      <c r="AK272" s="2217">
        <f t="shared" si="137"/>
        <v>19.176592900218015</v>
      </c>
      <c r="AL272" s="2217">
        <f t="shared" si="119"/>
        <v>6499.5007475144675</v>
      </c>
      <c r="AM272" s="2217">
        <f t="shared" si="129"/>
        <v>34.632491932065932</v>
      </c>
      <c r="AN272" s="2212">
        <v>63</v>
      </c>
      <c r="AO272" s="2219"/>
      <c r="AP272" s="2213"/>
      <c r="AQ272" s="2219"/>
      <c r="AR272" s="2213"/>
      <c r="AS272" s="2213"/>
      <c r="AT272" s="2213"/>
      <c r="AU272" s="2213"/>
      <c r="AV272" s="2213"/>
      <c r="AW272" s="2217">
        <f t="shared" si="138"/>
        <v>9.4250139999975175</v>
      </c>
      <c r="AX272" s="2217">
        <f t="shared" si="139"/>
        <v>5699.5010999986089</v>
      </c>
      <c r="AY272" s="2217">
        <f t="shared" si="120"/>
        <v>19.551899999997659</v>
      </c>
      <c r="AZ272" s="2212">
        <v>63</v>
      </c>
      <c r="BA272" s="2208"/>
      <c r="BB272" s="263"/>
      <c r="BC272" s="2208"/>
      <c r="BD272" s="263"/>
      <c r="BE272" s="263"/>
      <c r="BF272" s="263"/>
      <c r="BG272" s="263"/>
      <c r="BH272" s="2208"/>
      <c r="BI272" s="2217">
        <f t="shared" si="140"/>
        <v>15.486102999996795</v>
      </c>
      <c r="BJ272" s="2217">
        <f t="shared" si="130"/>
        <v>5699.5010999986089</v>
      </c>
      <c r="BK272" s="2217">
        <f t="shared" si="121"/>
        <v>19.551899999997659</v>
      </c>
      <c r="BL272" s="2212">
        <v>63</v>
      </c>
      <c r="BM272" s="2208"/>
      <c r="BN272" s="263"/>
      <c r="BO272" s="2208"/>
      <c r="BP272" s="263"/>
      <c r="BQ272" s="263"/>
      <c r="BR272" s="263"/>
      <c r="BS272" s="263"/>
      <c r="BT272" s="2208"/>
      <c r="BU272" s="2217">
        <f t="shared" si="141"/>
        <v>19.176592900218015</v>
      </c>
      <c r="BV272" s="2217">
        <f t="shared" si="122"/>
        <v>6499.5007475144675</v>
      </c>
      <c r="BW272" s="2217">
        <f t="shared" si="131"/>
        <v>34.632491932065932</v>
      </c>
      <c r="BX272" s="2212">
        <v>63</v>
      </c>
      <c r="BY272" s="2219"/>
      <c r="BZ272" s="2213"/>
      <c r="CA272" s="2219"/>
      <c r="CB272" s="2213"/>
      <c r="CC272" s="2213"/>
      <c r="CD272" s="2213"/>
      <c r="CE272" s="2213"/>
      <c r="CF272" s="2208"/>
      <c r="CG272" s="2217">
        <f t="shared" si="142"/>
        <v>23.332491932065931</v>
      </c>
      <c r="CH272" s="2217">
        <f t="shared" si="123"/>
        <v>6499.5007475144675</v>
      </c>
      <c r="CI272" s="2217">
        <f t="shared" si="132"/>
        <v>34.632491932065932</v>
      </c>
      <c r="CJ272" s="2212">
        <v>63</v>
      </c>
      <c r="CK272" s="2219"/>
      <c r="CL272" s="2213"/>
      <c r="CM272" s="2219"/>
      <c r="CN272" s="2213"/>
      <c r="CO272" s="2213"/>
      <c r="CP272" s="2213"/>
      <c r="CQ272" s="2213"/>
      <c r="CR272" s="2208"/>
      <c r="CS272" s="2217">
        <f t="shared" si="143"/>
        <v>15.09506499999684</v>
      </c>
      <c r="CT272" s="2217">
        <f t="shared" si="133"/>
        <v>5699.5010999986089</v>
      </c>
      <c r="CU272" s="2217">
        <f t="shared" si="124"/>
        <v>19.551899999997659</v>
      </c>
      <c r="CV272" s="2212">
        <v>63</v>
      </c>
      <c r="CW272" s="2208"/>
      <c r="CX272" s="263"/>
      <c r="CY272" s="2208"/>
      <c r="CZ272" s="263"/>
      <c r="DA272" s="263"/>
      <c r="DB272" s="263"/>
      <c r="DC272" s="263"/>
      <c r="DD272" s="2208"/>
    </row>
    <row r="273" spans="1:108">
      <c r="A273" s="2217">
        <f t="shared" si="134"/>
        <v>28.879017289507917</v>
      </c>
      <c r="B273" s="2217">
        <f t="shared" si="125"/>
        <v>6464.8682555824016</v>
      </c>
      <c r="C273" s="2217">
        <f t="shared" si="126"/>
        <v>34.93827590391993</v>
      </c>
      <c r="D273" s="2212">
        <v>62</v>
      </c>
      <c r="E273" s="2219"/>
      <c r="F273" s="2213"/>
      <c r="G273" s="2219"/>
      <c r="H273" s="2213"/>
      <c r="I273" s="2213"/>
      <c r="J273" s="2213"/>
      <c r="K273" s="2213"/>
      <c r="L273" s="2213"/>
      <c r="M273" s="2217">
        <f t="shared" si="135"/>
        <v>31.324696602782314</v>
      </c>
      <c r="N273" s="2217">
        <f t="shared" si="117"/>
        <v>6464.8682555824016</v>
      </c>
      <c r="O273" s="2217">
        <f t="shared" si="127"/>
        <v>34.93827590391993</v>
      </c>
      <c r="P273" s="2212">
        <v>62</v>
      </c>
      <c r="Q273" s="2219"/>
      <c r="R273" s="2213"/>
      <c r="S273" s="2219"/>
      <c r="T273" s="2213"/>
      <c r="U273" s="2213"/>
      <c r="V273" s="2213"/>
      <c r="W273" s="2213"/>
      <c r="X273" s="2213"/>
      <c r="Y273" s="2217">
        <f t="shared" si="136"/>
        <v>34.469141434135111</v>
      </c>
      <c r="Z273" s="2217">
        <f t="shared" si="118"/>
        <v>6464.8682555824016</v>
      </c>
      <c r="AA273" s="2217">
        <f t="shared" si="128"/>
        <v>34.93827590391993</v>
      </c>
      <c r="AB273" s="2212">
        <v>62</v>
      </c>
      <c r="AC273" s="2219"/>
      <c r="AD273" s="2213"/>
      <c r="AE273" s="2219"/>
      <c r="AF273" s="2213"/>
      <c r="AG273" s="2213"/>
      <c r="AH273" s="2213"/>
      <c r="AI273" s="2213"/>
      <c r="AJ273" s="2213"/>
      <c r="AK273" s="2217">
        <f t="shared" si="137"/>
        <v>19.445682795449535</v>
      </c>
      <c r="AL273" s="2217">
        <f t="shared" si="119"/>
        <v>6464.8682555824016</v>
      </c>
      <c r="AM273" s="2217">
        <f t="shared" si="129"/>
        <v>34.93827590391993</v>
      </c>
      <c r="AN273" s="2212">
        <v>62</v>
      </c>
      <c r="AO273" s="2219"/>
      <c r="AP273" s="2213"/>
      <c r="AQ273" s="2219"/>
      <c r="AR273" s="2213"/>
      <c r="AS273" s="2213"/>
      <c r="AT273" s="2213"/>
      <c r="AU273" s="2213"/>
      <c r="AV273" s="2213"/>
      <c r="AW273" s="2217">
        <f t="shared" si="138"/>
        <v>9.7436499999970678</v>
      </c>
      <c r="AX273" s="2217">
        <f t="shared" si="139"/>
        <v>5679.9491999986112</v>
      </c>
      <c r="AY273" s="2217">
        <f t="shared" si="120"/>
        <v>19.852499999997235</v>
      </c>
      <c r="AZ273" s="2212">
        <v>62</v>
      </c>
      <c r="BA273" s="2208"/>
      <c r="BB273" s="263"/>
      <c r="BC273" s="2208"/>
      <c r="BD273" s="263"/>
      <c r="BE273" s="263"/>
      <c r="BF273" s="263"/>
      <c r="BG273" s="263"/>
      <c r="BH273" s="2208"/>
      <c r="BI273" s="2217">
        <f t="shared" si="140"/>
        <v>15.897924999996214</v>
      </c>
      <c r="BJ273" s="2217">
        <f t="shared" si="130"/>
        <v>5679.9491999986112</v>
      </c>
      <c r="BK273" s="2217">
        <f t="shared" si="121"/>
        <v>19.852499999997235</v>
      </c>
      <c r="BL273" s="2212">
        <v>62</v>
      </c>
      <c r="BM273" s="2208"/>
      <c r="BN273" s="263"/>
      <c r="BO273" s="2208"/>
      <c r="BP273" s="263"/>
      <c r="BQ273" s="263"/>
      <c r="BR273" s="263"/>
      <c r="BS273" s="263"/>
      <c r="BT273" s="2208"/>
      <c r="BU273" s="2217">
        <f t="shared" si="141"/>
        <v>19.445682795449535</v>
      </c>
      <c r="BV273" s="2217">
        <f t="shared" si="122"/>
        <v>6464.8682555824016</v>
      </c>
      <c r="BW273" s="2217">
        <f t="shared" si="131"/>
        <v>34.93827590391993</v>
      </c>
      <c r="BX273" s="2212">
        <v>62</v>
      </c>
      <c r="BY273" s="2219"/>
      <c r="BZ273" s="2213"/>
      <c r="CA273" s="2219"/>
      <c r="CB273" s="2213"/>
      <c r="CC273" s="2213"/>
      <c r="CD273" s="2213"/>
      <c r="CE273" s="2213"/>
      <c r="CF273" s="2208"/>
      <c r="CG273" s="2217">
        <f t="shared" si="142"/>
        <v>23.638275903919929</v>
      </c>
      <c r="CH273" s="2217">
        <f t="shared" si="123"/>
        <v>6464.8682555824016</v>
      </c>
      <c r="CI273" s="2217">
        <f t="shared" si="132"/>
        <v>34.93827590391993</v>
      </c>
      <c r="CJ273" s="2212">
        <v>62</v>
      </c>
      <c r="CK273" s="2219"/>
      <c r="CL273" s="2213"/>
      <c r="CM273" s="2219"/>
      <c r="CN273" s="2213"/>
      <c r="CO273" s="2213"/>
      <c r="CP273" s="2213"/>
      <c r="CQ273" s="2213"/>
      <c r="CR273" s="2208"/>
      <c r="CS273" s="2217">
        <f t="shared" si="143"/>
        <v>15.500874999996267</v>
      </c>
      <c r="CT273" s="2217">
        <f t="shared" si="133"/>
        <v>5679.9491999986112</v>
      </c>
      <c r="CU273" s="2217">
        <f t="shared" si="124"/>
        <v>19.852499999997235</v>
      </c>
      <c r="CV273" s="2212">
        <v>62</v>
      </c>
      <c r="CW273" s="2208"/>
      <c r="CX273" s="263"/>
      <c r="CY273" s="2208"/>
      <c r="CZ273" s="263"/>
      <c r="DA273" s="263"/>
      <c r="DB273" s="263"/>
      <c r="DC273" s="263"/>
      <c r="DD273" s="2208"/>
    </row>
    <row r="274" spans="1:108">
      <c r="A274" s="2217">
        <f t="shared" si="134"/>
        <v>29.231981761234689</v>
      </c>
      <c r="B274" s="2217">
        <f t="shared" si="125"/>
        <v>6429.9299796784817</v>
      </c>
      <c r="C274" s="2217">
        <f t="shared" si="126"/>
        <v>35.245201531508428</v>
      </c>
      <c r="D274" s="2212">
        <v>61</v>
      </c>
      <c r="E274" s="2219"/>
      <c r="F274" s="2213"/>
      <c r="G274" s="2219"/>
      <c r="H274" s="2213"/>
      <c r="I274" s="2213"/>
      <c r="J274" s="2213"/>
      <c r="K274" s="2213"/>
      <c r="L274" s="2213"/>
      <c r="M274" s="2217">
        <f t="shared" si="135"/>
        <v>31.699145868440279</v>
      </c>
      <c r="N274" s="2217">
        <f t="shared" si="117"/>
        <v>6429.9299796784817</v>
      </c>
      <c r="O274" s="2217">
        <f t="shared" si="127"/>
        <v>35.245201531508428</v>
      </c>
      <c r="P274" s="2212">
        <v>61</v>
      </c>
      <c r="Q274" s="2219"/>
      <c r="R274" s="2213"/>
      <c r="S274" s="2219"/>
      <c r="T274" s="2213"/>
      <c r="U274" s="2213"/>
      <c r="V274" s="2213"/>
      <c r="W274" s="2213"/>
      <c r="X274" s="2213"/>
      <c r="Y274" s="2217">
        <f t="shared" si="136"/>
        <v>34.871214006276048</v>
      </c>
      <c r="Z274" s="2217">
        <f t="shared" si="118"/>
        <v>6429.9299796784817</v>
      </c>
      <c r="AA274" s="2217">
        <f t="shared" si="128"/>
        <v>35.245201531508428</v>
      </c>
      <c r="AB274" s="2212">
        <v>61</v>
      </c>
      <c r="AC274" s="2219"/>
      <c r="AD274" s="2213"/>
      <c r="AE274" s="2219"/>
      <c r="AF274" s="2213"/>
      <c r="AG274" s="2213"/>
      <c r="AH274" s="2213"/>
      <c r="AI274" s="2213"/>
      <c r="AJ274" s="2213"/>
      <c r="AK274" s="2217">
        <f t="shared" si="137"/>
        <v>19.715777347727414</v>
      </c>
      <c r="AL274" s="2217">
        <f t="shared" si="119"/>
        <v>6429.9299796784817</v>
      </c>
      <c r="AM274" s="2217">
        <f t="shared" si="129"/>
        <v>35.245201531508428</v>
      </c>
      <c r="AN274" s="2212">
        <v>61</v>
      </c>
      <c r="AO274" s="2219"/>
      <c r="AP274" s="2213"/>
      <c r="AQ274" s="2219"/>
      <c r="AR274" s="2213"/>
      <c r="AS274" s="2213"/>
      <c r="AT274" s="2213"/>
      <c r="AU274" s="2213"/>
      <c r="AV274" s="2213"/>
      <c r="AW274" s="2217">
        <f t="shared" si="138"/>
        <v>10.066101999996626</v>
      </c>
      <c r="AX274" s="2217">
        <f t="shared" si="139"/>
        <v>5660.096699998614</v>
      </c>
      <c r="AY274" s="2217">
        <f t="shared" si="120"/>
        <v>20.156699999996817</v>
      </c>
      <c r="AZ274" s="2212">
        <v>61</v>
      </c>
      <c r="BA274" s="2208"/>
      <c r="BB274" s="263"/>
      <c r="BC274" s="2208"/>
      <c r="BD274" s="263"/>
      <c r="BE274" s="263"/>
      <c r="BF274" s="263"/>
      <c r="BG274" s="263"/>
      <c r="BH274" s="2208"/>
      <c r="BI274" s="2217">
        <f t="shared" si="140"/>
        <v>16.314678999995643</v>
      </c>
      <c r="BJ274" s="2217">
        <f t="shared" si="130"/>
        <v>5660.096699998614</v>
      </c>
      <c r="BK274" s="2217">
        <f t="shared" si="121"/>
        <v>20.156699999996817</v>
      </c>
      <c r="BL274" s="2212">
        <v>61</v>
      </c>
      <c r="BM274" s="2208"/>
      <c r="BN274" s="263"/>
      <c r="BO274" s="2208"/>
      <c r="BP274" s="263"/>
      <c r="BQ274" s="263"/>
      <c r="BR274" s="263"/>
      <c r="BS274" s="263"/>
      <c r="BT274" s="2208"/>
      <c r="BU274" s="2217">
        <f t="shared" si="141"/>
        <v>19.715777347727414</v>
      </c>
      <c r="BV274" s="2217">
        <f t="shared" si="122"/>
        <v>6429.9299796784817</v>
      </c>
      <c r="BW274" s="2217">
        <f t="shared" si="131"/>
        <v>35.245201531508428</v>
      </c>
      <c r="BX274" s="2212">
        <v>61</v>
      </c>
      <c r="BY274" s="2219"/>
      <c r="BZ274" s="2213"/>
      <c r="CA274" s="2219"/>
      <c r="CB274" s="2213"/>
      <c r="CC274" s="2213"/>
      <c r="CD274" s="2213"/>
      <c r="CE274" s="2213"/>
      <c r="CF274" s="2208"/>
      <c r="CG274" s="2217">
        <f t="shared" si="142"/>
        <v>23.945201531508427</v>
      </c>
      <c r="CH274" s="2217">
        <f t="shared" si="123"/>
        <v>6429.9299796784817</v>
      </c>
      <c r="CI274" s="2217">
        <f t="shared" si="132"/>
        <v>35.245201531508428</v>
      </c>
      <c r="CJ274" s="2212">
        <v>61</v>
      </c>
      <c r="CK274" s="2219"/>
      <c r="CL274" s="2213"/>
      <c r="CM274" s="2219"/>
      <c r="CN274" s="2213"/>
      <c r="CO274" s="2213"/>
      <c r="CP274" s="2213"/>
      <c r="CQ274" s="2213"/>
      <c r="CR274" s="2208"/>
      <c r="CS274" s="2217">
        <f t="shared" si="143"/>
        <v>15.911544999995705</v>
      </c>
      <c r="CT274" s="2217">
        <f t="shared" si="133"/>
        <v>5660.096699998614</v>
      </c>
      <c r="CU274" s="2217">
        <f t="shared" si="124"/>
        <v>20.156699999996817</v>
      </c>
      <c r="CV274" s="2212">
        <v>61</v>
      </c>
      <c r="CW274" s="2208"/>
      <c r="CX274" s="263"/>
      <c r="CY274" s="2208"/>
      <c r="CZ274" s="263"/>
      <c r="DA274" s="263"/>
      <c r="DB274" s="263"/>
      <c r="DC274" s="263"/>
      <c r="DD274" s="2208"/>
    </row>
    <row r="275" spans="1:108">
      <c r="A275" s="2217">
        <f t="shared" si="134"/>
        <v>29.586259137055091</v>
      </c>
      <c r="B275" s="2217">
        <f t="shared" si="125"/>
        <v>6394.6847781469733</v>
      </c>
      <c r="C275" s="2217">
        <f t="shared" si="126"/>
        <v>35.553268814830517</v>
      </c>
      <c r="D275" s="2212">
        <v>60</v>
      </c>
      <c r="E275" s="2219"/>
      <c r="F275" s="2213"/>
      <c r="G275" s="2219"/>
      <c r="H275" s="2213"/>
      <c r="I275" s="2213"/>
      <c r="J275" s="2213"/>
      <c r="K275" s="2213"/>
      <c r="L275" s="2213"/>
      <c r="M275" s="2217">
        <f t="shared" si="135"/>
        <v>32.074987954093231</v>
      </c>
      <c r="N275" s="2217">
        <f t="shared" si="117"/>
        <v>6394.6847781469733</v>
      </c>
      <c r="O275" s="2217">
        <f t="shared" si="127"/>
        <v>35.553268814830517</v>
      </c>
      <c r="P275" s="2212">
        <v>60</v>
      </c>
      <c r="Q275" s="2219"/>
      <c r="R275" s="2213"/>
      <c r="S275" s="2219"/>
      <c r="T275" s="2213"/>
      <c r="U275" s="2213"/>
      <c r="V275" s="2213"/>
      <c r="W275" s="2213"/>
      <c r="X275" s="2213"/>
      <c r="Y275" s="2217">
        <f t="shared" si="136"/>
        <v>35.274782147427985</v>
      </c>
      <c r="Z275" s="2217">
        <f t="shared" si="118"/>
        <v>6394.6847781469733</v>
      </c>
      <c r="AA275" s="2217">
        <f t="shared" si="128"/>
        <v>35.553268814830517</v>
      </c>
      <c r="AB275" s="2212">
        <v>60</v>
      </c>
      <c r="AC275" s="2219"/>
      <c r="AD275" s="2213"/>
      <c r="AE275" s="2219"/>
      <c r="AF275" s="2213"/>
      <c r="AG275" s="2213"/>
      <c r="AH275" s="2213"/>
      <c r="AI275" s="2213"/>
      <c r="AJ275" s="2213"/>
      <c r="AK275" s="2217">
        <f t="shared" si="137"/>
        <v>19.986876557050849</v>
      </c>
      <c r="AL275" s="2217">
        <f t="shared" si="119"/>
        <v>6394.6847781469733</v>
      </c>
      <c r="AM275" s="2217">
        <f t="shared" si="129"/>
        <v>35.553268814830517</v>
      </c>
      <c r="AN275" s="2212">
        <v>60</v>
      </c>
      <c r="AO275" s="2219"/>
      <c r="AP275" s="2213"/>
      <c r="AQ275" s="2219"/>
      <c r="AR275" s="2213"/>
      <c r="AS275" s="2213"/>
      <c r="AT275" s="2213"/>
      <c r="AU275" s="2213"/>
      <c r="AV275" s="2213"/>
      <c r="AW275" s="2217">
        <f t="shared" si="138"/>
        <v>10.392369999994262</v>
      </c>
      <c r="AX275" s="2217">
        <f t="shared" si="139"/>
        <v>5639.9399999986172</v>
      </c>
      <c r="AY275" s="2217">
        <f t="shared" si="120"/>
        <v>20.464499999994587</v>
      </c>
      <c r="AZ275" s="2212">
        <v>60</v>
      </c>
      <c r="BA275" s="2208"/>
      <c r="BB275" s="263"/>
      <c r="BC275" s="2208"/>
      <c r="BD275" s="263"/>
      <c r="BE275" s="263"/>
      <c r="BF275" s="263"/>
      <c r="BG275" s="263"/>
      <c r="BH275" s="2208"/>
      <c r="BI275" s="2217">
        <f t="shared" si="140"/>
        <v>16.736364999992585</v>
      </c>
      <c r="BJ275" s="2217">
        <f t="shared" si="130"/>
        <v>5639.9399999986172</v>
      </c>
      <c r="BK275" s="2217">
        <f t="shared" si="121"/>
        <v>20.464499999994587</v>
      </c>
      <c r="BL275" s="2212">
        <v>60</v>
      </c>
      <c r="BM275" s="2208"/>
      <c r="BN275" s="263"/>
      <c r="BO275" s="2208"/>
      <c r="BP275" s="263"/>
      <c r="BQ275" s="263"/>
      <c r="BR275" s="263"/>
      <c r="BS275" s="263"/>
      <c r="BT275" s="2208"/>
      <c r="BU275" s="2217">
        <f t="shared" si="141"/>
        <v>19.986876557050849</v>
      </c>
      <c r="BV275" s="2217">
        <f t="shared" si="122"/>
        <v>6394.6847781469733</v>
      </c>
      <c r="BW275" s="2217">
        <f t="shared" si="131"/>
        <v>35.553268814830517</v>
      </c>
      <c r="BX275" s="2212">
        <v>60</v>
      </c>
      <c r="BY275" s="2219"/>
      <c r="BZ275" s="2213"/>
      <c r="CA275" s="2219"/>
      <c r="CB275" s="2213"/>
      <c r="CC275" s="2213"/>
      <c r="CD275" s="2213"/>
      <c r="CE275" s="2213"/>
      <c r="CF275" s="2208"/>
      <c r="CG275" s="2217">
        <f t="shared" si="142"/>
        <v>24.253268814830516</v>
      </c>
      <c r="CH275" s="2217">
        <f t="shared" si="123"/>
        <v>6394.6847781469733</v>
      </c>
      <c r="CI275" s="2217">
        <f t="shared" si="132"/>
        <v>35.553268814830517</v>
      </c>
      <c r="CJ275" s="2212">
        <v>60</v>
      </c>
      <c r="CK275" s="2219"/>
      <c r="CL275" s="2213"/>
      <c r="CM275" s="2219"/>
      <c r="CN275" s="2213"/>
      <c r="CO275" s="2213"/>
      <c r="CP275" s="2213"/>
      <c r="CQ275" s="2213"/>
      <c r="CR275" s="2208"/>
      <c r="CS275" s="2217">
        <f t="shared" si="143"/>
        <v>16.327074999992693</v>
      </c>
      <c r="CT275" s="2217">
        <f t="shared" si="133"/>
        <v>5639.9399999986172</v>
      </c>
      <c r="CU275" s="2217">
        <f t="shared" si="124"/>
        <v>20.464499999994587</v>
      </c>
      <c r="CV275" s="2212">
        <v>60</v>
      </c>
      <c r="CW275" s="2208"/>
      <c r="CX275" s="263"/>
      <c r="CY275" s="2208"/>
      <c r="CZ275" s="263"/>
      <c r="DA275" s="263"/>
      <c r="DB275" s="263"/>
      <c r="DC275" s="263"/>
      <c r="DD275" s="2208"/>
    </row>
    <row r="276" spans="1:108">
      <c r="A276" s="2217">
        <f t="shared" si="134"/>
        <v>29.941849416974353</v>
      </c>
      <c r="B276" s="2217">
        <f t="shared" si="125"/>
        <v>6359.1315093321427</v>
      </c>
      <c r="C276" s="2217">
        <f t="shared" si="126"/>
        <v>35.862477753890744</v>
      </c>
      <c r="D276" s="2212">
        <v>59</v>
      </c>
      <c r="E276" s="2219"/>
      <c r="F276" s="2213"/>
      <c r="G276" s="2219"/>
      <c r="H276" s="2213"/>
      <c r="I276" s="2213"/>
      <c r="J276" s="2213"/>
      <c r="K276" s="2213"/>
      <c r="L276" s="2213"/>
      <c r="M276" s="2217">
        <f t="shared" si="135"/>
        <v>32.452222859746712</v>
      </c>
      <c r="N276" s="2217">
        <f t="shared" si="117"/>
        <v>6359.1315093321427</v>
      </c>
      <c r="O276" s="2217">
        <f t="shared" si="127"/>
        <v>35.862477753890744</v>
      </c>
      <c r="P276" s="2212">
        <v>59</v>
      </c>
      <c r="Q276" s="2219"/>
      <c r="R276" s="2213"/>
      <c r="S276" s="2219"/>
      <c r="T276" s="2213"/>
      <c r="U276" s="2213"/>
      <c r="V276" s="2213"/>
      <c r="W276" s="2213"/>
      <c r="X276" s="2213"/>
      <c r="Y276" s="2217">
        <f t="shared" si="136"/>
        <v>35.679845857596874</v>
      </c>
      <c r="Z276" s="2217">
        <f t="shared" si="118"/>
        <v>6359.1315093321427</v>
      </c>
      <c r="AA276" s="2217">
        <f t="shared" si="128"/>
        <v>35.862477753890744</v>
      </c>
      <c r="AB276" s="2212">
        <v>59</v>
      </c>
      <c r="AC276" s="2219"/>
      <c r="AD276" s="2213"/>
      <c r="AE276" s="2219"/>
      <c r="AF276" s="2213"/>
      <c r="AG276" s="2213"/>
      <c r="AH276" s="2213"/>
      <c r="AI276" s="2213"/>
      <c r="AJ276" s="2213"/>
      <c r="AK276" s="2217">
        <f t="shared" si="137"/>
        <v>20.25898042342385</v>
      </c>
      <c r="AL276" s="2217">
        <f t="shared" si="119"/>
        <v>6359.1315093321427</v>
      </c>
      <c r="AM276" s="2217">
        <f t="shared" si="129"/>
        <v>35.862477753890744</v>
      </c>
      <c r="AN276" s="2212">
        <v>59</v>
      </c>
      <c r="AO276" s="2219"/>
      <c r="AP276" s="2213"/>
      <c r="AQ276" s="2219"/>
      <c r="AR276" s="2213"/>
      <c r="AS276" s="2213"/>
      <c r="AT276" s="2213"/>
      <c r="AU276" s="2213"/>
      <c r="AV276" s="2213"/>
      <c r="AW276" s="2217">
        <f t="shared" si="138"/>
        <v>10.722453999993832</v>
      </c>
      <c r="AX276" s="2217">
        <f t="shared" si="139"/>
        <v>5619.4754999986226</v>
      </c>
      <c r="AY276" s="2217">
        <f t="shared" si="120"/>
        <v>20.775899999994181</v>
      </c>
      <c r="AZ276" s="2212">
        <v>59</v>
      </c>
      <c r="BA276" s="2208"/>
      <c r="BB276" s="263"/>
      <c r="BC276" s="2208"/>
      <c r="BD276" s="263"/>
      <c r="BE276" s="263"/>
      <c r="BF276" s="263"/>
      <c r="BG276" s="263"/>
      <c r="BH276" s="2208"/>
      <c r="BI276" s="2217">
        <f t="shared" si="140"/>
        <v>17.162982999992028</v>
      </c>
      <c r="BJ276" s="2217">
        <f t="shared" si="130"/>
        <v>5619.4754999986226</v>
      </c>
      <c r="BK276" s="2217">
        <f t="shared" si="121"/>
        <v>20.775899999994181</v>
      </c>
      <c r="BL276" s="2212">
        <v>59</v>
      </c>
      <c r="BM276" s="2208"/>
      <c r="BN276" s="263"/>
      <c r="BO276" s="2208"/>
      <c r="BP276" s="263"/>
      <c r="BQ276" s="263"/>
      <c r="BR276" s="263"/>
      <c r="BS276" s="263"/>
      <c r="BT276" s="2208"/>
      <c r="BU276" s="2217">
        <f t="shared" si="141"/>
        <v>20.25898042342385</v>
      </c>
      <c r="BV276" s="2217">
        <f t="shared" si="122"/>
        <v>6359.1315093321427</v>
      </c>
      <c r="BW276" s="2217">
        <f t="shared" si="131"/>
        <v>35.862477753890744</v>
      </c>
      <c r="BX276" s="2212">
        <v>59</v>
      </c>
      <c r="BY276" s="2219"/>
      <c r="BZ276" s="2213"/>
      <c r="CA276" s="2219"/>
      <c r="CB276" s="2213"/>
      <c r="CC276" s="2213"/>
      <c r="CD276" s="2213"/>
      <c r="CE276" s="2213"/>
      <c r="CF276" s="2208"/>
      <c r="CG276" s="2217">
        <f t="shared" si="142"/>
        <v>24.562477753890743</v>
      </c>
      <c r="CH276" s="2217">
        <f t="shared" si="123"/>
        <v>6359.1315093321427</v>
      </c>
      <c r="CI276" s="2217">
        <f t="shared" si="132"/>
        <v>35.862477753890744</v>
      </c>
      <c r="CJ276" s="2212">
        <v>59</v>
      </c>
      <c r="CK276" s="2219"/>
      <c r="CL276" s="2213"/>
      <c r="CM276" s="2219"/>
      <c r="CN276" s="2213"/>
      <c r="CO276" s="2213"/>
      <c r="CP276" s="2213"/>
      <c r="CQ276" s="2213"/>
      <c r="CR276" s="2208"/>
      <c r="CS276" s="2217">
        <f t="shared" si="143"/>
        <v>16.747464999992147</v>
      </c>
      <c r="CT276" s="2217">
        <f t="shared" si="133"/>
        <v>5619.4754999986226</v>
      </c>
      <c r="CU276" s="2217">
        <f t="shared" si="124"/>
        <v>20.775899999994181</v>
      </c>
      <c r="CV276" s="2212">
        <v>59</v>
      </c>
      <c r="CW276" s="2208"/>
      <c r="CX276" s="263"/>
      <c r="CY276" s="2208"/>
      <c r="CZ276" s="263"/>
      <c r="DA276" s="263"/>
      <c r="DB276" s="263"/>
      <c r="DC276" s="263"/>
      <c r="DD276" s="2208"/>
    </row>
    <row r="277" spans="1:108">
      <c r="A277" s="2217">
        <f t="shared" si="134"/>
        <v>30.298752600982009</v>
      </c>
      <c r="B277" s="2217">
        <f t="shared" si="125"/>
        <v>6323.269031578252</v>
      </c>
      <c r="C277" s="2217">
        <f t="shared" si="126"/>
        <v>36.172828348680014</v>
      </c>
      <c r="D277" s="2212">
        <v>58</v>
      </c>
      <c r="E277" s="2219"/>
      <c r="F277" s="2213"/>
      <c r="G277" s="2219"/>
      <c r="H277" s="2213"/>
      <c r="I277" s="2213"/>
      <c r="J277" s="2213"/>
      <c r="K277" s="2213"/>
      <c r="L277" s="2213"/>
      <c r="M277" s="2217">
        <f t="shared" si="135"/>
        <v>32.830850585389612</v>
      </c>
      <c r="N277" s="2217">
        <f t="shared" si="117"/>
        <v>6323.269031578252</v>
      </c>
      <c r="O277" s="2217">
        <f t="shared" si="127"/>
        <v>36.172828348680014</v>
      </c>
      <c r="P277" s="2212">
        <v>58</v>
      </c>
      <c r="Q277" s="2219"/>
      <c r="R277" s="2213"/>
      <c r="S277" s="2219"/>
      <c r="T277" s="2213"/>
      <c r="U277" s="2213"/>
      <c r="V277" s="2213"/>
      <c r="W277" s="2213"/>
      <c r="X277" s="2213"/>
      <c r="Y277" s="2217">
        <f t="shared" si="136"/>
        <v>36.086405136770821</v>
      </c>
      <c r="Z277" s="2217">
        <f t="shared" si="118"/>
        <v>6323.269031578252</v>
      </c>
      <c r="AA277" s="2217">
        <f t="shared" si="128"/>
        <v>36.172828348680014</v>
      </c>
      <c r="AB277" s="2212">
        <v>58</v>
      </c>
      <c r="AC277" s="2219"/>
      <c r="AD277" s="2213"/>
      <c r="AE277" s="2219"/>
      <c r="AF277" s="2213"/>
      <c r="AG277" s="2213"/>
      <c r="AH277" s="2213"/>
      <c r="AI277" s="2213"/>
      <c r="AJ277" s="2213"/>
      <c r="AK277" s="2217">
        <f t="shared" si="137"/>
        <v>20.532088946838407</v>
      </c>
      <c r="AL277" s="2217">
        <f t="shared" si="119"/>
        <v>6323.269031578252</v>
      </c>
      <c r="AM277" s="2217">
        <f t="shared" si="129"/>
        <v>36.172828348680014</v>
      </c>
      <c r="AN277" s="2212">
        <v>58</v>
      </c>
      <c r="AO277" s="2219"/>
      <c r="AP277" s="2213"/>
      <c r="AQ277" s="2219"/>
      <c r="AR277" s="2213"/>
      <c r="AS277" s="2213"/>
      <c r="AT277" s="2213"/>
      <c r="AU277" s="2213"/>
      <c r="AV277" s="2213"/>
      <c r="AW277" s="2217">
        <f t="shared" si="138"/>
        <v>11.056353999993409</v>
      </c>
      <c r="AX277" s="2217">
        <f t="shared" si="139"/>
        <v>5598.6995999986284</v>
      </c>
      <c r="AY277" s="2217">
        <f t="shared" si="120"/>
        <v>21.090899999993781</v>
      </c>
      <c r="AZ277" s="2212">
        <v>58</v>
      </c>
      <c r="BA277" s="2208"/>
      <c r="BB277" s="263"/>
      <c r="BC277" s="2208"/>
      <c r="BD277" s="263"/>
      <c r="BE277" s="263"/>
      <c r="BF277" s="263"/>
      <c r="BG277" s="263"/>
      <c r="BH277" s="2208"/>
      <c r="BI277" s="2217">
        <f t="shared" si="140"/>
        <v>17.594532999991483</v>
      </c>
      <c r="BJ277" s="2217">
        <f t="shared" si="130"/>
        <v>5598.6995999986284</v>
      </c>
      <c r="BK277" s="2217">
        <f t="shared" si="121"/>
        <v>21.090899999993781</v>
      </c>
      <c r="BL277" s="2212">
        <v>58</v>
      </c>
      <c r="BM277" s="2208"/>
      <c r="BN277" s="263"/>
      <c r="BO277" s="2208"/>
      <c r="BP277" s="263"/>
      <c r="BQ277" s="263"/>
      <c r="BR277" s="263"/>
      <c r="BS277" s="263"/>
      <c r="BT277" s="2208"/>
      <c r="BU277" s="2217">
        <f t="shared" si="141"/>
        <v>20.532088946838407</v>
      </c>
      <c r="BV277" s="2217">
        <f t="shared" si="122"/>
        <v>6323.269031578252</v>
      </c>
      <c r="BW277" s="2217">
        <f t="shared" si="131"/>
        <v>36.172828348680014</v>
      </c>
      <c r="BX277" s="2212">
        <v>58</v>
      </c>
      <c r="BY277" s="2219"/>
      <c r="BZ277" s="2213"/>
      <c r="CA277" s="2219"/>
      <c r="CB277" s="2213"/>
      <c r="CC277" s="2213"/>
      <c r="CD277" s="2213"/>
      <c r="CE277" s="2213"/>
      <c r="CF277" s="2208"/>
      <c r="CG277" s="2217">
        <f t="shared" si="142"/>
        <v>24.872828348680013</v>
      </c>
      <c r="CH277" s="2217">
        <f t="shared" si="123"/>
        <v>6323.269031578252</v>
      </c>
      <c r="CI277" s="2217">
        <f t="shared" si="132"/>
        <v>36.172828348680014</v>
      </c>
      <c r="CJ277" s="2212">
        <v>58</v>
      </c>
      <c r="CK277" s="2219"/>
      <c r="CL277" s="2213"/>
      <c r="CM277" s="2219"/>
      <c r="CN277" s="2213"/>
      <c r="CO277" s="2213"/>
      <c r="CP277" s="2213"/>
      <c r="CQ277" s="2213"/>
      <c r="CR277" s="2208"/>
      <c r="CS277" s="2217">
        <f t="shared" si="143"/>
        <v>17.172714999991605</v>
      </c>
      <c r="CT277" s="2217">
        <f t="shared" si="133"/>
        <v>5598.6995999986284</v>
      </c>
      <c r="CU277" s="2217">
        <f t="shared" si="124"/>
        <v>21.090899999993781</v>
      </c>
      <c r="CV277" s="2212">
        <v>58</v>
      </c>
      <c r="CW277" s="2208"/>
      <c r="CX277" s="263"/>
      <c r="CY277" s="2208"/>
      <c r="CZ277" s="263"/>
      <c r="DA277" s="263"/>
      <c r="DB277" s="263"/>
      <c r="DC277" s="263"/>
      <c r="DD277" s="2208"/>
    </row>
    <row r="278" spans="1:108">
      <c r="A278" s="2217">
        <f t="shared" si="134"/>
        <v>30.656968689088533</v>
      </c>
      <c r="B278" s="2217">
        <f t="shared" si="125"/>
        <v>6287.096203229572</v>
      </c>
      <c r="C278" s="2217">
        <f t="shared" si="126"/>
        <v>36.484320599207422</v>
      </c>
      <c r="D278" s="2212">
        <v>57</v>
      </c>
      <c r="E278" s="2219"/>
      <c r="F278" s="2213"/>
      <c r="G278" s="2219"/>
      <c r="H278" s="2213"/>
      <c r="I278" s="2213"/>
      <c r="J278" s="2213"/>
      <c r="K278" s="2213"/>
      <c r="L278" s="2213"/>
      <c r="M278" s="2217">
        <f t="shared" si="135"/>
        <v>33.210871131033059</v>
      </c>
      <c r="N278" s="2217">
        <f t="shared" si="117"/>
        <v>6287.096203229572</v>
      </c>
      <c r="O278" s="2217">
        <f t="shared" si="127"/>
        <v>36.484320599207422</v>
      </c>
      <c r="P278" s="2212">
        <v>57</v>
      </c>
      <c r="Q278" s="2219"/>
      <c r="R278" s="2213"/>
      <c r="S278" s="2219"/>
      <c r="T278" s="2213"/>
      <c r="U278" s="2213"/>
      <c r="V278" s="2213"/>
      <c r="W278" s="2213"/>
      <c r="X278" s="2213"/>
      <c r="Y278" s="2217">
        <f t="shared" si="136"/>
        <v>36.494459984961722</v>
      </c>
      <c r="Z278" s="2217">
        <f t="shared" si="118"/>
        <v>6287.096203229572</v>
      </c>
      <c r="AA278" s="2217">
        <f t="shared" si="128"/>
        <v>36.484320599207422</v>
      </c>
      <c r="AB278" s="2212">
        <v>57</v>
      </c>
      <c r="AC278" s="2219"/>
      <c r="AD278" s="2213"/>
      <c r="AE278" s="2219"/>
      <c r="AF278" s="2213"/>
      <c r="AG278" s="2213"/>
      <c r="AH278" s="2213"/>
      <c r="AI278" s="2213"/>
      <c r="AJ278" s="2213"/>
      <c r="AK278" s="2217">
        <f t="shared" si="137"/>
        <v>20.806202127302523</v>
      </c>
      <c r="AL278" s="2217">
        <f t="shared" si="119"/>
        <v>6287.096203229572</v>
      </c>
      <c r="AM278" s="2217">
        <f t="shared" si="129"/>
        <v>36.484320599207422</v>
      </c>
      <c r="AN278" s="2212">
        <v>57</v>
      </c>
      <c r="AO278" s="2219"/>
      <c r="AP278" s="2213"/>
      <c r="AQ278" s="2219"/>
      <c r="AR278" s="2213"/>
      <c r="AS278" s="2213"/>
      <c r="AT278" s="2213"/>
      <c r="AU278" s="2213"/>
      <c r="AV278" s="2213"/>
      <c r="AW278" s="2217">
        <f t="shared" si="138"/>
        <v>11.394069999992027</v>
      </c>
      <c r="AX278" s="2217">
        <f t="shared" si="139"/>
        <v>5577.6086999986346</v>
      </c>
      <c r="AY278" s="2217">
        <f t="shared" si="120"/>
        <v>21.409499999992477</v>
      </c>
      <c r="AZ278" s="2212">
        <v>57</v>
      </c>
      <c r="BA278" s="2208"/>
      <c r="BB278" s="263"/>
      <c r="BC278" s="2208"/>
      <c r="BD278" s="263"/>
      <c r="BE278" s="263"/>
      <c r="BF278" s="263"/>
      <c r="BG278" s="263"/>
      <c r="BH278" s="2208"/>
      <c r="BI278" s="2217">
        <f t="shared" si="140"/>
        <v>18.031014999989694</v>
      </c>
      <c r="BJ278" s="2217">
        <f t="shared" si="130"/>
        <v>5577.6086999986346</v>
      </c>
      <c r="BK278" s="2217">
        <f t="shared" si="121"/>
        <v>21.409499999992477</v>
      </c>
      <c r="BL278" s="2212">
        <v>57</v>
      </c>
      <c r="BM278" s="2208"/>
      <c r="BN278" s="263"/>
      <c r="BO278" s="2208"/>
      <c r="BP278" s="263"/>
      <c r="BQ278" s="263"/>
      <c r="BR278" s="263"/>
      <c r="BS278" s="263"/>
      <c r="BT278" s="2208"/>
      <c r="BU278" s="2217">
        <f t="shared" si="141"/>
        <v>20.806202127302523</v>
      </c>
      <c r="BV278" s="2217">
        <f t="shared" si="122"/>
        <v>6287.096203229572</v>
      </c>
      <c r="BW278" s="2217">
        <f t="shared" si="131"/>
        <v>36.484320599207422</v>
      </c>
      <c r="BX278" s="2212">
        <v>57</v>
      </c>
      <c r="BY278" s="2219"/>
      <c r="BZ278" s="2213"/>
      <c r="CA278" s="2219"/>
      <c r="CB278" s="2213"/>
      <c r="CC278" s="2213"/>
      <c r="CD278" s="2213"/>
      <c r="CE278" s="2213"/>
      <c r="CF278" s="2208"/>
      <c r="CG278" s="2217">
        <f t="shared" si="142"/>
        <v>25.184320599207421</v>
      </c>
      <c r="CH278" s="2217">
        <f t="shared" si="123"/>
        <v>6287.096203229572</v>
      </c>
      <c r="CI278" s="2217">
        <f t="shared" si="132"/>
        <v>36.484320599207422</v>
      </c>
      <c r="CJ278" s="2212">
        <v>57</v>
      </c>
      <c r="CK278" s="2219"/>
      <c r="CL278" s="2213"/>
      <c r="CM278" s="2219"/>
      <c r="CN278" s="2213"/>
      <c r="CO278" s="2213"/>
      <c r="CP278" s="2213"/>
      <c r="CQ278" s="2213"/>
      <c r="CR278" s="2208"/>
      <c r="CS278" s="2217">
        <f t="shared" si="143"/>
        <v>17.602824999989846</v>
      </c>
      <c r="CT278" s="2217">
        <f t="shared" si="133"/>
        <v>5577.6086999986346</v>
      </c>
      <c r="CU278" s="2217">
        <f t="shared" si="124"/>
        <v>21.409499999992477</v>
      </c>
      <c r="CV278" s="2212">
        <v>57</v>
      </c>
      <c r="CW278" s="2208"/>
      <c r="CX278" s="263"/>
      <c r="CY278" s="2208"/>
      <c r="CZ278" s="263"/>
      <c r="DA278" s="263"/>
      <c r="DB278" s="263"/>
      <c r="DC278" s="263"/>
      <c r="DD278" s="2208"/>
    </row>
    <row r="279" spans="1:108">
      <c r="A279" s="2217">
        <f t="shared" si="134"/>
        <v>31.016497681289724</v>
      </c>
      <c r="B279" s="2217">
        <f t="shared" si="125"/>
        <v>6250.6118826303646</v>
      </c>
      <c r="C279" s="2217">
        <f t="shared" si="126"/>
        <v>36.79695450546933</v>
      </c>
      <c r="D279" s="2212">
        <v>56</v>
      </c>
      <c r="E279" s="2219"/>
      <c r="F279" s="2213"/>
      <c r="G279" s="2219"/>
      <c r="H279" s="2213"/>
      <c r="I279" s="2213"/>
      <c r="J279" s="2213"/>
      <c r="K279" s="2213"/>
      <c r="L279" s="2213"/>
      <c r="M279" s="2217">
        <f t="shared" si="135"/>
        <v>33.592284496672576</v>
      </c>
      <c r="N279" s="2217">
        <f t="shared" si="117"/>
        <v>6250.6118826303646</v>
      </c>
      <c r="O279" s="2217">
        <f t="shared" si="127"/>
        <v>36.79695450546933</v>
      </c>
      <c r="P279" s="2212">
        <v>56</v>
      </c>
      <c r="Q279" s="2219"/>
      <c r="R279" s="2213"/>
      <c r="S279" s="2219"/>
      <c r="T279" s="2213"/>
      <c r="U279" s="2213"/>
      <c r="V279" s="2213"/>
      <c r="W279" s="2213"/>
      <c r="X279" s="2213"/>
      <c r="Y279" s="2217">
        <f t="shared" si="136"/>
        <v>36.904010402164829</v>
      </c>
      <c r="Z279" s="2217">
        <f t="shared" si="118"/>
        <v>6250.6118826303646</v>
      </c>
      <c r="AA279" s="2217">
        <f t="shared" si="128"/>
        <v>36.79695450546933</v>
      </c>
      <c r="AB279" s="2212">
        <v>56</v>
      </c>
      <c r="AC279" s="2219"/>
      <c r="AD279" s="2213"/>
      <c r="AE279" s="2219"/>
      <c r="AF279" s="2213"/>
      <c r="AG279" s="2213"/>
      <c r="AH279" s="2213"/>
      <c r="AI279" s="2213"/>
      <c r="AJ279" s="2213"/>
      <c r="AK279" s="2217">
        <f t="shared" si="137"/>
        <v>21.081319964813009</v>
      </c>
      <c r="AL279" s="2217">
        <f t="shared" si="119"/>
        <v>6250.6118826303646</v>
      </c>
      <c r="AM279" s="2217">
        <f t="shared" si="129"/>
        <v>36.79695450546933</v>
      </c>
      <c r="AN279" s="2212">
        <v>56</v>
      </c>
      <c r="AO279" s="2219"/>
      <c r="AP279" s="2213"/>
      <c r="AQ279" s="2219"/>
      <c r="AR279" s="2213"/>
      <c r="AS279" s="2213"/>
      <c r="AT279" s="2213"/>
      <c r="AU279" s="2213"/>
      <c r="AV279" s="2213"/>
      <c r="AW279" s="2217">
        <f t="shared" si="138"/>
        <v>11.735601999989687</v>
      </c>
      <c r="AX279" s="2217">
        <f t="shared" si="139"/>
        <v>5556.1991999986421</v>
      </c>
      <c r="AY279" s="2217">
        <f t="shared" si="120"/>
        <v>21.731699999990269</v>
      </c>
      <c r="AZ279" s="2212">
        <v>56</v>
      </c>
      <c r="BA279" s="2208"/>
      <c r="BB279" s="263"/>
      <c r="BC279" s="2208"/>
      <c r="BD279" s="263"/>
      <c r="BE279" s="263"/>
      <c r="BF279" s="263"/>
      <c r="BG279" s="263"/>
      <c r="BH279" s="2208"/>
      <c r="BI279" s="2217">
        <f t="shared" si="140"/>
        <v>18.472428999986672</v>
      </c>
      <c r="BJ279" s="2217">
        <f t="shared" si="130"/>
        <v>5556.1991999986421</v>
      </c>
      <c r="BK279" s="2217">
        <f t="shared" si="121"/>
        <v>21.731699999990269</v>
      </c>
      <c r="BL279" s="2212">
        <v>56</v>
      </c>
      <c r="BM279" s="2208"/>
      <c r="BN279" s="263"/>
      <c r="BO279" s="2208"/>
      <c r="BP279" s="263"/>
      <c r="BQ279" s="263"/>
      <c r="BR279" s="263"/>
      <c r="BS279" s="263"/>
      <c r="BT279" s="2208"/>
      <c r="BU279" s="2217">
        <f t="shared" si="141"/>
        <v>21.081319964813009</v>
      </c>
      <c r="BV279" s="2217">
        <f t="shared" si="122"/>
        <v>6250.6118826303646</v>
      </c>
      <c r="BW279" s="2217">
        <f t="shared" si="131"/>
        <v>36.79695450546933</v>
      </c>
      <c r="BX279" s="2212">
        <v>56</v>
      </c>
      <c r="BY279" s="2219"/>
      <c r="BZ279" s="2213"/>
      <c r="CA279" s="2219"/>
      <c r="CB279" s="2213"/>
      <c r="CC279" s="2213"/>
      <c r="CD279" s="2213"/>
      <c r="CE279" s="2213"/>
      <c r="CF279" s="2208"/>
      <c r="CG279" s="2217">
        <f t="shared" si="142"/>
        <v>25.496954505469329</v>
      </c>
      <c r="CH279" s="2217">
        <f t="shared" si="123"/>
        <v>6250.6118826303646</v>
      </c>
      <c r="CI279" s="2217">
        <f t="shared" si="132"/>
        <v>36.79695450546933</v>
      </c>
      <c r="CJ279" s="2212">
        <v>56</v>
      </c>
      <c r="CK279" s="2219"/>
      <c r="CL279" s="2213"/>
      <c r="CM279" s="2219"/>
      <c r="CN279" s="2213"/>
      <c r="CO279" s="2213"/>
      <c r="CP279" s="2213"/>
      <c r="CQ279" s="2213"/>
      <c r="CR279" s="2208"/>
      <c r="CS279" s="2217">
        <f t="shared" si="143"/>
        <v>18.037794999986865</v>
      </c>
      <c r="CT279" s="2217">
        <f t="shared" si="133"/>
        <v>5556.1991999986421</v>
      </c>
      <c r="CU279" s="2217">
        <f t="shared" si="124"/>
        <v>21.731699999990269</v>
      </c>
      <c r="CV279" s="2212">
        <v>56</v>
      </c>
      <c r="CW279" s="2208"/>
      <c r="CX279" s="263"/>
      <c r="CY279" s="2208"/>
      <c r="CZ279" s="263"/>
      <c r="DA279" s="263"/>
      <c r="DB279" s="263"/>
      <c r="DC279" s="263"/>
      <c r="DD279" s="2208"/>
    </row>
    <row r="280" spans="1:108">
      <c r="A280" s="2217">
        <f t="shared" si="134"/>
        <v>31.377339577584547</v>
      </c>
      <c r="B280" s="2217">
        <f t="shared" si="125"/>
        <v>6213.8149281248952</v>
      </c>
      <c r="C280" s="2217">
        <f t="shared" si="126"/>
        <v>37.110730067464829</v>
      </c>
      <c r="D280" s="2212">
        <v>55</v>
      </c>
      <c r="E280" s="2219"/>
      <c r="F280" s="2213"/>
      <c r="G280" s="2219"/>
      <c r="H280" s="2213"/>
      <c r="I280" s="2213"/>
      <c r="J280" s="2213"/>
      <c r="K280" s="2213"/>
      <c r="L280" s="2213"/>
      <c r="M280" s="2217">
        <f t="shared" si="135"/>
        <v>33.975090682307084</v>
      </c>
      <c r="N280" s="2217">
        <f t="shared" si="117"/>
        <v>6213.8149281248952</v>
      </c>
      <c r="O280" s="2217">
        <f t="shared" si="127"/>
        <v>37.110730067464829</v>
      </c>
      <c r="P280" s="2212">
        <v>55</v>
      </c>
      <c r="Q280" s="2219"/>
      <c r="R280" s="2213"/>
      <c r="S280" s="2219"/>
      <c r="T280" s="2213"/>
      <c r="U280" s="2213"/>
      <c r="V280" s="2213"/>
      <c r="W280" s="2213"/>
      <c r="X280" s="2213"/>
      <c r="Y280" s="2217">
        <f t="shared" si="136"/>
        <v>37.31505638837892</v>
      </c>
      <c r="Z280" s="2217">
        <f t="shared" si="118"/>
        <v>6213.8149281248952</v>
      </c>
      <c r="AA280" s="2217">
        <f t="shared" si="128"/>
        <v>37.110730067464829</v>
      </c>
      <c r="AB280" s="2212">
        <v>55</v>
      </c>
      <c r="AC280" s="2219"/>
      <c r="AD280" s="2213"/>
      <c r="AE280" s="2219"/>
      <c r="AF280" s="2213"/>
      <c r="AG280" s="2213"/>
      <c r="AH280" s="2213"/>
      <c r="AI280" s="2213"/>
      <c r="AJ280" s="2213"/>
      <c r="AK280" s="2217">
        <f t="shared" si="137"/>
        <v>21.357442459369043</v>
      </c>
      <c r="AL280" s="2217">
        <f t="shared" si="119"/>
        <v>6213.8149281248952</v>
      </c>
      <c r="AM280" s="2217">
        <f t="shared" si="129"/>
        <v>37.110730067464829</v>
      </c>
      <c r="AN280" s="2212">
        <v>55</v>
      </c>
      <c r="AO280" s="2219"/>
      <c r="AP280" s="2213"/>
      <c r="AQ280" s="2219"/>
      <c r="AR280" s="2213"/>
      <c r="AS280" s="2213"/>
      <c r="AT280" s="2213"/>
      <c r="AU280" s="2213"/>
      <c r="AV280" s="2213"/>
      <c r="AW280" s="2217">
        <f t="shared" si="138"/>
        <v>12.080949999989279</v>
      </c>
      <c r="AX280" s="2217">
        <f t="shared" si="139"/>
        <v>5534.4674999986519</v>
      </c>
      <c r="AY280" s="2217">
        <f t="shared" si="120"/>
        <v>22.057499999989886</v>
      </c>
      <c r="AZ280" s="2212">
        <v>55</v>
      </c>
      <c r="BA280" s="2208"/>
      <c r="BB280" s="263"/>
      <c r="BC280" s="2208"/>
      <c r="BD280" s="263"/>
      <c r="BE280" s="263"/>
      <c r="BF280" s="263"/>
      <c r="BG280" s="263"/>
      <c r="BH280" s="2208"/>
      <c r="BI280" s="2217">
        <f t="shared" si="140"/>
        <v>18.918774999986145</v>
      </c>
      <c r="BJ280" s="2217">
        <f t="shared" si="130"/>
        <v>5534.4674999986519</v>
      </c>
      <c r="BK280" s="2217">
        <f t="shared" si="121"/>
        <v>22.057499999989886</v>
      </c>
      <c r="BL280" s="2212">
        <v>55</v>
      </c>
      <c r="BM280" s="2208"/>
      <c r="BN280" s="263"/>
      <c r="BO280" s="2208"/>
      <c r="BP280" s="263"/>
      <c r="BQ280" s="263"/>
      <c r="BR280" s="263"/>
      <c r="BS280" s="263"/>
      <c r="BT280" s="2208"/>
      <c r="BU280" s="2217">
        <f t="shared" si="141"/>
        <v>21.357442459369043</v>
      </c>
      <c r="BV280" s="2217">
        <f t="shared" si="122"/>
        <v>6213.8149281248952</v>
      </c>
      <c r="BW280" s="2217">
        <f t="shared" si="131"/>
        <v>37.110730067464829</v>
      </c>
      <c r="BX280" s="2212">
        <v>55</v>
      </c>
      <c r="BY280" s="2219"/>
      <c r="BZ280" s="2213"/>
      <c r="CA280" s="2219"/>
      <c r="CB280" s="2213"/>
      <c r="CC280" s="2213"/>
      <c r="CD280" s="2213"/>
      <c r="CE280" s="2213"/>
      <c r="CF280" s="2208"/>
      <c r="CG280" s="2217">
        <f t="shared" si="142"/>
        <v>25.810730067464828</v>
      </c>
      <c r="CH280" s="2217">
        <f t="shared" si="123"/>
        <v>6213.8149281248952</v>
      </c>
      <c r="CI280" s="2217">
        <f t="shared" si="132"/>
        <v>37.110730067464829</v>
      </c>
      <c r="CJ280" s="2212">
        <v>55</v>
      </c>
      <c r="CK280" s="2219"/>
      <c r="CL280" s="2213"/>
      <c r="CM280" s="2219"/>
      <c r="CN280" s="2213"/>
      <c r="CO280" s="2213"/>
      <c r="CP280" s="2213"/>
      <c r="CQ280" s="2213"/>
      <c r="CR280" s="2208"/>
      <c r="CS280" s="2217">
        <f t="shared" si="143"/>
        <v>18.477624999986347</v>
      </c>
      <c r="CT280" s="2217">
        <f t="shared" si="133"/>
        <v>5534.4674999986519</v>
      </c>
      <c r="CU280" s="2217">
        <f t="shared" si="124"/>
        <v>22.057499999989886</v>
      </c>
      <c r="CV280" s="2212">
        <v>55</v>
      </c>
      <c r="CW280" s="2208"/>
      <c r="CX280" s="263"/>
      <c r="CY280" s="2208"/>
      <c r="CZ280" s="263"/>
      <c r="DA280" s="263"/>
      <c r="DB280" s="263"/>
      <c r="DC280" s="263"/>
      <c r="DD280" s="2208"/>
    </row>
    <row r="281" spans="1:108">
      <c r="A281" s="2217">
        <f t="shared" si="134"/>
        <v>31.739494377974051</v>
      </c>
      <c r="B281" s="2217">
        <f t="shared" si="125"/>
        <v>6176.7041980574304</v>
      </c>
      <c r="C281" s="2217">
        <f t="shared" si="126"/>
        <v>37.425647285194827</v>
      </c>
      <c r="D281" s="2212">
        <v>54</v>
      </c>
      <c r="E281" s="2219"/>
      <c r="F281" s="2213"/>
      <c r="G281" s="2219"/>
      <c r="H281" s="2213"/>
      <c r="I281" s="2213"/>
      <c r="J281" s="2213"/>
      <c r="K281" s="2213"/>
      <c r="L281" s="2213"/>
      <c r="M281" s="2217">
        <f t="shared" si="135"/>
        <v>34.359289687937689</v>
      </c>
      <c r="N281" s="2217">
        <f t="shared" si="117"/>
        <v>6176.7041980574304</v>
      </c>
      <c r="O281" s="2217">
        <f t="shared" si="127"/>
        <v>37.425647285194827</v>
      </c>
      <c r="P281" s="2212">
        <v>54</v>
      </c>
      <c r="Q281" s="2219"/>
      <c r="R281" s="2213"/>
      <c r="S281" s="2219"/>
      <c r="T281" s="2213"/>
      <c r="U281" s="2213"/>
      <c r="V281" s="2213"/>
      <c r="W281" s="2213"/>
      <c r="X281" s="2213"/>
      <c r="Y281" s="2217">
        <f t="shared" si="136"/>
        <v>37.727597943605218</v>
      </c>
      <c r="Z281" s="2217">
        <f t="shared" si="118"/>
        <v>6176.7041980574304</v>
      </c>
      <c r="AA281" s="2217">
        <f t="shared" si="128"/>
        <v>37.425647285194827</v>
      </c>
      <c r="AB281" s="2212">
        <v>54</v>
      </c>
      <c r="AC281" s="2219"/>
      <c r="AD281" s="2213"/>
      <c r="AE281" s="2219"/>
      <c r="AF281" s="2213"/>
      <c r="AG281" s="2213"/>
      <c r="AH281" s="2213"/>
      <c r="AI281" s="2213"/>
      <c r="AJ281" s="2213"/>
      <c r="AK281" s="2217">
        <f t="shared" si="137"/>
        <v>21.634569610971443</v>
      </c>
      <c r="AL281" s="2217">
        <f t="shared" si="119"/>
        <v>6176.7041980574304</v>
      </c>
      <c r="AM281" s="2217">
        <f t="shared" si="129"/>
        <v>37.425647285194827</v>
      </c>
      <c r="AN281" s="2212">
        <v>54</v>
      </c>
      <c r="AO281" s="2219"/>
      <c r="AP281" s="2213"/>
      <c r="AQ281" s="2219"/>
      <c r="AR281" s="2213"/>
      <c r="AS281" s="2213"/>
      <c r="AT281" s="2213"/>
      <c r="AU281" s="2213"/>
      <c r="AV281" s="2213"/>
      <c r="AW281" s="2217">
        <f t="shared" si="138"/>
        <v>12.430113999989846</v>
      </c>
      <c r="AX281" s="2217">
        <f t="shared" si="139"/>
        <v>5512.409999998662</v>
      </c>
      <c r="AY281" s="2217">
        <f t="shared" si="120"/>
        <v>22.386899999990419</v>
      </c>
      <c r="AZ281" s="2212">
        <v>54</v>
      </c>
      <c r="BA281" s="2208"/>
      <c r="BB281" s="263"/>
      <c r="BC281" s="2208"/>
      <c r="BD281" s="263"/>
      <c r="BE281" s="263"/>
      <c r="BF281" s="263"/>
      <c r="BG281" s="263"/>
      <c r="BH281" s="2208"/>
      <c r="BI281" s="2217">
        <f t="shared" si="140"/>
        <v>19.370052999986875</v>
      </c>
      <c r="BJ281" s="2217">
        <f t="shared" si="130"/>
        <v>5512.409999998662</v>
      </c>
      <c r="BK281" s="2217">
        <f t="shared" si="121"/>
        <v>22.386899999990419</v>
      </c>
      <c r="BL281" s="2212">
        <v>54</v>
      </c>
      <c r="BM281" s="2208"/>
      <c r="BN281" s="263"/>
      <c r="BO281" s="2208"/>
      <c r="BP281" s="263"/>
      <c r="BQ281" s="263"/>
      <c r="BR281" s="263"/>
      <c r="BS281" s="263"/>
      <c r="BT281" s="2208"/>
      <c r="BU281" s="2217">
        <f t="shared" si="141"/>
        <v>21.634569610971443</v>
      </c>
      <c r="BV281" s="2217">
        <f t="shared" si="122"/>
        <v>6176.7041980574304</v>
      </c>
      <c r="BW281" s="2217">
        <f t="shared" si="131"/>
        <v>37.425647285194827</v>
      </c>
      <c r="BX281" s="2212">
        <v>54</v>
      </c>
      <c r="BY281" s="2219"/>
      <c r="BZ281" s="2213"/>
      <c r="CA281" s="2219"/>
      <c r="CB281" s="2213"/>
      <c r="CC281" s="2213"/>
      <c r="CD281" s="2213"/>
      <c r="CE281" s="2213"/>
      <c r="CF281" s="2208"/>
      <c r="CG281" s="2217">
        <f t="shared" si="142"/>
        <v>26.125647285194827</v>
      </c>
      <c r="CH281" s="2217">
        <f t="shared" si="123"/>
        <v>6176.7041980574304</v>
      </c>
      <c r="CI281" s="2217">
        <f t="shared" si="132"/>
        <v>37.425647285194827</v>
      </c>
      <c r="CJ281" s="2212">
        <v>54</v>
      </c>
      <c r="CK281" s="2219"/>
      <c r="CL281" s="2213"/>
      <c r="CM281" s="2219"/>
      <c r="CN281" s="2213"/>
      <c r="CO281" s="2213"/>
      <c r="CP281" s="2213"/>
      <c r="CQ281" s="2213"/>
      <c r="CR281" s="2208"/>
      <c r="CS281" s="2217">
        <f t="shared" si="143"/>
        <v>18.922314999987066</v>
      </c>
      <c r="CT281" s="2217">
        <f t="shared" si="133"/>
        <v>5512.409999998662</v>
      </c>
      <c r="CU281" s="2217">
        <f t="shared" si="124"/>
        <v>22.386899999990419</v>
      </c>
      <c r="CV281" s="2212">
        <v>54</v>
      </c>
      <c r="CW281" s="2208"/>
      <c r="CX281" s="263"/>
      <c r="CY281" s="2208"/>
      <c r="CZ281" s="263"/>
      <c r="DA281" s="263"/>
      <c r="DB281" s="263"/>
      <c r="DC281" s="263"/>
      <c r="DD281" s="2208"/>
    </row>
    <row r="282" spans="1:108">
      <c r="A282" s="2217">
        <f t="shared" si="134"/>
        <v>32.102962082460309</v>
      </c>
      <c r="B282" s="2217">
        <f t="shared" si="125"/>
        <v>6139.2785507722356</v>
      </c>
      <c r="C282" s="2217">
        <f t="shared" si="126"/>
        <v>37.741706158661145</v>
      </c>
      <c r="D282" s="2212">
        <v>53</v>
      </c>
      <c r="E282" s="2219"/>
      <c r="F282" s="2213"/>
      <c r="G282" s="2219"/>
      <c r="H282" s="2213"/>
      <c r="I282" s="2213"/>
      <c r="J282" s="2213"/>
      <c r="K282" s="2213"/>
      <c r="L282" s="2213"/>
      <c r="M282" s="2217">
        <f t="shared" si="135"/>
        <v>34.744881513566597</v>
      </c>
      <c r="N282" s="2217">
        <f t="shared" si="117"/>
        <v>6139.2785507722356</v>
      </c>
      <c r="O282" s="2217">
        <f t="shared" si="127"/>
        <v>37.741706158661145</v>
      </c>
      <c r="P282" s="2212">
        <v>53</v>
      </c>
      <c r="Q282" s="2219"/>
      <c r="R282" s="2213"/>
      <c r="S282" s="2219"/>
      <c r="T282" s="2213"/>
      <c r="U282" s="2213"/>
      <c r="V282" s="2213"/>
      <c r="W282" s="2213"/>
      <c r="X282" s="2213"/>
      <c r="Y282" s="2217">
        <f t="shared" si="136"/>
        <v>38.141635067846096</v>
      </c>
      <c r="Z282" s="2217">
        <f t="shared" si="118"/>
        <v>6139.2785507722356</v>
      </c>
      <c r="AA282" s="2217">
        <f t="shared" si="128"/>
        <v>37.741706158661145</v>
      </c>
      <c r="AB282" s="2212">
        <v>53</v>
      </c>
      <c r="AC282" s="2219"/>
      <c r="AD282" s="2213"/>
      <c r="AE282" s="2219"/>
      <c r="AF282" s="2213"/>
      <c r="AG282" s="2213"/>
      <c r="AH282" s="2213"/>
      <c r="AI282" s="2213"/>
      <c r="AJ282" s="2213"/>
      <c r="AK282" s="2217">
        <f t="shared" si="137"/>
        <v>21.912701419621801</v>
      </c>
      <c r="AL282" s="2217">
        <f t="shared" si="119"/>
        <v>6139.2785507722356</v>
      </c>
      <c r="AM282" s="2217">
        <f t="shared" si="129"/>
        <v>37.741706158661145</v>
      </c>
      <c r="AN282" s="2212">
        <v>53</v>
      </c>
      <c r="AO282" s="2219"/>
      <c r="AP282" s="2213"/>
      <c r="AQ282" s="2219"/>
      <c r="AR282" s="2213"/>
      <c r="AS282" s="2213"/>
      <c r="AT282" s="2213"/>
      <c r="AU282" s="2213"/>
      <c r="AV282" s="2213"/>
      <c r="AW282" s="2217">
        <f t="shared" si="138"/>
        <v>12.783093999988488</v>
      </c>
      <c r="AX282" s="2217">
        <f t="shared" si="139"/>
        <v>5490.0230999986716</v>
      </c>
      <c r="AY282" s="2217">
        <f t="shared" si="120"/>
        <v>22.719899999989138</v>
      </c>
      <c r="AZ282" s="2212">
        <v>53</v>
      </c>
      <c r="BA282" s="2208"/>
      <c r="BB282" s="263"/>
      <c r="BC282" s="2208"/>
      <c r="BD282" s="263"/>
      <c r="BE282" s="263"/>
      <c r="BF282" s="263"/>
      <c r="BG282" s="263"/>
      <c r="BH282" s="2208"/>
      <c r="BI282" s="2217">
        <f t="shared" si="140"/>
        <v>19.826262999985122</v>
      </c>
      <c r="BJ282" s="2217">
        <f t="shared" si="130"/>
        <v>5490.0230999986716</v>
      </c>
      <c r="BK282" s="2217">
        <f t="shared" si="121"/>
        <v>22.719899999989138</v>
      </c>
      <c r="BL282" s="2212">
        <v>53</v>
      </c>
      <c r="BM282" s="2208"/>
      <c r="BN282" s="263"/>
      <c r="BO282" s="2208"/>
      <c r="BP282" s="263"/>
      <c r="BQ282" s="263"/>
      <c r="BR282" s="263"/>
      <c r="BS282" s="263"/>
      <c r="BT282" s="2208"/>
      <c r="BU282" s="2217">
        <f t="shared" si="141"/>
        <v>21.912701419621801</v>
      </c>
      <c r="BV282" s="2217">
        <f t="shared" si="122"/>
        <v>6139.2785507722356</v>
      </c>
      <c r="BW282" s="2217">
        <f t="shared" si="131"/>
        <v>37.741706158661145</v>
      </c>
      <c r="BX282" s="2212">
        <v>53</v>
      </c>
      <c r="BY282" s="2219"/>
      <c r="BZ282" s="2213"/>
      <c r="CA282" s="2219"/>
      <c r="CB282" s="2213"/>
      <c r="CC282" s="2213"/>
      <c r="CD282" s="2213"/>
      <c r="CE282" s="2213"/>
      <c r="CF282" s="2208"/>
      <c r="CG282" s="2217">
        <f t="shared" si="142"/>
        <v>26.441706158661145</v>
      </c>
      <c r="CH282" s="2217">
        <f t="shared" si="123"/>
        <v>6139.2785507722356</v>
      </c>
      <c r="CI282" s="2217">
        <f t="shared" si="132"/>
        <v>37.741706158661145</v>
      </c>
      <c r="CJ282" s="2212">
        <v>53</v>
      </c>
      <c r="CK282" s="2219"/>
      <c r="CL282" s="2213"/>
      <c r="CM282" s="2219"/>
      <c r="CN282" s="2213"/>
      <c r="CO282" s="2213"/>
      <c r="CP282" s="2213"/>
      <c r="CQ282" s="2213"/>
      <c r="CR282" s="2208"/>
      <c r="CS282" s="2217">
        <f t="shared" si="143"/>
        <v>19.371864999985338</v>
      </c>
      <c r="CT282" s="2217">
        <f t="shared" si="133"/>
        <v>5490.0230999986716</v>
      </c>
      <c r="CU282" s="2217">
        <f t="shared" si="124"/>
        <v>22.719899999989138</v>
      </c>
      <c r="CV282" s="2212">
        <v>53</v>
      </c>
      <c r="CW282" s="2208"/>
      <c r="CX282" s="263"/>
      <c r="CY282" s="2208"/>
      <c r="CZ282" s="263"/>
      <c r="DA282" s="263"/>
      <c r="DB282" s="263"/>
      <c r="DC282" s="263"/>
      <c r="DD282" s="2208"/>
    </row>
    <row r="283" spans="1:108">
      <c r="A283" s="2217">
        <f t="shared" si="134"/>
        <v>32.467742691040215</v>
      </c>
      <c r="B283" s="2217">
        <f t="shared" si="125"/>
        <v>6101.5368446135744</v>
      </c>
      <c r="C283" s="2217">
        <f t="shared" si="126"/>
        <v>38.058906687861054</v>
      </c>
      <c r="D283" s="2212">
        <v>52</v>
      </c>
      <c r="E283" s="2219"/>
      <c r="F283" s="2213"/>
      <c r="G283" s="2219"/>
      <c r="H283" s="2213"/>
      <c r="I283" s="2213"/>
      <c r="J283" s="2213"/>
      <c r="K283" s="2213"/>
      <c r="L283" s="2213"/>
      <c r="M283" s="2217">
        <f t="shared" si="135"/>
        <v>35.13186615919048</v>
      </c>
      <c r="N283" s="2217">
        <f t="shared" si="117"/>
        <v>6101.5368446135744</v>
      </c>
      <c r="O283" s="2217">
        <f t="shared" si="127"/>
        <v>38.058906687861054</v>
      </c>
      <c r="P283" s="2212">
        <v>52</v>
      </c>
      <c r="Q283" s="2219"/>
      <c r="R283" s="2213"/>
      <c r="S283" s="2219"/>
      <c r="T283" s="2213"/>
      <c r="U283" s="2213"/>
      <c r="V283" s="2213"/>
      <c r="W283" s="2213"/>
      <c r="X283" s="2213"/>
      <c r="Y283" s="2217">
        <f t="shared" si="136"/>
        <v>38.557167761097986</v>
      </c>
      <c r="Z283" s="2217">
        <f t="shared" si="118"/>
        <v>6101.5368446135744</v>
      </c>
      <c r="AA283" s="2217">
        <f t="shared" si="128"/>
        <v>38.058906687861054</v>
      </c>
      <c r="AB283" s="2212">
        <v>52</v>
      </c>
      <c r="AC283" s="2219"/>
      <c r="AD283" s="2213"/>
      <c r="AE283" s="2219"/>
      <c r="AF283" s="2213"/>
      <c r="AG283" s="2213"/>
      <c r="AH283" s="2213"/>
      <c r="AI283" s="2213"/>
      <c r="AJ283" s="2213"/>
      <c r="AK283" s="2217">
        <f t="shared" si="137"/>
        <v>22.191837885317721</v>
      </c>
      <c r="AL283" s="2217">
        <f t="shared" si="119"/>
        <v>6101.5368446135744</v>
      </c>
      <c r="AM283" s="2217">
        <f t="shared" si="129"/>
        <v>38.058906687861054</v>
      </c>
      <c r="AN283" s="2212">
        <v>52</v>
      </c>
      <c r="AO283" s="2219"/>
      <c r="AP283" s="2213"/>
      <c r="AQ283" s="2219"/>
      <c r="AR283" s="2213"/>
      <c r="AS283" s="2213"/>
      <c r="AT283" s="2213"/>
      <c r="AU283" s="2213"/>
      <c r="AV283" s="2213"/>
      <c r="AW283" s="2217">
        <f t="shared" si="138"/>
        <v>13.13988999998617</v>
      </c>
      <c r="AX283" s="2217">
        <f t="shared" si="139"/>
        <v>5467.3031999986824</v>
      </c>
      <c r="AY283" s="2217">
        <f t="shared" si="120"/>
        <v>23.056499999986954</v>
      </c>
      <c r="AZ283" s="2212">
        <v>52</v>
      </c>
      <c r="BA283" s="2208"/>
      <c r="BB283" s="263"/>
      <c r="BC283" s="2208"/>
      <c r="BD283" s="263"/>
      <c r="BE283" s="263"/>
      <c r="BF283" s="263"/>
      <c r="BG283" s="263"/>
      <c r="BH283" s="2208"/>
      <c r="BI283" s="2217">
        <f t="shared" si="140"/>
        <v>20.28740499998213</v>
      </c>
      <c r="BJ283" s="2217">
        <f t="shared" si="130"/>
        <v>5467.3031999986824</v>
      </c>
      <c r="BK283" s="2217">
        <f t="shared" si="121"/>
        <v>23.056499999986954</v>
      </c>
      <c r="BL283" s="2212">
        <v>52</v>
      </c>
      <c r="BM283" s="2208"/>
      <c r="BN283" s="263"/>
      <c r="BO283" s="2208"/>
      <c r="BP283" s="263"/>
      <c r="BQ283" s="263"/>
      <c r="BR283" s="263"/>
      <c r="BS283" s="263"/>
      <c r="BT283" s="2208"/>
      <c r="BU283" s="2217">
        <f t="shared" si="141"/>
        <v>22.191837885317721</v>
      </c>
      <c r="BV283" s="2217">
        <f t="shared" si="122"/>
        <v>6101.5368446135744</v>
      </c>
      <c r="BW283" s="2217">
        <f t="shared" si="131"/>
        <v>38.058906687861054</v>
      </c>
      <c r="BX283" s="2212">
        <v>52</v>
      </c>
      <c r="BY283" s="2219"/>
      <c r="BZ283" s="2213"/>
      <c r="CA283" s="2219"/>
      <c r="CB283" s="2213"/>
      <c r="CC283" s="2213"/>
      <c r="CD283" s="2213"/>
      <c r="CE283" s="2213"/>
      <c r="CF283" s="2208"/>
      <c r="CG283" s="2217">
        <f t="shared" si="142"/>
        <v>26.758906687861053</v>
      </c>
      <c r="CH283" s="2217">
        <f t="shared" si="123"/>
        <v>6101.5368446135744</v>
      </c>
      <c r="CI283" s="2217">
        <f t="shared" si="132"/>
        <v>38.058906687861054</v>
      </c>
      <c r="CJ283" s="2212">
        <v>52</v>
      </c>
      <c r="CK283" s="2219"/>
      <c r="CL283" s="2213"/>
      <c r="CM283" s="2219"/>
      <c r="CN283" s="2213"/>
      <c r="CO283" s="2213"/>
      <c r="CP283" s="2213"/>
      <c r="CQ283" s="2213"/>
      <c r="CR283" s="2208"/>
      <c r="CS283" s="2217">
        <f t="shared" si="143"/>
        <v>19.826274999982388</v>
      </c>
      <c r="CT283" s="2217">
        <f t="shared" si="133"/>
        <v>5467.3031999986824</v>
      </c>
      <c r="CU283" s="2217">
        <f t="shared" si="124"/>
        <v>23.056499999986954</v>
      </c>
      <c r="CV283" s="2212">
        <v>52</v>
      </c>
      <c r="CW283" s="2208"/>
      <c r="CX283" s="263"/>
      <c r="CY283" s="2208"/>
      <c r="CZ283" s="263"/>
      <c r="DA283" s="263"/>
      <c r="DB283" s="263"/>
      <c r="DC283" s="263"/>
      <c r="DD283" s="2208"/>
    </row>
    <row r="284" spans="1:108">
      <c r="A284" s="2217">
        <f t="shared" si="134"/>
        <v>32.83383620371373</v>
      </c>
      <c r="B284" s="2217">
        <f t="shared" si="125"/>
        <v>6063.4779379257134</v>
      </c>
      <c r="C284" s="2217">
        <f t="shared" si="126"/>
        <v>38.377248872794553</v>
      </c>
      <c r="D284" s="2212">
        <v>51</v>
      </c>
      <c r="E284" s="2219"/>
      <c r="F284" s="2213"/>
      <c r="G284" s="2219"/>
      <c r="H284" s="2213"/>
      <c r="I284" s="2213"/>
      <c r="J284" s="2213"/>
      <c r="K284" s="2213"/>
      <c r="L284" s="2213"/>
      <c r="M284" s="2217">
        <f t="shared" si="135"/>
        <v>35.520243624809353</v>
      </c>
      <c r="N284" s="2217">
        <f t="shared" si="117"/>
        <v>6063.4779379257134</v>
      </c>
      <c r="O284" s="2217">
        <f t="shared" si="127"/>
        <v>38.377248872794553</v>
      </c>
      <c r="P284" s="2212">
        <v>51</v>
      </c>
      <c r="Q284" s="2219"/>
      <c r="R284" s="2213"/>
      <c r="S284" s="2219"/>
      <c r="T284" s="2213"/>
      <c r="U284" s="2213"/>
      <c r="V284" s="2213"/>
      <c r="W284" s="2213"/>
      <c r="X284" s="2213"/>
      <c r="Y284" s="2217">
        <f t="shared" si="136"/>
        <v>38.974196023360861</v>
      </c>
      <c r="Z284" s="2217">
        <f t="shared" si="118"/>
        <v>6063.4779379257134</v>
      </c>
      <c r="AA284" s="2217">
        <f t="shared" si="128"/>
        <v>38.377248872794553</v>
      </c>
      <c r="AB284" s="2212">
        <v>51</v>
      </c>
      <c r="AC284" s="2219"/>
      <c r="AD284" s="2213"/>
      <c r="AE284" s="2219"/>
      <c r="AF284" s="2213"/>
      <c r="AG284" s="2213"/>
      <c r="AH284" s="2213"/>
      <c r="AI284" s="2213"/>
      <c r="AJ284" s="2213"/>
      <c r="AK284" s="2217">
        <f t="shared" si="137"/>
        <v>22.471979008059204</v>
      </c>
      <c r="AL284" s="2217">
        <f t="shared" si="119"/>
        <v>6063.4779379257134</v>
      </c>
      <c r="AM284" s="2217">
        <f t="shared" si="129"/>
        <v>38.377248872794553</v>
      </c>
      <c r="AN284" s="2212">
        <v>51</v>
      </c>
      <c r="AO284" s="2219"/>
      <c r="AP284" s="2213"/>
      <c r="AQ284" s="2219"/>
      <c r="AR284" s="2213"/>
      <c r="AS284" s="2213"/>
      <c r="AT284" s="2213"/>
      <c r="AU284" s="2213"/>
      <c r="AV284" s="2213"/>
      <c r="AW284" s="2217">
        <f t="shared" si="138"/>
        <v>13.500501999983864</v>
      </c>
      <c r="AX284" s="2217">
        <f t="shared" si="139"/>
        <v>5444.2466999986955</v>
      </c>
      <c r="AY284" s="2217">
        <f t="shared" si="120"/>
        <v>23.396699999984776</v>
      </c>
      <c r="AZ284" s="2212">
        <v>51</v>
      </c>
      <c r="BA284" s="2208"/>
      <c r="BB284" s="263"/>
      <c r="BC284" s="2208"/>
      <c r="BD284" s="263"/>
      <c r="BE284" s="263"/>
      <c r="BF284" s="263"/>
      <c r="BG284" s="263"/>
      <c r="BH284" s="2208"/>
      <c r="BI284" s="2217">
        <f t="shared" si="140"/>
        <v>20.753478999979148</v>
      </c>
      <c r="BJ284" s="2217">
        <f t="shared" si="130"/>
        <v>5444.2466999986955</v>
      </c>
      <c r="BK284" s="2217">
        <f t="shared" si="121"/>
        <v>23.396699999984776</v>
      </c>
      <c r="BL284" s="2212">
        <v>51</v>
      </c>
      <c r="BM284" s="2208"/>
      <c r="BN284" s="263"/>
      <c r="BO284" s="2208"/>
      <c r="BP284" s="263"/>
      <c r="BQ284" s="263"/>
      <c r="BR284" s="263"/>
      <c r="BS284" s="263"/>
      <c r="BT284" s="2208"/>
      <c r="BU284" s="2217">
        <f t="shared" si="141"/>
        <v>22.471979008059204</v>
      </c>
      <c r="BV284" s="2217">
        <f t="shared" si="122"/>
        <v>6063.4779379257134</v>
      </c>
      <c r="BW284" s="2217">
        <f t="shared" si="131"/>
        <v>38.377248872794553</v>
      </c>
      <c r="BX284" s="2212">
        <v>51</v>
      </c>
      <c r="BY284" s="2219"/>
      <c r="BZ284" s="2213"/>
      <c r="CA284" s="2219"/>
      <c r="CB284" s="2213"/>
      <c r="CC284" s="2213"/>
      <c r="CD284" s="2213"/>
      <c r="CE284" s="2213"/>
      <c r="CF284" s="2208"/>
      <c r="CG284" s="2217">
        <f t="shared" si="142"/>
        <v>27.077248872794552</v>
      </c>
      <c r="CH284" s="2217">
        <f t="shared" si="123"/>
        <v>6063.4779379257134</v>
      </c>
      <c r="CI284" s="2217">
        <f t="shared" si="132"/>
        <v>38.377248872794553</v>
      </c>
      <c r="CJ284" s="2212">
        <v>51</v>
      </c>
      <c r="CK284" s="2219"/>
      <c r="CL284" s="2213"/>
      <c r="CM284" s="2219"/>
      <c r="CN284" s="2213"/>
      <c r="CO284" s="2213"/>
      <c r="CP284" s="2213"/>
      <c r="CQ284" s="2213"/>
      <c r="CR284" s="2208"/>
      <c r="CS284" s="2217">
        <f t="shared" si="143"/>
        <v>20.28554499997945</v>
      </c>
      <c r="CT284" s="2217">
        <f t="shared" si="133"/>
        <v>5444.2466999986955</v>
      </c>
      <c r="CU284" s="2217">
        <f t="shared" si="124"/>
        <v>23.396699999984776</v>
      </c>
      <c r="CV284" s="2212">
        <v>51</v>
      </c>
      <c r="CW284" s="2208"/>
      <c r="CX284" s="263"/>
      <c r="CY284" s="2208"/>
      <c r="CZ284" s="263"/>
      <c r="DA284" s="263"/>
      <c r="DB284" s="263"/>
      <c r="DC284" s="263"/>
      <c r="DD284" s="2208"/>
    </row>
    <row r="285" spans="1:108">
      <c r="A285" s="2217">
        <f t="shared" si="134"/>
        <v>33.201242620484024</v>
      </c>
      <c r="B285" s="2217">
        <f t="shared" si="125"/>
        <v>6025.1006890529188</v>
      </c>
      <c r="C285" s="2217">
        <f t="shared" si="126"/>
        <v>38.696732713464371</v>
      </c>
      <c r="D285" s="2212">
        <v>50</v>
      </c>
      <c r="E285" s="2219"/>
      <c r="F285" s="2213"/>
      <c r="G285" s="2219"/>
      <c r="H285" s="2213"/>
      <c r="I285" s="2213"/>
      <c r="J285" s="2213"/>
      <c r="K285" s="2213"/>
      <c r="L285" s="2213"/>
      <c r="M285" s="2217">
        <f t="shared" si="135"/>
        <v>35.910013910426528</v>
      </c>
      <c r="N285" s="2217">
        <f t="shared" si="117"/>
        <v>6025.1006890529188</v>
      </c>
      <c r="O285" s="2217">
        <f t="shared" si="127"/>
        <v>38.696732713464371</v>
      </c>
      <c r="P285" s="2212">
        <v>50</v>
      </c>
      <c r="Q285" s="2219"/>
      <c r="R285" s="2213"/>
      <c r="S285" s="2219"/>
      <c r="T285" s="2213"/>
      <c r="U285" s="2213"/>
      <c r="V285" s="2213"/>
      <c r="W285" s="2213"/>
      <c r="X285" s="2213"/>
      <c r="Y285" s="2217">
        <f t="shared" si="136"/>
        <v>39.392719854638329</v>
      </c>
      <c r="Z285" s="2217">
        <f t="shared" si="118"/>
        <v>6025.1006890529188</v>
      </c>
      <c r="AA285" s="2217">
        <f t="shared" si="128"/>
        <v>38.696732713464371</v>
      </c>
      <c r="AB285" s="2212">
        <v>50</v>
      </c>
      <c r="AC285" s="2219"/>
      <c r="AD285" s="2213"/>
      <c r="AE285" s="2219"/>
      <c r="AF285" s="2213"/>
      <c r="AG285" s="2213"/>
      <c r="AH285" s="2213"/>
      <c r="AI285" s="2213"/>
      <c r="AJ285" s="2213"/>
      <c r="AK285" s="2217">
        <f t="shared" si="137"/>
        <v>22.753124787848645</v>
      </c>
      <c r="AL285" s="2217">
        <f t="shared" si="119"/>
        <v>6025.1006890529188</v>
      </c>
      <c r="AM285" s="2217">
        <f t="shared" si="129"/>
        <v>38.696732713464371</v>
      </c>
      <c r="AN285" s="2212">
        <v>50</v>
      </c>
      <c r="AO285" s="2219"/>
      <c r="AP285" s="2213"/>
      <c r="AQ285" s="2219"/>
      <c r="AR285" s="2213"/>
      <c r="AS285" s="2213"/>
      <c r="AT285" s="2213"/>
      <c r="AU285" s="2213"/>
      <c r="AV285" s="2213"/>
      <c r="AW285" s="2217">
        <f t="shared" si="138"/>
        <v>13.86492999998638</v>
      </c>
      <c r="AX285" s="2217">
        <f t="shared" si="139"/>
        <v>5420.8499999987107</v>
      </c>
      <c r="AY285" s="2217">
        <f t="shared" si="120"/>
        <v>23.740499999987151</v>
      </c>
      <c r="AZ285" s="2212">
        <v>50</v>
      </c>
      <c r="BA285" s="2208"/>
      <c r="BB285" s="263"/>
      <c r="BC285" s="2208"/>
      <c r="BD285" s="263"/>
      <c r="BE285" s="263"/>
      <c r="BF285" s="263"/>
      <c r="BG285" s="263"/>
      <c r="BH285" s="2208"/>
      <c r="BI285" s="2217">
        <f t="shared" si="140"/>
        <v>21.224484999982398</v>
      </c>
      <c r="BJ285" s="2217">
        <f t="shared" si="130"/>
        <v>5420.8499999987107</v>
      </c>
      <c r="BK285" s="2217">
        <f t="shared" si="121"/>
        <v>23.740499999987151</v>
      </c>
      <c r="BL285" s="2212">
        <v>50</v>
      </c>
      <c r="BM285" s="2208"/>
      <c r="BN285" s="263"/>
      <c r="BO285" s="2208"/>
      <c r="BP285" s="263"/>
      <c r="BQ285" s="263"/>
      <c r="BR285" s="263"/>
      <c r="BS285" s="263"/>
      <c r="BT285" s="2208"/>
      <c r="BU285" s="2217">
        <f t="shared" si="141"/>
        <v>22.753124787848645</v>
      </c>
      <c r="BV285" s="2217">
        <f t="shared" si="122"/>
        <v>6025.1006890529188</v>
      </c>
      <c r="BW285" s="2217">
        <f t="shared" si="131"/>
        <v>38.696732713464371</v>
      </c>
      <c r="BX285" s="2212">
        <v>50</v>
      </c>
      <c r="BY285" s="2219"/>
      <c r="BZ285" s="2213"/>
      <c r="CA285" s="2219"/>
      <c r="CB285" s="2213"/>
      <c r="CC285" s="2213"/>
      <c r="CD285" s="2213"/>
      <c r="CE285" s="2213"/>
      <c r="CF285" s="2208"/>
      <c r="CG285" s="2217">
        <f t="shared" si="142"/>
        <v>27.39673271346437</v>
      </c>
      <c r="CH285" s="2217">
        <f t="shared" si="123"/>
        <v>6025.1006890529188</v>
      </c>
      <c r="CI285" s="2217">
        <f t="shared" si="132"/>
        <v>38.696732713464371</v>
      </c>
      <c r="CJ285" s="2212">
        <v>50</v>
      </c>
      <c r="CK285" s="2219"/>
      <c r="CL285" s="2213"/>
      <c r="CM285" s="2219"/>
      <c r="CN285" s="2213"/>
      <c r="CO285" s="2213"/>
      <c r="CP285" s="2213"/>
      <c r="CQ285" s="2213"/>
      <c r="CR285" s="2208"/>
      <c r="CS285" s="2217">
        <f t="shared" si="143"/>
        <v>20.749674999982656</v>
      </c>
      <c r="CT285" s="2217">
        <f t="shared" si="133"/>
        <v>5420.8499999987107</v>
      </c>
      <c r="CU285" s="2217">
        <f t="shared" si="124"/>
        <v>23.740499999987151</v>
      </c>
      <c r="CV285" s="2212">
        <v>50</v>
      </c>
      <c r="CW285" s="2208"/>
      <c r="CX285" s="263"/>
      <c r="CY285" s="2208"/>
      <c r="CZ285" s="263"/>
      <c r="DA285" s="263"/>
      <c r="DB285" s="263"/>
      <c r="DC285" s="263"/>
      <c r="DD285" s="2208"/>
    </row>
    <row r="286" spans="1:108">
      <c r="A286" s="2217">
        <f t="shared" si="134"/>
        <v>33.569961941348993</v>
      </c>
      <c r="B286" s="2217">
        <f t="shared" si="125"/>
        <v>5986.4039563394545</v>
      </c>
      <c r="C286" s="2217">
        <f t="shared" si="126"/>
        <v>39.017358209868689</v>
      </c>
      <c r="D286" s="2212">
        <v>49</v>
      </c>
      <c r="E286" s="2219"/>
      <c r="F286" s="2213"/>
      <c r="G286" s="2219"/>
      <c r="H286" s="2213"/>
      <c r="I286" s="2213"/>
      <c r="J286" s="2213"/>
      <c r="K286" s="2213"/>
      <c r="L286" s="2213"/>
      <c r="M286" s="2217">
        <f t="shared" si="135"/>
        <v>36.301177016039802</v>
      </c>
      <c r="N286" s="2217">
        <f t="shared" si="117"/>
        <v>5986.4039563394545</v>
      </c>
      <c r="O286" s="2217">
        <f t="shared" si="127"/>
        <v>39.017358209868689</v>
      </c>
      <c r="P286" s="2212">
        <v>49</v>
      </c>
      <c r="Q286" s="2219"/>
      <c r="R286" s="2213"/>
      <c r="S286" s="2219"/>
      <c r="T286" s="2213"/>
      <c r="U286" s="2213"/>
      <c r="V286" s="2213"/>
      <c r="W286" s="2213"/>
      <c r="X286" s="2213"/>
      <c r="Y286" s="2217">
        <f t="shared" si="136"/>
        <v>39.81273925492799</v>
      </c>
      <c r="Z286" s="2217">
        <f t="shared" si="118"/>
        <v>5986.4039563394545</v>
      </c>
      <c r="AA286" s="2217">
        <f t="shared" si="128"/>
        <v>39.017358209868689</v>
      </c>
      <c r="AB286" s="2212">
        <v>49</v>
      </c>
      <c r="AC286" s="2219"/>
      <c r="AD286" s="2213"/>
      <c r="AE286" s="2219"/>
      <c r="AF286" s="2213"/>
      <c r="AG286" s="2213"/>
      <c r="AH286" s="2213"/>
      <c r="AI286" s="2213"/>
      <c r="AJ286" s="2213"/>
      <c r="AK286" s="2217">
        <f t="shared" si="137"/>
        <v>23.035275224684444</v>
      </c>
      <c r="AL286" s="2217">
        <f t="shared" si="119"/>
        <v>5986.4039563394545</v>
      </c>
      <c r="AM286" s="2217">
        <f t="shared" si="129"/>
        <v>39.017358209868689</v>
      </c>
      <c r="AN286" s="2212">
        <v>49</v>
      </c>
      <c r="AO286" s="2219"/>
      <c r="AP286" s="2213"/>
      <c r="AQ286" s="2219"/>
      <c r="AR286" s="2213"/>
      <c r="AS286" s="2213"/>
      <c r="AT286" s="2213"/>
      <c r="AU286" s="2213"/>
      <c r="AV286" s="2213"/>
      <c r="AW286" s="2217">
        <f t="shared" si="138"/>
        <v>14.233173999982156</v>
      </c>
      <c r="AX286" s="2217">
        <f t="shared" si="139"/>
        <v>5397.1094999987235</v>
      </c>
      <c r="AY286" s="2217">
        <f t="shared" si="120"/>
        <v>24.087899999983165</v>
      </c>
      <c r="AZ286" s="2212">
        <v>49</v>
      </c>
      <c r="BA286" s="2208"/>
      <c r="BB286" s="263"/>
      <c r="BC286" s="2208"/>
      <c r="BD286" s="263"/>
      <c r="BE286" s="263"/>
      <c r="BF286" s="263"/>
      <c r="BG286" s="263"/>
      <c r="BH286" s="2208"/>
      <c r="BI286" s="2217">
        <f t="shared" si="140"/>
        <v>21.70042299997694</v>
      </c>
      <c r="BJ286" s="2217">
        <f t="shared" si="130"/>
        <v>5397.1094999987235</v>
      </c>
      <c r="BK286" s="2217">
        <f t="shared" si="121"/>
        <v>24.087899999983165</v>
      </c>
      <c r="BL286" s="2212">
        <v>49</v>
      </c>
      <c r="BM286" s="2208"/>
      <c r="BN286" s="263"/>
      <c r="BO286" s="2208"/>
      <c r="BP286" s="263"/>
      <c r="BQ286" s="263"/>
      <c r="BR286" s="263"/>
      <c r="BS286" s="263"/>
      <c r="BT286" s="2208"/>
      <c r="BU286" s="2217">
        <f t="shared" si="141"/>
        <v>23.035275224684444</v>
      </c>
      <c r="BV286" s="2217">
        <f t="shared" si="122"/>
        <v>5986.4039563394545</v>
      </c>
      <c r="BW286" s="2217">
        <f t="shared" si="131"/>
        <v>39.017358209868689</v>
      </c>
      <c r="BX286" s="2212">
        <v>49</v>
      </c>
      <c r="BY286" s="2219"/>
      <c r="BZ286" s="2213"/>
      <c r="CA286" s="2219"/>
      <c r="CB286" s="2213"/>
      <c r="CC286" s="2213"/>
      <c r="CD286" s="2213"/>
      <c r="CE286" s="2213"/>
      <c r="CF286" s="2208"/>
      <c r="CG286" s="2217">
        <f t="shared" si="142"/>
        <v>27.717358209868689</v>
      </c>
      <c r="CH286" s="2217">
        <f t="shared" si="123"/>
        <v>5986.4039563394545</v>
      </c>
      <c r="CI286" s="2217">
        <f t="shared" si="132"/>
        <v>39.017358209868689</v>
      </c>
      <c r="CJ286" s="2212">
        <v>49</v>
      </c>
      <c r="CK286" s="2219"/>
      <c r="CL286" s="2213"/>
      <c r="CM286" s="2219"/>
      <c r="CN286" s="2213"/>
      <c r="CO286" s="2213"/>
      <c r="CP286" s="2213"/>
      <c r="CQ286" s="2213"/>
      <c r="CR286" s="2208"/>
      <c r="CS286" s="2217">
        <f t="shared" si="143"/>
        <v>21.218664999977275</v>
      </c>
      <c r="CT286" s="2217">
        <f t="shared" si="133"/>
        <v>5397.1094999987235</v>
      </c>
      <c r="CU286" s="2217">
        <f t="shared" si="124"/>
        <v>24.087899999983165</v>
      </c>
      <c r="CV286" s="2212">
        <v>49</v>
      </c>
      <c r="CW286" s="2208"/>
      <c r="CX286" s="263"/>
      <c r="CY286" s="2208"/>
      <c r="CZ286" s="263"/>
      <c r="DA286" s="263"/>
      <c r="DB286" s="263"/>
      <c r="DC286" s="263"/>
      <c r="DD286" s="2208"/>
    </row>
    <row r="287" spans="1:108">
      <c r="A287" s="2217">
        <f t="shared" si="134"/>
        <v>33.939994166308637</v>
      </c>
      <c r="B287" s="2217">
        <f t="shared" si="125"/>
        <v>5947.3865981295858</v>
      </c>
      <c r="C287" s="2217">
        <f t="shared" si="126"/>
        <v>39.339125362007508</v>
      </c>
      <c r="D287" s="2212">
        <v>48</v>
      </c>
      <c r="E287" s="2219"/>
      <c r="F287" s="2213"/>
      <c r="G287" s="2219"/>
      <c r="H287" s="2213"/>
      <c r="I287" s="2213"/>
      <c r="J287" s="2213"/>
      <c r="K287" s="2213"/>
      <c r="L287" s="2213"/>
      <c r="M287" s="2217">
        <f t="shared" si="135"/>
        <v>36.693732941649159</v>
      </c>
      <c r="N287" s="2217">
        <f t="shared" si="117"/>
        <v>5947.3865981295858</v>
      </c>
      <c r="O287" s="2217">
        <f t="shared" si="127"/>
        <v>39.339125362007508</v>
      </c>
      <c r="P287" s="2212">
        <v>48</v>
      </c>
      <c r="Q287" s="2219"/>
      <c r="R287" s="2213"/>
      <c r="S287" s="2219"/>
      <c r="T287" s="2213"/>
      <c r="U287" s="2213"/>
      <c r="V287" s="2213"/>
      <c r="W287" s="2213"/>
      <c r="X287" s="2213"/>
      <c r="Y287" s="2217">
        <f t="shared" si="136"/>
        <v>40.234254224229829</v>
      </c>
      <c r="Z287" s="2217">
        <f t="shared" si="118"/>
        <v>5947.3865981295858</v>
      </c>
      <c r="AA287" s="2217">
        <f t="shared" si="128"/>
        <v>39.339125362007508</v>
      </c>
      <c r="AB287" s="2212">
        <v>48</v>
      </c>
      <c r="AC287" s="2219"/>
      <c r="AD287" s="2213"/>
      <c r="AE287" s="2219"/>
      <c r="AF287" s="2213"/>
      <c r="AG287" s="2213"/>
      <c r="AH287" s="2213"/>
      <c r="AI287" s="2213"/>
      <c r="AJ287" s="2213"/>
      <c r="AK287" s="2217">
        <f t="shared" si="137"/>
        <v>23.318430318566602</v>
      </c>
      <c r="AL287" s="2217">
        <f t="shared" si="119"/>
        <v>5947.3865981295858</v>
      </c>
      <c r="AM287" s="2217">
        <f t="shared" si="129"/>
        <v>39.339125362007508</v>
      </c>
      <c r="AN287" s="2212">
        <v>48</v>
      </c>
      <c r="AO287" s="2219"/>
      <c r="AP287" s="2213"/>
      <c r="AQ287" s="2219"/>
      <c r="AR287" s="2213"/>
      <c r="AS287" s="2213"/>
      <c r="AT287" s="2213"/>
      <c r="AU287" s="2213"/>
      <c r="AV287" s="2213"/>
      <c r="AW287" s="2217">
        <f t="shared" si="138"/>
        <v>14.605233999982758</v>
      </c>
      <c r="AX287" s="2217">
        <f t="shared" si="139"/>
        <v>5373.0215999987404</v>
      </c>
      <c r="AY287" s="2217">
        <f t="shared" si="120"/>
        <v>24.438899999983732</v>
      </c>
      <c r="AZ287" s="2212">
        <v>48</v>
      </c>
      <c r="BA287" s="2208"/>
      <c r="BB287" s="263"/>
      <c r="BC287" s="2208"/>
      <c r="BD287" s="263"/>
      <c r="BE287" s="263"/>
      <c r="BF287" s="263"/>
      <c r="BG287" s="263"/>
      <c r="BH287" s="2208"/>
      <c r="BI287" s="2217">
        <f t="shared" si="140"/>
        <v>22.181292999977718</v>
      </c>
      <c r="BJ287" s="2217">
        <f t="shared" si="130"/>
        <v>5373.0215999987404</v>
      </c>
      <c r="BK287" s="2217">
        <f t="shared" si="121"/>
        <v>24.438899999983732</v>
      </c>
      <c r="BL287" s="2212">
        <v>48</v>
      </c>
      <c r="BM287" s="2208"/>
      <c r="BN287" s="263"/>
      <c r="BO287" s="2208"/>
      <c r="BP287" s="263"/>
      <c r="BQ287" s="263"/>
      <c r="BR287" s="263"/>
      <c r="BS287" s="263"/>
      <c r="BT287" s="2208"/>
      <c r="BU287" s="2217">
        <f t="shared" si="141"/>
        <v>23.318430318566602</v>
      </c>
      <c r="BV287" s="2217">
        <f t="shared" si="122"/>
        <v>5947.3865981295858</v>
      </c>
      <c r="BW287" s="2217">
        <f t="shared" si="131"/>
        <v>39.339125362007508</v>
      </c>
      <c r="BX287" s="2212">
        <v>48</v>
      </c>
      <c r="BY287" s="2219"/>
      <c r="BZ287" s="2213"/>
      <c r="CA287" s="2219"/>
      <c r="CB287" s="2213"/>
      <c r="CC287" s="2213"/>
      <c r="CD287" s="2213"/>
      <c r="CE287" s="2213"/>
      <c r="CF287" s="2208"/>
      <c r="CG287" s="2217">
        <f t="shared" si="142"/>
        <v>28.039125362007507</v>
      </c>
      <c r="CH287" s="2217">
        <f t="shared" si="123"/>
        <v>5947.3865981295858</v>
      </c>
      <c r="CI287" s="2217">
        <f t="shared" si="132"/>
        <v>39.339125362007508</v>
      </c>
      <c r="CJ287" s="2212">
        <v>48</v>
      </c>
      <c r="CK287" s="2219"/>
      <c r="CL287" s="2213"/>
      <c r="CM287" s="2219"/>
      <c r="CN287" s="2213"/>
      <c r="CO287" s="2213"/>
      <c r="CP287" s="2213"/>
      <c r="CQ287" s="2213"/>
      <c r="CR287" s="2208"/>
      <c r="CS287" s="2217">
        <f t="shared" si="143"/>
        <v>21.692514999978041</v>
      </c>
      <c r="CT287" s="2217">
        <f t="shared" si="133"/>
        <v>5373.0215999987404</v>
      </c>
      <c r="CU287" s="2217">
        <f t="shared" si="124"/>
        <v>24.438899999983732</v>
      </c>
      <c r="CV287" s="2212">
        <v>48</v>
      </c>
      <c r="CW287" s="2208"/>
      <c r="CX287" s="263"/>
      <c r="CY287" s="2208"/>
      <c r="CZ287" s="263"/>
      <c r="DA287" s="263"/>
      <c r="DB287" s="263"/>
      <c r="DC287" s="263"/>
      <c r="DD287" s="2208"/>
    </row>
    <row r="288" spans="1:108">
      <c r="A288" s="2217">
        <f t="shared" si="134"/>
        <v>34.311339295360852</v>
      </c>
      <c r="B288" s="2217">
        <f t="shared" si="125"/>
        <v>5908.0474727675783</v>
      </c>
      <c r="C288" s="2217">
        <f t="shared" si="126"/>
        <v>39.662034169879007</v>
      </c>
      <c r="D288" s="2212">
        <v>47</v>
      </c>
      <c r="E288" s="2219"/>
      <c r="F288" s="2213"/>
      <c r="G288" s="2219"/>
      <c r="H288" s="2213"/>
      <c r="I288" s="2213"/>
      <c r="J288" s="2213"/>
      <c r="K288" s="2213"/>
      <c r="L288" s="2213"/>
      <c r="M288" s="2217">
        <f t="shared" si="135"/>
        <v>37.087681687252385</v>
      </c>
      <c r="N288" s="2217">
        <f t="shared" si="117"/>
        <v>5908.0474727675783</v>
      </c>
      <c r="O288" s="2217">
        <f t="shared" si="127"/>
        <v>39.662034169879007</v>
      </c>
      <c r="P288" s="2212">
        <v>47</v>
      </c>
      <c r="Q288" s="2219"/>
      <c r="R288" s="2213"/>
      <c r="S288" s="2219"/>
      <c r="T288" s="2213"/>
      <c r="U288" s="2213"/>
      <c r="V288" s="2213"/>
      <c r="W288" s="2213"/>
      <c r="X288" s="2213"/>
      <c r="Y288" s="2217">
        <f t="shared" si="136"/>
        <v>40.657264762541502</v>
      </c>
      <c r="Z288" s="2217">
        <f t="shared" si="118"/>
        <v>5908.0474727675783</v>
      </c>
      <c r="AA288" s="2217">
        <f t="shared" si="128"/>
        <v>39.662034169879007</v>
      </c>
      <c r="AB288" s="2212">
        <v>47</v>
      </c>
      <c r="AC288" s="2219"/>
      <c r="AD288" s="2213"/>
      <c r="AE288" s="2219"/>
      <c r="AF288" s="2213"/>
      <c r="AG288" s="2213"/>
      <c r="AH288" s="2213"/>
      <c r="AI288" s="2213"/>
      <c r="AJ288" s="2213"/>
      <c r="AK288" s="2217">
        <f t="shared" si="137"/>
        <v>23.60259006949352</v>
      </c>
      <c r="AL288" s="2217">
        <f t="shared" si="119"/>
        <v>5908.0474727675783</v>
      </c>
      <c r="AM288" s="2217">
        <f t="shared" si="129"/>
        <v>39.662034169879007</v>
      </c>
      <c r="AN288" s="2212">
        <v>47</v>
      </c>
      <c r="AO288" s="2219"/>
      <c r="AP288" s="2213"/>
      <c r="AQ288" s="2219"/>
      <c r="AR288" s="2213"/>
      <c r="AS288" s="2213"/>
      <c r="AT288" s="2213"/>
      <c r="AU288" s="2213"/>
      <c r="AV288" s="2213"/>
      <c r="AW288" s="2217">
        <f t="shared" si="138"/>
        <v>14.981109999980472</v>
      </c>
      <c r="AX288" s="2217">
        <f t="shared" si="139"/>
        <v>5348.5826999987567</v>
      </c>
      <c r="AY288" s="2217">
        <f t="shared" si="120"/>
        <v>24.793499999981577</v>
      </c>
      <c r="AZ288" s="2212">
        <v>47</v>
      </c>
      <c r="BA288" s="2208"/>
      <c r="BB288" s="263"/>
      <c r="BC288" s="2208"/>
      <c r="BD288" s="263"/>
      <c r="BE288" s="263"/>
      <c r="BF288" s="263"/>
      <c r="BG288" s="263"/>
      <c r="BH288" s="2208"/>
      <c r="BI288" s="2217">
        <f t="shared" si="140"/>
        <v>22.667094999974761</v>
      </c>
      <c r="BJ288" s="2217">
        <f t="shared" si="130"/>
        <v>5348.5826999987567</v>
      </c>
      <c r="BK288" s="2217">
        <f t="shared" si="121"/>
        <v>24.793499999981577</v>
      </c>
      <c r="BL288" s="2212">
        <v>47</v>
      </c>
      <c r="BM288" s="2208"/>
      <c r="BN288" s="263"/>
      <c r="BO288" s="2208"/>
      <c r="BP288" s="263"/>
      <c r="BQ288" s="263"/>
      <c r="BR288" s="263"/>
      <c r="BS288" s="263"/>
      <c r="BT288" s="2208"/>
      <c r="BU288" s="2217">
        <f t="shared" si="141"/>
        <v>23.60259006949352</v>
      </c>
      <c r="BV288" s="2217">
        <f t="shared" si="122"/>
        <v>5908.0474727675783</v>
      </c>
      <c r="BW288" s="2217">
        <f t="shared" si="131"/>
        <v>39.662034169879007</v>
      </c>
      <c r="BX288" s="2212">
        <v>47</v>
      </c>
      <c r="BY288" s="2219"/>
      <c r="BZ288" s="2213"/>
      <c r="CA288" s="2219"/>
      <c r="CB288" s="2213"/>
      <c r="CC288" s="2213"/>
      <c r="CD288" s="2213"/>
      <c r="CE288" s="2213"/>
      <c r="CF288" s="2208"/>
      <c r="CG288" s="2217">
        <f t="shared" si="142"/>
        <v>28.362034169879006</v>
      </c>
      <c r="CH288" s="2217">
        <f t="shared" si="123"/>
        <v>5908.0474727675783</v>
      </c>
      <c r="CI288" s="2217">
        <f t="shared" si="132"/>
        <v>39.662034169879007</v>
      </c>
      <c r="CJ288" s="2212">
        <v>47</v>
      </c>
      <c r="CK288" s="2219"/>
      <c r="CL288" s="2213"/>
      <c r="CM288" s="2219"/>
      <c r="CN288" s="2213"/>
      <c r="CO288" s="2213"/>
      <c r="CP288" s="2213"/>
      <c r="CQ288" s="2213"/>
      <c r="CR288" s="2208"/>
      <c r="CS288" s="2217">
        <f t="shared" si="143"/>
        <v>22.171224999975134</v>
      </c>
      <c r="CT288" s="2217">
        <f t="shared" si="133"/>
        <v>5348.5826999987567</v>
      </c>
      <c r="CU288" s="2217">
        <f t="shared" si="124"/>
        <v>24.793499999981577</v>
      </c>
      <c r="CV288" s="2212">
        <v>47</v>
      </c>
      <c r="CW288" s="2208"/>
      <c r="CX288" s="263"/>
      <c r="CY288" s="2208"/>
      <c r="CZ288" s="263"/>
      <c r="DA288" s="263"/>
      <c r="DB288" s="263"/>
      <c r="DC288" s="263"/>
      <c r="DD288" s="2208"/>
    </row>
    <row r="289" spans="1:108">
      <c r="A289" s="2217">
        <f t="shared" si="134"/>
        <v>34.683997328511936</v>
      </c>
      <c r="B289" s="2217">
        <f t="shared" si="125"/>
        <v>5868.3854385976992</v>
      </c>
      <c r="C289" s="2217">
        <f t="shared" si="126"/>
        <v>39.986084633488645</v>
      </c>
      <c r="D289" s="2212">
        <v>46</v>
      </c>
      <c r="E289" s="2219"/>
      <c r="F289" s="2213"/>
      <c r="G289" s="2219"/>
      <c r="H289" s="2213"/>
      <c r="I289" s="2213"/>
      <c r="J289" s="2213"/>
      <c r="K289" s="2213"/>
      <c r="L289" s="2213"/>
      <c r="M289" s="2217">
        <f t="shared" si="135"/>
        <v>37.483023252856142</v>
      </c>
      <c r="N289" s="2217">
        <f t="shared" si="117"/>
        <v>5868.3854385976992</v>
      </c>
      <c r="O289" s="2217">
        <f t="shared" si="127"/>
        <v>39.986084633488645</v>
      </c>
      <c r="P289" s="2212">
        <v>46</v>
      </c>
      <c r="Q289" s="2219"/>
      <c r="R289" s="2213"/>
      <c r="S289" s="2219"/>
      <c r="T289" s="2213"/>
      <c r="U289" s="2213"/>
      <c r="V289" s="2213"/>
      <c r="W289" s="2213"/>
      <c r="X289" s="2213"/>
      <c r="Y289" s="2217">
        <f t="shared" si="136"/>
        <v>41.081770869870127</v>
      </c>
      <c r="Z289" s="2217">
        <f t="shared" si="118"/>
        <v>5868.3854385976992</v>
      </c>
      <c r="AA289" s="2217">
        <f t="shared" si="128"/>
        <v>39.986084633488645</v>
      </c>
      <c r="AB289" s="2212">
        <v>46</v>
      </c>
      <c r="AC289" s="2219"/>
      <c r="AD289" s="2213"/>
      <c r="AE289" s="2219"/>
      <c r="AF289" s="2213"/>
      <c r="AG289" s="2213"/>
      <c r="AH289" s="2213"/>
      <c r="AI289" s="2213"/>
      <c r="AJ289" s="2213"/>
      <c r="AK289" s="2217">
        <f t="shared" si="137"/>
        <v>23.887754477470001</v>
      </c>
      <c r="AL289" s="2217">
        <f t="shared" si="119"/>
        <v>5868.3854385976992</v>
      </c>
      <c r="AM289" s="2217">
        <f t="shared" si="129"/>
        <v>39.986084633488645</v>
      </c>
      <c r="AN289" s="2212">
        <v>46</v>
      </c>
      <c r="AO289" s="2219"/>
      <c r="AP289" s="2213"/>
      <c r="AQ289" s="2219"/>
      <c r="AR289" s="2213"/>
      <c r="AS289" s="2213"/>
      <c r="AT289" s="2213"/>
      <c r="AU289" s="2213"/>
      <c r="AV289" s="2213"/>
      <c r="AW289" s="2217">
        <f t="shared" si="138"/>
        <v>15.360801999980122</v>
      </c>
      <c r="AX289" s="2217">
        <f t="shared" si="139"/>
        <v>5323.7891999987751</v>
      </c>
      <c r="AY289" s="2217">
        <f t="shared" si="120"/>
        <v>25.151699999981247</v>
      </c>
      <c r="AZ289" s="2212">
        <v>46</v>
      </c>
      <c r="BA289" s="2208"/>
      <c r="BB289" s="263"/>
      <c r="BC289" s="2208"/>
      <c r="BD289" s="263"/>
      <c r="BE289" s="263"/>
      <c r="BF289" s="263"/>
      <c r="BG289" s="263"/>
      <c r="BH289" s="2208"/>
      <c r="BI289" s="2217">
        <f t="shared" si="140"/>
        <v>23.15782899997431</v>
      </c>
      <c r="BJ289" s="2217">
        <f t="shared" si="130"/>
        <v>5323.7891999987751</v>
      </c>
      <c r="BK289" s="2217">
        <f t="shared" si="121"/>
        <v>25.151699999981247</v>
      </c>
      <c r="BL289" s="2212">
        <v>46</v>
      </c>
      <c r="BM289" s="2208"/>
      <c r="BN289" s="263"/>
      <c r="BO289" s="2208"/>
      <c r="BP289" s="263"/>
      <c r="BQ289" s="263"/>
      <c r="BR289" s="263"/>
      <c r="BS289" s="263"/>
      <c r="BT289" s="2208"/>
      <c r="BU289" s="2217">
        <f t="shared" si="141"/>
        <v>23.887754477470001</v>
      </c>
      <c r="BV289" s="2217">
        <f t="shared" si="122"/>
        <v>5868.3854385976992</v>
      </c>
      <c r="BW289" s="2217">
        <f t="shared" si="131"/>
        <v>39.986084633488645</v>
      </c>
      <c r="BX289" s="2212">
        <v>46</v>
      </c>
      <c r="BY289" s="2219"/>
      <c r="BZ289" s="2213"/>
      <c r="CA289" s="2219"/>
      <c r="CB289" s="2213"/>
      <c r="CC289" s="2213"/>
      <c r="CD289" s="2213"/>
      <c r="CE289" s="2213"/>
      <c r="CF289" s="2208"/>
      <c r="CG289" s="2217">
        <f t="shared" si="142"/>
        <v>28.686084633488644</v>
      </c>
      <c r="CH289" s="2217">
        <f t="shared" si="123"/>
        <v>5868.3854385976992</v>
      </c>
      <c r="CI289" s="2217">
        <f t="shared" si="132"/>
        <v>39.986084633488645</v>
      </c>
      <c r="CJ289" s="2212">
        <v>46</v>
      </c>
      <c r="CK289" s="2219"/>
      <c r="CL289" s="2213"/>
      <c r="CM289" s="2219"/>
      <c r="CN289" s="2213"/>
      <c r="CO289" s="2213"/>
      <c r="CP289" s="2213"/>
      <c r="CQ289" s="2213"/>
      <c r="CR289" s="2208"/>
      <c r="CS289" s="2217">
        <f t="shared" si="143"/>
        <v>22.654794999974687</v>
      </c>
      <c r="CT289" s="2217">
        <f t="shared" si="133"/>
        <v>5323.7891999987751</v>
      </c>
      <c r="CU289" s="2217">
        <f t="shared" si="124"/>
        <v>25.151699999981247</v>
      </c>
      <c r="CV289" s="2212">
        <v>46</v>
      </c>
      <c r="CW289" s="2208"/>
      <c r="CX289" s="263"/>
      <c r="CY289" s="2208"/>
      <c r="CZ289" s="263"/>
      <c r="DA289" s="263"/>
      <c r="DB289" s="263"/>
      <c r="DC289" s="263"/>
      <c r="DD289" s="2208"/>
    </row>
    <row r="290" spans="1:108">
      <c r="A290" s="2217">
        <f t="shared" si="134"/>
        <v>35.057968265753516</v>
      </c>
      <c r="B290" s="2217">
        <f t="shared" si="125"/>
        <v>5828.3993539642106</v>
      </c>
      <c r="C290" s="2217">
        <f t="shared" si="126"/>
        <v>40.311276752829144</v>
      </c>
      <c r="D290" s="2212">
        <v>45</v>
      </c>
      <c r="E290" s="2219"/>
      <c r="F290" s="2213"/>
      <c r="G290" s="2219"/>
      <c r="H290" s="2213"/>
      <c r="I290" s="2213"/>
      <c r="J290" s="2213"/>
      <c r="K290" s="2213"/>
      <c r="L290" s="2213"/>
      <c r="M290" s="2217">
        <f t="shared" si="135"/>
        <v>37.879757638451551</v>
      </c>
      <c r="N290" s="2217">
        <f t="shared" si="117"/>
        <v>5828.3993539642106</v>
      </c>
      <c r="O290" s="2217">
        <f t="shared" si="127"/>
        <v>40.311276752829144</v>
      </c>
      <c r="P290" s="2212">
        <v>45</v>
      </c>
      <c r="Q290" s="2219"/>
      <c r="R290" s="2213"/>
      <c r="S290" s="2219"/>
      <c r="T290" s="2213"/>
      <c r="U290" s="2213"/>
      <c r="V290" s="2213"/>
      <c r="W290" s="2213"/>
      <c r="X290" s="2213"/>
      <c r="Y290" s="2217">
        <f t="shared" si="136"/>
        <v>41.507772546206184</v>
      </c>
      <c r="Z290" s="2217">
        <f t="shared" si="118"/>
        <v>5828.3993539642106</v>
      </c>
      <c r="AA290" s="2217">
        <f t="shared" si="128"/>
        <v>40.311276752829144</v>
      </c>
      <c r="AB290" s="2212">
        <v>45</v>
      </c>
      <c r="AC290" s="2219"/>
      <c r="AD290" s="2213"/>
      <c r="AE290" s="2219"/>
      <c r="AF290" s="2213"/>
      <c r="AG290" s="2213"/>
      <c r="AH290" s="2213"/>
      <c r="AI290" s="2213"/>
      <c r="AJ290" s="2213"/>
      <c r="AK290" s="2217">
        <f t="shared" si="137"/>
        <v>24.173923542489643</v>
      </c>
      <c r="AL290" s="2217">
        <f t="shared" si="119"/>
        <v>5828.3993539642106</v>
      </c>
      <c r="AM290" s="2217">
        <f t="shared" si="129"/>
        <v>40.311276752829144</v>
      </c>
      <c r="AN290" s="2212">
        <v>45</v>
      </c>
      <c r="AO290" s="2219"/>
      <c r="AP290" s="2213"/>
      <c r="AQ290" s="2219"/>
      <c r="AR290" s="2213"/>
      <c r="AS290" s="2213"/>
      <c r="AT290" s="2213"/>
      <c r="AU290" s="2213"/>
      <c r="AV290" s="2213"/>
      <c r="AW290" s="2217">
        <f t="shared" si="138"/>
        <v>15.744309999977851</v>
      </c>
      <c r="AX290" s="2217">
        <f t="shared" si="139"/>
        <v>5298.6374999987938</v>
      </c>
      <c r="AY290" s="2217">
        <f t="shared" si="120"/>
        <v>25.513499999979103</v>
      </c>
      <c r="AZ290" s="2212">
        <v>45</v>
      </c>
      <c r="BA290" s="2208"/>
      <c r="BB290" s="263"/>
      <c r="BC290" s="2208"/>
      <c r="BD290" s="263"/>
      <c r="BE290" s="263"/>
      <c r="BF290" s="263"/>
      <c r="BG290" s="263"/>
      <c r="BH290" s="2208"/>
      <c r="BI290" s="2217">
        <f t="shared" si="140"/>
        <v>23.653494999971375</v>
      </c>
      <c r="BJ290" s="2217">
        <f t="shared" si="130"/>
        <v>5298.6374999987938</v>
      </c>
      <c r="BK290" s="2217">
        <f t="shared" si="121"/>
        <v>25.513499999979103</v>
      </c>
      <c r="BL290" s="2212">
        <v>45</v>
      </c>
      <c r="BM290" s="2208"/>
      <c r="BN290" s="263"/>
      <c r="BO290" s="2208"/>
      <c r="BP290" s="263"/>
      <c r="BQ290" s="263"/>
      <c r="BR290" s="263"/>
      <c r="BS290" s="263"/>
      <c r="BT290" s="2208"/>
      <c r="BU290" s="2217">
        <f t="shared" si="141"/>
        <v>24.173923542489643</v>
      </c>
      <c r="BV290" s="2217">
        <f t="shared" si="122"/>
        <v>5828.3993539642106</v>
      </c>
      <c r="BW290" s="2217">
        <f t="shared" si="131"/>
        <v>40.311276752829144</v>
      </c>
      <c r="BX290" s="2212">
        <v>45</v>
      </c>
      <c r="BY290" s="2219"/>
      <c r="BZ290" s="2213"/>
      <c r="CA290" s="2219"/>
      <c r="CB290" s="2213"/>
      <c r="CC290" s="2213"/>
      <c r="CD290" s="2213"/>
      <c r="CE290" s="2213"/>
      <c r="CF290" s="2208"/>
      <c r="CG290" s="2217">
        <f t="shared" si="142"/>
        <v>29.011276752829144</v>
      </c>
      <c r="CH290" s="2217">
        <f t="shared" si="123"/>
        <v>5828.3993539642106</v>
      </c>
      <c r="CI290" s="2217">
        <f t="shared" si="132"/>
        <v>40.311276752829144</v>
      </c>
      <c r="CJ290" s="2212">
        <v>45</v>
      </c>
      <c r="CK290" s="2219"/>
      <c r="CL290" s="2213"/>
      <c r="CM290" s="2219"/>
      <c r="CN290" s="2213"/>
      <c r="CO290" s="2213"/>
      <c r="CP290" s="2213"/>
      <c r="CQ290" s="2213"/>
      <c r="CR290" s="2208"/>
      <c r="CS290" s="2217">
        <f t="shared" si="143"/>
        <v>23.143224999971789</v>
      </c>
      <c r="CT290" s="2217">
        <f t="shared" si="133"/>
        <v>5298.6374999987938</v>
      </c>
      <c r="CU290" s="2217">
        <f t="shared" si="124"/>
        <v>25.513499999979103</v>
      </c>
      <c r="CV290" s="2212">
        <v>45</v>
      </c>
      <c r="CW290" s="2208"/>
      <c r="CX290" s="263"/>
      <c r="CY290" s="2208"/>
      <c r="CZ290" s="263"/>
      <c r="DA290" s="263"/>
      <c r="DB290" s="263"/>
      <c r="DC290" s="263"/>
      <c r="DD290" s="2208"/>
    </row>
    <row r="291" spans="1:108">
      <c r="A291" s="2217">
        <f t="shared" si="134"/>
        <v>35.433252107091846</v>
      </c>
      <c r="B291" s="2217">
        <f t="shared" si="125"/>
        <v>5788.0880772113815</v>
      </c>
      <c r="C291" s="2217">
        <f t="shared" si="126"/>
        <v>40.637610527905963</v>
      </c>
      <c r="D291" s="2212">
        <v>44</v>
      </c>
      <c r="E291" s="2219"/>
      <c r="F291" s="2213"/>
      <c r="G291" s="2219"/>
      <c r="H291" s="2213"/>
      <c r="I291" s="2213"/>
      <c r="J291" s="2213"/>
      <c r="K291" s="2213"/>
      <c r="L291" s="2213"/>
      <c r="M291" s="2217">
        <f t="shared" si="135"/>
        <v>38.277884844045275</v>
      </c>
      <c r="N291" s="2217">
        <f t="shared" ref="N291:N335" si="144">N$27+(N$26*P291)-(N$25*(P291^2))+(N$24*(P291^3))</f>
        <v>5788.0880772113815</v>
      </c>
      <c r="O291" s="2217">
        <f t="shared" si="127"/>
        <v>40.637610527905963</v>
      </c>
      <c r="P291" s="2212">
        <v>44</v>
      </c>
      <c r="Q291" s="2219"/>
      <c r="R291" s="2213"/>
      <c r="S291" s="2219"/>
      <c r="T291" s="2213"/>
      <c r="U291" s="2213"/>
      <c r="V291" s="2213"/>
      <c r="W291" s="2213"/>
      <c r="X291" s="2213"/>
      <c r="Y291" s="2217">
        <f t="shared" si="136"/>
        <v>41.93526979155682</v>
      </c>
      <c r="Z291" s="2217">
        <f t="shared" ref="Z291:Z335" si="145">Z$27+(Z$26*AB291)-(Z$25*(AB291^2))+(Z$24*(AB291^3))</f>
        <v>5788.0880772113815</v>
      </c>
      <c r="AA291" s="2217">
        <f t="shared" si="128"/>
        <v>40.637610527905963</v>
      </c>
      <c r="AB291" s="2212">
        <v>44</v>
      </c>
      <c r="AC291" s="2219"/>
      <c r="AD291" s="2213"/>
      <c r="AE291" s="2219"/>
      <c r="AF291" s="2213"/>
      <c r="AG291" s="2213"/>
      <c r="AH291" s="2213"/>
      <c r="AI291" s="2213"/>
      <c r="AJ291" s="2213"/>
      <c r="AK291" s="2217">
        <f t="shared" si="137"/>
        <v>24.461097264557242</v>
      </c>
      <c r="AL291" s="2217">
        <f t="shared" ref="AL291:AL335" si="146">AL$27+(AL$26*AN291)-(AL$25*(AN291^2))+(AL$24*(AN291^3))</f>
        <v>5788.0880772113815</v>
      </c>
      <c r="AM291" s="2217">
        <f t="shared" si="129"/>
        <v>40.637610527905963</v>
      </c>
      <c r="AN291" s="2212">
        <v>44</v>
      </c>
      <c r="AO291" s="2219"/>
      <c r="AP291" s="2213"/>
      <c r="AQ291" s="2219"/>
      <c r="AR291" s="2213"/>
      <c r="AS291" s="2213"/>
      <c r="AT291" s="2213"/>
      <c r="AU291" s="2213"/>
      <c r="AV291" s="2213"/>
      <c r="AW291" s="2217">
        <f t="shared" si="138"/>
        <v>16.131633999978476</v>
      </c>
      <c r="AX291" s="2217">
        <f t="shared" si="139"/>
        <v>5273.1239999988147</v>
      </c>
      <c r="AY291" s="2217">
        <f t="shared" ref="AY291:AY333" si="147">AX291-AX292</f>
        <v>25.878899999979694</v>
      </c>
      <c r="AZ291" s="2212">
        <v>44</v>
      </c>
      <c r="BA291" s="2208"/>
      <c r="BB291" s="263"/>
      <c r="BC291" s="2208"/>
      <c r="BD291" s="263"/>
      <c r="BE291" s="263"/>
      <c r="BF291" s="263"/>
      <c r="BG291" s="263"/>
      <c r="BH291" s="2208"/>
      <c r="BI291" s="2217">
        <f t="shared" si="140"/>
        <v>24.154092999972182</v>
      </c>
      <c r="BJ291" s="2217">
        <f t="shared" si="130"/>
        <v>5273.1239999988147</v>
      </c>
      <c r="BK291" s="2217">
        <f t="shared" ref="BK291:BK333" si="148">BJ291-BJ292</f>
        <v>25.878899999979694</v>
      </c>
      <c r="BL291" s="2212">
        <v>44</v>
      </c>
      <c r="BM291" s="2208"/>
      <c r="BN291" s="263"/>
      <c r="BO291" s="2208"/>
      <c r="BP291" s="263"/>
      <c r="BQ291" s="263"/>
      <c r="BR291" s="263"/>
      <c r="BS291" s="263"/>
      <c r="BT291" s="2208"/>
      <c r="BU291" s="2217">
        <f t="shared" si="141"/>
        <v>24.461097264557242</v>
      </c>
      <c r="BV291" s="2217">
        <f t="shared" ref="BV291:BV335" si="149">BV$27+(BV$26*BX291)-(BV$25*(BX291^2))+(BV$24*(BX291^3))</f>
        <v>5788.0880772113815</v>
      </c>
      <c r="BW291" s="2217">
        <f t="shared" si="131"/>
        <v>40.637610527905963</v>
      </c>
      <c r="BX291" s="2212">
        <v>44</v>
      </c>
      <c r="BY291" s="2219"/>
      <c r="BZ291" s="2213"/>
      <c r="CA291" s="2219"/>
      <c r="CB291" s="2213"/>
      <c r="CC291" s="2213"/>
      <c r="CD291" s="2213"/>
      <c r="CE291" s="2213"/>
      <c r="CF291" s="2208"/>
      <c r="CG291" s="2217">
        <f t="shared" si="142"/>
        <v>29.337610527905962</v>
      </c>
      <c r="CH291" s="2217">
        <f t="shared" ref="CH291:CH335" si="150">CH$27+(CH$26*CJ291)-(CH$25*(CJ291^2))+(CH$24*(CJ291^3))</f>
        <v>5788.0880772113815</v>
      </c>
      <c r="CI291" s="2217">
        <f t="shared" si="132"/>
        <v>40.637610527905963</v>
      </c>
      <c r="CJ291" s="2212">
        <v>44</v>
      </c>
      <c r="CK291" s="2219"/>
      <c r="CL291" s="2213"/>
      <c r="CM291" s="2219"/>
      <c r="CN291" s="2213"/>
      <c r="CO291" s="2213"/>
      <c r="CP291" s="2213"/>
      <c r="CQ291" s="2213"/>
      <c r="CR291" s="2208"/>
      <c r="CS291" s="2217">
        <f t="shared" si="143"/>
        <v>23.636514999972587</v>
      </c>
      <c r="CT291" s="2217">
        <f t="shared" si="133"/>
        <v>5273.1239999988147</v>
      </c>
      <c r="CU291" s="2217">
        <f t="shared" ref="CU291:CU333" si="151">CT291-CT292</f>
        <v>25.878899999979694</v>
      </c>
      <c r="CV291" s="2212">
        <v>44</v>
      </c>
      <c r="CW291" s="2208"/>
      <c r="CX291" s="263"/>
      <c r="CY291" s="2208"/>
      <c r="CZ291" s="263"/>
      <c r="DA291" s="263"/>
      <c r="DB291" s="263"/>
      <c r="DC291" s="263"/>
      <c r="DD291" s="2208"/>
    </row>
    <row r="292" spans="1:108">
      <c r="A292" s="2217">
        <f t="shared" si="134"/>
        <v>35.809848852525917</v>
      </c>
      <c r="B292" s="2217">
        <f t="shared" ref="B292:B335" si="152">B$27+(B$26*D292)-(B$25*(D292^2))+(B$24*(D292^3))</f>
        <v>5747.4504666834755</v>
      </c>
      <c r="C292" s="2217">
        <f t="shared" ref="C292:C333" si="153">B292-B293</f>
        <v>40.965085958718191</v>
      </c>
      <c r="D292" s="2212">
        <v>43</v>
      </c>
      <c r="E292" s="2219"/>
      <c r="F292" s="2213"/>
      <c r="G292" s="2219"/>
      <c r="H292" s="2213"/>
      <c r="I292" s="2213"/>
      <c r="J292" s="2213"/>
      <c r="K292" s="2213"/>
      <c r="L292" s="2213"/>
      <c r="M292" s="2217">
        <f t="shared" si="135"/>
        <v>38.677404869636192</v>
      </c>
      <c r="N292" s="2217">
        <f t="shared" si="144"/>
        <v>5747.4504666834755</v>
      </c>
      <c r="O292" s="2217">
        <f t="shared" ref="O292:O333" si="154">N292-N293</f>
        <v>40.965085958718191</v>
      </c>
      <c r="P292" s="2212">
        <v>43</v>
      </c>
      <c r="Q292" s="2219"/>
      <c r="R292" s="2213"/>
      <c r="S292" s="2219"/>
      <c r="T292" s="2213"/>
      <c r="U292" s="2213"/>
      <c r="V292" s="2213"/>
      <c r="W292" s="2213"/>
      <c r="X292" s="2213"/>
      <c r="Y292" s="2217">
        <f t="shared" si="136"/>
        <v>42.364262605920828</v>
      </c>
      <c r="Z292" s="2217">
        <f t="shared" si="145"/>
        <v>5747.4504666834755</v>
      </c>
      <c r="AA292" s="2217">
        <f t="shared" ref="AA292:AA333" si="155">Z292-Z293</f>
        <v>40.965085958718191</v>
      </c>
      <c r="AB292" s="2212">
        <v>43</v>
      </c>
      <c r="AC292" s="2219"/>
      <c r="AD292" s="2213"/>
      <c r="AE292" s="2219"/>
      <c r="AF292" s="2213"/>
      <c r="AG292" s="2213"/>
      <c r="AH292" s="2213"/>
      <c r="AI292" s="2213"/>
      <c r="AJ292" s="2213"/>
      <c r="AK292" s="2217">
        <f t="shared" si="137"/>
        <v>24.749275643672004</v>
      </c>
      <c r="AL292" s="2217">
        <f t="shared" si="146"/>
        <v>5747.4504666834755</v>
      </c>
      <c r="AM292" s="2217">
        <f t="shared" ref="AM292:AM333" si="156">AL292-AL293</f>
        <v>40.965085958718191</v>
      </c>
      <c r="AN292" s="2212">
        <v>43</v>
      </c>
      <c r="AO292" s="2219"/>
      <c r="AP292" s="2213"/>
      <c r="AQ292" s="2219"/>
      <c r="AR292" s="2213"/>
      <c r="AS292" s="2213"/>
      <c r="AT292" s="2213"/>
      <c r="AU292" s="2213"/>
      <c r="AV292" s="2213"/>
      <c r="AW292" s="2217">
        <f t="shared" si="138"/>
        <v>16.522773999976216</v>
      </c>
      <c r="AX292" s="2217">
        <f t="shared" si="139"/>
        <v>5247.245099998835</v>
      </c>
      <c r="AY292" s="2217">
        <f t="shared" si="147"/>
        <v>26.247899999977562</v>
      </c>
      <c r="AZ292" s="2212">
        <v>43</v>
      </c>
      <c r="BA292" s="2208"/>
      <c r="BB292" s="263"/>
      <c r="BC292" s="2208"/>
      <c r="BD292" s="263"/>
      <c r="BE292" s="263"/>
      <c r="BF292" s="263"/>
      <c r="BG292" s="263"/>
      <c r="BH292" s="2208"/>
      <c r="BI292" s="2217">
        <f t="shared" si="140"/>
        <v>24.659622999969262</v>
      </c>
      <c r="BJ292" s="2217">
        <f t="shared" ref="BJ292:BJ335" si="157">BJ$27+(BJ$26*BL292)-(BJ$25*(BL292^2))+(BJ$24*(BL292^3))</f>
        <v>5247.245099998835</v>
      </c>
      <c r="BK292" s="2217">
        <f t="shared" si="148"/>
        <v>26.247899999977562</v>
      </c>
      <c r="BL292" s="2212">
        <v>43</v>
      </c>
      <c r="BM292" s="2208"/>
      <c r="BN292" s="263"/>
      <c r="BO292" s="2208"/>
      <c r="BP292" s="263"/>
      <c r="BQ292" s="263"/>
      <c r="BR292" s="263"/>
      <c r="BS292" s="263"/>
      <c r="BT292" s="2208"/>
      <c r="BU292" s="2217">
        <f t="shared" si="141"/>
        <v>24.749275643672004</v>
      </c>
      <c r="BV292" s="2217">
        <f t="shared" si="149"/>
        <v>5747.4504666834755</v>
      </c>
      <c r="BW292" s="2217">
        <f t="shared" ref="BW292:BW333" si="158">BV292-BV293</f>
        <v>40.965085958718191</v>
      </c>
      <c r="BX292" s="2212">
        <v>43</v>
      </c>
      <c r="BY292" s="2219"/>
      <c r="BZ292" s="2213"/>
      <c r="CA292" s="2219"/>
      <c r="CB292" s="2213"/>
      <c r="CC292" s="2213"/>
      <c r="CD292" s="2213"/>
      <c r="CE292" s="2213"/>
      <c r="CF292" s="2208"/>
      <c r="CG292" s="2217">
        <f t="shared" si="142"/>
        <v>29.665085958718191</v>
      </c>
      <c r="CH292" s="2217">
        <f t="shared" si="150"/>
        <v>5747.4504666834755</v>
      </c>
      <c r="CI292" s="2217">
        <f t="shared" ref="CI292:CI333" si="159">CH292-CH293</f>
        <v>40.965085958718191</v>
      </c>
      <c r="CJ292" s="2212">
        <v>43</v>
      </c>
      <c r="CK292" s="2219"/>
      <c r="CL292" s="2213"/>
      <c r="CM292" s="2219"/>
      <c r="CN292" s="2213"/>
      <c r="CO292" s="2213"/>
      <c r="CP292" s="2213"/>
      <c r="CQ292" s="2213"/>
      <c r="CR292" s="2208"/>
      <c r="CS292" s="2217">
        <f t="shared" si="143"/>
        <v>24.134664999969711</v>
      </c>
      <c r="CT292" s="2217">
        <f t="shared" ref="CT292:CT335" si="160">CT$27+(CT$26*CV292)-(CT$25*(CV292^2))+(CT$24*(CV292^3))</f>
        <v>5247.245099998835</v>
      </c>
      <c r="CU292" s="2217">
        <f t="shared" si="151"/>
        <v>26.247899999977562</v>
      </c>
      <c r="CV292" s="2212">
        <v>43</v>
      </c>
      <c r="CW292" s="2208"/>
      <c r="CX292" s="263"/>
      <c r="CY292" s="2208"/>
      <c r="CZ292" s="263"/>
      <c r="DA292" s="263"/>
      <c r="DB292" s="263"/>
      <c r="DC292" s="263"/>
      <c r="DD292" s="2208"/>
    </row>
    <row r="293" spans="1:108">
      <c r="A293" s="2217">
        <f t="shared" ref="A293:A335" si="161">(C293*(B$7-B$9))-B$8</f>
        <v>36.187758502054649</v>
      </c>
      <c r="B293" s="2217">
        <f t="shared" si="152"/>
        <v>5706.4853807247573</v>
      </c>
      <c r="C293" s="2217">
        <f t="shared" si="153"/>
        <v>41.29370304526492</v>
      </c>
      <c r="D293" s="2212">
        <v>42</v>
      </c>
      <c r="E293" s="2219"/>
      <c r="F293" s="2213"/>
      <c r="G293" s="2219"/>
      <c r="H293" s="2213"/>
      <c r="I293" s="2213"/>
      <c r="J293" s="2213"/>
      <c r="K293" s="2213"/>
      <c r="L293" s="2213"/>
      <c r="M293" s="2217">
        <f t="shared" ref="M293:M335" si="162">(O293*(N$7-N$9))-N$8</f>
        <v>39.078317715223207</v>
      </c>
      <c r="N293" s="2217">
        <f t="shared" si="144"/>
        <v>5706.4853807247573</v>
      </c>
      <c r="O293" s="2217">
        <f t="shared" si="154"/>
        <v>41.29370304526492</v>
      </c>
      <c r="P293" s="2212">
        <v>42</v>
      </c>
      <c r="Q293" s="2219"/>
      <c r="R293" s="2213"/>
      <c r="S293" s="2219"/>
      <c r="T293" s="2213"/>
      <c r="U293" s="2213"/>
      <c r="V293" s="2213"/>
      <c r="W293" s="2213"/>
      <c r="X293" s="2213"/>
      <c r="Y293" s="2217">
        <f t="shared" ref="Y293:Y335" si="163">(AA293*(Z$7-Z$9))-Z$8</f>
        <v>42.794750989297043</v>
      </c>
      <c r="Z293" s="2217">
        <f t="shared" si="145"/>
        <v>5706.4853807247573</v>
      </c>
      <c r="AA293" s="2217">
        <f t="shared" si="155"/>
        <v>41.29370304526492</v>
      </c>
      <c r="AB293" s="2212">
        <v>42</v>
      </c>
      <c r="AC293" s="2219"/>
      <c r="AD293" s="2213"/>
      <c r="AE293" s="2219"/>
      <c r="AF293" s="2213"/>
      <c r="AG293" s="2213"/>
      <c r="AH293" s="2213"/>
      <c r="AI293" s="2213"/>
      <c r="AJ293" s="2213"/>
      <c r="AK293" s="2217">
        <f t="shared" ref="AK293:AK335" si="164">(AM293*(AL$7-AL$9))-AL$8</f>
        <v>25.038458679833123</v>
      </c>
      <c r="AL293" s="2217">
        <f t="shared" si="146"/>
        <v>5706.4853807247573</v>
      </c>
      <c r="AM293" s="2217">
        <f t="shared" si="156"/>
        <v>41.29370304526492</v>
      </c>
      <c r="AN293" s="2212">
        <v>42</v>
      </c>
      <c r="AO293" s="2219"/>
      <c r="AP293" s="2213"/>
      <c r="AQ293" s="2219"/>
      <c r="AR293" s="2213"/>
      <c r="AS293" s="2213"/>
      <c r="AT293" s="2213"/>
      <c r="AU293" s="2213"/>
      <c r="AV293" s="2213"/>
      <c r="AW293" s="2217">
        <f t="shared" ref="AW293:AW335" si="165">AY293*(AX$7-AX$9)-AX$8</f>
        <v>16.917729999976856</v>
      </c>
      <c r="AX293" s="2217">
        <f t="shared" ref="AX293:AX335" si="166">AX$27+(AX$26*AZ293)-(AX$25*(AZ293^2))+(AX$24*(AZ293^3))</f>
        <v>5220.9971999988575</v>
      </c>
      <c r="AY293" s="2217">
        <f t="shared" si="147"/>
        <v>26.620499999978165</v>
      </c>
      <c r="AZ293" s="2212">
        <v>42</v>
      </c>
      <c r="BA293" s="2208"/>
      <c r="BB293" s="263"/>
      <c r="BC293" s="2208"/>
      <c r="BD293" s="263"/>
      <c r="BE293" s="263"/>
      <c r="BF293" s="263"/>
      <c r="BG293" s="263"/>
      <c r="BH293" s="2208"/>
      <c r="BI293" s="2217">
        <f t="shared" ref="BI293:BI335" si="167">BK293*(BJ$7-BJ$9)-BJ$8</f>
        <v>25.17008499997009</v>
      </c>
      <c r="BJ293" s="2217">
        <f t="shared" si="157"/>
        <v>5220.9971999988575</v>
      </c>
      <c r="BK293" s="2217">
        <f t="shared" si="148"/>
        <v>26.620499999978165</v>
      </c>
      <c r="BL293" s="2212">
        <v>42</v>
      </c>
      <c r="BM293" s="2208"/>
      <c r="BN293" s="263"/>
      <c r="BO293" s="2208"/>
      <c r="BP293" s="263"/>
      <c r="BQ293" s="263"/>
      <c r="BR293" s="263"/>
      <c r="BS293" s="263"/>
      <c r="BT293" s="2208"/>
      <c r="BU293" s="2217">
        <f t="shared" ref="BU293:BU335" si="168">(BW293*(BV$7-BV$9))-BV$8</f>
        <v>25.038458679833123</v>
      </c>
      <c r="BV293" s="2217">
        <f t="shared" si="149"/>
        <v>5706.4853807247573</v>
      </c>
      <c r="BW293" s="2217">
        <f t="shared" si="158"/>
        <v>41.29370304526492</v>
      </c>
      <c r="BX293" s="2212">
        <v>42</v>
      </c>
      <c r="BY293" s="2219"/>
      <c r="BZ293" s="2213"/>
      <c r="CA293" s="2219"/>
      <c r="CB293" s="2213"/>
      <c r="CC293" s="2213"/>
      <c r="CD293" s="2213"/>
      <c r="CE293" s="2213"/>
      <c r="CF293" s="2208"/>
      <c r="CG293" s="2217">
        <f t="shared" ref="CG293:CG335" si="169">(CI293*(CH$7-CH$9))-CH$8</f>
        <v>29.993703045264919</v>
      </c>
      <c r="CH293" s="2217">
        <f t="shared" si="150"/>
        <v>5706.4853807247573</v>
      </c>
      <c r="CI293" s="2217">
        <f t="shared" si="159"/>
        <v>41.29370304526492</v>
      </c>
      <c r="CJ293" s="2212">
        <v>42</v>
      </c>
      <c r="CK293" s="2219"/>
      <c r="CL293" s="2213"/>
      <c r="CM293" s="2219"/>
      <c r="CN293" s="2213"/>
      <c r="CO293" s="2213"/>
      <c r="CP293" s="2213"/>
      <c r="CQ293" s="2213"/>
      <c r="CR293" s="2208"/>
      <c r="CS293" s="2217">
        <f t="shared" ref="CS293:CS335" si="170">CU293*(CT$7-CT$9)-CT$8</f>
        <v>24.637674999970525</v>
      </c>
      <c r="CT293" s="2217">
        <f t="shared" si="160"/>
        <v>5220.9971999988575</v>
      </c>
      <c r="CU293" s="2217">
        <f t="shared" si="151"/>
        <v>26.620499999978165</v>
      </c>
      <c r="CV293" s="2212">
        <v>42</v>
      </c>
      <c r="CW293" s="2208"/>
      <c r="CX293" s="263"/>
      <c r="CY293" s="2208"/>
      <c r="CZ293" s="263"/>
      <c r="DA293" s="263"/>
      <c r="DB293" s="263"/>
      <c r="DC293" s="263"/>
      <c r="DD293" s="2208"/>
    </row>
    <row r="294" spans="1:108">
      <c r="A294" s="2217">
        <f t="shared" si="161"/>
        <v>36.56698105567807</v>
      </c>
      <c r="B294" s="2217">
        <f t="shared" si="152"/>
        <v>5665.1916776794924</v>
      </c>
      <c r="C294" s="2217">
        <f t="shared" si="153"/>
        <v>41.623461787546148</v>
      </c>
      <c r="D294" s="2212">
        <v>41</v>
      </c>
      <c r="E294" s="2219"/>
      <c r="F294" s="2213"/>
      <c r="G294" s="2219"/>
      <c r="H294" s="2213"/>
      <c r="I294" s="2213"/>
      <c r="J294" s="2213"/>
      <c r="K294" s="2213"/>
      <c r="L294" s="2213"/>
      <c r="M294" s="2217">
        <f t="shared" si="162"/>
        <v>39.480623380806293</v>
      </c>
      <c r="N294" s="2217">
        <f t="shared" si="144"/>
        <v>5665.1916776794924</v>
      </c>
      <c r="O294" s="2217">
        <f t="shared" si="154"/>
        <v>41.623461787546148</v>
      </c>
      <c r="P294" s="2212">
        <v>41</v>
      </c>
      <c r="Q294" s="2219"/>
      <c r="R294" s="2213"/>
      <c r="S294" s="2219"/>
      <c r="T294" s="2213"/>
      <c r="U294" s="2213"/>
      <c r="V294" s="2213"/>
      <c r="W294" s="2213"/>
      <c r="X294" s="2213"/>
      <c r="Y294" s="2217">
        <f t="shared" si="163"/>
        <v>43.22673494168545</v>
      </c>
      <c r="Z294" s="2217">
        <f t="shared" si="145"/>
        <v>5665.1916776794924</v>
      </c>
      <c r="AA294" s="2217">
        <f t="shared" si="155"/>
        <v>41.623461787546148</v>
      </c>
      <c r="AB294" s="2212">
        <v>41</v>
      </c>
      <c r="AC294" s="2219"/>
      <c r="AD294" s="2213"/>
      <c r="AE294" s="2219"/>
      <c r="AF294" s="2213"/>
      <c r="AG294" s="2213"/>
      <c r="AH294" s="2213"/>
      <c r="AI294" s="2213"/>
      <c r="AJ294" s="2213"/>
      <c r="AK294" s="2217">
        <f t="shared" si="164"/>
        <v>25.328646373040602</v>
      </c>
      <c r="AL294" s="2217">
        <f t="shared" si="146"/>
        <v>5665.1916776794924</v>
      </c>
      <c r="AM294" s="2217">
        <f t="shared" si="156"/>
        <v>41.623461787546148</v>
      </c>
      <c r="AN294" s="2212">
        <v>41</v>
      </c>
      <c r="AO294" s="2219"/>
      <c r="AP294" s="2213"/>
      <c r="AQ294" s="2219"/>
      <c r="AR294" s="2213"/>
      <c r="AS294" s="2213"/>
      <c r="AT294" s="2213"/>
      <c r="AU294" s="2213"/>
      <c r="AV294" s="2213"/>
      <c r="AW294" s="2217">
        <f t="shared" si="165"/>
        <v>17.316501999973642</v>
      </c>
      <c r="AX294" s="2217">
        <f t="shared" si="166"/>
        <v>5194.3766999988793</v>
      </c>
      <c r="AY294" s="2217">
        <f t="shared" si="147"/>
        <v>26.996699999975135</v>
      </c>
      <c r="AZ294" s="2212">
        <v>41</v>
      </c>
      <c r="BA294" s="2208"/>
      <c r="BB294" s="263"/>
      <c r="BC294" s="2208"/>
      <c r="BD294" s="263"/>
      <c r="BE294" s="263"/>
      <c r="BF294" s="263"/>
      <c r="BG294" s="263"/>
      <c r="BH294" s="2208"/>
      <c r="BI294" s="2217">
        <f t="shared" si="167"/>
        <v>25.685478999965934</v>
      </c>
      <c r="BJ294" s="2217">
        <f t="shared" si="157"/>
        <v>5194.3766999988793</v>
      </c>
      <c r="BK294" s="2217">
        <f t="shared" si="148"/>
        <v>26.996699999975135</v>
      </c>
      <c r="BL294" s="2212">
        <v>41</v>
      </c>
      <c r="BM294" s="2208"/>
      <c r="BN294" s="263"/>
      <c r="BO294" s="2208"/>
      <c r="BP294" s="263"/>
      <c r="BQ294" s="263"/>
      <c r="BR294" s="263"/>
      <c r="BS294" s="263"/>
      <c r="BT294" s="2208"/>
      <c r="BU294" s="2217">
        <f t="shared" si="168"/>
        <v>25.328646373040602</v>
      </c>
      <c r="BV294" s="2217">
        <f t="shared" si="149"/>
        <v>5665.1916776794924</v>
      </c>
      <c r="BW294" s="2217">
        <f t="shared" si="158"/>
        <v>41.623461787546148</v>
      </c>
      <c r="BX294" s="2212">
        <v>41</v>
      </c>
      <c r="BY294" s="2219"/>
      <c r="BZ294" s="2213"/>
      <c r="CA294" s="2219"/>
      <c r="CB294" s="2213"/>
      <c r="CC294" s="2213"/>
      <c r="CD294" s="2213"/>
      <c r="CE294" s="2213"/>
      <c r="CF294" s="2208"/>
      <c r="CG294" s="2217">
        <f t="shared" si="169"/>
        <v>30.323461787546147</v>
      </c>
      <c r="CH294" s="2217">
        <f t="shared" si="150"/>
        <v>5665.1916776794924</v>
      </c>
      <c r="CI294" s="2217">
        <f t="shared" si="159"/>
        <v>41.623461787546148</v>
      </c>
      <c r="CJ294" s="2212">
        <v>41</v>
      </c>
      <c r="CK294" s="2219"/>
      <c r="CL294" s="2213"/>
      <c r="CM294" s="2219"/>
      <c r="CN294" s="2213"/>
      <c r="CO294" s="2213"/>
      <c r="CP294" s="2213"/>
      <c r="CQ294" s="2213"/>
      <c r="CR294" s="2208"/>
      <c r="CS294" s="2217">
        <f t="shared" si="170"/>
        <v>25.145544999966436</v>
      </c>
      <c r="CT294" s="2217">
        <f t="shared" si="160"/>
        <v>5194.3766999988793</v>
      </c>
      <c r="CU294" s="2217">
        <f t="shared" si="151"/>
        <v>26.996699999975135</v>
      </c>
      <c r="CV294" s="2212">
        <v>41</v>
      </c>
      <c r="CW294" s="2208"/>
      <c r="CX294" s="263"/>
      <c r="CY294" s="2208"/>
      <c r="CZ294" s="263"/>
      <c r="DA294" s="263"/>
      <c r="DB294" s="263"/>
      <c r="DC294" s="263"/>
      <c r="DD294" s="2208"/>
    </row>
    <row r="295" spans="1:108">
      <c r="A295" s="2217">
        <f t="shared" si="161"/>
        <v>36.947516513395101</v>
      </c>
      <c r="B295" s="2217">
        <f t="shared" si="152"/>
        <v>5623.5682158919462</v>
      </c>
      <c r="C295" s="2217">
        <f t="shared" si="153"/>
        <v>41.954362185560967</v>
      </c>
      <c r="D295" s="2212">
        <v>40</v>
      </c>
      <c r="E295" s="2219"/>
      <c r="F295" s="2213"/>
      <c r="G295" s="2219"/>
      <c r="H295" s="2213"/>
      <c r="I295" s="2213"/>
      <c r="J295" s="2213"/>
      <c r="K295" s="2213"/>
      <c r="L295" s="2213"/>
      <c r="M295" s="2217">
        <f t="shared" si="162"/>
        <v>39.884321866384383</v>
      </c>
      <c r="N295" s="2217">
        <f t="shared" si="144"/>
        <v>5623.5682158919462</v>
      </c>
      <c r="O295" s="2217">
        <f t="shared" si="154"/>
        <v>41.954362185560967</v>
      </c>
      <c r="P295" s="2212">
        <v>40</v>
      </c>
      <c r="Q295" s="2219"/>
      <c r="R295" s="2213"/>
      <c r="S295" s="2219"/>
      <c r="T295" s="2213"/>
      <c r="U295" s="2213"/>
      <c r="V295" s="2213"/>
      <c r="W295" s="2213"/>
      <c r="X295" s="2213"/>
      <c r="Y295" s="2217">
        <f t="shared" si="163"/>
        <v>43.66021446308487</v>
      </c>
      <c r="Z295" s="2217">
        <f t="shared" si="145"/>
        <v>5623.5682158919462</v>
      </c>
      <c r="AA295" s="2217">
        <f t="shared" si="155"/>
        <v>41.954362185560967</v>
      </c>
      <c r="AB295" s="2212">
        <v>40</v>
      </c>
      <c r="AC295" s="2219"/>
      <c r="AD295" s="2213"/>
      <c r="AE295" s="2219"/>
      <c r="AF295" s="2213"/>
      <c r="AG295" s="2213"/>
      <c r="AH295" s="2213"/>
      <c r="AI295" s="2213"/>
      <c r="AJ295" s="2213"/>
      <c r="AK295" s="2217">
        <f t="shared" si="164"/>
        <v>25.619838723293643</v>
      </c>
      <c r="AL295" s="2217">
        <f t="shared" si="146"/>
        <v>5623.5682158919462</v>
      </c>
      <c r="AM295" s="2217">
        <f t="shared" si="156"/>
        <v>41.954362185560967</v>
      </c>
      <c r="AN295" s="2212">
        <v>40</v>
      </c>
      <c r="AO295" s="2219"/>
      <c r="AP295" s="2213"/>
      <c r="AQ295" s="2219"/>
      <c r="AR295" s="2213"/>
      <c r="AS295" s="2213"/>
      <c r="AT295" s="2213"/>
      <c r="AU295" s="2213"/>
      <c r="AV295" s="2213"/>
      <c r="AW295" s="2217">
        <f t="shared" si="165"/>
        <v>17.719089999973331</v>
      </c>
      <c r="AX295" s="2217">
        <f t="shared" si="166"/>
        <v>5167.3799999989042</v>
      </c>
      <c r="AY295" s="2217">
        <f t="shared" si="147"/>
        <v>27.37649999997484</v>
      </c>
      <c r="AZ295" s="2212">
        <v>40</v>
      </c>
      <c r="BA295" s="2208"/>
      <c r="BB295" s="263"/>
      <c r="BC295" s="2208"/>
      <c r="BD295" s="263"/>
      <c r="BE295" s="263"/>
      <c r="BF295" s="263"/>
      <c r="BG295" s="263"/>
      <c r="BH295" s="2208"/>
      <c r="BI295" s="2217">
        <f t="shared" si="167"/>
        <v>26.205804999965533</v>
      </c>
      <c r="BJ295" s="2217">
        <f t="shared" si="157"/>
        <v>5167.3799999989042</v>
      </c>
      <c r="BK295" s="2217">
        <f t="shared" si="148"/>
        <v>27.37649999997484</v>
      </c>
      <c r="BL295" s="2212">
        <v>40</v>
      </c>
      <c r="BM295" s="2208"/>
      <c r="BN295" s="263"/>
      <c r="BO295" s="2208"/>
      <c r="BP295" s="263"/>
      <c r="BQ295" s="263"/>
      <c r="BR295" s="263"/>
      <c r="BS295" s="263"/>
      <c r="BT295" s="2208"/>
      <c r="BU295" s="2217">
        <f t="shared" si="168"/>
        <v>25.619838723293643</v>
      </c>
      <c r="BV295" s="2217">
        <f t="shared" si="149"/>
        <v>5623.5682158919462</v>
      </c>
      <c r="BW295" s="2217">
        <f t="shared" si="158"/>
        <v>41.954362185560967</v>
      </c>
      <c r="BX295" s="2212">
        <v>40</v>
      </c>
      <c r="BY295" s="2219"/>
      <c r="BZ295" s="2213"/>
      <c r="CA295" s="2219"/>
      <c r="CB295" s="2213"/>
      <c r="CC295" s="2213"/>
      <c r="CD295" s="2213"/>
      <c r="CE295" s="2213"/>
      <c r="CF295" s="2208"/>
      <c r="CG295" s="2217">
        <f t="shared" si="169"/>
        <v>30.654362185560966</v>
      </c>
      <c r="CH295" s="2217">
        <f t="shared" si="150"/>
        <v>5623.5682158919462</v>
      </c>
      <c r="CI295" s="2217">
        <f t="shared" si="159"/>
        <v>41.954362185560967</v>
      </c>
      <c r="CJ295" s="2212">
        <v>40</v>
      </c>
      <c r="CK295" s="2219"/>
      <c r="CL295" s="2213"/>
      <c r="CM295" s="2219"/>
      <c r="CN295" s="2213"/>
      <c r="CO295" s="2213"/>
      <c r="CP295" s="2213"/>
      <c r="CQ295" s="2213"/>
      <c r="CR295" s="2208"/>
      <c r="CS295" s="2217">
        <f t="shared" si="170"/>
        <v>25.658274999966036</v>
      </c>
      <c r="CT295" s="2217">
        <f t="shared" si="160"/>
        <v>5167.3799999989042</v>
      </c>
      <c r="CU295" s="2217">
        <f t="shared" si="151"/>
        <v>27.37649999997484</v>
      </c>
      <c r="CV295" s="2212">
        <v>40</v>
      </c>
      <c r="CW295" s="2208"/>
      <c r="CX295" s="263"/>
      <c r="CY295" s="2208"/>
      <c r="CZ295" s="263"/>
      <c r="DA295" s="263"/>
      <c r="DB295" s="263"/>
      <c r="DC295" s="263"/>
      <c r="DD295" s="2208"/>
    </row>
    <row r="296" spans="1:108">
      <c r="A296" s="2217">
        <f t="shared" si="161"/>
        <v>37.329364875207872</v>
      </c>
      <c r="B296" s="2217">
        <f t="shared" si="152"/>
        <v>5581.6138537063853</v>
      </c>
      <c r="C296" s="2217">
        <f t="shared" si="153"/>
        <v>42.286404239311196</v>
      </c>
      <c r="D296" s="2212">
        <v>39</v>
      </c>
      <c r="E296" s="2219"/>
      <c r="F296" s="2213"/>
      <c r="G296" s="2219"/>
      <c r="H296" s="2213"/>
      <c r="I296" s="2213"/>
      <c r="J296" s="2213"/>
      <c r="K296" s="2213"/>
      <c r="L296" s="2213"/>
      <c r="M296" s="2217">
        <f t="shared" si="162"/>
        <v>40.289413171959652</v>
      </c>
      <c r="N296" s="2217">
        <f t="shared" si="144"/>
        <v>5581.6138537063853</v>
      </c>
      <c r="O296" s="2217">
        <f t="shared" si="154"/>
        <v>42.286404239311196</v>
      </c>
      <c r="P296" s="2212">
        <v>39</v>
      </c>
      <c r="Q296" s="2219"/>
      <c r="R296" s="2213"/>
      <c r="S296" s="2219"/>
      <c r="T296" s="2213"/>
      <c r="U296" s="2213"/>
      <c r="V296" s="2213"/>
      <c r="W296" s="2213"/>
      <c r="X296" s="2213"/>
      <c r="Y296" s="2217">
        <f t="shared" si="163"/>
        <v>44.095189553497661</v>
      </c>
      <c r="Z296" s="2217">
        <f t="shared" si="145"/>
        <v>5581.6138537063853</v>
      </c>
      <c r="AA296" s="2217">
        <f t="shared" si="155"/>
        <v>42.286404239311196</v>
      </c>
      <c r="AB296" s="2212">
        <v>39</v>
      </c>
      <c r="AC296" s="2219"/>
      <c r="AD296" s="2213"/>
      <c r="AE296" s="2219"/>
      <c r="AF296" s="2213"/>
      <c r="AG296" s="2213"/>
      <c r="AH296" s="2213"/>
      <c r="AI296" s="2213"/>
      <c r="AJ296" s="2213"/>
      <c r="AK296" s="2217">
        <f t="shared" si="164"/>
        <v>25.912035730593846</v>
      </c>
      <c r="AL296" s="2217">
        <f t="shared" si="146"/>
        <v>5581.6138537063853</v>
      </c>
      <c r="AM296" s="2217">
        <f t="shared" si="156"/>
        <v>42.286404239311196</v>
      </c>
      <c r="AN296" s="2212">
        <v>39</v>
      </c>
      <c r="AO296" s="2219"/>
      <c r="AP296" s="2213"/>
      <c r="AQ296" s="2219"/>
      <c r="AR296" s="2213"/>
      <c r="AS296" s="2213"/>
      <c r="AT296" s="2213"/>
      <c r="AU296" s="2213"/>
      <c r="AV296" s="2213"/>
      <c r="AW296" s="2217">
        <f t="shared" si="165"/>
        <v>18.125493999971095</v>
      </c>
      <c r="AX296" s="2217">
        <f t="shared" si="166"/>
        <v>5140.0034999989293</v>
      </c>
      <c r="AY296" s="2217">
        <f t="shared" si="147"/>
        <v>27.759899999972731</v>
      </c>
      <c r="AZ296" s="2212">
        <v>39</v>
      </c>
      <c r="BA296" s="2208"/>
      <c r="BB296" s="263"/>
      <c r="BC296" s="2208"/>
      <c r="BD296" s="263"/>
      <c r="BE296" s="263"/>
      <c r="BF296" s="263"/>
      <c r="BG296" s="263"/>
      <c r="BH296" s="2208"/>
      <c r="BI296" s="2217">
        <f t="shared" si="167"/>
        <v>26.731062999962642</v>
      </c>
      <c r="BJ296" s="2217">
        <f t="shared" si="157"/>
        <v>5140.0034999989293</v>
      </c>
      <c r="BK296" s="2217">
        <f t="shared" si="148"/>
        <v>27.759899999972731</v>
      </c>
      <c r="BL296" s="2212">
        <v>39</v>
      </c>
      <c r="BM296" s="2208"/>
      <c r="BN296" s="263"/>
      <c r="BO296" s="2208"/>
      <c r="BP296" s="263"/>
      <c r="BQ296" s="263"/>
      <c r="BR296" s="263"/>
      <c r="BS296" s="263"/>
      <c r="BT296" s="2208"/>
      <c r="BU296" s="2217">
        <f t="shared" si="168"/>
        <v>25.912035730593846</v>
      </c>
      <c r="BV296" s="2217">
        <f t="shared" si="149"/>
        <v>5581.6138537063853</v>
      </c>
      <c r="BW296" s="2217">
        <f t="shared" si="158"/>
        <v>42.286404239311196</v>
      </c>
      <c r="BX296" s="2212">
        <v>39</v>
      </c>
      <c r="BY296" s="2219"/>
      <c r="BZ296" s="2213"/>
      <c r="CA296" s="2219"/>
      <c r="CB296" s="2213"/>
      <c r="CC296" s="2213"/>
      <c r="CD296" s="2213"/>
      <c r="CE296" s="2213"/>
      <c r="CF296" s="2208"/>
      <c r="CG296" s="2217">
        <f t="shared" si="169"/>
        <v>30.986404239311195</v>
      </c>
      <c r="CH296" s="2217">
        <f t="shared" si="150"/>
        <v>5581.6138537063853</v>
      </c>
      <c r="CI296" s="2217">
        <f t="shared" si="159"/>
        <v>42.286404239311196</v>
      </c>
      <c r="CJ296" s="2212">
        <v>39</v>
      </c>
      <c r="CK296" s="2219"/>
      <c r="CL296" s="2213"/>
      <c r="CM296" s="2219"/>
      <c r="CN296" s="2213"/>
      <c r="CO296" s="2213"/>
      <c r="CP296" s="2213"/>
      <c r="CQ296" s="2213"/>
      <c r="CR296" s="2208"/>
      <c r="CS296" s="2217">
        <f t="shared" si="170"/>
        <v>26.175864999963192</v>
      </c>
      <c r="CT296" s="2217">
        <f t="shared" si="160"/>
        <v>5140.0034999989293</v>
      </c>
      <c r="CU296" s="2217">
        <f t="shared" si="151"/>
        <v>27.759899999972731</v>
      </c>
      <c r="CV296" s="2212">
        <v>39</v>
      </c>
      <c r="CW296" s="2208"/>
      <c r="CX296" s="263"/>
      <c r="CY296" s="2208"/>
      <c r="CZ296" s="263"/>
      <c r="DA296" s="263"/>
      <c r="DB296" s="263"/>
      <c r="DC296" s="263"/>
      <c r="DD296" s="2208"/>
    </row>
    <row r="297" spans="1:108">
      <c r="A297" s="2217">
        <f t="shared" si="161"/>
        <v>37.712526141114267</v>
      </c>
      <c r="B297" s="2217">
        <f t="shared" si="152"/>
        <v>5539.3274494670741</v>
      </c>
      <c r="C297" s="2217">
        <f t="shared" si="153"/>
        <v>42.619587948795015</v>
      </c>
      <c r="D297" s="2212">
        <v>38</v>
      </c>
      <c r="E297" s="2219"/>
      <c r="F297" s="2213"/>
      <c r="G297" s="2219"/>
      <c r="H297" s="2213"/>
      <c r="I297" s="2213"/>
      <c r="J297" s="2213"/>
      <c r="K297" s="2213"/>
      <c r="L297" s="2213"/>
      <c r="M297" s="2217">
        <f t="shared" si="162"/>
        <v>40.69589729752991</v>
      </c>
      <c r="N297" s="2217">
        <f t="shared" si="144"/>
        <v>5539.3274494670741</v>
      </c>
      <c r="O297" s="2217">
        <f t="shared" si="154"/>
        <v>42.619587948795015</v>
      </c>
      <c r="P297" s="2212">
        <v>38</v>
      </c>
      <c r="Q297" s="2219"/>
      <c r="R297" s="2213"/>
      <c r="S297" s="2219"/>
      <c r="T297" s="2213"/>
      <c r="U297" s="2213"/>
      <c r="V297" s="2213"/>
      <c r="W297" s="2213"/>
      <c r="X297" s="2213"/>
      <c r="Y297" s="2217">
        <f t="shared" si="163"/>
        <v>44.531660212921466</v>
      </c>
      <c r="Z297" s="2217">
        <f t="shared" si="145"/>
        <v>5539.3274494670741</v>
      </c>
      <c r="AA297" s="2217">
        <f t="shared" si="155"/>
        <v>42.619587948795015</v>
      </c>
      <c r="AB297" s="2212">
        <v>38</v>
      </c>
      <c r="AC297" s="2219"/>
      <c r="AD297" s="2213"/>
      <c r="AE297" s="2219"/>
      <c r="AF297" s="2213"/>
      <c r="AG297" s="2213"/>
      <c r="AH297" s="2213"/>
      <c r="AI297" s="2213"/>
      <c r="AJ297" s="2213"/>
      <c r="AK297" s="2217">
        <f t="shared" si="164"/>
        <v>26.205237394939605</v>
      </c>
      <c r="AL297" s="2217">
        <f t="shared" si="146"/>
        <v>5539.3274494670741</v>
      </c>
      <c r="AM297" s="2217">
        <f t="shared" si="156"/>
        <v>42.619587948795015</v>
      </c>
      <c r="AN297" s="2212">
        <v>38</v>
      </c>
      <c r="AO297" s="2219"/>
      <c r="AP297" s="2213"/>
      <c r="AQ297" s="2219"/>
      <c r="AR297" s="2213"/>
      <c r="AS297" s="2213"/>
      <c r="AT297" s="2213"/>
      <c r="AU297" s="2213"/>
      <c r="AV297" s="2213"/>
      <c r="AW297" s="2217">
        <f t="shared" si="165"/>
        <v>18.535713999970795</v>
      </c>
      <c r="AX297" s="2217">
        <f t="shared" si="166"/>
        <v>5112.2435999989566</v>
      </c>
      <c r="AY297" s="2217">
        <f t="shared" si="147"/>
        <v>28.146899999972447</v>
      </c>
      <c r="AZ297" s="2212">
        <v>38</v>
      </c>
      <c r="BA297" s="2208"/>
      <c r="BB297" s="263"/>
      <c r="BC297" s="2208"/>
      <c r="BD297" s="263"/>
      <c r="BE297" s="263"/>
      <c r="BF297" s="263"/>
      <c r="BG297" s="263"/>
      <c r="BH297" s="2208"/>
      <c r="BI297" s="2217">
        <f t="shared" si="167"/>
        <v>27.261252999962256</v>
      </c>
      <c r="BJ297" s="2217">
        <f t="shared" si="157"/>
        <v>5112.2435999989566</v>
      </c>
      <c r="BK297" s="2217">
        <f t="shared" si="148"/>
        <v>28.146899999972447</v>
      </c>
      <c r="BL297" s="2212">
        <v>38</v>
      </c>
      <c r="BM297" s="2208"/>
      <c r="BN297" s="263"/>
      <c r="BO297" s="2208"/>
      <c r="BP297" s="263"/>
      <c r="BQ297" s="263"/>
      <c r="BR297" s="263"/>
      <c r="BS297" s="263"/>
      <c r="BT297" s="2208"/>
      <c r="BU297" s="2217">
        <f t="shared" si="168"/>
        <v>26.205237394939605</v>
      </c>
      <c r="BV297" s="2217">
        <f t="shared" si="149"/>
        <v>5539.3274494670741</v>
      </c>
      <c r="BW297" s="2217">
        <f t="shared" si="158"/>
        <v>42.619587948795015</v>
      </c>
      <c r="BX297" s="2212">
        <v>38</v>
      </c>
      <c r="BY297" s="2219"/>
      <c r="BZ297" s="2213"/>
      <c r="CA297" s="2219"/>
      <c r="CB297" s="2213"/>
      <c r="CC297" s="2213"/>
      <c r="CD297" s="2213"/>
      <c r="CE297" s="2213"/>
      <c r="CF297" s="2208"/>
      <c r="CG297" s="2217">
        <f t="shared" si="169"/>
        <v>31.319587948795014</v>
      </c>
      <c r="CH297" s="2217">
        <f t="shared" si="150"/>
        <v>5539.3274494670741</v>
      </c>
      <c r="CI297" s="2217">
        <f t="shared" si="159"/>
        <v>42.619587948795015</v>
      </c>
      <c r="CJ297" s="2212">
        <v>38</v>
      </c>
      <c r="CK297" s="2219"/>
      <c r="CL297" s="2213"/>
      <c r="CM297" s="2219"/>
      <c r="CN297" s="2213"/>
      <c r="CO297" s="2213"/>
      <c r="CP297" s="2213"/>
      <c r="CQ297" s="2213"/>
      <c r="CR297" s="2208"/>
      <c r="CS297" s="2217">
        <f t="shared" si="170"/>
        <v>26.698314999962808</v>
      </c>
      <c r="CT297" s="2217">
        <f t="shared" si="160"/>
        <v>5112.2435999989566</v>
      </c>
      <c r="CU297" s="2217">
        <f t="shared" si="151"/>
        <v>28.146899999972447</v>
      </c>
      <c r="CV297" s="2212">
        <v>38</v>
      </c>
      <c r="CW297" s="2208"/>
      <c r="CX297" s="263"/>
      <c r="CY297" s="2208"/>
      <c r="CZ297" s="263"/>
      <c r="DA297" s="263"/>
      <c r="DB297" s="263"/>
      <c r="DC297" s="263"/>
      <c r="DD297" s="2208"/>
    </row>
    <row r="298" spans="1:108">
      <c r="A298" s="2217">
        <f t="shared" si="161"/>
        <v>38.097000311118464</v>
      </c>
      <c r="B298" s="2217">
        <f t="shared" si="152"/>
        <v>5496.7078615182791</v>
      </c>
      <c r="C298" s="2217">
        <f t="shared" si="153"/>
        <v>42.953913314016063</v>
      </c>
      <c r="D298" s="2212">
        <v>37</v>
      </c>
      <c r="E298" s="2219"/>
      <c r="F298" s="2213"/>
      <c r="G298" s="2219"/>
      <c r="H298" s="2213"/>
      <c r="I298" s="2213"/>
      <c r="J298" s="2213"/>
      <c r="K298" s="2213"/>
      <c r="L298" s="2213"/>
      <c r="M298" s="2217">
        <f t="shared" si="162"/>
        <v>41.103774243099593</v>
      </c>
      <c r="N298" s="2217">
        <f t="shared" si="144"/>
        <v>5496.7078615182791</v>
      </c>
      <c r="O298" s="2217">
        <f t="shared" si="154"/>
        <v>42.953913314016063</v>
      </c>
      <c r="P298" s="2212">
        <v>37</v>
      </c>
      <c r="Q298" s="2219"/>
      <c r="R298" s="2213"/>
      <c r="S298" s="2219"/>
      <c r="T298" s="2213"/>
      <c r="U298" s="2213"/>
      <c r="V298" s="2213"/>
      <c r="W298" s="2213"/>
      <c r="X298" s="2213"/>
      <c r="Y298" s="2217">
        <f t="shared" si="163"/>
        <v>44.969626441361044</v>
      </c>
      <c r="Z298" s="2217">
        <f t="shared" si="145"/>
        <v>5496.7078615182791</v>
      </c>
      <c r="AA298" s="2217">
        <f t="shared" si="155"/>
        <v>42.953913314016063</v>
      </c>
      <c r="AB298" s="2212">
        <v>37</v>
      </c>
      <c r="AC298" s="2219"/>
      <c r="AD298" s="2213"/>
      <c r="AE298" s="2219"/>
      <c r="AF298" s="2213"/>
      <c r="AG298" s="2213"/>
      <c r="AH298" s="2213"/>
      <c r="AI298" s="2213"/>
      <c r="AJ298" s="2213"/>
      <c r="AK298" s="2217">
        <f t="shared" si="164"/>
        <v>26.499443716334131</v>
      </c>
      <c r="AL298" s="2217">
        <f t="shared" si="146"/>
        <v>5496.7078615182791</v>
      </c>
      <c r="AM298" s="2217">
        <f t="shared" si="156"/>
        <v>42.953913314016063</v>
      </c>
      <c r="AN298" s="2212">
        <v>37</v>
      </c>
      <c r="AO298" s="2219"/>
      <c r="AP298" s="2213"/>
      <c r="AQ298" s="2219"/>
      <c r="AR298" s="2213"/>
      <c r="AS298" s="2213"/>
      <c r="AT298" s="2213"/>
      <c r="AU298" s="2213"/>
      <c r="AV298" s="2213"/>
      <c r="AW298" s="2217">
        <f t="shared" si="165"/>
        <v>18.9497499999705</v>
      </c>
      <c r="AX298" s="2217">
        <f t="shared" si="166"/>
        <v>5084.0966999989841</v>
      </c>
      <c r="AY298" s="2217">
        <f t="shared" si="147"/>
        <v>28.537499999972169</v>
      </c>
      <c r="AZ298" s="2212">
        <v>37</v>
      </c>
      <c r="BA298" s="2208"/>
      <c r="BB298" s="263"/>
      <c r="BC298" s="2208"/>
      <c r="BD298" s="263"/>
      <c r="BE298" s="263"/>
      <c r="BF298" s="263"/>
      <c r="BG298" s="263"/>
      <c r="BH298" s="2208"/>
      <c r="BI298" s="2217">
        <f t="shared" si="167"/>
        <v>27.796374999961873</v>
      </c>
      <c r="BJ298" s="2217">
        <f t="shared" si="157"/>
        <v>5084.0966999989841</v>
      </c>
      <c r="BK298" s="2217">
        <f t="shared" si="148"/>
        <v>28.537499999972169</v>
      </c>
      <c r="BL298" s="2212">
        <v>37</v>
      </c>
      <c r="BM298" s="2208"/>
      <c r="BN298" s="263"/>
      <c r="BO298" s="2208"/>
      <c r="BP298" s="263"/>
      <c r="BQ298" s="263"/>
      <c r="BR298" s="263"/>
      <c r="BS298" s="263"/>
      <c r="BT298" s="2208"/>
      <c r="BU298" s="2217">
        <f t="shared" si="168"/>
        <v>26.499443716334131</v>
      </c>
      <c r="BV298" s="2217">
        <f t="shared" si="149"/>
        <v>5496.7078615182791</v>
      </c>
      <c r="BW298" s="2217">
        <f t="shared" si="158"/>
        <v>42.953913314016063</v>
      </c>
      <c r="BX298" s="2212">
        <v>37</v>
      </c>
      <c r="BY298" s="2219"/>
      <c r="BZ298" s="2213"/>
      <c r="CA298" s="2219"/>
      <c r="CB298" s="2213"/>
      <c r="CC298" s="2213"/>
      <c r="CD298" s="2213"/>
      <c r="CE298" s="2213"/>
      <c r="CF298" s="2208"/>
      <c r="CG298" s="2217">
        <f t="shared" si="169"/>
        <v>31.653913314016062</v>
      </c>
      <c r="CH298" s="2217">
        <f t="shared" si="150"/>
        <v>5496.7078615182791</v>
      </c>
      <c r="CI298" s="2217">
        <f t="shared" si="159"/>
        <v>42.953913314016063</v>
      </c>
      <c r="CJ298" s="2212">
        <v>37</v>
      </c>
      <c r="CK298" s="2219"/>
      <c r="CL298" s="2213"/>
      <c r="CM298" s="2219"/>
      <c r="CN298" s="2213"/>
      <c r="CO298" s="2213"/>
      <c r="CP298" s="2213"/>
      <c r="CQ298" s="2213"/>
      <c r="CR298" s="2208"/>
      <c r="CS298" s="2217">
        <f t="shared" si="170"/>
        <v>27.225624999962431</v>
      </c>
      <c r="CT298" s="2217">
        <f t="shared" si="160"/>
        <v>5084.0966999989841</v>
      </c>
      <c r="CU298" s="2217">
        <f t="shared" si="151"/>
        <v>28.537499999972169</v>
      </c>
      <c r="CV298" s="2212">
        <v>37</v>
      </c>
      <c r="CW298" s="2208"/>
      <c r="CX298" s="263"/>
      <c r="CY298" s="2208"/>
      <c r="CZ298" s="263"/>
      <c r="DA298" s="263"/>
      <c r="DB298" s="263"/>
      <c r="DC298" s="263"/>
      <c r="DD298" s="2208"/>
    </row>
    <row r="299" spans="1:108">
      <c r="A299" s="2217">
        <f t="shared" si="161"/>
        <v>38.482787385213157</v>
      </c>
      <c r="B299" s="2217">
        <f t="shared" si="152"/>
        <v>5453.753948204263</v>
      </c>
      <c r="C299" s="2217">
        <f t="shared" si="153"/>
        <v>43.289380334967973</v>
      </c>
      <c r="D299" s="2212">
        <v>36</v>
      </c>
      <c r="E299" s="2219"/>
      <c r="F299" s="2213"/>
      <c r="G299" s="2219"/>
      <c r="H299" s="2213"/>
      <c r="I299" s="2213"/>
      <c r="J299" s="2213"/>
      <c r="K299" s="2213"/>
      <c r="L299" s="2213"/>
      <c r="M299" s="2217">
        <f t="shared" si="162"/>
        <v>41.513044008660927</v>
      </c>
      <c r="N299" s="2217">
        <f t="shared" si="144"/>
        <v>5453.753948204263</v>
      </c>
      <c r="O299" s="2217">
        <f t="shared" si="154"/>
        <v>43.289380334967973</v>
      </c>
      <c r="P299" s="2212">
        <v>36</v>
      </c>
      <c r="Q299" s="2219"/>
      <c r="R299" s="2213"/>
      <c r="S299" s="2219"/>
      <c r="T299" s="2213"/>
      <c r="U299" s="2213"/>
      <c r="V299" s="2213"/>
      <c r="W299" s="2213"/>
      <c r="X299" s="2213"/>
      <c r="Y299" s="2217">
        <f t="shared" si="163"/>
        <v>45.409088238808053</v>
      </c>
      <c r="Z299" s="2217">
        <f t="shared" si="145"/>
        <v>5453.753948204263</v>
      </c>
      <c r="AA299" s="2217">
        <f t="shared" si="155"/>
        <v>43.289380334967973</v>
      </c>
      <c r="AB299" s="2212">
        <v>36</v>
      </c>
      <c r="AC299" s="2219"/>
      <c r="AD299" s="2213"/>
      <c r="AE299" s="2219"/>
      <c r="AF299" s="2213"/>
      <c r="AG299" s="2213"/>
      <c r="AH299" s="2213"/>
      <c r="AI299" s="2213"/>
      <c r="AJ299" s="2213"/>
      <c r="AK299" s="2217">
        <f t="shared" si="164"/>
        <v>26.794654694771811</v>
      </c>
      <c r="AL299" s="2217">
        <f t="shared" si="146"/>
        <v>5453.753948204263</v>
      </c>
      <c r="AM299" s="2217">
        <f t="shared" si="156"/>
        <v>43.289380334967973</v>
      </c>
      <c r="AN299" s="2212">
        <v>36</v>
      </c>
      <c r="AO299" s="2219"/>
      <c r="AP299" s="2213"/>
      <c r="AQ299" s="2219"/>
      <c r="AR299" s="2213"/>
      <c r="AS299" s="2213"/>
      <c r="AT299" s="2213"/>
      <c r="AU299" s="2213"/>
      <c r="AV299" s="2213"/>
      <c r="AW299" s="2217">
        <f t="shared" si="165"/>
        <v>19.367601999969249</v>
      </c>
      <c r="AX299" s="2217">
        <f t="shared" si="166"/>
        <v>5055.559199999012</v>
      </c>
      <c r="AY299" s="2217">
        <f t="shared" si="147"/>
        <v>28.931699999970988</v>
      </c>
      <c r="AZ299" s="2212">
        <v>36</v>
      </c>
      <c r="BA299" s="2208"/>
      <c r="BB299" s="263"/>
      <c r="BC299" s="2208"/>
      <c r="BD299" s="263"/>
      <c r="BE299" s="263"/>
      <c r="BF299" s="263"/>
      <c r="BG299" s="263"/>
      <c r="BH299" s="2208"/>
      <c r="BI299" s="2217">
        <f t="shared" si="167"/>
        <v>28.336428999960258</v>
      </c>
      <c r="BJ299" s="2217">
        <f t="shared" si="157"/>
        <v>5055.559199999012</v>
      </c>
      <c r="BK299" s="2217">
        <f t="shared" si="148"/>
        <v>28.931699999970988</v>
      </c>
      <c r="BL299" s="2212">
        <v>36</v>
      </c>
      <c r="BM299" s="2208"/>
      <c r="BN299" s="263"/>
      <c r="BO299" s="2208"/>
      <c r="BP299" s="263"/>
      <c r="BQ299" s="263"/>
      <c r="BR299" s="263"/>
      <c r="BS299" s="263"/>
      <c r="BT299" s="2208"/>
      <c r="BU299" s="2217">
        <f t="shared" si="168"/>
        <v>26.794654694771811</v>
      </c>
      <c r="BV299" s="2217">
        <f t="shared" si="149"/>
        <v>5453.753948204263</v>
      </c>
      <c r="BW299" s="2217">
        <f t="shared" si="158"/>
        <v>43.289380334967973</v>
      </c>
      <c r="BX299" s="2212">
        <v>36</v>
      </c>
      <c r="BY299" s="2219"/>
      <c r="BZ299" s="2213"/>
      <c r="CA299" s="2219"/>
      <c r="CB299" s="2213"/>
      <c r="CC299" s="2213"/>
      <c r="CD299" s="2213"/>
      <c r="CE299" s="2213"/>
      <c r="CF299" s="2208"/>
      <c r="CG299" s="2217">
        <f t="shared" si="169"/>
        <v>31.989380334967972</v>
      </c>
      <c r="CH299" s="2217">
        <f t="shared" si="150"/>
        <v>5453.753948204263</v>
      </c>
      <c r="CI299" s="2217">
        <f t="shared" si="159"/>
        <v>43.289380334967973</v>
      </c>
      <c r="CJ299" s="2212">
        <v>36</v>
      </c>
      <c r="CK299" s="2219"/>
      <c r="CL299" s="2213"/>
      <c r="CM299" s="2219"/>
      <c r="CN299" s="2213"/>
      <c r="CO299" s="2213"/>
      <c r="CP299" s="2213"/>
      <c r="CQ299" s="2213"/>
      <c r="CR299" s="2208"/>
      <c r="CS299" s="2217">
        <f t="shared" si="170"/>
        <v>27.757794999960833</v>
      </c>
      <c r="CT299" s="2217">
        <f t="shared" si="160"/>
        <v>5055.559199999012</v>
      </c>
      <c r="CU299" s="2217">
        <f t="shared" si="151"/>
        <v>28.931699999970988</v>
      </c>
      <c r="CV299" s="2212">
        <v>36</v>
      </c>
      <c r="CW299" s="2208"/>
      <c r="CX299" s="263"/>
      <c r="CY299" s="2208"/>
      <c r="CZ299" s="263"/>
      <c r="DA299" s="263"/>
      <c r="DB299" s="263"/>
      <c r="DC299" s="263"/>
      <c r="DD299" s="2208"/>
    </row>
    <row r="300" spans="1:108">
      <c r="A300" s="2217">
        <f t="shared" si="161"/>
        <v>38.869887363406718</v>
      </c>
      <c r="B300" s="2217">
        <f t="shared" si="152"/>
        <v>5410.464567869295</v>
      </c>
      <c r="C300" s="2217">
        <f t="shared" si="153"/>
        <v>43.625989011658021</v>
      </c>
      <c r="D300" s="2212">
        <v>35</v>
      </c>
      <c r="E300" s="2219"/>
      <c r="F300" s="2213"/>
      <c r="G300" s="2219"/>
      <c r="H300" s="2213"/>
      <c r="I300" s="2213"/>
      <c r="J300" s="2213"/>
      <c r="K300" s="2213"/>
      <c r="L300" s="2213"/>
      <c r="M300" s="2217">
        <f t="shared" si="162"/>
        <v>41.923706594222779</v>
      </c>
      <c r="N300" s="2217">
        <f t="shared" si="144"/>
        <v>5410.464567869295</v>
      </c>
      <c r="O300" s="2217">
        <f t="shared" si="154"/>
        <v>43.625989011658021</v>
      </c>
      <c r="P300" s="2212">
        <v>35</v>
      </c>
      <c r="Q300" s="2219"/>
      <c r="R300" s="2213"/>
      <c r="S300" s="2219"/>
      <c r="T300" s="2213"/>
      <c r="U300" s="2213"/>
      <c r="V300" s="2213"/>
      <c r="W300" s="2213"/>
      <c r="X300" s="2213"/>
      <c r="Y300" s="2217">
        <f t="shared" si="163"/>
        <v>45.850045605272015</v>
      </c>
      <c r="Z300" s="2217">
        <f t="shared" si="145"/>
        <v>5410.464567869295</v>
      </c>
      <c r="AA300" s="2217">
        <f t="shared" si="155"/>
        <v>43.625989011658021</v>
      </c>
      <c r="AB300" s="2212">
        <v>35</v>
      </c>
      <c r="AC300" s="2219"/>
      <c r="AD300" s="2213"/>
      <c r="AE300" s="2219"/>
      <c r="AF300" s="2213"/>
      <c r="AG300" s="2213"/>
      <c r="AH300" s="2213"/>
      <c r="AI300" s="2213"/>
      <c r="AJ300" s="2213"/>
      <c r="AK300" s="2217">
        <f t="shared" si="164"/>
        <v>27.090870330259055</v>
      </c>
      <c r="AL300" s="2217">
        <f t="shared" si="146"/>
        <v>5410.464567869295</v>
      </c>
      <c r="AM300" s="2217">
        <f t="shared" si="156"/>
        <v>43.625989011658021</v>
      </c>
      <c r="AN300" s="2212">
        <v>35</v>
      </c>
      <c r="AO300" s="2219"/>
      <c r="AP300" s="2213"/>
      <c r="AQ300" s="2219"/>
      <c r="AR300" s="2213"/>
      <c r="AS300" s="2213"/>
      <c r="AT300" s="2213"/>
      <c r="AU300" s="2213"/>
      <c r="AV300" s="2213"/>
      <c r="AW300" s="2217">
        <f t="shared" si="165"/>
        <v>19.789269999966073</v>
      </c>
      <c r="AX300" s="2217">
        <f t="shared" si="166"/>
        <v>5026.627499999041</v>
      </c>
      <c r="AY300" s="2217">
        <f t="shared" si="147"/>
        <v>29.329499999967993</v>
      </c>
      <c r="AZ300" s="2212">
        <v>35</v>
      </c>
      <c r="BA300" s="2208"/>
      <c r="BB300" s="263"/>
      <c r="BC300" s="2208"/>
      <c r="BD300" s="263"/>
      <c r="BE300" s="263"/>
      <c r="BF300" s="263"/>
      <c r="BG300" s="263"/>
      <c r="BH300" s="2208"/>
      <c r="BI300" s="2217">
        <f t="shared" si="167"/>
        <v>28.881414999956153</v>
      </c>
      <c r="BJ300" s="2217">
        <f t="shared" si="157"/>
        <v>5026.627499999041</v>
      </c>
      <c r="BK300" s="2217">
        <f t="shared" si="148"/>
        <v>29.329499999967993</v>
      </c>
      <c r="BL300" s="2212">
        <v>35</v>
      </c>
      <c r="BM300" s="2208"/>
      <c r="BN300" s="263"/>
      <c r="BO300" s="2208"/>
      <c r="BP300" s="263"/>
      <c r="BQ300" s="263"/>
      <c r="BR300" s="263"/>
      <c r="BS300" s="263"/>
      <c r="BT300" s="2208"/>
      <c r="BU300" s="2217">
        <f t="shared" si="168"/>
        <v>27.090870330259055</v>
      </c>
      <c r="BV300" s="2217">
        <f t="shared" si="149"/>
        <v>5410.464567869295</v>
      </c>
      <c r="BW300" s="2217">
        <f t="shared" si="158"/>
        <v>43.625989011658021</v>
      </c>
      <c r="BX300" s="2212">
        <v>35</v>
      </c>
      <c r="BY300" s="2219"/>
      <c r="BZ300" s="2213"/>
      <c r="CA300" s="2219"/>
      <c r="CB300" s="2213"/>
      <c r="CC300" s="2213"/>
      <c r="CD300" s="2213"/>
      <c r="CE300" s="2213"/>
      <c r="CF300" s="2208"/>
      <c r="CG300" s="2217">
        <f t="shared" si="169"/>
        <v>32.325989011658024</v>
      </c>
      <c r="CH300" s="2217">
        <f t="shared" si="150"/>
        <v>5410.464567869295</v>
      </c>
      <c r="CI300" s="2217">
        <f t="shared" si="159"/>
        <v>43.625989011658021</v>
      </c>
      <c r="CJ300" s="2212">
        <v>35</v>
      </c>
      <c r="CK300" s="2219"/>
      <c r="CL300" s="2213"/>
      <c r="CM300" s="2219"/>
      <c r="CN300" s="2213"/>
      <c r="CO300" s="2213"/>
      <c r="CP300" s="2213"/>
      <c r="CQ300" s="2213"/>
      <c r="CR300" s="2208"/>
      <c r="CS300" s="2217">
        <f t="shared" si="170"/>
        <v>28.294824999956791</v>
      </c>
      <c r="CT300" s="2217">
        <f t="shared" si="160"/>
        <v>5026.627499999041</v>
      </c>
      <c r="CU300" s="2217">
        <f t="shared" si="151"/>
        <v>29.329499999967993</v>
      </c>
      <c r="CV300" s="2212">
        <v>35</v>
      </c>
      <c r="CW300" s="2208"/>
      <c r="CX300" s="263"/>
      <c r="CY300" s="2208"/>
      <c r="CZ300" s="263"/>
      <c r="DA300" s="263"/>
      <c r="DB300" s="263"/>
      <c r="DC300" s="263"/>
      <c r="DD300" s="2208"/>
    </row>
    <row r="301" spans="1:108">
      <c r="A301" s="2217">
        <f t="shared" si="161"/>
        <v>39.258300245693903</v>
      </c>
      <c r="B301" s="2217">
        <f t="shared" si="152"/>
        <v>5366.838578857637</v>
      </c>
      <c r="C301" s="2217">
        <f t="shared" si="153"/>
        <v>43.96373934408166</v>
      </c>
      <c r="D301" s="2212">
        <v>34</v>
      </c>
      <c r="E301" s="2219"/>
      <c r="F301" s="2213"/>
      <c r="G301" s="2219"/>
      <c r="H301" s="2213"/>
      <c r="I301" s="2213"/>
      <c r="J301" s="2213"/>
      <c r="K301" s="2213"/>
      <c r="L301" s="2213"/>
      <c r="M301" s="2217">
        <f t="shared" si="162"/>
        <v>42.335761999779621</v>
      </c>
      <c r="N301" s="2217">
        <f t="shared" si="144"/>
        <v>5366.838578857637</v>
      </c>
      <c r="O301" s="2217">
        <f t="shared" si="154"/>
        <v>43.96373934408166</v>
      </c>
      <c r="P301" s="2212">
        <v>34</v>
      </c>
      <c r="Q301" s="2219"/>
      <c r="R301" s="2213"/>
      <c r="S301" s="2219"/>
      <c r="T301" s="2213"/>
      <c r="U301" s="2213"/>
      <c r="V301" s="2213"/>
      <c r="W301" s="2213"/>
      <c r="X301" s="2213"/>
      <c r="Y301" s="2217">
        <f t="shared" si="163"/>
        <v>46.292498540746976</v>
      </c>
      <c r="Z301" s="2217">
        <f t="shared" si="145"/>
        <v>5366.838578857637</v>
      </c>
      <c r="AA301" s="2217">
        <f t="shared" si="155"/>
        <v>43.96373934408166</v>
      </c>
      <c r="AB301" s="2212">
        <v>34</v>
      </c>
      <c r="AC301" s="2219"/>
      <c r="AD301" s="2213"/>
      <c r="AE301" s="2219"/>
      <c r="AF301" s="2213"/>
      <c r="AG301" s="2213"/>
      <c r="AH301" s="2213"/>
      <c r="AI301" s="2213"/>
      <c r="AJ301" s="2213"/>
      <c r="AK301" s="2217">
        <f t="shared" si="164"/>
        <v>27.388090622791854</v>
      </c>
      <c r="AL301" s="2217">
        <f t="shared" si="146"/>
        <v>5366.838578857637</v>
      </c>
      <c r="AM301" s="2217">
        <f t="shared" si="156"/>
        <v>43.96373934408166</v>
      </c>
      <c r="AN301" s="2212">
        <v>34</v>
      </c>
      <c r="AO301" s="2219"/>
      <c r="AP301" s="2213"/>
      <c r="AQ301" s="2219"/>
      <c r="AR301" s="2213"/>
      <c r="AS301" s="2213"/>
      <c r="AT301" s="2213"/>
      <c r="AU301" s="2213"/>
      <c r="AV301" s="2213"/>
      <c r="AW301" s="2217">
        <f t="shared" si="165"/>
        <v>20.21475399996676</v>
      </c>
      <c r="AX301" s="2217">
        <f t="shared" si="166"/>
        <v>4997.297999999073</v>
      </c>
      <c r="AY301" s="2217">
        <f t="shared" si="147"/>
        <v>29.730899999968642</v>
      </c>
      <c r="AZ301" s="2212">
        <v>34</v>
      </c>
      <c r="BA301" s="2208"/>
      <c r="BB301" s="263"/>
      <c r="BC301" s="2208"/>
      <c r="BD301" s="263"/>
      <c r="BE301" s="263"/>
      <c r="BF301" s="263"/>
      <c r="BG301" s="263"/>
      <c r="BH301" s="2208"/>
      <c r="BI301" s="2217">
        <f t="shared" si="167"/>
        <v>29.431332999957039</v>
      </c>
      <c r="BJ301" s="2217">
        <f t="shared" si="157"/>
        <v>4997.297999999073</v>
      </c>
      <c r="BK301" s="2217">
        <f t="shared" si="148"/>
        <v>29.730899999968642</v>
      </c>
      <c r="BL301" s="2212">
        <v>34</v>
      </c>
      <c r="BM301" s="2208"/>
      <c r="BN301" s="263"/>
      <c r="BO301" s="2208"/>
      <c r="BP301" s="263"/>
      <c r="BQ301" s="263"/>
      <c r="BR301" s="263"/>
      <c r="BS301" s="263"/>
      <c r="BT301" s="2208"/>
      <c r="BU301" s="2217">
        <f t="shared" si="168"/>
        <v>27.388090622791854</v>
      </c>
      <c r="BV301" s="2217">
        <f t="shared" si="149"/>
        <v>5366.838578857637</v>
      </c>
      <c r="BW301" s="2217">
        <f t="shared" si="158"/>
        <v>43.96373934408166</v>
      </c>
      <c r="BX301" s="2212">
        <v>34</v>
      </c>
      <c r="BY301" s="2219"/>
      <c r="BZ301" s="2213"/>
      <c r="CA301" s="2219"/>
      <c r="CB301" s="2213"/>
      <c r="CC301" s="2213"/>
      <c r="CD301" s="2213"/>
      <c r="CE301" s="2213"/>
      <c r="CF301" s="2208"/>
      <c r="CG301" s="2217">
        <f t="shared" si="169"/>
        <v>32.663739344081662</v>
      </c>
      <c r="CH301" s="2217">
        <f t="shared" si="150"/>
        <v>5366.838578857637</v>
      </c>
      <c r="CI301" s="2217">
        <f t="shared" si="159"/>
        <v>43.96373934408166</v>
      </c>
      <c r="CJ301" s="2212">
        <v>34</v>
      </c>
      <c r="CK301" s="2219"/>
      <c r="CL301" s="2213"/>
      <c r="CM301" s="2219"/>
      <c r="CN301" s="2213"/>
      <c r="CO301" s="2213"/>
      <c r="CP301" s="2213"/>
      <c r="CQ301" s="2213"/>
      <c r="CR301" s="2208"/>
      <c r="CS301" s="2217">
        <f t="shared" si="170"/>
        <v>28.836714999957668</v>
      </c>
      <c r="CT301" s="2217">
        <f t="shared" si="160"/>
        <v>4997.297999999073</v>
      </c>
      <c r="CU301" s="2217">
        <f t="shared" si="151"/>
        <v>29.730899999968642</v>
      </c>
      <c r="CV301" s="2212">
        <v>34</v>
      </c>
      <c r="CW301" s="2208"/>
      <c r="CX301" s="263"/>
      <c r="CY301" s="2208"/>
      <c r="CZ301" s="263"/>
      <c r="DA301" s="263"/>
      <c r="DB301" s="263"/>
      <c r="DC301" s="263"/>
      <c r="DD301" s="2208"/>
    </row>
    <row r="302" spans="1:108">
      <c r="A302" s="2217">
        <f t="shared" si="161"/>
        <v>39.648026032074711</v>
      </c>
      <c r="B302" s="2217">
        <f t="shared" si="152"/>
        <v>5322.8748395135553</v>
      </c>
      <c r="C302" s="2217">
        <f t="shared" si="153"/>
        <v>44.302631332238889</v>
      </c>
      <c r="D302" s="2212">
        <v>33</v>
      </c>
      <c r="E302" s="2219"/>
      <c r="F302" s="2213"/>
      <c r="G302" s="2219"/>
      <c r="H302" s="2213"/>
      <c r="I302" s="2213"/>
      <c r="J302" s="2213"/>
      <c r="K302" s="2213"/>
      <c r="L302" s="2213"/>
      <c r="M302" s="2217">
        <f t="shared" si="162"/>
        <v>42.749210225331439</v>
      </c>
      <c r="N302" s="2217">
        <f t="shared" si="144"/>
        <v>5322.8748395135553</v>
      </c>
      <c r="O302" s="2217">
        <f t="shared" si="154"/>
        <v>44.302631332238889</v>
      </c>
      <c r="P302" s="2212">
        <v>33</v>
      </c>
      <c r="Q302" s="2219"/>
      <c r="R302" s="2213"/>
      <c r="S302" s="2219"/>
      <c r="T302" s="2213"/>
      <c r="U302" s="2213"/>
      <c r="V302" s="2213"/>
      <c r="W302" s="2213"/>
      <c r="X302" s="2213"/>
      <c r="Y302" s="2217">
        <f t="shared" si="163"/>
        <v>46.73644704523295</v>
      </c>
      <c r="Z302" s="2217">
        <f t="shared" si="145"/>
        <v>5322.8748395135553</v>
      </c>
      <c r="AA302" s="2217">
        <f t="shared" si="155"/>
        <v>44.302631332238889</v>
      </c>
      <c r="AB302" s="2212">
        <v>33</v>
      </c>
      <c r="AC302" s="2219"/>
      <c r="AD302" s="2213"/>
      <c r="AE302" s="2219"/>
      <c r="AF302" s="2213"/>
      <c r="AG302" s="2213"/>
      <c r="AH302" s="2213"/>
      <c r="AI302" s="2213"/>
      <c r="AJ302" s="2213"/>
      <c r="AK302" s="2217">
        <f t="shared" si="164"/>
        <v>27.686315572370216</v>
      </c>
      <c r="AL302" s="2217">
        <f t="shared" si="146"/>
        <v>5322.8748395135553</v>
      </c>
      <c r="AM302" s="2217">
        <f t="shared" si="156"/>
        <v>44.302631332238889</v>
      </c>
      <c r="AN302" s="2212">
        <v>33</v>
      </c>
      <c r="AO302" s="2219"/>
      <c r="AP302" s="2213"/>
      <c r="AQ302" s="2219"/>
      <c r="AR302" s="2213"/>
      <c r="AS302" s="2213"/>
      <c r="AT302" s="2213"/>
      <c r="AU302" s="2213"/>
      <c r="AV302" s="2213"/>
      <c r="AW302" s="2217">
        <f t="shared" si="165"/>
        <v>20.644053999965529</v>
      </c>
      <c r="AX302" s="2217">
        <f t="shared" si="166"/>
        <v>4967.5670999991044</v>
      </c>
      <c r="AY302" s="2217">
        <f t="shared" si="147"/>
        <v>30.135899999967478</v>
      </c>
      <c r="AZ302" s="2212">
        <v>33</v>
      </c>
      <c r="BA302" s="2208"/>
      <c r="BB302" s="263"/>
      <c r="BC302" s="2208"/>
      <c r="BD302" s="263"/>
      <c r="BE302" s="263"/>
      <c r="BF302" s="263"/>
      <c r="BG302" s="263"/>
      <c r="BH302" s="2208"/>
      <c r="BI302" s="2217">
        <f t="shared" si="167"/>
        <v>29.986182999955449</v>
      </c>
      <c r="BJ302" s="2217">
        <f t="shared" si="157"/>
        <v>4967.5670999991044</v>
      </c>
      <c r="BK302" s="2217">
        <f t="shared" si="148"/>
        <v>30.135899999967478</v>
      </c>
      <c r="BL302" s="2212">
        <v>33</v>
      </c>
      <c r="BM302" s="2208"/>
      <c r="BN302" s="263"/>
      <c r="BO302" s="2208"/>
      <c r="BP302" s="263"/>
      <c r="BQ302" s="263"/>
      <c r="BR302" s="263"/>
      <c r="BS302" s="263"/>
      <c r="BT302" s="2208"/>
      <c r="BU302" s="2217">
        <f t="shared" si="168"/>
        <v>27.686315572370216</v>
      </c>
      <c r="BV302" s="2217">
        <f t="shared" si="149"/>
        <v>5322.8748395135553</v>
      </c>
      <c r="BW302" s="2217">
        <f t="shared" si="158"/>
        <v>44.302631332238889</v>
      </c>
      <c r="BX302" s="2212">
        <v>33</v>
      </c>
      <c r="BY302" s="2219"/>
      <c r="BZ302" s="2213"/>
      <c r="CA302" s="2219"/>
      <c r="CB302" s="2213"/>
      <c r="CC302" s="2213"/>
      <c r="CD302" s="2213"/>
      <c r="CE302" s="2213"/>
      <c r="CF302" s="2208"/>
      <c r="CG302" s="2217">
        <f t="shared" si="169"/>
        <v>33.002631332238892</v>
      </c>
      <c r="CH302" s="2217">
        <f t="shared" si="150"/>
        <v>5322.8748395135553</v>
      </c>
      <c r="CI302" s="2217">
        <f t="shared" si="159"/>
        <v>44.302631332238889</v>
      </c>
      <c r="CJ302" s="2212">
        <v>33</v>
      </c>
      <c r="CK302" s="2219"/>
      <c r="CL302" s="2213"/>
      <c r="CM302" s="2219"/>
      <c r="CN302" s="2213"/>
      <c r="CO302" s="2213"/>
      <c r="CP302" s="2213"/>
      <c r="CQ302" s="2213"/>
      <c r="CR302" s="2208"/>
      <c r="CS302" s="2217">
        <f t="shared" si="170"/>
        <v>29.3834649999561</v>
      </c>
      <c r="CT302" s="2217">
        <f t="shared" si="160"/>
        <v>4967.5670999991044</v>
      </c>
      <c r="CU302" s="2217">
        <f t="shared" si="151"/>
        <v>30.135899999967478</v>
      </c>
      <c r="CV302" s="2212">
        <v>33</v>
      </c>
      <c r="CW302" s="2208"/>
      <c r="CX302" s="263"/>
      <c r="CY302" s="2208"/>
      <c r="CZ302" s="263"/>
      <c r="DA302" s="263"/>
      <c r="DB302" s="263"/>
      <c r="DC302" s="263"/>
      <c r="DD302" s="2208"/>
    </row>
    <row r="303" spans="1:108">
      <c r="A303" s="2217">
        <f t="shared" si="161"/>
        <v>40.039064722551245</v>
      </c>
      <c r="B303" s="2217">
        <f t="shared" si="152"/>
        <v>5278.5722081813165</v>
      </c>
      <c r="C303" s="2217">
        <f t="shared" si="153"/>
        <v>44.642664976131528</v>
      </c>
      <c r="D303" s="2212">
        <v>32</v>
      </c>
      <c r="E303" s="2219"/>
      <c r="F303" s="2213"/>
      <c r="G303" s="2219"/>
      <c r="H303" s="2213"/>
      <c r="I303" s="2213"/>
      <c r="J303" s="2213"/>
      <c r="K303" s="2213"/>
      <c r="L303" s="2213"/>
      <c r="M303" s="2217">
        <f t="shared" si="162"/>
        <v>43.164051270880464</v>
      </c>
      <c r="N303" s="2217">
        <f t="shared" si="144"/>
        <v>5278.5722081813165</v>
      </c>
      <c r="O303" s="2217">
        <f t="shared" si="154"/>
        <v>44.642664976131528</v>
      </c>
      <c r="P303" s="2212">
        <v>32</v>
      </c>
      <c r="Q303" s="2219"/>
      <c r="R303" s="2213"/>
      <c r="S303" s="2219"/>
      <c r="T303" s="2213"/>
      <c r="U303" s="2213"/>
      <c r="V303" s="2213"/>
      <c r="W303" s="2213"/>
      <c r="X303" s="2213"/>
      <c r="Y303" s="2217">
        <f t="shared" si="163"/>
        <v>47.18189111873231</v>
      </c>
      <c r="Z303" s="2217">
        <f t="shared" si="145"/>
        <v>5278.5722081813165</v>
      </c>
      <c r="AA303" s="2217">
        <f t="shared" si="155"/>
        <v>44.642664976131528</v>
      </c>
      <c r="AB303" s="2212">
        <v>32</v>
      </c>
      <c r="AC303" s="2219"/>
      <c r="AD303" s="2213"/>
      <c r="AE303" s="2219"/>
      <c r="AF303" s="2213"/>
      <c r="AG303" s="2213"/>
      <c r="AH303" s="2213"/>
      <c r="AI303" s="2213"/>
      <c r="AJ303" s="2213"/>
      <c r="AK303" s="2217">
        <f t="shared" si="164"/>
        <v>27.985545178995739</v>
      </c>
      <c r="AL303" s="2217">
        <f t="shared" si="146"/>
        <v>5278.5722081813165</v>
      </c>
      <c r="AM303" s="2217">
        <f t="shared" si="156"/>
        <v>44.642664976131528</v>
      </c>
      <c r="AN303" s="2212">
        <v>32</v>
      </c>
      <c r="AO303" s="2219"/>
      <c r="AP303" s="2213"/>
      <c r="AQ303" s="2219"/>
      <c r="AR303" s="2213"/>
      <c r="AS303" s="2213"/>
      <c r="AT303" s="2213"/>
      <c r="AU303" s="2213"/>
      <c r="AV303" s="2213"/>
      <c r="AW303" s="2217">
        <f t="shared" si="165"/>
        <v>21.077169999963335</v>
      </c>
      <c r="AX303" s="2217">
        <f t="shared" si="166"/>
        <v>4937.4311999991369</v>
      </c>
      <c r="AY303" s="2217">
        <f t="shared" si="147"/>
        <v>30.54449999996541</v>
      </c>
      <c r="AZ303" s="2212">
        <v>32</v>
      </c>
      <c r="BA303" s="2208"/>
      <c r="BB303" s="263"/>
      <c r="BC303" s="2208"/>
      <c r="BD303" s="263"/>
      <c r="BE303" s="263"/>
      <c r="BF303" s="263"/>
      <c r="BG303" s="263"/>
      <c r="BH303" s="2208"/>
      <c r="BI303" s="2217">
        <f t="shared" si="167"/>
        <v>30.545964999952613</v>
      </c>
      <c r="BJ303" s="2217">
        <f t="shared" si="157"/>
        <v>4937.4311999991369</v>
      </c>
      <c r="BK303" s="2217">
        <f t="shared" si="148"/>
        <v>30.54449999996541</v>
      </c>
      <c r="BL303" s="2212">
        <v>32</v>
      </c>
      <c r="BM303" s="2208"/>
      <c r="BN303" s="263"/>
      <c r="BO303" s="2208"/>
      <c r="BP303" s="263"/>
      <c r="BQ303" s="263"/>
      <c r="BR303" s="263"/>
      <c r="BS303" s="263"/>
      <c r="BT303" s="2208"/>
      <c r="BU303" s="2217">
        <f t="shared" si="168"/>
        <v>27.985545178995739</v>
      </c>
      <c r="BV303" s="2217">
        <f t="shared" si="149"/>
        <v>5278.5722081813165</v>
      </c>
      <c r="BW303" s="2217">
        <f t="shared" si="158"/>
        <v>44.642664976131528</v>
      </c>
      <c r="BX303" s="2212">
        <v>32</v>
      </c>
      <c r="BY303" s="2219"/>
      <c r="BZ303" s="2213"/>
      <c r="CA303" s="2219"/>
      <c r="CB303" s="2213"/>
      <c r="CC303" s="2213"/>
      <c r="CD303" s="2213"/>
      <c r="CE303" s="2213"/>
      <c r="CF303" s="2208"/>
      <c r="CG303" s="2217">
        <f t="shared" si="169"/>
        <v>33.34266497613153</v>
      </c>
      <c r="CH303" s="2217">
        <f t="shared" si="150"/>
        <v>5278.5722081813165</v>
      </c>
      <c r="CI303" s="2217">
        <f t="shared" si="159"/>
        <v>44.642664976131528</v>
      </c>
      <c r="CJ303" s="2212">
        <v>32</v>
      </c>
      <c r="CK303" s="2219"/>
      <c r="CL303" s="2213"/>
      <c r="CM303" s="2219"/>
      <c r="CN303" s="2213"/>
      <c r="CO303" s="2213"/>
      <c r="CP303" s="2213"/>
      <c r="CQ303" s="2213"/>
      <c r="CR303" s="2208"/>
      <c r="CS303" s="2217">
        <f t="shared" si="170"/>
        <v>29.935074999953304</v>
      </c>
      <c r="CT303" s="2217">
        <f t="shared" si="160"/>
        <v>4937.4311999991369</v>
      </c>
      <c r="CU303" s="2217">
        <f t="shared" si="151"/>
        <v>30.54449999996541</v>
      </c>
      <c r="CV303" s="2212">
        <v>32</v>
      </c>
      <c r="CW303" s="2208"/>
      <c r="CX303" s="263"/>
      <c r="CY303" s="2208"/>
      <c r="CZ303" s="263"/>
      <c r="DA303" s="263"/>
      <c r="DB303" s="263"/>
      <c r="DC303" s="263"/>
      <c r="DD303" s="2208"/>
    </row>
    <row r="304" spans="1:108">
      <c r="A304" s="2217">
        <f t="shared" si="161"/>
        <v>40.431416317122455</v>
      </c>
      <c r="B304" s="2217">
        <f t="shared" si="152"/>
        <v>5233.9295432051849</v>
      </c>
      <c r="C304" s="2217">
        <f t="shared" si="153"/>
        <v>44.983840275758666</v>
      </c>
      <c r="D304" s="2212">
        <v>31</v>
      </c>
      <c r="E304" s="2219"/>
      <c r="F304" s="2213"/>
      <c r="G304" s="2219"/>
      <c r="H304" s="2213"/>
      <c r="I304" s="2213"/>
      <c r="J304" s="2213"/>
      <c r="K304" s="2213"/>
      <c r="L304" s="2213"/>
      <c r="M304" s="2217">
        <f t="shared" si="162"/>
        <v>43.580285136425573</v>
      </c>
      <c r="N304" s="2217">
        <f t="shared" si="144"/>
        <v>5233.9295432051849</v>
      </c>
      <c r="O304" s="2217">
        <f t="shared" si="154"/>
        <v>44.983840275758666</v>
      </c>
      <c r="P304" s="2212">
        <v>31</v>
      </c>
      <c r="Q304" s="2219"/>
      <c r="R304" s="2213"/>
      <c r="S304" s="2219"/>
      <c r="T304" s="2213"/>
      <c r="U304" s="2213"/>
      <c r="V304" s="2213"/>
      <c r="W304" s="2213"/>
      <c r="X304" s="2213"/>
      <c r="Y304" s="2217">
        <f t="shared" si="163"/>
        <v>47.628830761243862</v>
      </c>
      <c r="Z304" s="2217">
        <f t="shared" si="145"/>
        <v>5233.9295432051849</v>
      </c>
      <c r="AA304" s="2217">
        <f t="shared" si="155"/>
        <v>44.983840275758666</v>
      </c>
      <c r="AB304" s="2212">
        <v>31</v>
      </c>
      <c r="AC304" s="2219"/>
      <c r="AD304" s="2213"/>
      <c r="AE304" s="2219"/>
      <c r="AF304" s="2213"/>
      <c r="AG304" s="2213"/>
      <c r="AH304" s="2213"/>
      <c r="AI304" s="2213"/>
      <c r="AJ304" s="2213"/>
      <c r="AK304" s="2217">
        <f t="shared" si="164"/>
        <v>28.285779442667621</v>
      </c>
      <c r="AL304" s="2217">
        <f t="shared" si="146"/>
        <v>5233.9295432051849</v>
      </c>
      <c r="AM304" s="2217">
        <f t="shared" si="156"/>
        <v>44.983840275758666</v>
      </c>
      <c r="AN304" s="2212">
        <v>31</v>
      </c>
      <c r="AO304" s="2219"/>
      <c r="AP304" s="2213"/>
      <c r="AQ304" s="2219"/>
      <c r="AR304" s="2213"/>
      <c r="AS304" s="2213"/>
      <c r="AT304" s="2213"/>
      <c r="AU304" s="2213"/>
      <c r="AV304" s="2213"/>
      <c r="AW304" s="2217">
        <f t="shared" si="165"/>
        <v>21.514101999963078</v>
      </c>
      <c r="AX304" s="2217">
        <f t="shared" si="166"/>
        <v>4906.8866999991715</v>
      </c>
      <c r="AY304" s="2217">
        <f t="shared" si="147"/>
        <v>30.956699999965167</v>
      </c>
      <c r="AZ304" s="2212">
        <v>31</v>
      </c>
      <c r="BA304" s="2208"/>
      <c r="BB304" s="263"/>
      <c r="BC304" s="2208"/>
      <c r="BD304" s="263"/>
      <c r="BE304" s="263"/>
      <c r="BF304" s="263"/>
      <c r="BG304" s="263"/>
      <c r="BH304" s="2208"/>
      <c r="BI304" s="2217">
        <f t="shared" si="167"/>
        <v>31.110678999952281</v>
      </c>
      <c r="BJ304" s="2217">
        <f t="shared" si="157"/>
        <v>4906.8866999991715</v>
      </c>
      <c r="BK304" s="2217">
        <f t="shared" si="148"/>
        <v>30.956699999965167</v>
      </c>
      <c r="BL304" s="2212">
        <v>31</v>
      </c>
      <c r="BM304" s="2208"/>
      <c r="BN304" s="263"/>
      <c r="BO304" s="2208"/>
      <c r="BP304" s="263"/>
      <c r="BQ304" s="263"/>
      <c r="BR304" s="263"/>
      <c r="BS304" s="263"/>
      <c r="BT304" s="2208"/>
      <c r="BU304" s="2217">
        <f t="shared" si="168"/>
        <v>28.285779442667621</v>
      </c>
      <c r="BV304" s="2217">
        <f t="shared" si="149"/>
        <v>5233.9295432051849</v>
      </c>
      <c r="BW304" s="2217">
        <f t="shared" si="158"/>
        <v>44.983840275758666</v>
      </c>
      <c r="BX304" s="2212">
        <v>31</v>
      </c>
      <c r="BY304" s="2219"/>
      <c r="BZ304" s="2213"/>
      <c r="CA304" s="2219"/>
      <c r="CB304" s="2213"/>
      <c r="CC304" s="2213"/>
      <c r="CD304" s="2213"/>
      <c r="CE304" s="2213"/>
      <c r="CF304" s="2208"/>
      <c r="CG304" s="2217">
        <f t="shared" si="169"/>
        <v>33.683840275758669</v>
      </c>
      <c r="CH304" s="2217">
        <f t="shared" si="150"/>
        <v>5233.9295432051849</v>
      </c>
      <c r="CI304" s="2217">
        <f t="shared" si="159"/>
        <v>44.983840275758666</v>
      </c>
      <c r="CJ304" s="2212">
        <v>31</v>
      </c>
      <c r="CK304" s="2219"/>
      <c r="CL304" s="2213"/>
      <c r="CM304" s="2219"/>
      <c r="CN304" s="2213"/>
      <c r="CO304" s="2213"/>
      <c r="CP304" s="2213"/>
      <c r="CQ304" s="2213"/>
      <c r="CR304" s="2208"/>
      <c r="CS304" s="2217">
        <f t="shared" si="170"/>
        <v>30.491544999952975</v>
      </c>
      <c r="CT304" s="2217">
        <f t="shared" si="160"/>
        <v>4906.8866999991715</v>
      </c>
      <c r="CU304" s="2217">
        <f t="shared" si="151"/>
        <v>30.956699999965167</v>
      </c>
      <c r="CV304" s="2212">
        <v>31</v>
      </c>
      <c r="CW304" s="2208"/>
      <c r="CX304" s="263"/>
      <c r="CY304" s="2208"/>
      <c r="CZ304" s="263"/>
      <c r="DA304" s="263"/>
      <c r="DB304" s="263"/>
      <c r="DC304" s="263"/>
      <c r="DD304" s="2208"/>
    </row>
    <row r="305" spans="1:108">
      <c r="A305" s="2217">
        <f t="shared" si="161"/>
        <v>40.82508081578834</v>
      </c>
      <c r="B305" s="2217">
        <f t="shared" si="152"/>
        <v>5188.9457029294263</v>
      </c>
      <c r="C305" s="2217">
        <f t="shared" si="153"/>
        <v>45.326157231120305</v>
      </c>
      <c r="D305" s="2212">
        <v>30</v>
      </c>
      <c r="E305" s="2219"/>
      <c r="F305" s="2213"/>
      <c r="G305" s="2219"/>
      <c r="H305" s="2213"/>
      <c r="I305" s="2213"/>
      <c r="J305" s="2213"/>
      <c r="K305" s="2213"/>
      <c r="L305" s="2213"/>
      <c r="M305" s="2217">
        <f t="shared" si="162"/>
        <v>43.997911821966767</v>
      </c>
      <c r="N305" s="2217">
        <f t="shared" si="144"/>
        <v>5188.9457029294263</v>
      </c>
      <c r="O305" s="2217">
        <f t="shared" si="154"/>
        <v>45.326157231120305</v>
      </c>
      <c r="P305" s="2212">
        <v>30</v>
      </c>
      <c r="Q305" s="2219"/>
      <c r="R305" s="2213"/>
      <c r="S305" s="2219"/>
      <c r="T305" s="2213"/>
      <c r="U305" s="2213"/>
      <c r="V305" s="2213"/>
      <c r="W305" s="2213"/>
      <c r="X305" s="2213"/>
      <c r="Y305" s="2217">
        <f t="shared" si="163"/>
        <v>48.077265972767606</v>
      </c>
      <c r="Z305" s="2217">
        <f t="shared" si="145"/>
        <v>5188.9457029294263</v>
      </c>
      <c r="AA305" s="2217">
        <f t="shared" si="155"/>
        <v>45.326157231120305</v>
      </c>
      <c r="AB305" s="2212">
        <v>30</v>
      </c>
      <c r="AC305" s="2219"/>
      <c r="AD305" s="2213"/>
      <c r="AE305" s="2219"/>
      <c r="AF305" s="2213"/>
      <c r="AG305" s="2213"/>
      <c r="AH305" s="2213"/>
      <c r="AI305" s="2213"/>
      <c r="AJ305" s="2213"/>
      <c r="AK305" s="2217">
        <f t="shared" si="164"/>
        <v>28.587018363385862</v>
      </c>
      <c r="AL305" s="2217">
        <f t="shared" si="146"/>
        <v>5188.9457029294263</v>
      </c>
      <c r="AM305" s="2217">
        <f t="shared" si="156"/>
        <v>45.326157231120305</v>
      </c>
      <c r="AN305" s="2212">
        <v>30</v>
      </c>
      <c r="AO305" s="2219"/>
      <c r="AP305" s="2213"/>
      <c r="AQ305" s="2219"/>
      <c r="AR305" s="2213"/>
      <c r="AS305" s="2213"/>
      <c r="AT305" s="2213"/>
      <c r="AU305" s="2213"/>
      <c r="AV305" s="2213"/>
      <c r="AW305" s="2217">
        <f t="shared" si="165"/>
        <v>21.954849999960896</v>
      </c>
      <c r="AX305" s="2217">
        <f t="shared" si="166"/>
        <v>4875.9299999992063</v>
      </c>
      <c r="AY305" s="2217">
        <f t="shared" si="147"/>
        <v>31.372499999963111</v>
      </c>
      <c r="AZ305" s="2212">
        <v>30</v>
      </c>
      <c r="BA305" s="2208"/>
      <c r="BB305" s="263"/>
      <c r="BC305" s="2208"/>
      <c r="BD305" s="263"/>
      <c r="BE305" s="263"/>
      <c r="BF305" s="263"/>
      <c r="BG305" s="263"/>
      <c r="BH305" s="2208"/>
      <c r="BI305" s="2217">
        <f t="shared" si="167"/>
        <v>31.680324999949466</v>
      </c>
      <c r="BJ305" s="2217">
        <f t="shared" si="157"/>
        <v>4875.9299999992063</v>
      </c>
      <c r="BK305" s="2217">
        <f t="shared" si="148"/>
        <v>31.372499999963111</v>
      </c>
      <c r="BL305" s="2212">
        <v>30</v>
      </c>
      <c r="BM305" s="2208"/>
      <c r="BN305" s="263"/>
      <c r="BO305" s="2208"/>
      <c r="BP305" s="263"/>
      <c r="BQ305" s="263"/>
      <c r="BR305" s="263"/>
      <c r="BS305" s="263"/>
      <c r="BT305" s="2208"/>
      <c r="BU305" s="2217">
        <f t="shared" si="168"/>
        <v>28.587018363385862</v>
      </c>
      <c r="BV305" s="2217">
        <f t="shared" si="149"/>
        <v>5188.9457029294263</v>
      </c>
      <c r="BW305" s="2217">
        <f t="shared" si="158"/>
        <v>45.326157231120305</v>
      </c>
      <c r="BX305" s="2212">
        <v>30</v>
      </c>
      <c r="BY305" s="2219"/>
      <c r="BZ305" s="2213"/>
      <c r="CA305" s="2219"/>
      <c r="CB305" s="2213"/>
      <c r="CC305" s="2213"/>
      <c r="CD305" s="2213"/>
      <c r="CE305" s="2213"/>
      <c r="CF305" s="2208"/>
      <c r="CG305" s="2217">
        <f t="shared" si="169"/>
        <v>34.026157231120308</v>
      </c>
      <c r="CH305" s="2217">
        <f t="shared" si="150"/>
        <v>5188.9457029294263</v>
      </c>
      <c r="CI305" s="2217">
        <f t="shared" si="159"/>
        <v>45.326157231120305</v>
      </c>
      <c r="CJ305" s="2212">
        <v>30</v>
      </c>
      <c r="CK305" s="2219"/>
      <c r="CL305" s="2213"/>
      <c r="CM305" s="2219"/>
      <c r="CN305" s="2213"/>
      <c r="CO305" s="2213"/>
      <c r="CP305" s="2213"/>
      <c r="CQ305" s="2213"/>
      <c r="CR305" s="2208"/>
      <c r="CS305" s="2217">
        <f t="shared" si="170"/>
        <v>31.052874999950202</v>
      </c>
      <c r="CT305" s="2217">
        <f t="shared" si="160"/>
        <v>4875.9299999992063</v>
      </c>
      <c r="CU305" s="2217">
        <f t="shared" si="151"/>
        <v>31.372499999963111</v>
      </c>
      <c r="CV305" s="2212">
        <v>30</v>
      </c>
      <c r="CW305" s="2208"/>
      <c r="CX305" s="263"/>
      <c r="CY305" s="2208"/>
      <c r="CZ305" s="263"/>
      <c r="DA305" s="263"/>
      <c r="DB305" s="263"/>
      <c r="DC305" s="263"/>
      <c r="DD305" s="2208"/>
    </row>
    <row r="306" spans="1:108">
      <c r="A306" s="2217">
        <f t="shared" si="161"/>
        <v>41.220058218549951</v>
      </c>
      <c r="B306" s="2217">
        <f t="shared" si="152"/>
        <v>5143.619545698306</v>
      </c>
      <c r="C306" s="2217">
        <f t="shared" si="153"/>
        <v>45.669615842217354</v>
      </c>
      <c r="D306" s="2212">
        <v>29</v>
      </c>
      <c r="E306" s="2219"/>
      <c r="F306" s="2213"/>
      <c r="G306" s="2219"/>
      <c r="H306" s="2213"/>
      <c r="I306" s="2213"/>
      <c r="J306" s="2213"/>
      <c r="K306" s="2213"/>
      <c r="L306" s="2213"/>
      <c r="M306" s="2217">
        <f t="shared" si="162"/>
        <v>44.416931327505168</v>
      </c>
      <c r="N306" s="2217">
        <f t="shared" si="144"/>
        <v>5143.619545698306</v>
      </c>
      <c r="O306" s="2217">
        <f t="shared" si="154"/>
        <v>45.669615842217354</v>
      </c>
      <c r="P306" s="2212">
        <v>29</v>
      </c>
      <c r="Q306" s="2219"/>
      <c r="R306" s="2213"/>
      <c r="S306" s="2219"/>
      <c r="T306" s="2213"/>
      <c r="U306" s="2213"/>
      <c r="V306" s="2213"/>
      <c r="W306" s="2213"/>
      <c r="X306" s="2213"/>
      <c r="Y306" s="2217">
        <f t="shared" si="163"/>
        <v>48.527196753304736</v>
      </c>
      <c r="Z306" s="2217">
        <f t="shared" si="145"/>
        <v>5143.619545698306</v>
      </c>
      <c r="AA306" s="2217">
        <f t="shared" si="155"/>
        <v>45.669615842217354</v>
      </c>
      <c r="AB306" s="2212">
        <v>29</v>
      </c>
      <c r="AC306" s="2219"/>
      <c r="AD306" s="2213"/>
      <c r="AE306" s="2219"/>
      <c r="AF306" s="2213"/>
      <c r="AG306" s="2213"/>
      <c r="AH306" s="2213"/>
      <c r="AI306" s="2213"/>
      <c r="AJ306" s="2213"/>
      <c r="AK306" s="2217">
        <f t="shared" si="164"/>
        <v>28.889261941151265</v>
      </c>
      <c r="AL306" s="2217">
        <f t="shared" si="146"/>
        <v>5143.619545698306</v>
      </c>
      <c r="AM306" s="2217">
        <f t="shared" si="156"/>
        <v>45.669615842217354</v>
      </c>
      <c r="AN306" s="2212">
        <v>29</v>
      </c>
      <c r="AO306" s="2219"/>
      <c r="AP306" s="2213"/>
      <c r="AQ306" s="2219"/>
      <c r="AR306" s="2213"/>
      <c r="AS306" s="2213"/>
      <c r="AT306" s="2213"/>
      <c r="AU306" s="2213"/>
      <c r="AV306" s="2213"/>
      <c r="AW306" s="2217">
        <f t="shared" si="165"/>
        <v>22.399413999960654</v>
      </c>
      <c r="AX306" s="2217">
        <f t="shared" si="166"/>
        <v>4844.5574999992432</v>
      </c>
      <c r="AY306" s="2217">
        <f t="shared" si="147"/>
        <v>31.79189999996288</v>
      </c>
      <c r="AZ306" s="2212">
        <v>29</v>
      </c>
      <c r="BA306" s="2208"/>
      <c r="BB306" s="263"/>
      <c r="BC306" s="2208"/>
      <c r="BD306" s="263"/>
      <c r="BE306" s="263"/>
      <c r="BF306" s="263"/>
      <c r="BG306" s="263"/>
      <c r="BH306" s="2208"/>
      <c r="BI306" s="2217">
        <f t="shared" si="167"/>
        <v>32.254902999949152</v>
      </c>
      <c r="BJ306" s="2217">
        <f t="shared" si="157"/>
        <v>4844.5574999992432</v>
      </c>
      <c r="BK306" s="2217">
        <f t="shared" si="148"/>
        <v>31.79189999996288</v>
      </c>
      <c r="BL306" s="2212">
        <v>29</v>
      </c>
      <c r="BM306" s="2208"/>
      <c r="BN306" s="263"/>
      <c r="BO306" s="2208"/>
      <c r="BP306" s="263"/>
      <c r="BQ306" s="263"/>
      <c r="BR306" s="263"/>
      <c r="BS306" s="263"/>
      <c r="BT306" s="2208"/>
      <c r="BU306" s="2217">
        <f t="shared" si="168"/>
        <v>28.889261941151265</v>
      </c>
      <c r="BV306" s="2217">
        <f t="shared" si="149"/>
        <v>5143.619545698306</v>
      </c>
      <c r="BW306" s="2217">
        <f t="shared" si="158"/>
        <v>45.669615842217354</v>
      </c>
      <c r="BX306" s="2212">
        <v>29</v>
      </c>
      <c r="BY306" s="2219"/>
      <c r="BZ306" s="2213"/>
      <c r="CA306" s="2219"/>
      <c r="CB306" s="2213"/>
      <c r="CC306" s="2213"/>
      <c r="CD306" s="2213"/>
      <c r="CE306" s="2213"/>
      <c r="CF306" s="2208"/>
      <c r="CG306" s="2217">
        <f t="shared" si="169"/>
        <v>34.369615842217357</v>
      </c>
      <c r="CH306" s="2217">
        <f t="shared" si="150"/>
        <v>5143.619545698306</v>
      </c>
      <c r="CI306" s="2217">
        <f t="shared" si="159"/>
        <v>45.669615842217354</v>
      </c>
      <c r="CJ306" s="2212">
        <v>29</v>
      </c>
      <c r="CK306" s="2219"/>
      <c r="CL306" s="2213"/>
      <c r="CM306" s="2219"/>
      <c r="CN306" s="2213"/>
      <c r="CO306" s="2213"/>
      <c r="CP306" s="2213"/>
      <c r="CQ306" s="2213"/>
      <c r="CR306" s="2208"/>
      <c r="CS306" s="2217">
        <f t="shared" si="170"/>
        <v>31.619064999949888</v>
      </c>
      <c r="CT306" s="2217">
        <f t="shared" si="160"/>
        <v>4844.5574999992432</v>
      </c>
      <c r="CU306" s="2217">
        <f t="shared" si="151"/>
        <v>31.79189999996288</v>
      </c>
      <c r="CV306" s="2212">
        <v>29</v>
      </c>
      <c r="CW306" s="2208"/>
      <c r="CX306" s="263"/>
      <c r="CY306" s="2208"/>
      <c r="CZ306" s="263"/>
      <c r="DA306" s="263"/>
      <c r="DB306" s="263"/>
      <c r="DC306" s="263"/>
      <c r="DD306" s="2208"/>
    </row>
    <row r="307" spans="1:108">
      <c r="A307" s="2217">
        <f t="shared" si="161"/>
        <v>41.616348525404135</v>
      </c>
      <c r="B307" s="2217">
        <f t="shared" si="152"/>
        <v>5097.9499298560886</v>
      </c>
      <c r="C307" s="2217">
        <f t="shared" si="153"/>
        <v>46.014216109047084</v>
      </c>
      <c r="D307" s="2212">
        <v>28</v>
      </c>
      <c r="E307" s="2219"/>
      <c r="F307" s="2213"/>
      <c r="G307" s="2219"/>
      <c r="H307" s="2213"/>
      <c r="I307" s="2213"/>
      <c r="J307" s="2213"/>
      <c r="K307" s="2213"/>
      <c r="L307" s="2213"/>
      <c r="M307" s="2217">
        <f t="shared" si="162"/>
        <v>44.837343653037436</v>
      </c>
      <c r="N307" s="2217">
        <f t="shared" si="144"/>
        <v>5097.9499298560886</v>
      </c>
      <c r="O307" s="2217">
        <f t="shared" si="154"/>
        <v>46.014216109047084</v>
      </c>
      <c r="P307" s="2212">
        <v>28</v>
      </c>
      <c r="Q307" s="2219"/>
      <c r="R307" s="2213"/>
      <c r="S307" s="2219"/>
      <c r="T307" s="2213"/>
      <c r="U307" s="2213"/>
      <c r="V307" s="2213"/>
      <c r="W307" s="2213"/>
      <c r="X307" s="2213"/>
      <c r="Y307" s="2217">
        <f t="shared" si="163"/>
        <v>48.978623102851685</v>
      </c>
      <c r="Z307" s="2217">
        <f t="shared" si="145"/>
        <v>5097.9499298560886</v>
      </c>
      <c r="AA307" s="2217">
        <f t="shared" si="155"/>
        <v>46.014216109047084</v>
      </c>
      <c r="AB307" s="2212">
        <v>28</v>
      </c>
      <c r="AC307" s="2219"/>
      <c r="AD307" s="2213"/>
      <c r="AE307" s="2219"/>
      <c r="AF307" s="2213"/>
      <c r="AG307" s="2213"/>
      <c r="AH307" s="2213"/>
      <c r="AI307" s="2213"/>
      <c r="AJ307" s="2213"/>
      <c r="AK307" s="2217">
        <f t="shared" si="164"/>
        <v>29.192510175961427</v>
      </c>
      <c r="AL307" s="2217">
        <f t="shared" si="146"/>
        <v>5097.9499298560886</v>
      </c>
      <c r="AM307" s="2217">
        <f t="shared" si="156"/>
        <v>46.014216109047084</v>
      </c>
      <c r="AN307" s="2212">
        <v>28</v>
      </c>
      <c r="AO307" s="2219"/>
      <c r="AP307" s="2213"/>
      <c r="AQ307" s="2219"/>
      <c r="AR307" s="2213"/>
      <c r="AS307" s="2213"/>
      <c r="AT307" s="2213"/>
      <c r="AU307" s="2213"/>
      <c r="AV307" s="2213"/>
      <c r="AW307" s="2217">
        <f t="shared" si="165"/>
        <v>22.847793999959453</v>
      </c>
      <c r="AX307" s="2217">
        <f t="shared" si="166"/>
        <v>4812.7655999992803</v>
      </c>
      <c r="AY307" s="2217">
        <f t="shared" si="147"/>
        <v>32.214899999961744</v>
      </c>
      <c r="AZ307" s="2212">
        <v>28</v>
      </c>
      <c r="BA307" s="2208"/>
      <c r="BB307" s="263"/>
      <c r="BC307" s="2208"/>
      <c r="BD307" s="263"/>
      <c r="BE307" s="263"/>
      <c r="BF307" s="263"/>
      <c r="BG307" s="263"/>
      <c r="BH307" s="2208"/>
      <c r="BI307" s="2217">
        <f t="shared" si="167"/>
        <v>32.834412999947588</v>
      </c>
      <c r="BJ307" s="2217">
        <f t="shared" si="157"/>
        <v>4812.7655999992803</v>
      </c>
      <c r="BK307" s="2217">
        <f t="shared" si="148"/>
        <v>32.214899999961744</v>
      </c>
      <c r="BL307" s="2212">
        <v>28</v>
      </c>
      <c r="BM307" s="2208"/>
      <c r="BN307" s="263"/>
      <c r="BO307" s="2208"/>
      <c r="BP307" s="263"/>
      <c r="BQ307" s="263"/>
      <c r="BR307" s="263"/>
      <c r="BS307" s="263"/>
      <c r="BT307" s="2208"/>
      <c r="BU307" s="2217">
        <f t="shared" si="168"/>
        <v>29.192510175961427</v>
      </c>
      <c r="BV307" s="2217">
        <f t="shared" si="149"/>
        <v>5097.9499298560886</v>
      </c>
      <c r="BW307" s="2217">
        <f t="shared" si="158"/>
        <v>46.014216109047084</v>
      </c>
      <c r="BX307" s="2212">
        <v>28</v>
      </c>
      <c r="BY307" s="2219"/>
      <c r="BZ307" s="2213"/>
      <c r="CA307" s="2219"/>
      <c r="CB307" s="2213"/>
      <c r="CC307" s="2213"/>
      <c r="CD307" s="2213"/>
      <c r="CE307" s="2213"/>
      <c r="CF307" s="2208"/>
      <c r="CG307" s="2217">
        <f t="shared" si="169"/>
        <v>34.714216109047086</v>
      </c>
      <c r="CH307" s="2217">
        <f t="shared" si="150"/>
        <v>5097.9499298560886</v>
      </c>
      <c r="CI307" s="2217">
        <f t="shared" si="159"/>
        <v>46.014216109047084</v>
      </c>
      <c r="CJ307" s="2212">
        <v>28</v>
      </c>
      <c r="CK307" s="2219"/>
      <c r="CL307" s="2213"/>
      <c r="CM307" s="2219"/>
      <c r="CN307" s="2213"/>
      <c r="CO307" s="2213"/>
      <c r="CP307" s="2213"/>
      <c r="CQ307" s="2213"/>
      <c r="CR307" s="2208"/>
      <c r="CS307" s="2217">
        <f t="shared" si="170"/>
        <v>32.190114999948364</v>
      </c>
      <c r="CT307" s="2217">
        <f t="shared" si="160"/>
        <v>4812.7655999992803</v>
      </c>
      <c r="CU307" s="2217">
        <f t="shared" si="151"/>
        <v>32.214899999961744</v>
      </c>
      <c r="CV307" s="2212">
        <v>28</v>
      </c>
      <c r="CW307" s="2208"/>
      <c r="CX307" s="263"/>
      <c r="CY307" s="2208"/>
      <c r="CZ307" s="263"/>
      <c r="DA307" s="263"/>
      <c r="DB307" s="263"/>
      <c r="DC307" s="263"/>
      <c r="DD307" s="2208"/>
    </row>
    <row r="308" spans="1:108">
      <c r="A308" s="2217">
        <f t="shared" si="161"/>
        <v>42.013951736356148</v>
      </c>
      <c r="B308" s="2217">
        <f t="shared" si="152"/>
        <v>5051.9357137470415</v>
      </c>
      <c r="C308" s="2217">
        <f t="shared" si="153"/>
        <v>46.359958031614042</v>
      </c>
      <c r="D308" s="2212">
        <v>27</v>
      </c>
      <c r="E308" s="2219"/>
      <c r="F308" s="2213"/>
      <c r="G308" s="2219"/>
      <c r="H308" s="2213"/>
      <c r="I308" s="2213"/>
      <c r="J308" s="2213"/>
      <c r="K308" s="2213"/>
      <c r="L308" s="2213"/>
      <c r="M308" s="2217">
        <f t="shared" si="162"/>
        <v>45.259148798569129</v>
      </c>
      <c r="N308" s="2217">
        <f t="shared" si="144"/>
        <v>5051.9357137470415</v>
      </c>
      <c r="O308" s="2217">
        <f t="shared" si="154"/>
        <v>46.359958031614042</v>
      </c>
      <c r="P308" s="2212">
        <v>27</v>
      </c>
      <c r="Q308" s="2219"/>
      <c r="R308" s="2213"/>
      <c r="S308" s="2219"/>
      <c r="T308" s="2213"/>
      <c r="U308" s="2213"/>
      <c r="V308" s="2213"/>
      <c r="W308" s="2213"/>
      <c r="X308" s="2213"/>
      <c r="Y308" s="2217">
        <f t="shared" si="163"/>
        <v>49.431545021414394</v>
      </c>
      <c r="Z308" s="2217">
        <f t="shared" si="145"/>
        <v>5051.9357137470415</v>
      </c>
      <c r="AA308" s="2217">
        <f t="shared" si="155"/>
        <v>46.359958031614042</v>
      </c>
      <c r="AB308" s="2212">
        <v>27</v>
      </c>
      <c r="AC308" s="2219"/>
      <c r="AD308" s="2213"/>
      <c r="AE308" s="2219"/>
      <c r="AF308" s="2213"/>
      <c r="AG308" s="2213"/>
      <c r="AH308" s="2213"/>
      <c r="AI308" s="2213"/>
      <c r="AJ308" s="2213"/>
      <c r="AK308" s="2217">
        <f t="shared" si="164"/>
        <v>29.49676306782035</v>
      </c>
      <c r="AL308" s="2217">
        <f t="shared" si="146"/>
        <v>5051.9357137470415</v>
      </c>
      <c r="AM308" s="2217">
        <f t="shared" si="156"/>
        <v>46.359958031614042</v>
      </c>
      <c r="AN308" s="2212">
        <v>27</v>
      </c>
      <c r="AO308" s="2219"/>
      <c r="AP308" s="2213"/>
      <c r="AQ308" s="2219"/>
      <c r="AR308" s="2213"/>
      <c r="AS308" s="2213"/>
      <c r="AT308" s="2213"/>
      <c r="AU308" s="2213"/>
      <c r="AV308" s="2213"/>
      <c r="AW308" s="2217">
        <f t="shared" si="165"/>
        <v>23.299989999957287</v>
      </c>
      <c r="AX308" s="2217">
        <f t="shared" si="166"/>
        <v>4780.5506999993186</v>
      </c>
      <c r="AY308" s="2217">
        <f t="shared" si="147"/>
        <v>32.641499999959706</v>
      </c>
      <c r="AZ308" s="2212">
        <v>27</v>
      </c>
      <c r="BA308" s="2208"/>
      <c r="BB308" s="263"/>
      <c r="BC308" s="2208"/>
      <c r="BD308" s="263"/>
      <c r="BE308" s="263"/>
      <c r="BF308" s="263"/>
      <c r="BG308" s="263"/>
      <c r="BH308" s="2208"/>
      <c r="BI308" s="2217">
        <f t="shared" si="167"/>
        <v>33.418854999944799</v>
      </c>
      <c r="BJ308" s="2217">
        <f t="shared" si="157"/>
        <v>4780.5506999993186</v>
      </c>
      <c r="BK308" s="2217">
        <f t="shared" si="148"/>
        <v>32.641499999959706</v>
      </c>
      <c r="BL308" s="2212">
        <v>27</v>
      </c>
      <c r="BM308" s="2208"/>
      <c r="BN308" s="263"/>
      <c r="BO308" s="2208"/>
      <c r="BP308" s="263"/>
      <c r="BQ308" s="263"/>
      <c r="BR308" s="263"/>
      <c r="BS308" s="263"/>
      <c r="BT308" s="2208"/>
      <c r="BU308" s="2217">
        <f t="shared" si="168"/>
        <v>29.49676306782035</v>
      </c>
      <c r="BV308" s="2217">
        <f t="shared" si="149"/>
        <v>5051.9357137470415</v>
      </c>
      <c r="BW308" s="2217">
        <f t="shared" si="158"/>
        <v>46.359958031614042</v>
      </c>
      <c r="BX308" s="2212">
        <v>27</v>
      </c>
      <c r="BY308" s="2219"/>
      <c r="BZ308" s="2213"/>
      <c r="CA308" s="2219"/>
      <c r="CB308" s="2213"/>
      <c r="CC308" s="2213"/>
      <c r="CD308" s="2213"/>
      <c r="CE308" s="2213"/>
      <c r="CF308" s="2208"/>
      <c r="CG308" s="2217">
        <f t="shared" si="169"/>
        <v>35.059958031614045</v>
      </c>
      <c r="CH308" s="2217">
        <f t="shared" si="150"/>
        <v>5051.9357137470415</v>
      </c>
      <c r="CI308" s="2217">
        <f t="shared" si="159"/>
        <v>46.359958031614042</v>
      </c>
      <c r="CJ308" s="2212">
        <v>27</v>
      </c>
      <c r="CK308" s="2219"/>
      <c r="CL308" s="2213"/>
      <c r="CM308" s="2219"/>
      <c r="CN308" s="2213"/>
      <c r="CO308" s="2213"/>
      <c r="CP308" s="2213"/>
      <c r="CQ308" s="2213"/>
      <c r="CR308" s="2208"/>
      <c r="CS308" s="2217">
        <f t="shared" si="170"/>
        <v>32.7660249999456</v>
      </c>
      <c r="CT308" s="2217">
        <f t="shared" si="160"/>
        <v>4780.5506999993186</v>
      </c>
      <c r="CU308" s="2217">
        <f t="shared" si="151"/>
        <v>32.641499999959706</v>
      </c>
      <c r="CV308" s="2212">
        <v>27</v>
      </c>
      <c r="CW308" s="2208"/>
      <c r="CX308" s="263"/>
      <c r="CY308" s="2208"/>
      <c r="CZ308" s="263"/>
      <c r="DA308" s="263"/>
      <c r="DB308" s="263"/>
      <c r="DC308" s="263"/>
      <c r="DD308" s="2208"/>
    </row>
    <row r="309" spans="1:108">
      <c r="A309" s="2217">
        <f t="shared" si="161"/>
        <v>42.412867851401771</v>
      </c>
      <c r="B309" s="2217">
        <f t="shared" si="152"/>
        <v>5005.5757557154275</v>
      </c>
      <c r="C309" s="2217">
        <f t="shared" si="153"/>
        <v>46.706841609914591</v>
      </c>
      <c r="D309" s="2212">
        <v>26</v>
      </c>
      <c r="E309" s="2219"/>
      <c r="F309" s="2213"/>
      <c r="G309" s="2219"/>
      <c r="H309" s="2213"/>
      <c r="I309" s="2213"/>
      <c r="J309" s="2213"/>
      <c r="K309" s="2213"/>
      <c r="L309" s="2213"/>
      <c r="M309" s="2217">
        <f t="shared" si="162"/>
        <v>45.682346764095797</v>
      </c>
      <c r="N309" s="2217">
        <f t="shared" si="144"/>
        <v>5005.5757557154275</v>
      </c>
      <c r="O309" s="2217">
        <f t="shared" si="154"/>
        <v>46.706841609914591</v>
      </c>
      <c r="P309" s="2212">
        <v>26</v>
      </c>
      <c r="Q309" s="2219"/>
      <c r="R309" s="2213"/>
      <c r="S309" s="2219"/>
      <c r="T309" s="2213"/>
      <c r="U309" s="2213"/>
      <c r="V309" s="2213"/>
      <c r="W309" s="2213"/>
      <c r="X309" s="2213"/>
      <c r="Y309" s="2217">
        <f t="shared" si="163"/>
        <v>49.885962508988115</v>
      </c>
      <c r="Z309" s="2217">
        <f t="shared" si="145"/>
        <v>5005.5757557154275</v>
      </c>
      <c r="AA309" s="2217">
        <f t="shared" si="155"/>
        <v>46.706841609914591</v>
      </c>
      <c r="AB309" s="2212">
        <v>26</v>
      </c>
      <c r="AC309" s="2219"/>
      <c r="AD309" s="2213"/>
      <c r="AE309" s="2219"/>
      <c r="AF309" s="2213"/>
      <c r="AG309" s="2213"/>
      <c r="AH309" s="2213"/>
      <c r="AI309" s="2213"/>
      <c r="AJ309" s="2213"/>
      <c r="AK309" s="2217">
        <f t="shared" si="164"/>
        <v>29.802020616724835</v>
      </c>
      <c r="AL309" s="2217">
        <f t="shared" si="146"/>
        <v>5005.5757557154275</v>
      </c>
      <c r="AM309" s="2217">
        <f t="shared" si="156"/>
        <v>46.706841609914591</v>
      </c>
      <c r="AN309" s="2212">
        <v>26</v>
      </c>
      <c r="AO309" s="2219"/>
      <c r="AP309" s="2213"/>
      <c r="AQ309" s="2219"/>
      <c r="AR309" s="2213"/>
      <c r="AS309" s="2213"/>
      <c r="AT309" s="2213"/>
      <c r="AU309" s="2213"/>
      <c r="AV309" s="2213"/>
      <c r="AW309" s="2217">
        <f t="shared" si="165"/>
        <v>23.756001999956101</v>
      </c>
      <c r="AX309" s="2217">
        <f t="shared" si="166"/>
        <v>4747.9091999993589</v>
      </c>
      <c r="AY309" s="2217">
        <f t="shared" si="147"/>
        <v>33.071699999958582</v>
      </c>
      <c r="AZ309" s="2212">
        <v>26</v>
      </c>
      <c r="BA309" s="2208"/>
      <c r="BB309" s="263"/>
      <c r="BC309" s="2208"/>
      <c r="BD309" s="263"/>
      <c r="BE309" s="263"/>
      <c r="BF309" s="263"/>
      <c r="BG309" s="263"/>
      <c r="BH309" s="2208"/>
      <c r="BI309" s="2217">
        <f t="shared" si="167"/>
        <v>34.008228999943256</v>
      </c>
      <c r="BJ309" s="2217">
        <f t="shared" si="157"/>
        <v>4747.9091999993589</v>
      </c>
      <c r="BK309" s="2217">
        <f t="shared" si="148"/>
        <v>33.071699999958582</v>
      </c>
      <c r="BL309" s="2212">
        <v>26</v>
      </c>
      <c r="BM309" s="2208"/>
      <c r="BN309" s="263"/>
      <c r="BO309" s="2208"/>
      <c r="BP309" s="263"/>
      <c r="BQ309" s="263"/>
      <c r="BR309" s="263"/>
      <c r="BS309" s="263"/>
      <c r="BT309" s="2208"/>
      <c r="BU309" s="2217">
        <f t="shared" si="168"/>
        <v>29.802020616724835</v>
      </c>
      <c r="BV309" s="2217">
        <f t="shared" si="149"/>
        <v>5005.5757557154275</v>
      </c>
      <c r="BW309" s="2217">
        <f t="shared" si="158"/>
        <v>46.706841609914591</v>
      </c>
      <c r="BX309" s="2212">
        <v>26</v>
      </c>
      <c r="BY309" s="2219"/>
      <c r="BZ309" s="2213"/>
      <c r="CA309" s="2219"/>
      <c r="CB309" s="2213"/>
      <c r="CC309" s="2213"/>
      <c r="CD309" s="2213"/>
      <c r="CE309" s="2213"/>
      <c r="CF309" s="2208"/>
      <c r="CG309" s="2217">
        <f t="shared" si="169"/>
        <v>35.406841609914594</v>
      </c>
      <c r="CH309" s="2217">
        <f t="shared" si="150"/>
        <v>5005.5757557154275</v>
      </c>
      <c r="CI309" s="2217">
        <f t="shared" si="159"/>
        <v>46.706841609914591</v>
      </c>
      <c r="CJ309" s="2212">
        <v>26</v>
      </c>
      <c r="CK309" s="2219"/>
      <c r="CL309" s="2213"/>
      <c r="CM309" s="2219"/>
      <c r="CN309" s="2213"/>
      <c r="CO309" s="2213"/>
      <c r="CP309" s="2213"/>
      <c r="CQ309" s="2213"/>
      <c r="CR309" s="2208"/>
      <c r="CS309" s="2217">
        <f t="shared" si="170"/>
        <v>33.346794999944095</v>
      </c>
      <c r="CT309" s="2217">
        <f t="shared" si="160"/>
        <v>4747.9091999993589</v>
      </c>
      <c r="CU309" s="2217">
        <f t="shared" si="151"/>
        <v>33.071699999958582</v>
      </c>
      <c r="CV309" s="2212">
        <v>26</v>
      </c>
      <c r="CW309" s="2208"/>
      <c r="CX309" s="263"/>
      <c r="CY309" s="2208"/>
      <c r="CZ309" s="263"/>
      <c r="DA309" s="263"/>
      <c r="DB309" s="263"/>
      <c r="DC309" s="263"/>
      <c r="DD309" s="2208"/>
    </row>
    <row r="310" spans="1:108">
      <c r="A310" s="2217">
        <f t="shared" si="161"/>
        <v>42.813096870541031</v>
      </c>
      <c r="B310" s="2217">
        <f t="shared" si="152"/>
        <v>4958.8689141055129</v>
      </c>
      <c r="C310" s="2217">
        <f t="shared" si="153"/>
        <v>47.05486684394873</v>
      </c>
      <c r="D310" s="2212">
        <v>25</v>
      </c>
      <c r="E310" s="2219"/>
      <c r="F310" s="2213"/>
      <c r="G310" s="2219"/>
      <c r="H310" s="2213"/>
      <c r="I310" s="2213"/>
      <c r="J310" s="2213"/>
      <c r="K310" s="2213"/>
      <c r="L310" s="2213"/>
      <c r="M310" s="2217">
        <f t="shared" si="162"/>
        <v>46.106937549617456</v>
      </c>
      <c r="N310" s="2217">
        <f t="shared" si="144"/>
        <v>4958.8689141055129</v>
      </c>
      <c r="O310" s="2217">
        <f t="shared" si="154"/>
        <v>47.05486684394873</v>
      </c>
      <c r="P310" s="2212">
        <v>25</v>
      </c>
      <c r="Q310" s="2219"/>
      <c r="R310" s="2213"/>
      <c r="S310" s="2219"/>
      <c r="T310" s="2213"/>
      <c r="U310" s="2213"/>
      <c r="V310" s="2213"/>
      <c r="W310" s="2213"/>
      <c r="X310" s="2213"/>
      <c r="Y310" s="2217">
        <f t="shared" si="163"/>
        <v>50.341875565572835</v>
      </c>
      <c r="Z310" s="2217">
        <f t="shared" si="145"/>
        <v>4958.8689141055129</v>
      </c>
      <c r="AA310" s="2217">
        <f t="shared" si="155"/>
        <v>47.05486684394873</v>
      </c>
      <c r="AB310" s="2212">
        <v>25</v>
      </c>
      <c r="AC310" s="2219"/>
      <c r="AD310" s="2213"/>
      <c r="AE310" s="2219"/>
      <c r="AF310" s="2213"/>
      <c r="AG310" s="2213"/>
      <c r="AH310" s="2213"/>
      <c r="AI310" s="2213"/>
      <c r="AJ310" s="2213"/>
      <c r="AK310" s="2217">
        <f t="shared" si="164"/>
        <v>30.108282822674877</v>
      </c>
      <c r="AL310" s="2217">
        <f t="shared" si="146"/>
        <v>4958.8689141055129</v>
      </c>
      <c r="AM310" s="2217">
        <f t="shared" si="156"/>
        <v>47.05486684394873</v>
      </c>
      <c r="AN310" s="2212">
        <v>25</v>
      </c>
      <c r="AO310" s="2219"/>
      <c r="AP310" s="2213"/>
      <c r="AQ310" s="2219"/>
      <c r="AR310" s="2213"/>
      <c r="AS310" s="2213"/>
      <c r="AT310" s="2213"/>
      <c r="AU310" s="2213"/>
      <c r="AV310" s="2213"/>
      <c r="AW310" s="2217">
        <f t="shared" si="165"/>
        <v>24.215829999955876</v>
      </c>
      <c r="AX310" s="2217">
        <f t="shared" si="166"/>
        <v>4714.8374999994003</v>
      </c>
      <c r="AY310" s="2217">
        <f t="shared" si="147"/>
        <v>33.505499999958374</v>
      </c>
      <c r="AZ310" s="2212">
        <v>25</v>
      </c>
      <c r="BA310" s="2208"/>
      <c r="BB310" s="263"/>
      <c r="BC310" s="2208"/>
      <c r="BD310" s="263"/>
      <c r="BE310" s="263"/>
      <c r="BF310" s="263"/>
      <c r="BG310" s="263"/>
      <c r="BH310" s="2208"/>
      <c r="BI310" s="2217">
        <f t="shared" si="167"/>
        <v>34.602534999942975</v>
      </c>
      <c r="BJ310" s="2217">
        <f t="shared" si="157"/>
        <v>4714.8374999994003</v>
      </c>
      <c r="BK310" s="2217">
        <f t="shared" si="148"/>
        <v>33.505499999958374</v>
      </c>
      <c r="BL310" s="2212">
        <v>25</v>
      </c>
      <c r="BM310" s="2208"/>
      <c r="BN310" s="263"/>
      <c r="BO310" s="2208"/>
      <c r="BP310" s="263"/>
      <c r="BQ310" s="263"/>
      <c r="BR310" s="263"/>
      <c r="BS310" s="263"/>
      <c r="BT310" s="2208"/>
      <c r="BU310" s="2217">
        <f t="shared" si="168"/>
        <v>30.108282822674877</v>
      </c>
      <c r="BV310" s="2217">
        <f t="shared" si="149"/>
        <v>4958.8689141055129</v>
      </c>
      <c r="BW310" s="2217">
        <f t="shared" si="158"/>
        <v>47.05486684394873</v>
      </c>
      <c r="BX310" s="2212">
        <v>25</v>
      </c>
      <c r="BY310" s="2219"/>
      <c r="BZ310" s="2213"/>
      <c r="CA310" s="2219"/>
      <c r="CB310" s="2213"/>
      <c r="CC310" s="2213"/>
      <c r="CD310" s="2213"/>
      <c r="CE310" s="2213"/>
      <c r="CF310" s="2208"/>
      <c r="CG310" s="2217">
        <f t="shared" si="169"/>
        <v>35.754866843948733</v>
      </c>
      <c r="CH310" s="2217">
        <f t="shared" si="150"/>
        <v>4958.8689141055129</v>
      </c>
      <c r="CI310" s="2217">
        <f t="shared" si="159"/>
        <v>47.05486684394873</v>
      </c>
      <c r="CJ310" s="2212">
        <v>25</v>
      </c>
      <c r="CK310" s="2219"/>
      <c r="CL310" s="2213"/>
      <c r="CM310" s="2219"/>
      <c r="CN310" s="2213"/>
      <c r="CO310" s="2213"/>
      <c r="CP310" s="2213"/>
      <c r="CQ310" s="2213"/>
      <c r="CR310" s="2208"/>
      <c r="CS310" s="2217">
        <f t="shared" si="170"/>
        <v>33.932424999943805</v>
      </c>
      <c r="CT310" s="2217">
        <f t="shared" si="160"/>
        <v>4714.8374999994003</v>
      </c>
      <c r="CU310" s="2217">
        <f t="shared" si="151"/>
        <v>33.505499999958374</v>
      </c>
      <c r="CV310" s="2212">
        <v>25</v>
      </c>
      <c r="CW310" s="2208"/>
      <c r="CX310" s="263"/>
      <c r="CY310" s="2208"/>
      <c r="CZ310" s="263"/>
      <c r="DA310" s="263"/>
      <c r="DB310" s="263"/>
      <c r="DC310" s="263"/>
      <c r="DD310" s="2208"/>
    </row>
    <row r="311" spans="1:108">
      <c r="A311" s="2217">
        <f t="shared" si="161"/>
        <v>43.214638793776018</v>
      </c>
      <c r="B311" s="2217">
        <f t="shared" si="152"/>
        <v>4911.8140472615642</v>
      </c>
      <c r="C311" s="2217">
        <f t="shared" si="153"/>
        <v>47.404033733718279</v>
      </c>
      <c r="D311" s="2212">
        <v>24</v>
      </c>
      <c r="E311" s="2219"/>
      <c r="F311" s="2213"/>
      <c r="G311" s="2219"/>
      <c r="H311" s="2213"/>
      <c r="I311" s="2213"/>
      <c r="J311" s="2213"/>
      <c r="K311" s="2213"/>
      <c r="L311" s="2213"/>
      <c r="M311" s="2217">
        <f t="shared" si="162"/>
        <v>46.532921155136293</v>
      </c>
      <c r="N311" s="2217">
        <f t="shared" si="144"/>
        <v>4911.8140472615642</v>
      </c>
      <c r="O311" s="2217">
        <f t="shared" si="154"/>
        <v>47.404033733718279</v>
      </c>
      <c r="P311" s="2212">
        <v>24</v>
      </c>
      <c r="Q311" s="2219"/>
      <c r="R311" s="2213"/>
      <c r="S311" s="2219"/>
      <c r="T311" s="2213"/>
      <c r="U311" s="2213"/>
      <c r="V311" s="2213"/>
      <c r="W311" s="2213"/>
      <c r="X311" s="2213"/>
      <c r="Y311" s="2217">
        <f t="shared" si="163"/>
        <v>50.799284191170941</v>
      </c>
      <c r="Z311" s="2217">
        <f t="shared" si="145"/>
        <v>4911.8140472615642</v>
      </c>
      <c r="AA311" s="2217">
        <f t="shared" si="155"/>
        <v>47.404033733718279</v>
      </c>
      <c r="AB311" s="2212">
        <v>24</v>
      </c>
      <c r="AC311" s="2219"/>
      <c r="AD311" s="2213"/>
      <c r="AE311" s="2219"/>
      <c r="AF311" s="2213"/>
      <c r="AG311" s="2213"/>
      <c r="AH311" s="2213"/>
      <c r="AI311" s="2213"/>
      <c r="AJ311" s="2213"/>
      <c r="AK311" s="2217">
        <f t="shared" si="164"/>
        <v>30.41554968567208</v>
      </c>
      <c r="AL311" s="2217">
        <f t="shared" si="146"/>
        <v>4911.8140472615642</v>
      </c>
      <c r="AM311" s="2217">
        <f t="shared" si="156"/>
        <v>47.404033733718279</v>
      </c>
      <c r="AN311" s="2212">
        <v>24</v>
      </c>
      <c r="AO311" s="2219"/>
      <c r="AP311" s="2213"/>
      <c r="AQ311" s="2219"/>
      <c r="AR311" s="2213"/>
      <c r="AS311" s="2213"/>
      <c r="AT311" s="2213"/>
      <c r="AU311" s="2213"/>
      <c r="AV311" s="2213"/>
      <c r="AW311" s="2217">
        <f t="shared" si="165"/>
        <v>24.679473999952773</v>
      </c>
      <c r="AX311" s="2217">
        <f t="shared" si="166"/>
        <v>4681.3319999994419</v>
      </c>
      <c r="AY311" s="2217">
        <f t="shared" si="147"/>
        <v>33.942899999955443</v>
      </c>
      <c r="AZ311" s="2212">
        <v>24</v>
      </c>
      <c r="BA311" s="2208"/>
      <c r="BB311" s="263"/>
      <c r="BC311" s="2208"/>
      <c r="BD311" s="263"/>
      <c r="BE311" s="263"/>
      <c r="BF311" s="263"/>
      <c r="BG311" s="263"/>
      <c r="BH311" s="2208"/>
      <c r="BI311" s="2217">
        <f t="shared" si="167"/>
        <v>35.201772999938967</v>
      </c>
      <c r="BJ311" s="2217">
        <f t="shared" si="157"/>
        <v>4681.3319999994419</v>
      </c>
      <c r="BK311" s="2217">
        <f t="shared" si="148"/>
        <v>33.942899999955443</v>
      </c>
      <c r="BL311" s="2212">
        <v>24</v>
      </c>
      <c r="BM311" s="2208"/>
      <c r="BN311" s="263"/>
      <c r="BO311" s="2208"/>
      <c r="BP311" s="263"/>
      <c r="BQ311" s="263"/>
      <c r="BR311" s="263"/>
      <c r="BS311" s="263"/>
      <c r="BT311" s="2208"/>
      <c r="BU311" s="2217">
        <f t="shared" si="168"/>
        <v>30.41554968567208</v>
      </c>
      <c r="BV311" s="2217">
        <f t="shared" si="149"/>
        <v>4911.8140472615642</v>
      </c>
      <c r="BW311" s="2217">
        <f t="shared" si="158"/>
        <v>47.404033733718279</v>
      </c>
      <c r="BX311" s="2212">
        <v>24</v>
      </c>
      <c r="BY311" s="2219"/>
      <c r="BZ311" s="2213"/>
      <c r="CA311" s="2219"/>
      <c r="CB311" s="2213"/>
      <c r="CC311" s="2213"/>
      <c r="CD311" s="2213"/>
      <c r="CE311" s="2213"/>
      <c r="CF311" s="2208"/>
      <c r="CG311" s="2217">
        <f t="shared" si="169"/>
        <v>36.104033733718282</v>
      </c>
      <c r="CH311" s="2217">
        <f t="shared" si="150"/>
        <v>4911.8140472615642</v>
      </c>
      <c r="CI311" s="2217">
        <f t="shared" si="159"/>
        <v>47.404033733718279</v>
      </c>
      <c r="CJ311" s="2212">
        <v>24</v>
      </c>
      <c r="CK311" s="2219"/>
      <c r="CL311" s="2213"/>
      <c r="CM311" s="2219"/>
      <c r="CN311" s="2213"/>
      <c r="CO311" s="2213"/>
      <c r="CP311" s="2213"/>
      <c r="CQ311" s="2213"/>
      <c r="CR311" s="2208"/>
      <c r="CS311" s="2217">
        <f t="shared" si="170"/>
        <v>34.522914999939857</v>
      </c>
      <c r="CT311" s="2217">
        <f t="shared" si="160"/>
        <v>4681.3319999994419</v>
      </c>
      <c r="CU311" s="2217">
        <f t="shared" si="151"/>
        <v>33.942899999955443</v>
      </c>
      <c r="CV311" s="2212">
        <v>24</v>
      </c>
      <c r="CW311" s="2208"/>
      <c r="CX311" s="263"/>
      <c r="CY311" s="2208"/>
      <c r="CZ311" s="263"/>
      <c r="DA311" s="263"/>
      <c r="DB311" s="263"/>
      <c r="DC311" s="263"/>
      <c r="DD311" s="2208"/>
    </row>
    <row r="312" spans="1:108">
      <c r="A312" s="2217">
        <f t="shared" si="161"/>
        <v>43.617493621106718</v>
      </c>
      <c r="B312" s="2217">
        <f t="shared" si="152"/>
        <v>4864.4100135278459</v>
      </c>
      <c r="C312" s="2217">
        <f t="shared" si="153"/>
        <v>47.754342279223238</v>
      </c>
      <c r="D312" s="2212">
        <v>23</v>
      </c>
      <c r="E312" s="2219"/>
      <c r="F312" s="2213"/>
      <c r="G312" s="2219"/>
      <c r="H312" s="2213"/>
      <c r="I312" s="2213"/>
      <c r="J312" s="2213"/>
      <c r="K312" s="2213"/>
      <c r="L312" s="2213"/>
      <c r="M312" s="2217">
        <f t="shared" si="162"/>
        <v>46.960297580652352</v>
      </c>
      <c r="N312" s="2217">
        <f t="shared" si="144"/>
        <v>4864.4100135278459</v>
      </c>
      <c r="O312" s="2217">
        <f t="shared" si="154"/>
        <v>47.754342279223238</v>
      </c>
      <c r="P312" s="2212">
        <v>23</v>
      </c>
      <c r="Q312" s="2219"/>
      <c r="R312" s="2213"/>
      <c r="S312" s="2219"/>
      <c r="T312" s="2213"/>
      <c r="U312" s="2213"/>
      <c r="V312" s="2213"/>
      <c r="W312" s="2213"/>
      <c r="X312" s="2213"/>
      <c r="Y312" s="2217">
        <f t="shared" si="163"/>
        <v>51.258188385782447</v>
      </c>
      <c r="Z312" s="2217">
        <f t="shared" si="145"/>
        <v>4864.4100135278459</v>
      </c>
      <c r="AA312" s="2217">
        <f t="shared" si="155"/>
        <v>47.754342279223238</v>
      </c>
      <c r="AB312" s="2212">
        <v>23</v>
      </c>
      <c r="AC312" s="2219"/>
      <c r="AD312" s="2213"/>
      <c r="AE312" s="2219"/>
      <c r="AF312" s="2213"/>
      <c r="AG312" s="2213"/>
      <c r="AH312" s="2213"/>
      <c r="AI312" s="2213"/>
      <c r="AJ312" s="2213"/>
      <c r="AK312" s="2217">
        <f t="shared" si="164"/>
        <v>30.723821205716444</v>
      </c>
      <c r="AL312" s="2217">
        <f t="shared" si="146"/>
        <v>4864.4100135278459</v>
      </c>
      <c r="AM312" s="2217">
        <f t="shared" si="156"/>
        <v>47.754342279223238</v>
      </c>
      <c r="AN312" s="2212">
        <v>23</v>
      </c>
      <c r="AO312" s="2219"/>
      <c r="AP312" s="2213"/>
      <c r="AQ312" s="2219"/>
      <c r="AR312" s="2213"/>
      <c r="AS312" s="2213"/>
      <c r="AT312" s="2213"/>
      <c r="AU312" s="2213"/>
      <c r="AV312" s="2213"/>
      <c r="AW312" s="2217">
        <f t="shared" si="165"/>
        <v>25.146933999954488</v>
      </c>
      <c r="AX312" s="2217">
        <f t="shared" si="166"/>
        <v>4647.3890999994865</v>
      </c>
      <c r="AY312" s="2217">
        <f t="shared" si="147"/>
        <v>34.383899999957066</v>
      </c>
      <c r="AZ312" s="2212">
        <v>23</v>
      </c>
      <c r="BA312" s="2208"/>
      <c r="BB312" s="263"/>
      <c r="BC312" s="2208"/>
      <c r="BD312" s="263"/>
      <c r="BE312" s="263"/>
      <c r="BF312" s="263"/>
      <c r="BG312" s="263"/>
      <c r="BH312" s="2208"/>
      <c r="BI312" s="2217">
        <f t="shared" si="167"/>
        <v>35.80594299994118</v>
      </c>
      <c r="BJ312" s="2217">
        <f t="shared" si="157"/>
        <v>4647.3890999994865</v>
      </c>
      <c r="BK312" s="2217">
        <f t="shared" si="148"/>
        <v>34.383899999957066</v>
      </c>
      <c r="BL312" s="2212">
        <v>23</v>
      </c>
      <c r="BM312" s="2208"/>
      <c r="BN312" s="263"/>
      <c r="BO312" s="2208"/>
      <c r="BP312" s="263"/>
      <c r="BQ312" s="263"/>
      <c r="BR312" s="263"/>
      <c r="BS312" s="263"/>
      <c r="BT312" s="2208"/>
      <c r="BU312" s="2217">
        <f t="shared" si="168"/>
        <v>30.723821205716444</v>
      </c>
      <c r="BV312" s="2217">
        <f t="shared" si="149"/>
        <v>4864.4100135278459</v>
      </c>
      <c r="BW312" s="2217">
        <f t="shared" si="158"/>
        <v>47.754342279223238</v>
      </c>
      <c r="BX312" s="2212">
        <v>23</v>
      </c>
      <c r="BY312" s="2219"/>
      <c r="BZ312" s="2213"/>
      <c r="CA312" s="2219"/>
      <c r="CB312" s="2213"/>
      <c r="CC312" s="2213"/>
      <c r="CD312" s="2213"/>
      <c r="CE312" s="2213"/>
      <c r="CF312" s="2208"/>
      <c r="CG312" s="2217">
        <f t="shared" si="169"/>
        <v>36.454342279223241</v>
      </c>
      <c r="CH312" s="2217">
        <f t="shared" si="150"/>
        <v>4864.4100135278459</v>
      </c>
      <c r="CI312" s="2217">
        <f t="shared" si="159"/>
        <v>47.754342279223238</v>
      </c>
      <c r="CJ312" s="2212">
        <v>23</v>
      </c>
      <c r="CK312" s="2219"/>
      <c r="CL312" s="2213"/>
      <c r="CM312" s="2219"/>
      <c r="CN312" s="2213"/>
      <c r="CO312" s="2213"/>
      <c r="CP312" s="2213"/>
      <c r="CQ312" s="2213"/>
      <c r="CR312" s="2208"/>
      <c r="CS312" s="2217">
        <f t="shared" si="170"/>
        <v>35.118264999942042</v>
      </c>
      <c r="CT312" s="2217">
        <f t="shared" si="160"/>
        <v>4647.3890999994865</v>
      </c>
      <c r="CU312" s="2217">
        <f t="shared" si="151"/>
        <v>34.383899999957066</v>
      </c>
      <c r="CV312" s="2212">
        <v>23</v>
      </c>
      <c r="CW312" s="2208"/>
      <c r="CX312" s="263"/>
      <c r="CY312" s="2208"/>
      <c r="CZ312" s="263"/>
      <c r="DA312" s="263"/>
      <c r="DB312" s="263"/>
      <c r="DC312" s="263"/>
      <c r="DD312" s="2208"/>
    </row>
    <row r="313" spans="1:108">
      <c r="A313" s="2217">
        <f t="shared" si="161"/>
        <v>44.021661352531055</v>
      </c>
      <c r="B313" s="2217">
        <f t="shared" si="152"/>
        <v>4816.6556712486226</v>
      </c>
      <c r="C313" s="2217">
        <f t="shared" si="153"/>
        <v>48.105792480461787</v>
      </c>
      <c r="D313" s="2212">
        <v>22</v>
      </c>
      <c r="E313" s="2219"/>
      <c r="F313" s="2213"/>
      <c r="G313" s="2219"/>
      <c r="H313" s="2213"/>
      <c r="I313" s="2213"/>
      <c r="J313" s="2213"/>
      <c r="K313" s="2213"/>
      <c r="L313" s="2213"/>
      <c r="M313" s="2217">
        <f t="shared" si="162"/>
        <v>47.389066826163372</v>
      </c>
      <c r="N313" s="2217">
        <f t="shared" si="144"/>
        <v>4816.6556712486226</v>
      </c>
      <c r="O313" s="2217">
        <f t="shared" si="154"/>
        <v>48.105792480461787</v>
      </c>
      <c r="P313" s="2212">
        <v>22</v>
      </c>
      <c r="Q313" s="2219"/>
      <c r="R313" s="2213"/>
      <c r="S313" s="2219"/>
      <c r="T313" s="2213"/>
      <c r="U313" s="2213"/>
      <c r="V313" s="2213"/>
      <c r="W313" s="2213"/>
      <c r="X313" s="2213"/>
      <c r="Y313" s="2217">
        <f t="shared" si="163"/>
        <v>51.718588149404937</v>
      </c>
      <c r="Z313" s="2217">
        <f t="shared" si="145"/>
        <v>4816.6556712486226</v>
      </c>
      <c r="AA313" s="2217">
        <f t="shared" si="155"/>
        <v>48.105792480461787</v>
      </c>
      <c r="AB313" s="2212">
        <v>22</v>
      </c>
      <c r="AC313" s="2219"/>
      <c r="AD313" s="2213"/>
      <c r="AE313" s="2219"/>
      <c r="AF313" s="2213"/>
      <c r="AG313" s="2213"/>
      <c r="AH313" s="2213"/>
      <c r="AI313" s="2213"/>
      <c r="AJ313" s="2213"/>
      <c r="AK313" s="2217">
        <f t="shared" si="164"/>
        <v>31.033097382806364</v>
      </c>
      <c r="AL313" s="2217">
        <f t="shared" si="146"/>
        <v>4816.6556712486226</v>
      </c>
      <c r="AM313" s="2217">
        <f t="shared" si="156"/>
        <v>48.105792480461787</v>
      </c>
      <c r="AN313" s="2212">
        <v>22</v>
      </c>
      <c r="AO313" s="2219"/>
      <c r="AP313" s="2213"/>
      <c r="AQ313" s="2219"/>
      <c r="AR313" s="2213"/>
      <c r="AS313" s="2213"/>
      <c r="AT313" s="2213"/>
      <c r="AU313" s="2213"/>
      <c r="AV313" s="2213"/>
      <c r="AW313" s="2217">
        <f t="shared" si="165"/>
        <v>25.6182099999514</v>
      </c>
      <c r="AX313" s="2217">
        <f t="shared" si="166"/>
        <v>4613.0051999995294</v>
      </c>
      <c r="AY313" s="2217">
        <f t="shared" si="147"/>
        <v>34.828499999954147</v>
      </c>
      <c r="AZ313" s="2212">
        <v>22</v>
      </c>
      <c r="BA313" s="2208"/>
      <c r="BB313" s="263"/>
      <c r="BC313" s="2208"/>
      <c r="BD313" s="263"/>
      <c r="BE313" s="263"/>
      <c r="BF313" s="263"/>
      <c r="BG313" s="263"/>
      <c r="BH313" s="2208"/>
      <c r="BI313" s="2217">
        <f t="shared" si="167"/>
        <v>36.41504499993718</v>
      </c>
      <c r="BJ313" s="2217">
        <f t="shared" si="157"/>
        <v>4613.0051999995294</v>
      </c>
      <c r="BK313" s="2217">
        <f t="shared" si="148"/>
        <v>34.828499999954147</v>
      </c>
      <c r="BL313" s="2212">
        <v>22</v>
      </c>
      <c r="BM313" s="2208"/>
      <c r="BN313" s="263"/>
      <c r="BO313" s="2208"/>
      <c r="BP313" s="263"/>
      <c r="BQ313" s="263"/>
      <c r="BR313" s="263"/>
      <c r="BS313" s="263"/>
      <c r="BT313" s="2208"/>
      <c r="BU313" s="2217">
        <f t="shared" si="168"/>
        <v>31.033097382806364</v>
      </c>
      <c r="BV313" s="2217">
        <f t="shared" si="149"/>
        <v>4816.6556712486226</v>
      </c>
      <c r="BW313" s="2217">
        <f t="shared" si="158"/>
        <v>48.105792480461787</v>
      </c>
      <c r="BX313" s="2212">
        <v>22</v>
      </c>
      <c r="BY313" s="2219"/>
      <c r="BZ313" s="2213"/>
      <c r="CA313" s="2219"/>
      <c r="CB313" s="2213"/>
      <c r="CC313" s="2213"/>
      <c r="CD313" s="2213"/>
      <c r="CE313" s="2213"/>
      <c r="CF313" s="2208"/>
      <c r="CG313" s="2217">
        <f t="shared" si="169"/>
        <v>36.80579248046179</v>
      </c>
      <c r="CH313" s="2217">
        <f t="shared" si="150"/>
        <v>4816.6556712486226</v>
      </c>
      <c r="CI313" s="2217">
        <f t="shared" si="159"/>
        <v>48.105792480461787</v>
      </c>
      <c r="CJ313" s="2212">
        <v>22</v>
      </c>
      <c r="CK313" s="2219"/>
      <c r="CL313" s="2213"/>
      <c r="CM313" s="2219"/>
      <c r="CN313" s="2213"/>
      <c r="CO313" s="2213"/>
      <c r="CP313" s="2213"/>
      <c r="CQ313" s="2213"/>
      <c r="CR313" s="2208"/>
      <c r="CS313" s="2217">
        <f t="shared" si="170"/>
        <v>35.718474999938095</v>
      </c>
      <c r="CT313" s="2217">
        <f t="shared" si="160"/>
        <v>4613.0051999995294</v>
      </c>
      <c r="CU313" s="2217">
        <f t="shared" si="151"/>
        <v>34.828499999954147</v>
      </c>
      <c r="CV313" s="2212">
        <v>22</v>
      </c>
      <c r="CW313" s="2208"/>
      <c r="CX313" s="263"/>
      <c r="CY313" s="2208"/>
      <c r="CZ313" s="263"/>
      <c r="DA313" s="263"/>
      <c r="DB313" s="263"/>
      <c r="DC313" s="263"/>
      <c r="DD313" s="2208"/>
    </row>
    <row r="314" spans="1:108">
      <c r="A314" s="2217">
        <f t="shared" si="161"/>
        <v>44.427141988050053</v>
      </c>
      <c r="B314" s="2217">
        <f t="shared" si="152"/>
        <v>4768.5498787681609</v>
      </c>
      <c r="C314" s="2217">
        <f t="shared" si="153"/>
        <v>48.458384337434836</v>
      </c>
      <c r="D314" s="2212">
        <v>21</v>
      </c>
      <c r="E314" s="2219"/>
      <c r="F314" s="2213"/>
      <c r="G314" s="2219"/>
      <c r="H314" s="2213"/>
      <c r="I314" s="2213"/>
      <c r="J314" s="2213"/>
      <c r="K314" s="2213"/>
      <c r="L314" s="2213"/>
      <c r="M314" s="2217">
        <f t="shared" si="162"/>
        <v>47.819228891670491</v>
      </c>
      <c r="N314" s="2217">
        <f t="shared" si="144"/>
        <v>4768.5498787681609</v>
      </c>
      <c r="O314" s="2217">
        <f t="shared" si="154"/>
        <v>48.458384337434836</v>
      </c>
      <c r="P314" s="2212">
        <v>21</v>
      </c>
      <c r="Q314" s="2219"/>
      <c r="R314" s="2213"/>
      <c r="S314" s="2219"/>
      <c r="T314" s="2213"/>
      <c r="U314" s="2213"/>
      <c r="V314" s="2213"/>
      <c r="W314" s="2213"/>
      <c r="X314" s="2213"/>
      <c r="Y314" s="2217">
        <f t="shared" si="163"/>
        <v>52.180483482039634</v>
      </c>
      <c r="Z314" s="2217">
        <f t="shared" si="145"/>
        <v>4768.5498787681609</v>
      </c>
      <c r="AA314" s="2217">
        <f t="shared" si="155"/>
        <v>48.458384337434836</v>
      </c>
      <c r="AB314" s="2212">
        <v>21</v>
      </c>
      <c r="AC314" s="2219"/>
      <c r="AD314" s="2213"/>
      <c r="AE314" s="2219"/>
      <c r="AF314" s="2213"/>
      <c r="AG314" s="2213"/>
      <c r="AH314" s="2213"/>
      <c r="AI314" s="2213"/>
      <c r="AJ314" s="2213"/>
      <c r="AK314" s="2217">
        <f t="shared" si="164"/>
        <v>31.34337821694265</v>
      </c>
      <c r="AL314" s="2217">
        <f t="shared" si="146"/>
        <v>4768.5498787681609</v>
      </c>
      <c r="AM314" s="2217">
        <f t="shared" si="156"/>
        <v>48.458384337434836</v>
      </c>
      <c r="AN314" s="2212">
        <v>21</v>
      </c>
      <c r="AO314" s="2219"/>
      <c r="AP314" s="2213"/>
      <c r="AQ314" s="2219"/>
      <c r="AR314" s="2213"/>
      <c r="AS314" s="2213"/>
      <c r="AT314" s="2213"/>
      <c r="AU314" s="2213"/>
      <c r="AV314" s="2213"/>
      <c r="AW314" s="2217">
        <f t="shared" si="165"/>
        <v>26.093301999950238</v>
      </c>
      <c r="AX314" s="2217">
        <f t="shared" si="166"/>
        <v>4578.1766999995752</v>
      </c>
      <c r="AY314" s="2217">
        <f t="shared" si="147"/>
        <v>35.276699999953053</v>
      </c>
      <c r="AZ314" s="2212">
        <v>21</v>
      </c>
      <c r="BA314" s="2208"/>
      <c r="BB314" s="263"/>
      <c r="BC314" s="2208"/>
      <c r="BD314" s="263"/>
      <c r="BE314" s="263"/>
      <c r="BF314" s="263"/>
      <c r="BG314" s="263"/>
      <c r="BH314" s="2208"/>
      <c r="BI314" s="2217">
        <f t="shared" si="167"/>
        <v>37.029078999935692</v>
      </c>
      <c r="BJ314" s="2217">
        <f t="shared" si="157"/>
        <v>4578.1766999995752</v>
      </c>
      <c r="BK314" s="2217">
        <f t="shared" si="148"/>
        <v>35.276699999953053</v>
      </c>
      <c r="BL314" s="2212">
        <v>21</v>
      </c>
      <c r="BM314" s="2208"/>
      <c r="BN314" s="263"/>
      <c r="BO314" s="2208"/>
      <c r="BP314" s="263"/>
      <c r="BQ314" s="263"/>
      <c r="BR314" s="263"/>
      <c r="BS314" s="263"/>
      <c r="BT314" s="2208"/>
      <c r="BU314" s="2217">
        <f t="shared" si="168"/>
        <v>31.34337821694265</v>
      </c>
      <c r="BV314" s="2217">
        <f t="shared" si="149"/>
        <v>4768.5498787681609</v>
      </c>
      <c r="BW314" s="2217">
        <f t="shared" si="158"/>
        <v>48.458384337434836</v>
      </c>
      <c r="BX314" s="2212">
        <v>21</v>
      </c>
      <c r="BY314" s="2219"/>
      <c r="BZ314" s="2213"/>
      <c r="CA314" s="2219"/>
      <c r="CB314" s="2213"/>
      <c r="CC314" s="2213"/>
      <c r="CD314" s="2213"/>
      <c r="CE314" s="2213"/>
      <c r="CF314" s="2208"/>
      <c r="CG314" s="2217">
        <f t="shared" si="169"/>
        <v>37.158384337434839</v>
      </c>
      <c r="CH314" s="2217">
        <f t="shared" si="150"/>
        <v>4768.5498787681609</v>
      </c>
      <c r="CI314" s="2217">
        <f t="shared" si="159"/>
        <v>48.458384337434836</v>
      </c>
      <c r="CJ314" s="2212">
        <v>21</v>
      </c>
      <c r="CK314" s="2219"/>
      <c r="CL314" s="2213"/>
      <c r="CM314" s="2219"/>
      <c r="CN314" s="2213"/>
      <c r="CO314" s="2213"/>
      <c r="CP314" s="2213"/>
      <c r="CQ314" s="2213"/>
      <c r="CR314" s="2208"/>
      <c r="CS314" s="2217">
        <f t="shared" si="170"/>
        <v>36.32354499993663</v>
      </c>
      <c r="CT314" s="2217">
        <f t="shared" si="160"/>
        <v>4578.1766999995752</v>
      </c>
      <c r="CU314" s="2217">
        <f t="shared" si="151"/>
        <v>35.276699999953053</v>
      </c>
      <c r="CV314" s="2212">
        <v>21</v>
      </c>
      <c r="CW314" s="2208"/>
      <c r="CX314" s="263"/>
      <c r="CY314" s="2208"/>
      <c r="CZ314" s="263"/>
      <c r="DA314" s="263"/>
      <c r="DB314" s="263"/>
      <c r="DC314" s="263"/>
      <c r="DD314" s="2208"/>
    </row>
    <row r="315" spans="1:108">
      <c r="A315" s="2217">
        <f t="shared" si="161"/>
        <v>44.833935527663741</v>
      </c>
      <c r="B315" s="2217">
        <f t="shared" si="152"/>
        <v>4720.091494430726</v>
      </c>
      <c r="C315" s="2217">
        <f t="shared" si="153"/>
        <v>48.812117850142386</v>
      </c>
      <c r="D315" s="2212">
        <v>20</v>
      </c>
      <c r="E315" s="2219"/>
      <c r="F315" s="2213"/>
      <c r="G315" s="2219"/>
      <c r="H315" s="2213"/>
      <c r="I315" s="2213"/>
      <c r="J315" s="2213"/>
      <c r="K315" s="2213"/>
      <c r="L315" s="2213"/>
      <c r="M315" s="2217">
        <f t="shared" si="162"/>
        <v>48.250783777173709</v>
      </c>
      <c r="N315" s="2217">
        <f t="shared" si="144"/>
        <v>4720.091494430726</v>
      </c>
      <c r="O315" s="2217">
        <f t="shared" si="154"/>
        <v>48.812117850142386</v>
      </c>
      <c r="P315" s="2212">
        <v>20</v>
      </c>
      <c r="Q315" s="2219"/>
      <c r="R315" s="2213"/>
      <c r="S315" s="2219"/>
      <c r="T315" s="2213"/>
      <c r="U315" s="2213"/>
      <c r="V315" s="2213"/>
      <c r="W315" s="2213"/>
      <c r="X315" s="2213"/>
      <c r="Y315" s="2217">
        <f t="shared" si="163"/>
        <v>52.643874383686523</v>
      </c>
      <c r="Z315" s="2217">
        <f t="shared" si="145"/>
        <v>4720.091494430726</v>
      </c>
      <c r="AA315" s="2217">
        <f t="shared" si="155"/>
        <v>48.812117850142386</v>
      </c>
      <c r="AB315" s="2212">
        <v>20</v>
      </c>
      <c r="AC315" s="2219"/>
      <c r="AD315" s="2213"/>
      <c r="AE315" s="2219"/>
      <c r="AF315" s="2213"/>
      <c r="AG315" s="2213"/>
      <c r="AH315" s="2213"/>
      <c r="AI315" s="2213"/>
      <c r="AJ315" s="2213"/>
      <c r="AK315" s="2217">
        <f t="shared" si="164"/>
        <v>31.654663708125295</v>
      </c>
      <c r="AL315" s="2217">
        <f t="shared" si="146"/>
        <v>4720.091494430726</v>
      </c>
      <c r="AM315" s="2217">
        <f t="shared" si="156"/>
        <v>48.812117850142386</v>
      </c>
      <c r="AN315" s="2212">
        <v>20</v>
      </c>
      <c r="AO315" s="2219"/>
      <c r="AP315" s="2213"/>
      <c r="AQ315" s="2219"/>
      <c r="AR315" s="2213"/>
      <c r="AS315" s="2213"/>
      <c r="AT315" s="2213"/>
      <c r="AU315" s="2213"/>
      <c r="AV315" s="2213"/>
      <c r="AW315" s="2217">
        <f t="shared" si="165"/>
        <v>26.572209999948118</v>
      </c>
      <c r="AX315" s="2217">
        <f t="shared" si="166"/>
        <v>4542.8999999996222</v>
      </c>
      <c r="AY315" s="2217">
        <f t="shared" si="147"/>
        <v>35.728499999951055</v>
      </c>
      <c r="AZ315" s="2212">
        <v>20</v>
      </c>
      <c r="BA315" s="2208"/>
      <c r="BB315" s="263"/>
      <c r="BC315" s="2208"/>
      <c r="BD315" s="263"/>
      <c r="BE315" s="263"/>
      <c r="BF315" s="263"/>
      <c r="BG315" s="263"/>
      <c r="BH315" s="2208"/>
      <c r="BI315" s="2217">
        <f t="shared" si="167"/>
        <v>37.648044999932949</v>
      </c>
      <c r="BJ315" s="2217">
        <f t="shared" si="157"/>
        <v>4542.8999999996222</v>
      </c>
      <c r="BK315" s="2217">
        <f t="shared" si="148"/>
        <v>35.728499999951055</v>
      </c>
      <c r="BL315" s="2212">
        <v>20</v>
      </c>
      <c r="BM315" s="2208"/>
      <c r="BN315" s="263"/>
      <c r="BO315" s="2208"/>
      <c r="BP315" s="263"/>
      <c r="BQ315" s="263"/>
      <c r="BR315" s="263"/>
      <c r="BS315" s="263"/>
      <c r="BT315" s="2208"/>
      <c r="BU315" s="2217">
        <f t="shared" si="168"/>
        <v>31.654663708125295</v>
      </c>
      <c r="BV315" s="2217">
        <f t="shared" si="149"/>
        <v>4720.091494430726</v>
      </c>
      <c r="BW315" s="2217">
        <f t="shared" si="158"/>
        <v>48.812117850142386</v>
      </c>
      <c r="BX315" s="2212">
        <v>20</v>
      </c>
      <c r="BY315" s="2219"/>
      <c r="BZ315" s="2213"/>
      <c r="CA315" s="2219"/>
      <c r="CB315" s="2213"/>
      <c r="CC315" s="2213"/>
      <c r="CD315" s="2213"/>
      <c r="CE315" s="2213"/>
      <c r="CF315" s="2208"/>
      <c r="CG315" s="2217">
        <f t="shared" si="169"/>
        <v>37.512117850142388</v>
      </c>
      <c r="CH315" s="2217">
        <f t="shared" si="150"/>
        <v>4720.091494430726</v>
      </c>
      <c r="CI315" s="2217">
        <f t="shared" si="159"/>
        <v>48.812117850142386</v>
      </c>
      <c r="CJ315" s="2212">
        <v>20</v>
      </c>
      <c r="CK315" s="2219"/>
      <c r="CL315" s="2213"/>
      <c r="CM315" s="2219"/>
      <c r="CN315" s="2213"/>
      <c r="CO315" s="2213"/>
      <c r="CP315" s="2213"/>
      <c r="CQ315" s="2213"/>
      <c r="CR315" s="2208"/>
      <c r="CS315" s="2217">
        <f t="shared" si="170"/>
        <v>36.933474999933921</v>
      </c>
      <c r="CT315" s="2217">
        <f t="shared" si="160"/>
        <v>4542.8999999996222</v>
      </c>
      <c r="CU315" s="2217">
        <f t="shared" si="151"/>
        <v>35.728499999951055</v>
      </c>
      <c r="CV315" s="2212">
        <v>20</v>
      </c>
      <c r="CW315" s="2208"/>
      <c r="CX315" s="263"/>
      <c r="CY315" s="2208"/>
      <c r="CZ315" s="263"/>
      <c r="DA315" s="263"/>
      <c r="DB315" s="263"/>
      <c r="DC315" s="263"/>
      <c r="DD315" s="2208"/>
    </row>
    <row r="316" spans="1:108">
      <c r="A316" s="2217">
        <f t="shared" si="161"/>
        <v>45.242041971376281</v>
      </c>
      <c r="B316" s="2217">
        <f t="shared" si="152"/>
        <v>4671.2793765805836</v>
      </c>
      <c r="C316" s="2217">
        <f t="shared" si="153"/>
        <v>49.166993018588073</v>
      </c>
      <c r="D316" s="2212">
        <v>19</v>
      </c>
      <c r="E316" s="2219"/>
      <c r="F316" s="2213"/>
      <c r="G316" s="2219"/>
      <c r="H316" s="2213"/>
      <c r="I316" s="2213"/>
      <c r="J316" s="2213"/>
      <c r="K316" s="2213"/>
      <c r="L316" s="2213"/>
      <c r="M316" s="2217">
        <f t="shared" si="162"/>
        <v>48.683731482677445</v>
      </c>
      <c r="N316" s="2217">
        <f t="shared" si="144"/>
        <v>4671.2793765805836</v>
      </c>
      <c r="O316" s="2217">
        <f t="shared" si="154"/>
        <v>49.166993018588073</v>
      </c>
      <c r="P316" s="2212">
        <v>19</v>
      </c>
      <c r="Q316" s="2219"/>
      <c r="R316" s="2213"/>
      <c r="S316" s="2219"/>
      <c r="T316" s="2213"/>
      <c r="U316" s="2213"/>
      <c r="V316" s="2213"/>
      <c r="W316" s="2213"/>
      <c r="X316" s="2213"/>
      <c r="Y316" s="2217">
        <f t="shared" si="163"/>
        <v>53.108760854350379</v>
      </c>
      <c r="Z316" s="2217">
        <f t="shared" si="145"/>
        <v>4671.2793765805836</v>
      </c>
      <c r="AA316" s="2217">
        <f t="shared" si="155"/>
        <v>49.166993018588073</v>
      </c>
      <c r="AB316" s="2212">
        <v>19</v>
      </c>
      <c r="AC316" s="2219"/>
      <c r="AD316" s="2213"/>
      <c r="AE316" s="2219"/>
      <c r="AF316" s="2213"/>
      <c r="AG316" s="2213"/>
      <c r="AH316" s="2213"/>
      <c r="AI316" s="2213"/>
      <c r="AJ316" s="2213"/>
      <c r="AK316" s="2217">
        <f t="shared" si="164"/>
        <v>31.966953856357495</v>
      </c>
      <c r="AL316" s="2217">
        <f t="shared" si="146"/>
        <v>4671.2793765805836</v>
      </c>
      <c r="AM316" s="2217">
        <f t="shared" si="156"/>
        <v>49.166993018588073</v>
      </c>
      <c r="AN316" s="2212">
        <v>19</v>
      </c>
      <c r="AO316" s="2219"/>
      <c r="AP316" s="2213"/>
      <c r="AQ316" s="2219"/>
      <c r="AR316" s="2213"/>
      <c r="AS316" s="2213"/>
      <c r="AT316" s="2213"/>
      <c r="AU316" s="2213"/>
      <c r="AV316" s="2213"/>
      <c r="AW316" s="2217">
        <f t="shared" si="165"/>
        <v>27.054933999947938</v>
      </c>
      <c r="AX316" s="2217">
        <f t="shared" si="166"/>
        <v>4507.1714999996711</v>
      </c>
      <c r="AY316" s="2217">
        <f t="shared" si="147"/>
        <v>36.183899999950881</v>
      </c>
      <c r="AZ316" s="2212">
        <v>19</v>
      </c>
      <c r="BA316" s="2208"/>
      <c r="BB316" s="263"/>
      <c r="BC316" s="2208"/>
      <c r="BD316" s="263"/>
      <c r="BE316" s="263"/>
      <c r="BF316" s="263"/>
      <c r="BG316" s="263"/>
      <c r="BH316" s="2208"/>
      <c r="BI316" s="2217">
        <f t="shared" si="167"/>
        <v>38.271942999932705</v>
      </c>
      <c r="BJ316" s="2217">
        <f t="shared" si="157"/>
        <v>4507.1714999996711</v>
      </c>
      <c r="BK316" s="2217">
        <f t="shared" si="148"/>
        <v>36.183899999950881</v>
      </c>
      <c r="BL316" s="2212">
        <v>19</v>
      </c>
      <c r="BM316" s="2208"/>
      <c r="BN316" s="263"/>
      <c r="BO316" s="2208"/>
      <c r="BP316" s="263"/>
      <c r="BQ316" s="263"/>
      <c r="BR316" s="263"/>
      <c r="BS316" s="263"/>
      <c r="BT316" s="2208"/>
      <c r="BU316" s="2217">
        <f t="shared" si="168"/>
        <v>31.966953856357495</v>
      </c>
      <c r="BV316" s="2217">
        <f t="shared" si="149"/>
        <v>4671.2793765805836</v>
      </c>
      <c r="BW316" s="2217">
        <f t="shared" si="158"/>
        <v>49.166993018588073</v>
      </c>
      <c r="BX316" s="2212">
        <v>19</v>
      </c>
      <c r="BY316" s="2219"/>
      <c r="BZ316" s="2213"/>
      <c r="CA316" s="2219"/>
      <c r="CB316" s="2213"/>
      <c r="CC316" s="2213"/>
      <c r="CD316" s="2213"/>
      <c r="CE316" s="2213"/>
      <c r="CF316" s="2208"/>
      <c r="CG316" s="2217">
        <f t="shared" si="169"/>
        <v>37.866993018588076</v>
      </c>
      <c r="CH316" s="2217">
        <f t="shared" si="150"/>
        <v>4671.2793765805836</v>
      </c>
      <c r="CI316" s="2217">
        <f t="shared" si="159"/>
        <v>49.166993018588073</v>
      </c>
      <c r="CJ316" s="2212">
        <v>19</v>
      </c>
      <c r="CK316" s="2219"/>
      <c r="CL316" s="2213"/>
      <c r="CM316" s="2219"/>
      <c r="CN316" s="2213"/>
      <c r="CO316" s="2213"/>
      <c r="CP316" s="2213"/>
      <c r="CQ316" s="2213"/>
      <c r="CR316" s="2208"/>
      <c r="CS316" s="2217">
        <f t="shared" si="170"/>
        <v>37.548264999933693</v>
      </c>
      <c r="CT316" s="2217">
        <f t="shared" si="160"/>
        <v>4507.1714999996711</v>
      </c>
      <c r="CU316" s="2217">
        <f t="shared" si="151"/>
        <v>36.183899999950881</v>
      </c>
      <c r="CV316" s="2212">
        <v>19</v>
      </c>
      <c r="CW316" s="2208"/>
      <c r="CX316" s="263"/>
      <c r="CY316" s="2208"/>
      <c r="CZ316" s="263"/>
      <c r="DA316" s="263"/>
      <c r="DB316" s="263"/>
      <c r="DC316" s="263"/>
      <c r="DD316" s="2208"/>
    </row>
    <row r="317" spans="1:108">
      <c r="A317" s="2217">
        <f t="shared" si="161"/>
        <v>45.651461319177216</v>
      </c>
      <c r="B317" s="2217">
        <f t="shared" si="152"/>
        <v>4622.1123835619956</v>
      </c>
      <c r="C317" s="2217">
        <f t="shared" si="153"/>
        <v>49.523009842762804</v>
      </c>
      <c r="D317" s="2212">
        <v>18</v>
      </c>
      <c r="E317" s="2219"/>
      <c r="F317" s="2213"/>
      <c r="G317" s="2219"/>
      <c r="H317" s="2213"/>
      <c r="I317" s="2213"/>
      <c r="J317" s="2213"/>
      <c r="K317" s="2213"/>
      <c r="L317" s="2213"/>
      <c r="M317" s="2217">
        <f t="shared" si="162"/>
        <v>49.118072008170614</v>
      </c>
      <c r="N317" s="2217">
        <f t="shared" si="144"/>
        <v>4622.1123835619956</v>
      </c>
      <c r="O317" s="2217">
        <f t="shared" si="154"/>
        <v>49.523009842762804</v>
      </c>
      <c r="P317" s="2212">
        <v>18</v>
      </c>
      <c r="Q317" s="2219"/>
      <c r="R317" s="2213"/>
      <c r="S317" s="2219"/>
      <c r="T317" s="2213"/>
      <c r="U317" s="2213"/>
      <c r="V317" s="2213"/>
      <c r="W317" s="2213"/>
      <c r="X317" s="2213"/>
      <c r="Y317" s="2217">
        <f t="shared" si="163"/>
        <v>53.57514289401928</v>
      </c>
      <c r="Z317" s="2217">
        <f t="shared" si="145"/>
        <v>4622.1123835619956</v>
      </c>
      <c r="AA317" s="2217">
        <f t="shared" si="155"/>
        <v>49.523009842762804</v>
      </c>
      <c r="AB317" s="2212">
        <v>18</v>
      </c>
      <c r="AC317" s="2219"/>
      <c r="AD317" s="2213"/>
      <c r="AE317" s="2219"/>
      <c r="AF317" s="2213"/>
      <c r="AG317" s="2213"/>
      <c r="AH317" s="2213"/>
      <c r="AI317" s="2213"/>
      <c r="AJ317" s="2213"/>
      <c r="AK317" s="2217">
        <f t="shared" si="164"/>
        <v>32.280248661631262</v>
      </c>
      <c r="AL317" s="2217">
        <f t="shared" si="146"/>
        <v>4622.1123835619956</v>
      </c>
      <c r="AM317" s="2217">
        <f t="shared" si="156"/>
        <v>49.523009842762804</v>
      </c>
      <c r="AN317" s="2212">
        <v>18</v>
      </c>
      <c r="AO317" s="2219"/>
      <c r="AP317" s="2213"/>
      <c r="AQ317" s="2219"/>
      <c r="AR317" s="2213"/>
      <c r="AS317" s="2213"/>
      <c r="AT317" s="2213"/>
      <c r="AU317" s="2213"/>
      <c r="AV317" s="2213"/>
      <c r="AW317" s="2217">
        <f t="shared" si="165"/>
        <v>27.541473999946792</v>
      </c>
      <c r="AX317" s="2217">
        <f t="shared" si="166"/>
        <v>4470.9875999997203</v>
      </c>
      <c r="AY317" s="2217">
        <f t="shared" si="147"/>
        <v>36.642899999949805</v>
      </c>
      <c r="AZ317" s="2212">
        <v>18</v>
      </c>
      <c r="BA317" s="2208"/>
      <c r="BB317" s="263"/>
      <c r="BC317" s="2208"/>
      <c r="BD317" s="263"/>
      <c r="BE317" s="263"/>
      <c r="BF317" s="263"/>
      <c r="BG317" s="263"/>
      <c r="BH317" s="2208"/>
      <c r="BI317" s="2217">
        <f t="shared" si="167"/>
        <v>38.900772999931235</v>
      </c>
      <c r="BJ317" s="2217">
        <f t="shared" si="157"/>
        <v>4470.9875999997203</v>
      </c>
      <c r="BK317" s="2217">
        <f t="shared" si="148"/>
        <v>36.642899999949805</v>
      </c>
      <c r="BL317" s="2212">
        <v>18</v>
      </c>
      <c r="BM317" s="2208"/>
      <c r="BN317" s="263"/>
      <c r="BO317" s="2208"/>
      <c r="BP317" s="263"/>
      <c r="BQ317" s="263"/>
      <c r="BR317" s="263"/>
      <c r="BS317" s="263"/>
      <c r="BT317" s="2208"/>
      <c r="BU317" s="2217">
        <f t="shared" si="168"/>
        <v>32.280248661631262</v>
      </c>
      <c r="BV317" s="2217">
        <f t="shared" si="149"/>
        <v>4622.1123835619956</v>
      </c>
      <c r="BW317" s="2217">
        <f t="shared" si="158"/>
        <v>49.523009842762804</v>
      </c>
      <c r="BX317" s="2212">
        <v>18</v>
      </c>
      <c r="BY317" s="2219"/>
      <c r="BZ317" s="2213"/>
      <c r="CA317" s="2219"/>
      <c r="CB317" s="2213"/>
      <c r="CC317" s="2213"/>
      <c r="CD317" s="2213"/>
      <c r="CE317" s="2213"/>
      <c r="CF317" s="2208"/>
      <c r="CG317" s="2217">
        <f t="shared" si="169"/>
        <v>38.223009842762806</v>
      </c>
      <c r="CH317" s="2217">
        <f t="shared" si="150"/>
        <v>4622.1123835619956</v>
      </c>
      <c r="CI317" s="2217">
        <f t="shared" si="159"/>
        <v>49.523009842762804</v>
      </c>
      <c r="CJ317" s="2212">
        <v>18</v>
      </c>
      <c r="CK317" s="2219"/>
      <c r="CL317" s="2213"/>
      <c r="CM317" s="2219"/>
      <c r="CN317" s="2213"/>
      <c r="CO317" s="2213"/>
      <c r="CP317" s="2213"/>
      <c r="CQ317" s="2213"/>
      <c r="CR317" s="2208"/>
      <c r="CS317" s="2217">
        <f t="shared" si="170"/>
        <v>38.167914999932236</v>
      </c>
      <c r="CT317" s="2217">
        <f t="shared" si="160"/>
        <v>4470.9875999997203</v>
      </c>
      <c r="CU317" s="2217">
        <f t="shared" si="151"/>
        <v>36.642899999949805</v>
      </c>
      <c r="CV317" s="2212">
        <v>18</v>
      </c>
      <c r="CW317" s="2208"/>
      <c r="CX317" s="263"/>
      <c r="CY317" s="2208"/>
      <c r="CZ317" s="263"/>
      <c r="DA317" s="263"/>
      <c r="DB317" s="263"/>
      <c r="DC317" s="263"/>
      <c r="DD317" s="2208"/>
    </row>
    <row r="318" spans="1:108">
      <c r="A318" s="2217">
        <f t="shared" si="161"/>
        <v>46.062193571077017</v>
      </c>
      <c r="B318" s="2217">
        <f t="shared" si="152"/>
        <v>4572.5893737192328</v>
      </c>
      <c r="C318" s="2217">
        <f t="shared" si="153"/>
        <v>49.880168322675672</v>
      </c>
      <c r="D318" s="2212">
        <v>17</v>
      </c>
      <c r="E318" s="2219"/>
      <c r="F318" s="2213"/>
      <c r="G318" s="2219"/>
      <c r="H318" s="2213"/>
      <c r="I318" s="2213"/>
      <c r="J318" s="2213"/>
      <c r="K318" s="2213"/>
      <c r="L318" s="2213"/>
      <c r="M318" s="2217">
        <f t="shared" si="162"/>
        <v>49.553805353664316</v>
      </c>
      <c r="N318" s="2217">
        <f t="shared" si="144"/>
        <v>4572.5893737192328</v>
      </c>
      <c r="O318" s="2217">
        <f t="shared" si="154"/>
        <v>49.880168322675672</v>
      </c>
      <c r="P318" s="2212">
        <v>17</v>
      </c>
      <c r="Q318" s="2219"/>
      <c r="R318" s="2213"/>
      <c r="S318" s="2219"/>
      <c r="T318" s="2213"/>
      <c r="U318" s="2213"/>
      <c r="V318" s="2213"/>
      <c r="W318" s="2213"/>
      <c r="X318" s="2213"/>
      <c r="Y318" s="2217">
        <f t="shared" si="163"/>
        <v>54.043020502705133</v>
      </c>
      <c r="Z318" s="2217">
        <f t="shared" si="145"/>
        <v>4572.5893737192328</v>
      </c>
      <c r="AA318" s="2217">
        <f t="shared" si="155"/>
        <v>49.880168322675672</v>
      </c>
      <c r="AB318" s="2212">
        <v>17</v>
      </c>
      <c r="AC318" s="2219"/>
      <c r="AD318" s="2213"/>
      <c r="AE318" s="2219"/>
      <c r="AF318" s="2213"/>
      <c r="AG318" s="2213"/>
      <c r="AH318" s="2213"/>
      <c r="AI318" s="2213"/>
      <c r="AJ318" s="2213"/>
      <c r="AK318" s="2217">
        <f t="shared" si="164"/>
        <v>32.594548123954581</v>
      </c>
      <c r="AL318" s="2217">
        <f t="shared" si="146"/>
        <v>4572.5893737192328</v>
      </c>
      <c r="AM318" s="2217">
        <f t="shared" si="156"/>
        <v>49.880168322675672</v>
      </c>
      <c r="AN318" s="2212">
        <v>17</v>
      </c>
      <c r="AO318" s="2219"/>
      <c r="AP318" s="2213"/>
      <c r="AQ318" s="2219"/>
      <c r="AR318" s="2213"/>
      <c r="AS318" s="2213"/>
      <c r="AT318" s="2213"/>
      <c r="AU318" s="2213"/>
      <c r="AV318" s="2213"/>
      <c r="AW318" s="2217">
        <f t="shared" si="165"/>
        <v>28.031829999945661</v>
      </c>
      <c r="AX318" s="2217">
        <f t="shared" si="166"/>
        <v>4434.3446999997705</v>
      </c>
      <c r="AY318" s="2217">
        <f t="shared" si="147"/>
        <v>37.105499999948734</v>
      </c>
      <c r="AZ318" s="2212">
        <v>17</v>
      </c>
      <c r="BA318" s="2208"/>
      <c r="BB318" s="263"/>
      <c r="BC318" s="2208"/>
      <c r="BD318" s="263"/>
      <c r="BE318" s="263"/>
      <c r="BF318" s="263"/>
      <c r="BG318" s="263"/>
      <c r="BH318" s="2208"/>
      <c r="BI318" s="2217">
        <f t="shared" si="167"/>
        <v>39.534534999929775</v>
      </c>
      <c r="BJ318" s="2217">
        <f t="shared" si="157"/>
        <v>4434.3446999997705</v>
      </c>
      <c r="BK318" s="2217">
        <f t="shared" si="148"/>
        <v>37.105499999948734</v>
      </c>
      <c r="BL318" s="2212">
        <v>17</v>
      </c>
      <c r="BM318" s="2208"/>
      <c r="BN318" s="263"/>
      <c r="BO318" s="2208"/>
      <c r="BP318" s="263"/>
      <c r="BQ318" s="263"/>
      <c r="BR318" s="263"/>
      <c r="BS318" s="263"/>
      <c r="BT318" s="2208"/>
      <c r="BU318" s="2217">
        <f t="shared" si="168"/>
        <v>32.594548123954581</v>
      </c>
      <c r="BV318" s="2217">
        <f t="shared" si="149"/>
        <v>4572.5893737192328</v>
      </c>
      <c r="BW318" s="2217">
        <f t="shared" si="158"/>
        <v>49.880168322675672</v>
      </c>
      <c r="BX318" s="2212">
        <v>17</v>
      </c>
      <c r="BY318" s="2219"/>
      <c r="BZ318" s="2213"/>
      <c r="CA318" s="2219"/>
      <c r="CB318" s="2213"/>
      <c r="CC318" s="2213"/>
      <c r="CD318" s="2213"/>
      <c r="CE318" s="2213"/>
      <c r="CF318" s="2208"/>
      <c r="CG318" s="2217">
        <f t="shared" si="169"/>
        <v>38.580168322675675</v>
      </c>
      <c r="CH318" s="2217">
        <f t="shared" si="150"/>
        <v>4572.5893737192328</v>
      </c>
      <c r="CI318" s="2217">
        <f t="shared" si="159"/>
        <v>49.880168322675672</v>
      </c>
      <c r="CJ318" s="2212">
        <v>17</v>
      </c>
      <c r="CK318" s="2219"/>
      <c r="CL318" s="2213"/>
      <c r="CM318" s="2219"/>
      <c r="CN318" s="2213"/>
      <c r="CO318" s="2213"/>
      <c r="CP318" s="2213"/>
      <c r="CQ318" s="2213"/>
      <c r="CR318" s="2208"/>
      <c r="CS318" s="2217">
        <f t="shared" si="170"/>
        <v>38.792424999930788</v>
      </c>
      <c r="CT318" s="2217">
        <f t="shared" si="160"/>
        <v>4434.3446999997705</v>
      </c>
      <c r="CU318" s="2217">
        <f t="shared" si="151"/>
        <v>37.105499999948734</v>
      </c>
      <c r="CV318" s="2212">
        <v>17</v>
      </c>
      <c r="CW318" s="2208"/>
      <c r="CX318" s="263"/>
      <c r="CY318" s="2208"/>
      <c r="CZ318" s="263"/>
      <c r="DA318" s="263"/>
      <c r="DB318" s="263"/>
      <c r="DC318" s="263"/>
      <c r="DD318" s="2208"/>
    </row>
    <row r="319" spans="1:108">
      <c r="A319" s="2217">
        <f t="shared" si="161"/>
        <v>46.474238727069405</v>
      </c>
      <c r="B319" s="2217">
        <f t="shared" si="152"/>
        <v>4522.7092053965571</v>
      </c>
      <c r="C319" s="2217">
        <f t="shared" si="153"/>
        <v>50.238468458321222</v>
      </c>
      <c r="D319" s="2212">
        <v>16</v>
      </c>
      <c r="E319" s="2219"/>
      <c r="F319" s="2213"/>
      <c r="G319" s="2219"/>
      <c r="H319" s="2213"/>
      <c r="I319" s="2213"/>
      <c r="J319" s="2213"/>
      <c r="K319" s="2213"/>
      <c r="L319" s="2213"/>
      <c r="M319" s="2217">
        <f t="shared" si="162"/>
        <v>49.990931519151886</v>
      </c>
      <c r="N319" s="2217">
        <f t="shared" si="144"/>
        <v>4522.7092053965571</v>
      </c>
      <c r="O319" s="2217">
        <f t="shared" si="154"/>
        <v>50.238468458321222</v>
      </c>
      <c r="P319" s="2212">
        <v>16</v>
      </c>
      <c r="Q319" s="2219"/>
      <c r="R319" s="2213"/>
      <c r="S319" s="2219"/>
      <c r="T319" s="2213"/>
      <c r="U319" s="2213"/>
      <c r="V319" s="2213"/>
      <c r="W319" s="2213"/>
      <c r="X319" s="2213"/>
      <c r="Y319" s="2217">
        <f t="shared" si="163"/>
        <v>54.512393680400805</v>
      </c>
      <c r="Z319" s="2217">
        <f t="shared" si="145"/>
        <v>4522.7092053965571</v>
      </c>
      <c r="AA319" s="2217">
        <f t="shared" si="155"/>
        <v>50.238468458321222</v>
      </c>
      <c r="AB319" s="2212">
        <v>16</v>
      </c>
      <c r="AC319" s="2219"/>
      <c r="AD319" s="2213"/>
      <c r="AE319" s="2219"/>
      <c r="AF319" s="2213"/>
      <c r="AG319" s="2213"/>
      <c r="AH319" s="2213"/>
      <c r="AI319" s="2213"/>
      <c r="AJ319" s="2213"/>
      <c r="AK319" s="2217">
        <f t="shared" si="164"/>
        <v>32.909852243322675</v>
      </c>
      <c r="AL319" s="2217">
        <f t="shared" si="146"/>
        <v>4522.7092053965571</v>
      </c>
      <c r="AM319" s="2217">
        <f t="shared" si="156"/>
        <v>50.238468458321222</v>
      </c>
      <c r="AN319" s="2212">
        <v>16</v>
      </c>
      <c r="AO319" s="2219"/>
      <c r="AP319" s="2213"/>
      <c r="AQ319" s="2219"/>
      <c r="AR319" s="2213"/>
      <c r="AS319" s="2213"/>
      <c r="AT319" s="2213"/>
      <c r="AU319" s="2213"/>
      <c r="AV319" s="2213"/>
      <c r="AW319" s="2217">
        <f t="shared" si="165"/>
        <v>28.526001999942604</v>
      </c>
      <c r="AX319" s="2217">
        <f t="shared" si="166"/>
        <v>4397.2391999998217</v>
      </c>
      <c r="AY319" s="2217">
        <f t="shared" si="147"/>
        <v>37.571699999945849</v>
      </c>
      <c r="AZ319" s="2212">
        <v>16</v>
      </c>
      <c r="BA319" s="2208"/>
      <c r="BB319" s="263"/>
      <c r="BC319" s="2208"/>
      <c r="BD319" s="263"/>
      <c r="BE319" s="263"/>
      <c r="BF319" s="263"/>
      <c r="BG319" s="263"/>
      <c r="BH319" s="2208"/>
      <c r="BI319" s="2217">
        <f t="shared" si="167"/>
        <v>40.173228999925811</v>
      </c>
      <c r="BJ319" s="2217">
        <f t="shared" si="157"/>
        <v>4397.2391999998217</v>
      </c>
      <c r="BK319" s="2217">
        <f t="shared" si="148"/>
        <v>37.571699999945849</v>
      </c>
      <c r="BL319" s="2212">
        <v>16</v>
      </c>
      <c r="BM319" s="2208"/>
      <c r="BN319" s="263"/>
      <c r="BO319" s="2208"/>
      <c r="BP319" s="263"/>
      <c r="BQ319" s="263"/>
      <c r="BR319" s="263"/>
      <c r="BS319" s="263"/>
      <c r="BT319" s="2208"/>
      <c r="BU319" s="2217">
        <f t="shared" si="168"/>
        <v>32.909852243322675</v>
      </c>
      <c r="BV319" s="2217">
        <f t="shared" si="149"/>
        <v>4522.7092053965571</v>
      </c>
      <c r="BW319" s="2217">
        <f t="shared" si="158"/>
        <v>50.238468458321222</v>
      </c>
      <c r="BX319" s="2212">
        <v>16</v>
      </c>
      <c r="BY319" s="2219"/>
      <c r="BZ319" s="2213"/>
      <c r="CA319" s="2219"/>
      <c r="CB319" s="2213"/>
      <c r="CC319" s="2213"/>
      <c r="CD319" s="2213"/>
      <c r="CE319" s="2213"/>
      <c r="CF319" s="2208"/>
      <c r="CG319" s="2217">
        <f t="shared" si="169"/>
        <v>38.938468458321225</v>
      </c>
      <c r="CH319" s="2217">
        <f t="shared" si="150"/>
        <v>4522.7092053965571</v>
      </c>
      <c r="CI319" s="2217">
        <f t="shared" si="159"/>
        <v>50.238468458321222</v>
      </c>
      <c r="CJ319" s="2212">
        <v>16</v>
      </c>
      <c r="CK319" s="2219"/>
      <c r="CL319" s="2213"/>
      <c r="CM319" s="2219"/>
      <c r="CN319" s="2213"/>
      <c r="CO319" s="2213"/>
      <c r="CP319" s="2213"/>
      <c r="CQ319" s="2213"/>
      <c r="CR319" s="2208"/>
      <c r="CS319" s="2217">
        <f t="shared" si="170"/>
        <v>39.421794999926902</v>
      </c>
      <c r="CT319" s="2217">
        <f t="shared" si="160"/>
        <v>4397.2391999998217</v>
      </c>
      <c r="CU319" s="2217">
        <f t="shared" si="151"/>
        <v>37.571699999945849</v>
      </c>
      <c r="CV319" s="2212">
        <v>16</v>
      </c>
      <c r="CW319" s="2208"/>
      <c r="CX319" s="263"/>
      <c r="CY319" s="2208"/>
      <c r="CZ319" s="263"/>
      <c r="DA319" s="263"/>
      <c r="DB319" s="263"/>
      <c r="DC319" s="263"/>
      <c r="DD319" s="2208"/>
    </row>
    <row r="320" spans="1:108">
      <c r="A320" s="2217">
        <f t="shared" si="161"/>
        <v>46.887596787158543</v>
      </c>
      <c r="B320" s="2217">
        <f t="shared" si="152"/>
        <v>4472.4707369382359</v>
      </c>
      <c r="C320" s="2217">
        <f t="shared" si="153"/>
        <v>50.597910249703091</v>
      </c>
      <c r="D320" s="2212">
        <v>15</v>
      </c>
      <c r="E320" s="2219"/>
      <c r="F320" s="2213"/>
      <c r="G320" s="2219"/>
      <c r="H320" s="2213"/>
      <c r="I320" s="2213"/>
      <c r="J320" s="2213"/>
      <c r="K320" s="2213"/>
      <c r="L320" s="2213"/>
      <c r="M320" s="2217">
        <f t="shared" si="162"/>
        <v>50.429450504637771</v>
      </c>
      <c r="N320" s="2217">
        <f t="shared" si="144"/>
        <v>4472.4707369382359</v>
      </c>
      <c r="O320" s="2217">
        <f t="shared" si="154"/>
        <v>50.597910249703091</v>
      </c>
      <c r="P320" s="2212">
        <v>15</v>
      </c>
      <c r="Q320" s="2219"/>
      <c r="R320" s="2213"/>
      <c r="S320" s="2219"/>
      <c r="T320" s="2213"/>
      <c r="U320" s="2213"/>
      <c r="V320" s="2213"/>
      <c r="W320" s="2213"/>
      <c r="X320" s="2213"/>
      <c r="Y320" s="2217">
        <f t="shared" si="163"/>
        <v>54.983262427111057</v>
      </c>
      <c r="Z320" s="2217">
        <f t="shared" si="145"/>
        <v>4472.4707369382359</v>
      </c>
      <c r="AA320" s="2217">
        <f t="shared" si="155"/>
        <v>50.597910249703091</v>
      </c>
      <c r="AB320" s="2212">
        <v>15</v>
      </c>
      <c r="AC320" s="2219"/>
      <c r="AD320" s="2213"/>
      <c r="AE320" s="2219"/>
      <c r="AF320" s="2213"/>
      <c r="AG320" s="2213"/>
      <c r="AH320" s="2213"/>
      <c r="AI320" s="2213"/>
      <c r="AJ320" s="2213"/>
      <c r="AK320" s="2217">
        <f t="shared" si="164"/>
        <v>33.226161019738711</v>
      </c>
      <c r="AL320" s="2217">
        <f t="shared" si="146"/>
        <v>4472.4707369382359</v>
      </c>
      <c r="AM320" s="2217">
        <f t="shared" si="156"/>
        <v>50.597910249703091</v>
      </c>
      <c r="AN320" s="2212">
        <v>15</v>
      </c>
      <c r="AO320" s="2219"/>
      <c r="AP320" s="2213"/>
      <c r="AQ320" s="2219"/>
      <c r="AR320" s="2213"/>
      <c r="AS320" s="2213"/>
      <c r="AT320" s="2213"/>
      <c r="AU320" s="2213"/>
      <c r="AV320" s="2213"/>
      <c r="AW320" s="2217">
        <f t="shared" si="165"/>
        <v>29.023989999943407</v>
      </c>
      <c r="AX320" s="2217">
        <f t="shared" si="166"/>
        <v>4359.6674999998759</v>
      </c>
      <c r="AY320" s="2217">
        <f t="shared" si="147"/>
        <v>38.041499999946609</v>
      </c>
      <c r="AZ320" s="2212">
        <v>15</v>
      </c>
      <c r="BA320" s="2208"/>
      <c r="BB320" s="263"/>
      <c r="BC320" s="2208"/>
      <c r="BD320" s="263"/>
      <c r="BE320" s="263"/>
      <c r="BF320" s="263"/>
      <c r="BG320" s="263"/>
      <c r="BH320" s="2208"/>
      <c r="BI320" s="2217">
        <f t="shared" si="167"/>
        <v>40.816854999926861</v>
      </c>
      <c r="BJ320" s="2217">
        <f t="shared" si="157"/>
        <v>4359.6674999998759</v>
      </c>
      <c r="BK320" s="2217">
        <f t="shared" si="148"/>
        <v>38.041499999946609</v>
      </c>
      <c r="BL320" s="2212">
        <v>15</v>
      </c>
      <c r="BM320" s="2208"/>
      <c r="BN320" s="263"/>
      <c r="BO320" s="2208"/>
      <c r="BP320" s="263"/>
      <c r="BQ320" s="263"/>
      <c r="BR320" s="263"/>
      <c r="BS320" s="263"/>
      <c r="BT320" s="2208"/>
      <c r="BU320" s="2217">
        <f t="shared" si="168"/>
        <v>33.226161019738711</v>
      </c>
      <c r="BV320" s="2217">
        <f t="shared" si="149"/>
        <v>4472.4707369382359</v>
      </c>
      <c r="BW320" s="2217">
        <f t="shared" si="158"/>
        <v>50.597910249703091</v>
      </c>
      <c r="BX320" s="2212">
        <v>15</v>
      </c>
      <c r="BY320" s="2219"/>
      <c r="BZ320" s="2213"/>
      <c r="CA320" s="2219"/>
      <c r="CB320" s="2213"/>
      <c r="CC320" s="2213"/>
      <c r="CD320" s="2213"/>
      <c r="CE320" s="2213"/>
      <c r="CF320" s="2208"/>
      <c r="CG320" s="2217">
        <f t="shared" si="169"/>
        <v>39.297910249703094</v>
      </c>
      <c r="CH320" s="2217">
        <f t="shared" si="150"/>
        <v>4472.4707369382359</v>
      </c>
      <c r="CI320" s="2217">
        <f t="shared" si="159"/>
        <v>50.597910249703091</v>
      </c>
      <c r="CJ320" s="2212">
        <v>15</v>
      </c>
      <c r="CK320" s="2219"/>
      <c r="CL320" s="2213"/>
      <c r="CM320" s="2219"/>
      <c r="CN320" s="2213"/>
      <c r="CO320" s="2213"/>
      <c r="CP320" s="2213"/>
      <c r="CQ320" s="2213"/>
      <c r="CR320" s="2208"/>
      <c r="CS320" s="2217">
        <f t="shared" si="170"/>
        <v>40.056024999927928</v>
      </c>
      <c r="CT320" s="2217">
        <f t="shared" si="160"/>
        <v>4359.6674999998759</v>
      </c>
      <c r="CU320" s="2217">
        <f t="shared" si="151"/>
        <v>38.041499999946609</v>
      </c>
      <c r="CV320" s="2212">
        <v>15</v>
      </c>
      <c r="CW320" s="2208"/>
      <c r="CX320" s="263"/>
      <c r="CY320" s="2208"/>
      <c r="CZ320" s="263"/>
      <c r="DA320" s="263"/>
      <c r="DB320" s="263"/>
      <c r="DC320" s="263"/>
      <c r="DD320" s="2208"/>
    </row>
    <row r="321" spans="1:108">
      <c r="A321" s="2217">
        <f t="shared" si="161"/>
        <v>47.30226775134237</v>
      </c>
      <c r="B321" s="2217">
        <f t="shared" si="152"/>
        <v>4421.8728266885328</v>
      </c>
      <c r="C321" s="2217">
        <f t="shared" si="153"/>
        <v>50.95849369681946</v>
      </c>
      <c r="D321" s="2212">
        <v>14</v>
      </c>
      <c r="E321" s="2219"/>
      <c r="F321" s="2213"/>
      <c r="G321" s="2219"/>
      <c r="H321" s="2213"/>
      <c r="I321" s="2213"/>
      <c r="J321" s="2213"/>
      <c r="K321" s="2213"/>
      <c r="L321" s="2213"/>
      <c r="M321" s="2217">
        <f t="shared" si="162"/>
        <v>50.86936231011974</v>
      </c>
      <c r="N321" s="2217">
        <f t="shared" si="144"/>
        <v>4421.8728266885328</v>
      </c>
      <c r="O321" s="2217">
        <f t="shared" si="154"/>
        <v>50.95849369681946</v>
      </c>
      <c r="P321" s="2212">
        <v>14</v>
      </c>
      <c r="Q321" s="2219"/>
      <c r="R321" s="2213"/>
      <c r="S321" s="2219"/>
      <c r="T321" s="2213"/>
      <c r="U321" s="2213"/>
      <c r="V321" s="2213"/>
      <c r="W321" s="2213"/>
      <c r="X321" s="2213"/>
      <c r="Y321" s="2217">
        <f t="shared" si="163"/>
        <v>55.455626742833502</v>
      </c>
      <c r="Z321" s="2217">
        <f t="shared" si="145"/>
        <v>4421.8728266885328</v>
      </c>
      <c r="AA321" s="2217">
        <f t="shared" si="155"/>
        <v>50.95849369681946</v>
      </c>
      <c r="AB321" s="2212">
        <v>14</v>
      </c>
      <c r="AC321" s="2219"/>
      <c r="AD321" s="2213"/>
      <c r="AE321" s="2219"/>
      <c r="AF321" s="2213"/>
      <c r="AG321" s="2213"/>
      <c r="AH321" s="2213"/>
      <c r="AI321" s="2213"/>
      <c r="AJ321" s="2213"/>
      <c r="AK321" s="2217">
        <f t="shared" si="164"/>
        <v>33.543474453201114</v>
      </c>
      <c r="AL321" s="2217">
        <f t="shared" si="146"/>
        <v>4421.8728266885328</v>
      </c>
      <c r="AM321" s="2217">
        <f t="shared" si="156"/>
        <v>50.95849369681946</v>
      </c>
      <c r="AN321" s="2212">
        <v>14</v>
      </c>
      <c r="AO321" s="2219"/>
      <c r="AP321" s="2213"/>
      <c r="AQ321" s="2219"/>
      <c r="AR321" s="2213"/>
      <c r="AS321" s="2213"/>
      <c r="AT321" s="2213"/>
      <c r="AU321" s="2213"/>
      <c r="AV321" s="2213"/>
      <c r="AW321" s="2217">
        <f t="shared" si="165"/>
        <v>29.525793999941325</v>
      </c>
      <c r="AX321" s="2217">
        <f t="shared" si="166"/>
        <v>4321.6259999999293</v>
      </c>
      <c r="AY321" s="2217">
        <f t="shared" si="147"/>
        <v>38.514899999944646</v>
      </c>
      <c r="AZ321" s="2212">
        <v>14</v>
      </c>
      <c r="BA321" s="2208"/>
      <c r="BB321" s="263"/>
      <c r="BC321" s="2208"/>
      <c r="BD321" s="263"/>
      <c r="BE321" s="263"/>
      <c r="BF321" s="263"/>
      <c r="BG321" s="263"/>
      <c r="BH321" s="2208"/>
      <c r="BI321" s="2217">
        <f t="shared" si="167"/>
        <v>41.465412999924169</v>
      </c>
      <c r="BJ321" s="2217">
        <f t="shared" si="157"/>
        <v>4321.6259999999293</v>
      </c>
      <c r="BK321" s="2217">
        <f t="shared" si="148"/>
        <v>38.514899999944646</v>
      </c>
      <c r="BL321" s="2212">
        <v>14</v>
      </c>
      <c r="BM321" s="2208"/>
      <c r="BN321" s="263"/>
      <c r="BO321" s="2208"/>
      <c r="BP321" s="263"/>
      <c r="BQ321" s="263"/>
      <c r="BR321" s="263"/>
      <c r="BS321" s="263"/>
      <c r="BT321" s="2208"/>
      <c r="BU321" s="2217">
        <f t="shared" si="168"/>
        <v>33.543474453201114</v>
      </c>
      <c r="BV321" s="2217">
        <f t="shared" si="149"/>
        <v>4421.8728266885328</v>
      </c>
      <c r="BW321" s="2217">
        <f t="shared" si="158"/>
        <v>50.95849369681946</v>
      </c>
      <c r="BX321" s="2212">
        <v>14</v>
      </c>
      <c r="BY321" s="2219"/>
      <c r="BZ321" s="2213"/>
      <c r="CA321" s="2219"/>
      <c r="CB321" s="2213"/>
      <c r="CC321" s="2213"/>
      <c r="CD321" s="2213"/>
      <c r="CE321" s="2213"/>
      <c r="CF321" s="2208"/>
      <c r="CG321" s="2217">
        <f t="shared" si="169"/>
        <v>39.658493696819463</v>
      </c>
      <c r="CH321" s="2217">
        <f t="shared" si="150"/>
        <v>4421.8728266885328</v>
      </c>
      <c r="CI321" s="2217">
        <f t="shared" si="159"/>
        <v>50.95849369681946</v>
      </c>
      <c r="CJ321" s="2212">
        <v>14</v>
      </c>
      <c r="CK321" s="2219"/>
      <c r="CL321" s="2213"/>
      <c r="CM321" s="2219"/>
      <c r="CN321" s="2213"/>
      <c r="CO321" s="2213"/>
      <c r="CP321" s="2213"/>
      <c r="CQ321" s="2213"/>
      <c r="CR321" s="2208"/>
      <c r="CS321" s="2217">
        <f t="shared" si="170"/>
        <v>40.695114999925281</v>
      </c>
      <c r="CT321" s="2217">
        <f t="shared" si="160"/>
        <v>4321.6259999999293</v>
      </c>
      <c r="CU321" s="2217">
        <f t="shared" si="151"/>
        <v>38.514899999944646</v>
      </c>
      <c r="CV321" s="2212">
        <v>14</v>
      </c>
      <c r="CW321" s="2208"/>
      <c r="CX321" s="263"/>
      <c r="CY321" s="2208"/>
      <c r="CZ321" s="263"/>
      <c r="DA321" s="263"/>
      <c r="DB321" s="263"/>
      <c r="DC321" s="263"/>
      <c r="DD321" s="2208"/>
    </row>
    <row r="322" spans="1:108">
      <c r="A322" s="2217">
        <f t="shared" si="161"/>
        <v>47.718251619619821</v>
      </c>
      <c r="B322" s="2217">
        <f t="shared" si="152"/>
        <v>4370.9143329917133</v>
      </c>
      <c r="C322" s="2217">
        <f t="shared" si="153"/>
        <v>51.320218799669419</v>
      </c>
      <c r="D322" s="2212">
        <v>13</v>
      </c>
      <c r="E322" s="2219"/>
      <c r="F322" s="2213"/>
      <c r="G322" s="2219"/>
      <c r="H322" s="2213"/>
      <c r="I322" s="2213"/>
      <c r="J322" s="2213"/>
      <c r="K322" s="2213"/>
      <c r="L322" s="2213"/>
      <c r="M322" s="2217">
        <f t="shared" si="162"/>
        <v>51.310666935596686</v>
      </c>
      <c r="N322" s="2217">
        <f t="shared" si="144"/>
        <v>4370.9143329917133</v>
      </c>
      <c r="O322" s="2217">
        <f t="shared" si="154"/>
        <v>51.320218799669419</v>
      </c>
      <c r="P322" s="2212">
        <v>13</v>
      </c>
      <c r="Q322" s="2219"/>
      <c r="R322" s="2213"/>
      <c r="S322" s="2219"/>
      <c r="T322" s="2213"/>
      <c r="U322" s="2213"/>
      <c r="V322" s="2213"/>
      <c r="W322" s="2213"/>
      <c r="X322" s="2213"/>
      <c r="Y322" s="2217">
        <f t="shared" si="163"/>
        <v>55.929486627566945</v>
      </c>
      <c r="Z322" s="2217">
        <f t="shared" si="145"/>
        <v>4370.9143329917133</v>
      </c>
      <c r="AA322" s="2217">
        <f t="shared" si="155"/>
        <v>51.320218799669419</v>
      </c>
      <c r="AB322" s="2212">
        <v>13</v>
      </c>
      <c r="AC322" s="2219"/>
      <c r="AD322" s="2213"/>
      <c r="AE322" s="2219"/>
      <c r="AF322" s="2213"/>
      <c r="AG322" s="2213"/>
      <c r="AH322" s="2213"/>
      <c r="AI322" s="2213"/>
      <c r="AJ322" s="2213"/>
      <c r="AK322" s="2217">
        <f t="shared" si="164"/>
        <v>33.861792543709086</v>
      </c>
      <c r="AL322" s="2217">
        <f t="shared" si="146"/>
        <v>4370.9143329917133</v>
      </c>
      <c r="AM322" s="2217">
        <f t="shared" si="156"/>
        <v>51.320218799669419</v>
      </c>
      <c r="AN322" s="2212">
        <v>13</v>
      </c>
      <c r="AO322" s="2219"/>
      <c r="AP322" s="2213"/>
      <c r="AQ322" s="2219"/>
      <c r="AR322" s="2213"/>
      <c r="AS322" s="2213"/>
      <c r="AT322" s="2213"/>
      <c r="AU322" s="2213"/>
      <c r="AV322" s="2213"/>
      <c r="AW322" s="2217">
        <f t="shared" si="165"/>
        <v>30.031413999940217</v>
      </c>
      <c r="AX322" s="2217">
        <f t="shared" si="166"/>
        <v>4283.1110999999846</v>
      </c>
      <c r="AY322" s="2217">
        <f t="shared" si="147"/>
        <v>38.991899999943598</v>
      </c>
      <c r="AZ322" s="2212">
        <v>13</v>
      </c>
      <c r="BA322" s="2208"/>
      <c r="BB322" s="263"/>
      <c r="BC322" s="2208"/>
      <c r="BD322" s="263"/>
      <c r="BE322" s="263"/>
      <c r="BF322" s="263"/>
      <c r="BG322" s="263"/>
      <c r="BH322" s="2208"/>
      <c r="BI322" s="2217">
        <f t="shared" si="167"/>
        <v>42.118902999922739</v>
      </c>
      <c r="BJ322" s="2217">
        <f t="shared" si="157"/>
        <v>4283.1110999999846</v>
      </c>
      <c r="BK322" s="2217">
        <f t="shared" si="148"/>
        <v>38.991899999943598</v>
      </c>
      <c r="BL322" s="2212">
        <v>13</v>
      </c>
      <c r="BM322" s="2208"/>
      <c r="BN322" s="263"/>
      <c r="BO322" s="2208"/>
      <c r="BP322" s="263"/>
      <c r="BQ322" s="263"/>
      <c r="BR322" s="263"/>
      <c r="BS322" s="263"/>
      <c r="BT322" s="2208"/>
      <c r="BU322" s="2217">
        <f t="shared" si="168"/>
        <v>33.861792543709086</v>
      </c>
      <c r="BV322" s="2217">
        <f t="shared" si="149"/>
        <v>4370.9143329917133</v>
      </c>
      <c r="BW322" s="2217">
        <f t="shared" si="158"/>
        <v>51.320218799669419</v>
      </c>
      <c r="BX322" s="2212">
        <v>13</v>
      </c>
      <c r="BY322" s="2219"/>
      <c r="BZ322" s="2213"/>
      <c r="CA322" s="2219"/>
      <c r="CB322" s="2213"/>
      <c r="CC322" s="2213"/>
      <c r="CD322" s="2213"/>
      <c r="CE322" s="2213"/>
      <c r="CF322" s="2208"/>
      <c r="CG322" s="2217">
        <f t="shared" si="169"/>
        <v>40.020218799669422</v>
      </c>
      <c r="CH322" s="2217">
        <f t="shared" si="150"/>
        <v>4370.9143329917133</v>
      </c>
      <c r="CI322" s="2217">
        <f t="shared" si="159"/>
        <v>51.320218799669419</v>
      </c>
      <c r="CJ322" s="2212">
        <v>13</v>
      </c>
      <c r="CK322" s="2219"/>
      <c r="CL322" s="2213"/>
      <c r="CM322" s="2219"/>
      <c r="CN322" s="2213"/>
      <c r="CO322" s="2213"/>
      <c r="CP322" s="2213"/>
      <c r="CQ322" s="2213"/>
      <c r="CR322" s="2208"/>
      <c r="CS322" s="2217">
        <f t="shared" si="170"/>
        <v>41.339064999923863</v>
      </c>
      <c r="CT322" s="2217">
        <f t="shared" si="160"/>
        <v>4283.1110999999846</v>
      </c>
      <c r="CU322" s="2217">
        <f t="shared" si="151"/>
        <v>38.991899999943598</v>
      </c>
      <c r="CV322" s="2212">
        <v>13</v>
      </c>
      <c r="CW322" s="2208"/>
      <c r="CX322" s="263"/>
      <c r="CY322" s="2208"/>
      <c r="CZ322" s="263"/>
      <c r="DA322" s="263"/>
      <c r="DB322" s="263"/>
      <c r="DC322" s="263"/>
      <c r="DD322" s="2208"/>
    </row>
    <row r="323" spans="1:108">
      <c r="A323" s="2217">
        <f t="shared" si="161"/>
        <v>48.13554839199405</v>
      </c>
      <c r="B323" s="2217">
        <f t="shared" si="152"/>
        <v>4319.5941141920439</v>
      </c>
      <c r="C323" s="2217">
        <f t="shared" si="153"/>
        <v>51.683085558255698</v>
      </c>
      <c r="D323" s="2212">
        <v>12</v>
      </c>
      <c r="E323" s="2219"/>
      <c r="F323" s="2213"/>
      <c r="G323" s="2219"/>
      <c r="H323" s="2213"/>
      <c r="I323" s="2213"/>
      <c r="J323" s="2213"/>
      <c r="K323" s="2213"/>
      <c r="L323" s="2213"/>
      <c r="M323" s="2217">
        <f t="shared" si="162"/>
        <v>51.753364381071947</v>
      </c>
      <c r="N323" s="2217">
        <f t="shared" si="144"/>
        <v>4319.5941141920439</v>
      </c>
      <c r="O323" s="2217">
        <f t="shared" si="154"/>
        <v>51.683085558255698</v>
      </c>
      <c r="P323" s="2212">
        <v>12</v>
      </c>
      <c r="Q323" s="2219"/>
      <c r="R323" s="2213"/>
      <c r="S323" s="2219"/>
      <c r="T323" s="2213"/>
      <c r="U323" s="2213"/>
      <c r="V323" s="2213"/>
      <c r="W323" s="2213"/>
      <c r="X323" s="2213"/>
      <c r="Y323" s="2217">
        <f t="shared" si="163"/>
        <v>56.404842081314968</v>
      </c>
      <c r="Z323" s="2217">
        <f t="shared" si="145"/>
        <v>4319.5941141920439</v>
      </c>
      <c r="AA323" s="2217">
        <f t="shared" si="155"/>
        <v>51.683085558255698</v>
      </c>
      <c r="AB323" s="2212">
        <v>12</v>
      </c>
      <c r="AC323" s="2219"/>
      <c r="AD323" s="2213"/>
      <c r="AE323" s="2219"/>
      <c r="AF323" s="2213"/>
      <c r="AG323" s="2213"/>
      <c r="AH323" s="2213"/>
      <c r="AI323" s="2213"/>
      <c r="AJ323" s="2213"/>
      <c r="AK323" s="2217">
        <f t="shared" si="164"/>
        <v>34.181115291265002</v>
      </c>
      <c r="AL323" s="2217">
        <f t="shared" si="146"/>
        <v>4319.5941141920439</v>
      </c>
      <c r="AM323" s="2217">
        <f t="shared" si="156"/>
        <v>51.683085558255698</v>
      </c>
      <c r="AN323" s="2212">
        <v>12</v>
      </c>
      <c r="AO323" s="2219"/>
      <c r="AP323" s="2213"/>
      <c r="AQ323" s="2219"/>
      <c r="AR323" s="2213"/>
      <c r="AS323" s="2213"/>
      <c r="AT323" s="2213"/>
      <c r="AU323" s="2213"/>
      <c r="AV323" s="2213"/>
      <c r="AW323" s="2217">
        <f t="shared" si="165"/>
        <v>30.54084999993815</v>
      </c>
      <c r="AX323" s="2217">
        <f t="shared" si="166"/>
        <v>4244.119200000041</v>
      </c>
      <c r="AY323" s="2217">
        <f t="shared" si="147"/>
        <v>39.472499999941647</v>
      </c>
      <c r="AZ323" s="2212">
        <v>12</v>
      </c>
      <c r="BA323" s="2208"/>
      <c r="BB323" s="263"/>
      <c r="BC323" s="2208"/>
      <c r="BD323" s="263"/>
      <c r="BE323" s="263"/>
      <c r="BF323" s="263"/>
      <c r="BG323" s="263"/>
      <c r="BH323" s="2208"/>
      <c r="BI323" s="2217">
        <f t="shared" si="167"/>
        <v>42.777324999920054</v>
      </c>
      <c r="BJ323" s="2217">
        <f t="shared" si="157"/>
        <v>4244.119200000041</v>
      </c>
      <c r="BK323" s="2217">
        <f t="shared" si="148"/>
        <v>39.472499999941647</v>
      </c>
      <c r="BL323" s="2212">
        <v>12</v>
      </c>
      <c r="BM323" s="2208"/>
      <c r="BN323" s="263"/>
      <c r="BO323" s="2208"/>
      <c r="BP323" s="263"/>
      <c r="BQ323" s="263"/>
      <c r="BR323" s="263"/>
      <c r="BS323" s="263"/>
      <c r="BT323" s="2208"/>
      <c r="BU323" s="2217">
        <f t="shared" si="168"/>
        <v>34.181115291265002</v>
      </c>
      <c r="BV323" s="2217">
        <f t="shared" si="149"/>
        <v>4319.5941141920439</v>
      </c>
      <c r="BW323" s="2217">
        <f t="shared" si="158"/>
        <v>51.683085558255698</v>
      </c>
      <c r="BX323" s="2212">
        <v>12</v>
      </c>
      <c r="BY323" s="2219"/>
      <c r="BZ323" s="2213"/>
      <c r="CA323" s="2219"/>
      <c r="CB323" s="2213"/>
      <c r="CC323" s="2213"/>
      <c r="CD323" s="2213"/>
      <c r="CE323" s="2213"/>
      <c r="CF323" s="2208"/>
      <c r="CG323" s="2217">
        <f t="shared" si="169"/>
        <v>40.383085558255701</v>
      </c>
      <c r="CH323" s="2217">
        <f t="shared" si="150"/>
        <v>4319.5941141920439</v>
      </c>
      <c r="CI323" s="2217">
        <f t="shared" si="159"/>
        <v>51.683085558255698</v>
      </c>
      <c r="CJ323" s="2212">
        <v>12</v>
      </c>
      <c r="CK323" s="2219"/>
      <c r="CL323" s="2213"/>
      <c r="CM323" s="2219"/>
      <c r="CN323" s="2213"/>
      <c r="CO323" s="2213"/>
      <c r="CP323" s="2213"/>
      <c r="CQ323" s="2213"/>
      <c r="CR323" s="2208"/>
      <c r="CS323" s="2217">
        <f t="shared" si="170"/>
        <v>41.987874999921232</v>
      </c>
      <c r="CT323" s="2217">
        <f t="shared" si="160"/>
        <v>4244.119200000041</v>
      </c>
      <c r="CU323" s="2217">
        <f t="shared" si="151"/>
        <v>39.472499999941647</v>
      </c>
      <c r="CV323" s="2212">
        <v>12</v>
      </c>
      <c r="CW323" s="2208"/>
      <c r="CX323" s="263"/>
      <c r="CY323" s="2208"/>
      <c r="CZ323" s="263"/>
      <c r="DA323" s="263"/>
      <c r="DB323" s="263"/>
      <c r="DC323" s="263"/>
      <c r="DD323" s="2208"/>
    </row>
    <row r="324" spans="1:108">
      <c r="A324" s="2217">
        <f t="shared" si="161"/>
        <v>48.55415806846085</v>
      </c>
      <c r="B324" s="2217">
        <f t="shared" si="152"/>
        <v>4267.9110286337882</v>
      </c>
      <c r="C324" s="2217">
        <f t="shared" si="153"/>
        <v>52.047093972574658</v>
      </c>
      <c r="D324" s="2212">
        <v>11</v>
      </c>
      <c r="E324" s="2219"/>
      <c r="F324" s="2213"/>
      <c r="G324" s="2219"/>
      <c r="H324" s="2213"/>
      <c r="I324" s="2213"/>
      <c r="J324" s="2213"/>
      <c r="K324" s="2213"/>
      <c r="L324" s="2213"/>
      <c r="M324" s="2217">
        <f t="shared" si="162"/>
        <v>52.197454646541075</v>
      </c>
      <c r="N324" s="2217">
        <f t="shared" si="144"/>
        <v>4267.9110286337882</v>
      </c>
      <c r="O324" s="2217">
        <f t="shared" si="154"/>
        <v>52.047093972574658</v>
      </c>
      <c r="P324" s="2212">
        <v>11</v>
      </c>
      <c r="Q324" s="2219"/>
      <c r="R324" s="2213"/>
      <c r="S324" s="2219"/>
      <c r="T324" s="2213"/>
      <c r="U324" s="2213"/>
      <c r="V324" s="2213"/>
      <c r="W324" s="2213"/>
      <c r="X324" s="2213"/>
      <c r="Y324" s="2217">
        <f t="shared" si="163"/>
        <v>56.881693104072809</v>
      </c>
      <c r="Z324" s="2217">
        <f t="shared" si="145"/>
        <v>4267.9110286337882</v>
      </c>
      <c r="AA324" s="2217">
        <f t="shared" si="155"/>
        <v>52.047093972574658</v>
      </c>
      <c r="AB324" s="2212">
        <v>11</v>
      </c>
      <c r="AC324" s="2219"/>
      <c r="AD324" s="2213"/>
      <c r="AE324" s="2219"/>
      <c r="AF324" s="2213"/>
      <c r="AG324" s="2213"/>
      <c r="AH324" s="2213"/>
      <c r="AI324" s="2213"/>
      <c r="AJ324" s="2213"/>
      <c r="AK324" s="2217">
        <f t="shared" si="164"/>
        <v>34.501442695865691</v>
      </c>
      <c r="AL324" s="2217">
        <f t="shared" si="146"/>
        <v>4267.9110286337882</v>
      </c>
      <c r="AM324" s="2217">
        <f t="shared" si="156"/>
        <v>52.047093972574658</v>
      </c>
      <c r="AN324" s="2212">
        <v>11</v>
      </c>
      <c r="AO324" s="2219"/>
      <c r="AP324" s="2213"/>
      <c r="AQ324" s="2219"/>
      <c r="AR324" s="2213"/>
      <c r="AS324" s="2213"/>
      <c r="AT324" s="2213"/>
      <c r="AU324" s="2213"/>
      <c r="AV324" s="2213"/>
      <c r="AW324" s="2217">
        <f t="shared" si="165"/>
        <v>31.054101999938016</v>
      </c>
      <c r="AX324" s="2217">
        <f t="shared" si="166"/>
        <v>4204.6467000000994</v>
      </c>
      <c r="AY324" s="2217">
        <f t="shared" si="147"/>
        <v>39.95669999994152</v>
      </c>
      <c r="AZ324" s="2212">
        <v>11</v>
      </c>
      <c r="BA324" s="2208"/>
      <c r="BB324" s="263"/>
      <c r="BC324" s="2208"/>
      <c r="BD324" s="263"/>
      <c r="BE324" s="263"/>
      <c r="BF324" s="263"/>
      <c r="BG324" s="263"/>
      <c r="BH324" s="2208"/>
      <c r="BI324" s="2217">
        <f t="shared" si="167"/>
        <v>43.440678999919882</v>
      </c>
      <c r="BJ324" s="2217">
        <f t="shared" si="157"/>
        <v>4204.6467000000994</v>
      </c>
      <c r="BK324" s="2217">
        <f t="shared" si="148"/>
        <v>39.95669999994152</v>
      </c>
      <c r="BL324" s="2212">
        <v>11</v>
      </c>
      <c r="BM324" s="2208"/>
      <c r="BN324" s="263"/>
      <c r="BO324" s="2208"/>
      <c r="BP324" s="263"/>
      <c r="BQ324" s="263"/>
      <c r="BR324" s="263"/>
      <c r="BS324" s="263"/>
      <c r="BT324" s="2208"/>
      <c r="BU324" s="2217">
        <f t="shared" si="168"/>
        <v>34.501442695865691</v>
      </c>
      <c r="BV324" s="2217">
        <f t="shared" si="149"/>
        <v>4267.9110286337882</v>
      </c>
      <c r="BW324" s="2217">
        <f t="shared" si="158"/>
        <v>52.047093972574658</v>
      </c>
      <c r="BX324" s="2212">
        <v>11</v>
      </c>
      <c r="BY324" s="2219"/>
      <c r="BZ324" s="2213"/>
      <c r="CA324" s="2219"/>
      <c r="CB324" s="2213"/>
      <c r="CC324" s="2213"/>
      <c r="CD324" s="2213"/>
      <c r="CE324" s="2213"/>
      <c r="CF324" s="2208"/>
      <c r="CG324" s="2217">
        <f t="shared" si="169"/>
        <v>40.74709397257466</v>
      </c>
      <c r="CH324" s="2217">
        <f t="shared" si="150"/>
        <v>4267.9110286337882</v>
      </c>
      <c r="CI324" s="2217">
        <f t="shared" si="159"/>
        <v>52.047093972574658</v>
      </c>
      <c r="CJ324" s="2212">
        <v>11</v>
      </c>
      <c r="CK324" s="2219"/>
      <c r="CL324" s="2213"/>
      <c r="CM324" s="2219"/>
      <c r="CN324" s="2213"/>
      <c r="CO324" s="2213"/>
      <c r="CP324" s="2213"/>
      <c r="CQ324" s="2213"/>
      <c r="CR324" s="2208"/>
      <c r="CS324" s="2217">
        <f t="shared" si="170"/>
        <v>42.641544999921052</v>
      </c>
      <c r="CT324" s="2217">
        <f t="shared" si="160"/>
        <v>4204.6467000000994</v>
      </c>
      <c r="CU324" s="2217">
        <f t="shared" si="151"/>
        <v>39.95669999994152</v>
      </c>
      <c r="CV324" s="2212">
        <v>11</v>
      </c>
      <c r="CW324" s="2208"/>
      <c r="CX324" s="263"/>
      <c r="CY324" s="2208"/>
      <c r="CZ324" s="263"/>
      <c r="DA324" s="263"/>
      <c r="DB324" s="263"/>
      <c r="DC324" s="263"/>
      <c r="DD324" s="2208"/>
    </row>
    <row r="325" spans="1:108">
      <c r="A325" s="2217">
        <f t="shared" si="161"/>
        <v>48.974080649023378</v>
      </c>
      <c r="B325" s="2217">
        <f t="shared" si="152"/>
        <v>4215.8639346612135</v>
      </c>
      <c r="C325" s="2217">
        <f t="shared" si="153"/>
        <v>52.412244042629027</v>
      </c>
      <c r="D325" s="2212">
        <v>10</v>
      </c>
      <c r="E325" s="2219"/>
      <c r="F325" s="2213"/>
      <c r="G325" s="2219"/>
      <c r="H325" s="2213"/>
      <c r="I325" s="2213"/>
      <c r="J325" s="2213"/>
      <c r="K325" s="2213"/>
      <c r="L325" s="2213"/>
      <c r="M325" s="2217">
        <f t="shared" si="162"/>
        <v>52.642937732007411</v>
      </c>
      <c r="N325" s="2217">
        <f t="shared" si="144"/>
        <v>4215.8639346612135</v>
      </c>
      <c r="O325" s="2217">
        <f t="shared" si="154"/>
        <v>52.412244042629027</v>
      </c>
      <c r="P325" s="2212">
        <v>10</v>
      </c>
      <c r="Q325" s="2219"/>
      <c r="R325" s="2213"/>
      <c r="S325" s="2219"/>
      <c r="T325" s="2213"/>
      <c r="U325" s="2213"/>
      <c r="V325" s="2213"/>
      <c r="W325" s="2213"/>
      <c r="X325" s="2213"/>
      <c r="Y325" s="2217">
        <f t="shared" si="163"/>
        <v>57.360039695844037</v>
      </c>
      <c r="Z325" s="2217">
        <f t="shared" si="145"/>
        <v>4215.8639346612135</v>
      </c>
      <c r="AA325" s="2217">
        <f t="shared" si="155"/>
        <v>52.412244042629027</v>
      </c>
      <c r="AB325" s="2212">
        <v>10</v>
      </c>
      <c r="AC325" s="2219"/>
      <c r="AD325" s="2213"/>
      <c r="AE325" s="2219"/>
      <c r="AF325" s="2213"/>
      <c r="AG325" s="2213"/>
      <c r="AH325" s="2213"/>
      <c r="AI325" s="2213"/>
      <c r="AJ325" s="2213"/>
      <c r="AK325" s="2217">
        <f t="shared" si="164"/>
        <v>34.822774757513542</v>
      </c>
      <c r="AL325" s="2217">
        <f t="shared" si="146"/>
        <v>4215.8639346612135</v>
      </c>
      <c r="AM325" s="2217">
        <f t="shared" si="156"/>
        <v>52.412244042629027</v>
      </c>
      <c r="AN325" s="2212">
        <v>10</v>
      </c>
      <c r="AO325" s="2219"/>
      <c r="AP325" s="2213"/>
      <c r="AQ325" s="2219"/>
      <c r="AR325" s="2213"/>
      <c r="AS325" s="2213"/>
      <c r="AT325" s="2213"/>
      <c r="AU325" s="2213"/>
      <c r="AV325" s="2213"/>
      <c r="AW325" s="2217">
        <f t="shared" si="165"/>
        <v>31.571169999935957</v>
      </c>
      <c r="AX325" s="2217">
        <f t="shared" si="166"/>
        <v>4164.6900000001579</v>
      </c>
      <c r="AY325" s="2217">
        <f t="shared" si="147"/>
        <v>40.44449999993958</v>
      </c>
      <c r="AZ325" s="2212">
        <v>10</v>
      </c>
      <c r="BA325" s="2208"/>
      <c r="BB325" s="263"/>
      <c r="BC325" s="2208"/>
      <c r="BD325" s="263"/>
      <c r="BE325" s="263"/>
      <c r="BF325" s="263"/>
      <c r="BG325" s="263"/>
      <c r="BH325" s="2208"/>
      <c r="BI325" s="2217">
        <f t="shared" si="167"/>
        <v>44.108964999917234</v>
      </c>
      <c r="BJ325" s="2217">
        <f t="shared" si="157"/>
        <v>4164.6900000001579</v>
      </c>
      <c r="BK325" s="2217">
        <f t="shared" si="148"/>
        <v>40.44449999993958</v>
      </c>
      <c r="BL325" s="2212">
        <v>10</v>
      </c>
      <c r="BM325" s="2208"/>
      <c r="BN325" s="263"/>
      <c r="BO325" s="2208"/>
      <c r="BP325" s="263"/>
      <c r="BQ325" s="263"/>
      <c r="BR325" s="263"/>
      <c r="BS325" s="263"/>
      <c r="BT325" s="2208"/>
      <c r="BU325" s="2217">
        <f t="shared" si="168"/>
        <v>34.822774757513542</v>
      </c>
      <c r="BV325" s="2217">
        <f t="shared" si="149"/>
        <v>4215.8639346612135</v>
      </c>
      <c r="BW325" s="2217">
        <f t="shared" si="158"/>
        <v>52.412244042629027</v>
      </c>
      <c r="BX325" s="2212">
        <v>10</v>
      </c>
      <c r="BY325" s="2219"/>
      <c r="BZ325" s="2213"/>
      <c r="CA325" s="2219"/>
      <c r="CB325" s="2213"/>
      <c r="CC325" s="2213"/>
      <c r="CD325" s="2213"/>
      <c r="CE325" s="2213"/>
      <c r="CF325" s="2208"/>
      <c r="CG325" s="2217">
        <f t="shared" si="169"/>
        <v>41.11224404262903</v>
      </c>
      <c r="CH325" s="2217">
        <f t="shared" si="150"/>
        <v>4215.8639346612135</v>
      </c>
      <c r="CI325" s="2217">
        <f t="shared" si="159"/>
        <v>52.412244042629027</v>
      </c>
      <c r="CJ325" s="2212">
        <v>10</v>
      </c>
      <c r="CK325" s="2219"/>
      <c r="CL325" s="2213"/>
      <c r="CM325" s="2219"/>
      <c r="CN325" s="2213"/>
      <c r="CO325" s="2213"/>
      <c r="CP325" s="2213"/>
      <c r="CQ325" s="2213"/>
      <c r="CR325" s="2208"/>
      <c r="CS325" s="2217">
        <f t="shared" si="170"/>
        <v>43.300074999918436</v>
      </c>
      <c r="CT325" s="2217">
        <f t="shared" si="160"/>
        <v>4164.6900000001579</v>
      </c>
      <c r="CU325" s="2217">
        <f t="shared" si="151"/>
        <v>40.44449999993958</v>
      </c>
      <c r="CV325" s="2212">
        <v>10</v>
      </c>
      <c r="CW325" s="2208"/>
      <c r="CX325" s="263"/>
      <c r="CY325" s="2208"/>
      <c r="CZ325" s="263"/>
      <c r="DA325" s="263"/>
      <c r="DB325" s="263"/>
      <c r="DC325" s="263"/>
      <c r="DD325" s="2208"/>
    </row>
    <row r="326" spans="1:108">
      <c r="A326" s="2217">
        <f t="shared" si="161"/>
        <v>49.395316133680581</v>
      </c>
      <c r="B326" s="2217">
        <f t="shared" si="152"/>
        <v>4163.4516906185845</v>
      </c>
      <c r="C326" s="2217">
        <f t="shared" si="153"/>
        <v>52.778535768417896</v>
      </c>
      <c r="D326" s="2212">
        <v>9</v>
      </c>
      <c r="E326" s="2219"/>
      <c r="F326" s="2213"/>
      <c r="G326" s="2219"/>
      <c r="H326" s="2213"/>
      <c r="I326" s="2213"/>
      <c r="J326" s="2213"/>
      <c r="K326" s="2213"/>
      <c r="L326" s="2213"/>
      <c r="M326" s="2217">
        <f t="shared" si="162"/>
        <v>53.089813637469831</v>
      </c>
      <c r="N326" s="2217">
        <f t="shared" si="144"/>
        <v>4163.4516906185845</v>
      </c>
      <c r="O326" s="2217">
        <f t="shared" si="154"/>
        <v>52.778535768417896</v>
      </c>
      <c r="P326" s="2212">
        <v>9</v>
      </c>
      <c r="Q326" s="2219"/>
      <c r="R326" s="2213"/>
      <c r="S326" s="2219"/>
      <c r="T326" s="2213"/>
      <c r="U326" s="2213"/>
      <c r="V326" s="2213"/>
      <c r="W326" s="2213"/>
      <c r="X326" s="2213"/>
      <c r="Y326" s="2217">
        <f t="shared" si="163"/>
        <v>57.839881856627443</v>
      </c>
      <c r="Z326" s="2217">
        <f t="shared" si="145"/>
        <v>4163.4516906185845</v>
      </c>
      <c r="AA326" s="2217">
        <f t="shared" si="155"/>
        <v>52.778535768417896</v>
      </c>
      <c r="AB326" s="2212">
        <v>9</v>
      </c>
      <c r="AC326" s="2219"/>
      <c r="AD326" s="2213"/>
      <c r="AE326" s="2219"/>
      <c r="AF326" s="2213"/>
      <c r="AG326" s="2213"/>
      <c r="AH326" s="2213"/>
      <c r="AI326" s="2213"/>
      <c r="AJ326" s="2213"/>
      <c r="AK326" s="2217">
        <f t="shared" si="164"/>
        <v>35.145111476207745</v>
      </c>
      <c r="AL326" s="2217">
        <f t="shared" si="146"/>
        <v>4163.4516906185845</v>
      </c>
      <c r="AM326" s="2217">
        <f t="shared" si="156"/>
        <v>52.778535768417896</v>
      </c>
      <c r="AN326" s="2212">
        <v>9</v>
      </c>
      <c r="AO326" s="2219"/>
      <c r="AP326" s="2213"/>
      <c r="AQ326" s="2219"/>
      <c r="AR326" s="2213"/>
      <c r="AS326" s="2213"/>
      <c r="AT326" s="2213"/>
      <c r="AU326" s="2213"/>
      <c r="AV326" s="2213"/>
      <c r="AW326" s="2217">
        <f t="shared" si="165"/>
        <v>32.092053999934393</v>
      </c>
      <c r="AX326" s="2217">
        <f t="shared" si="166"/>
        <v>4124.2455000002183</v>
      </c>
      <c r="AY326" s="2217">
        <f t="shared" si="147"/>
        <v>40.935899999938101</v>
      </c>
      <c r="AZ326" s="2212">
        <v>9</v>
      </c>
      <c r="BA326" s="2208"/>
      <c r="BB326" s="263"/>
      <c r="BC326" s="2208"/>
      <c r="BD326" s="263"/>
      <c r="BE326" s="263"/>
      <c r="BF326" s="263"/>
      <c r="BG326" s="263"/>
      <c r="BH326" s="2208"/>
      <c r="BI326" s="2217">
        <f t="shared" si="167"/>
        <v>44.782182999915207</v>
      </c>
      <c r="BJ326" s="2217">
        <f t="shared" si="157"/>
        <v>4124.2455000002183</v>
      </c>
      <c r="BK326" s="2217">
        <f t="shared" si="148"/>
        <v>40.935899999938101</v>
      </c>
      <c r="BL326" s="2212">
        <v>9</v>
      </c>
      <c r="BM326" s="2208"/>
      <c r="BN326" s="263"/>
      <c r="BO326" s="2208"/>
      <c r="BP326" s="263"/>
      <c r="BQ326" s="263"/>
      <c r="BR326" s="263"/>
      <c r="BS326" s="263"/>
      <c r="BT326" s="2208"/>
      <c r="BU326" s="2217">
        <f t="shared" si="168"/>
        <v>35.145111476207745</v>
      </c>
      <c r="BV326" s="2217">
        <f t="shared" si="149"/>
        <v>4163.4516906185845</v>
      </c>
      <c r="BW326" s="2217">
        <f t="shared" si="158"/>
        <v>52.778535768417896</v>
      </c>
      <c r="BX326" s="2212">
        <v>9</v>
      </c>
      <c r="BY326" s="2219"/>
      <c r="BZ326" s="2213"/>
      <c r="CA326" s="2219"/>
      <c r="CB326" s="2213"/>
      <c r="CC326" s="2213"/>
      <c r="CD326" s="2213"/>
      <c r="CE326" s="2213"/>
      <c r="CF326" s="2208"/>
      <c r="CG326" s="2217">
        <f t="shared" si="169"/>
        <v>41.478535768417899</v>
      </c>
      <c r="CH326" s="2217">
        <f t="shared" si="150"/>
        <v>4163.4516906185845</v>
      </c>
      <c r="CI326" s="2217">
        <f t="shared" si="159"/>
        <v>52.778535768417896</v>
      </c>
      <c r="CJ326" s="2212">
        <v>9</v>
      </c>
      <c r="CK326" s="2219"/>
      <c r="CL326" s="2213"/>
      <c r="CM326" s="2219"/>
      <c r="CN326" s="2213"/>
      <c r="CO326" s="2213"/>
      <c r="CP326" s="2213"/>
      <c r="CQ326" s="2213"/>
      <c r="CR326" s="2208"/>
      <c r="CS326" s="2217">
        <f t="shared" si="170"/>
        <v>43.96346499991644</v>
      </c>
      <c r="CT326" s="2217">
        <f t="shared" si="160"/>
        <v>4124.2455000002183</v>
      </c>
      <c r="CU326" s="2217">
        <f t="shared" si="151"/>
        <v>40.935899999938101</v>
      </c>
      <c r="CV326" s="2212">
        <v>9</v>
      </c>
      <c r="CW326" s="2208"/>
      <c r="CX326" s="263"/>
      <c r="CY326" s="2208"/>
      <c r="CZ326" s="263"/>
      <c r="DA326" s="263"/>
      <c r="DB326" s="263"/>
      <c r="DC326" s="263"/>
      <c r="DD326" s="2208"/>
    </row>
    <row r="327" spans="1:108">
      <c r="A327" s="2217">
        <f t="shared" si="161"/>
        <v>49.817864522433496</v>
      </c>
      <c r="B327" s="2217">
        <f t="shared" si="152"/>
        <v>4110.6731548501666</v>
      </c>
      <c r="C327" s="2217">
        <f t="shared" si="153"/>
        <v>53.145969149942175</v>
      </c>
      <c r="D327" s="2212">
        <v>8</v>
      </c>
      <c r="E327" s="2219"/>
      <c r="F327" s="2213"/>
      <c r="G327" s="2219"/>
      <c r="H327" s="2213"/>
      <c r="I327" s="2213"/>
      <c r="J327" s="2213"/>
      <c r="K327" s="2213"/>
      <c r="L327" s="2213"/>
      <c r="M327" s="2217">
        <f t="shared" si="162"/>
        <v>53.538082362929458</v>
      </c>
      <c r="N327" s="2217">
        <f t="shared" si="144"/>
        <v>4110.6731548501666</v>
      </c>
      <c r="O327" s="2217">
        <f t="shared" si="154"/>
        <v>53.145969149942175</v>
      </c>
      <c r="P327" s="2212">
        <v>8</v>
      </c>
      <c r="Q327" s="2219"/>
      <c r="R327" s="2213"/>
      <c r="S327" s="2219"/>
      <c r="T327" s="2213"/>
      <c r="U327" s="2213"/>
      <c r="V327" s="2213"/>
      <c r="W327" s="2213"/>
      <c r="X327" s="2213"/>
      <c r="Y327" s="2217">
        <f t="shared" si="163"/>
        <v>58.321219586424249</v>
      </c>
      <c r="Z327" s="2217">
        <f t="shared" si="145"/>
        <v>4110.6731548501666</v>
      </c>
      <c r="AA327" s="2217">
        <f t="shared" si="155"/>
        <v>53.145969149942175</v>
      </c>
      <c r="AB327" s="2212">
        <v>8</v>
      </c>
      <c r="AC327" s="2219"/>
      <c r="AD327" s="2213"/>
      <c r="AE327" s="2219"/>
      <c r="AF327" s="2213"/>
      <c r="AG327" s="2213"/>
      <c r="AH327" s="2213"/>
      <c r="AI327" s="2213"/>
      <c r="AJ327" s="2213"/>
      <c r="AK327" s="2217">
        <f t="shared" si="164"/>
        <v>35.46845285194911</v>
      </c>
      <c r="AL327" s="2217">
        <f t="shared" si="146"/>
        <v>4110.6731548501666</v>
      </c>
      <c r="AM327" s="2217">
        <f t="shared" si="156"/>
        <v>53.145969149942175</v>
      </c>
      <c r="AN327" s="2212">
        <v>8</v>
      </c>
      <c r="AO327" s="2219"/>
      <c r="AP327" s="2213"/>
      <c r="AQ327" s="2219"/>
      <c r="AR327" s="2213"/>
      <c r="AS327" s="2213"/>
      <c r="AT327" s="2213"/>
      <c r="AU327" s="2213"/>
      <c r="AV327" s="2213"/>
      <c r="AW327" s="2217">
        <f t="shared" si="165"/>
        <v>32.616753999933309</v>
      </c>
      <c r="AX327" s="2217">
        <f t="shared" si="166"/>
        <v>4083.3096000002802</v>
      </c>
      <c r="AY327" s="2217">
        <f t="shared" si="147"/>
        <v>41.430899999937083</v>
      </c>
      <c r="AZ327" s="2212">
        <v>8</v>
      </c>
      <c r="BA327" s="2208"/>
      <c r="BB327" s="263"/>
      <c r="BC327" s="2208"/>
      <c r="BD327" s="263"/>
      <c r="BE327" s="263"/>
      <c r="BF327" s="263"/>
      <c r="BG327" s="263"/>
      <c r="BH327" s="2208"/>
      <c r="BI327" s="2217">
        <f t="shared" si="167"/>
        <v>45.460332999913803</v>
      </c>
      <c r="BJ327" s="2217">
        <f t="shared" si="157"/>
        <v>4083.3096000002802</v>
      </c>
      <c r="BK327" s="2217">
        <f t="shared" si="148"/>
        <v>41.430899999937083</v>
      </c>
      <c r="BL327" s="2212">
        <v>8</v>
      </c>
      <c r="BM327" s="2208"/>
      <c r="BN327" s="263"/>
      <c r="BO327" s="2208"/>
      <c r="BP327" s="263"/>
      <c r="BQ327" s="263"/>
      <c r="BR327" s="263"/>
      <c r="BS327" s="263"/>
      <c r="BT327" s="2208"/>
      <c r="BU327" s="2217">
        <f t="shared" si="168"/>
        <v>35.46845285194911</v>
      </c>
      <c r="BV327" s="2217">
        <f t="shared" si="149"/>
        <v>4110.6731548501666</v>
      </c>
      <c r="BW327" s="2217">
        <f t="shared" si="158"/>
        <v>53.145969149942175</v>
      </c>
      <c r="BX327" s="2212">
        <v>8</v>
      </c>
      <c r="BY327" s="2219"/>
      <c r="BZ327" s="2213"/>
      <c r="CA327" s="2219"/>
      <c r="CB327" s="2213"/>
      <c r="CC327" s="2213"/>
      <c r="CD327" s="2213"/>
      <c r="CE327" s="2213"/>
      <c r="CF327" s="2208"/>
      <c r="CG327" s="2217">
        <f t="shared" si="169"/>
        <v>41.845969149942178</v>
      </c>
      <c r="CH327" s="2217">
        <f t="shared" si="150"/>
        <v>4110.6731548501666</v>
      </c>
      <c r="CI327" s="2217">
        <f t="shared" si="159"/>
        <v>53.145969149942175</v>
      </c>
      <c r="CJ327" s="2212">
        <v>8</v>
      </c>
      <c r="CK327" s="2219"/>
      <c r="CL327" s="2213"/>
      <c r="CM327" s="2219"/>
      <c r="CN327" s="2213"/>
      <c r="CO327" s="2213"/>
      <c r="CP327" s="2213"/>
      <c r="CQ327" s="2213"/>
      <c r="CR327" s="2208"/>
      <c r="CS327" s="2217">
        <f t="shared" si="170"/>
        <v>44.631714999915062</v>
      </c>
      <c r="CT327" s="2217">
        <f t="shared" si="160"/>
        <v>4083.3096000002802</v>
      </c>
      <c r="CU327" s="2217">
        <f t="shared" si="151"/>
        <v>41.430899999937083</v>
      </c>
      <c r="CV327" s="2212">
        <v>8</v>
      </c>
      <c r="CW327" s="2208"/>
      <c r="CX327" s="263"/>
      <c r="CY327" s="2208"/>
      <c r="CZ327" s="263"/>
      <c r="DA327" s="263"/>
      <c r="DB327" s="263"/>
      <c r="DC327" s="263"/>
      <c r="DD327" s="2208"/>
    </row>
    <row r="328" spans="1:108">
      <c r="A328" s="2217">
        <f t="shared" si="161"/>
        <v>50.241725815280049</v>
      </c>
      <c r="B328" s="2217">
        <f t="shared" si="152"/>
        <v>4057.5271857002244</v>
      </c>
      <c r="C328" s="2217">
        <f t="shared" si="153"/>
        <v>53.514544187200045</v>
      </c>
      <c r="D328" s="2212">
        <v>7</v>
      </c>
      <c r="E328" s="2219"/>
      <c r="F328" s="2213"/>
      <c r="G328" s="2219"/>
      <c r="H328" s="2213"/>
      <c r="I328" s="2213"/>
      <c r="J328" s="2213"/>
      <c r="K328" s="2213"/>
      <c r="L328" s="2213"/>
      <c r="M328" s="2217">
        <f t="shared" si="162"/>
        <v>53.987743908384061</v>
      </c>
      <c r="N328" s="2217">
        <f t="shared" si="144"/>
        <v>4057.5271857002244</v>
      </c>
      <c r="O328" s="2217">
        <f t="shared" si="154"/>
        <v>53.514544187200045</v>
      </c>
      <c r="P328" s="2212">
        <v>7</v>
      </c>
      <c r="Q328" s="2219"/>
      <c r="R328" s="2213"/>
      <c r="S328" s="2219"/>
      <c r="T328" s="2213"/>
      <c r="U328" s="2213"/>
      <c r="V328" s="2213"/>
      <c r="W328" s="2213"/>
      <c r="X328" s="2213"/>
      <c r="Y328" s="2217">
        <f t="shared" si="163"/>
        <v>58.804052885232068</v>
      </c>
      <c r="Z328" s="2217">
        <f t="shared" si="145"/>
        <v>4057.5271857002244</v>
      </c>
      <c r="AA328" s="2217">
        <f t="shared" si="155"/>
        <v>53.514544187200045</v>
      </c>
      <c r="AB328" s="2212">
        <v>7</v>
      </c>
      <c r="AC328" s="2219"/>
      <c r="AD328" s="2213"/>
      <c r="AE328" s="2219"/>
      <c r="AF328" s="2213"/>
      <c r="AG328" s="2213"/>
      <c r="AH328" s="2213"/>
      <c r="AI328" s="2213"/>
      <c r="AJ328" s="2213"/>
      <c r="AK328" s="2217">
        <f t="shared" si="164"/>
        <v>35.79279888473603</v>
      </c>
      <c r="AL328" s="2217">
        <f t="shared" si="146"/>
        <v>4057.5271857002244</v>
      </c>
      <c r="AM328" s="2217">
        <f t="shared" si="156"/>
        <v>53.514544187200045</v>
      </c>
      <c r="AN328" s="2212">
        <v>7</v>
      </c>
      <c r="AO328" s="2219"/>
      <c r="AP328" s="2213"/>
      <c r="AQ328" s="2219"/>
      <c r="AR328" s="2213"/>
      <c r="AS328" s="2213"/>
      <c r="AT328" s="2213"/>
      <c r="AU328" s="2213"/>
      <c r="AV328" s="2213"/>
      <c r="AW328" s="2217">
        <f t="shared" si="165"/>
        <v>33.145269999932239</v>
      </c>
      <c r="AX328" s="2217">
        <f t="shared" si="166"/>
        <v>4041.8787000003431</v>
      </c>
      <c r="AY328" s="2217">
        <f t="shared" si="147"/>
        <v>41.92949999993607</v>
      </c>
      <c r="AZ328" s="2212">
        <v>7</v>
      </c>
      <c r="BA328" s="2208"/>
      <c r="BB328" s="263"/>
      <c r="BC328" s="2208"/>
      <c r="BD328" s="263"/>
      <c r="BE328" s="263"/>
      <c r="BF328" s="263"/>
      <c r="BG328" s="263"/>
      <c r="BH328" s="2208"/>
      <c r="BI328" s="2217">
        <f t="shared" si="167"/>
        <v>46.143414999912423</v>
      </c>
      <c r="BJ328" s="2217">
        <f t="shared" si="157"/>
        <v>4041.8787000003431</v>
      </c>
      <c r="BK328" s="2217">
        <f t="shared" si="148"/>
        <v>41.92949999993607</v>
      </c>
      <c r="BL328" s="2212">
        <v>7</v>
      </c>
      <c r="BM328" s="2208"/>
      <c r="BN328" s="263"/>
      <c r="BO328" s="2208"/>
      <c r="BP328" s="263"/>
      <c r="BQ328" s="263"/>
      <c r="BR328" s="263"/>
      <c r="BS328" s="263"/>
      <c r="BT328" s="2208"/>
      <c r="BU328" s="2217">
        <f t="shared" si="168"/>
        <v>35.79279888473603</v>
      </c>
      <c r="BV328" s="2217">
        <f t="shared" si="149"/>
        <v>4057.5271857002244</v>
      </c>
      <c r="BW328" s="2217">
        <f t="shared" si="158"/>
        <v>53.514544187200045</v>
      </c>
      <c r="BX328" s="2212">
        <v>7</v>
      </c>
      <c r="BY328" s="2219"/>
      <c r="BZ328" s="2213"/>
      <c r="CA328" s="2219"/>
      <c r="CB328" s="2213"/>
      <c r="CC328" s="2213"/>
      <c r="CD328" s="2213"/>
      <c r="CE328" s="2213"/>
      <c r="CF328" s="2208"/>
      <c r="CG328" s="2217">
        <f t="shared" si="169"/>
        <v>42.214544187200048</v>
      </c>
      <c r="CH328" s="2217">
        <f t="shared" si="150"/>
        <v>4057.5271857002244</v>
      </c>
      <c r="CI328" s="2217">
        <f t="shared" si="159"/>
        <v>53.514544187200045</v>
      </c>
      <c r="CJ328" s="2212">
        <v>7</v>
      </c>
      <c r="CK328" s="2219"/>
      <c r="CL328" s="2213"/>
      <c r="CM328" s="2219"/>
      <c r="CN328" s="2213"/>
      <c r="CO328" s="2213"/>
      <c r="CP328" s="2213"/>
      <c r="CQ328" s="2213"/>
      <c r="CR328" s="2208"/>
      <c r="CS328" s="2217">
        <f t="shared" si="170"/>
        <v>45.304824999913691</v>
      </c>
      <c r="CT328" s="2217">
        <f t="shared" si="160"/>
        <v>4041.8787000003431</v>
      </c>
      <c r="CU328" s="2217">
        <f t="shared" si="151"/>
        <v>41.92949999993607</v>
      </c>
      <c r="CV328" s="2212">
        <v>7</v>
      </c>
      <c r="CW328" s="2208"/>
      <c r="CX328" s="263"/>
      <c r="CY328" s="2208"/>
      <c r="CZ328" s="263"/>
      <c r="DA328" s="263"/>
      <c r="DB328" s="263"/>
      <c r="DC328" s="263"/>
      <c r="DD328" s="2208"/>
    </row>
    <row r="329" spans="1:108">
      <c r="A329" s="2217">
        <f t="shared" si="161"/>
        <v>50.666900012222314</v>
      </c>
      <c r="B329" s="2217">
        <f t="shared" si="152"/>
        <v>4004.0126415130244</v>
      </c>
      <c r="C329" s="2217">
        <f t="shared" si="153"/>
        <v>53.884260880193324</v>
      </c>
      <c r="D329" s="2212">
        <v>6</v>
      </c>
      <c r="E329" s="2219"/>
      <c r="F329" s="2213"/>
      <c r="G329" s="2219"/>
      <c r="H329" s="2213"/>
      <c r="I329" s="2213"/>
      <c r="J329" s="2213"/>
      <c r="K329" s="2213"/>
      <c r="L329" s="2213"/>
      <c r="M329" s="2217">
        <f t="shared" si="162"/>
        <v>54.438798273835857</v>
      </c>
      <c r="N329" s="2217">
        <f t="shared" si="144"/>
        <v>4004.0126415130244</v>
      </c>
      <c r="O329" s="2217">
        <f t="shared" si="154"/>
        <v>53.884260880193324</v>
      </c>
      <c r="P329" s="2212">
        <v>6</v>
      </c>
      <c r="Q329" s="2219"/>
      <c r="R329" s="2213"/>
      <c r="S329" s="2219"/>
      <c r="T329" s="2213"/>
      <c r="U329" s="2213"/>
      <c r="V329" s="2213"/>
      <c r="W329" s="2213"/>
      <c r="X329" s="2213"/>
      <c r="Y329" s="2217">
        <f t="shared" si="163"/>
        <v>59.288381753053258</v>
      </c>
      <c r="Z329" s="2217">
        <f t="shared" si="145"/>
        <v>4004.0126415130244</v>
      </c>
      <c r="AA329" s="2217">
        <f t="shared" si="155"/>
        <v>53.884260880193324</v>
      </c>
      <c r="AB329" s="2212">
        <v>6</v>
      </c>
      <c r="AC329" s="2219"/>
      <c r="AD329" s="2213"/>
      <c r="AE329" s="2219"/>
      <c r="AF329" s="2213"/>
      <c r="AG329" s="2213"/>
      <c r="AH329" s="2213"/>
      <c r="AI329" s="2213"/>
      <c r="AJ329" s="2213"/>
      <c r="AK329" s="2217">
        <f t="shared" si="164"/>
        <v>36.118149574570126</v>
      </c>
      <c r="AL329" s="2217">
        <f t="shared" si="146"/>
        <v>4004.0126415130244</v>
      </c>
      <c r="AM329" s="2217">
        <f t="shared" si="156"/>
        <v>53.884260880193324</v>
      </c>
      <c r="AN329" s="2212">
        <v>6</v>
      </c>
      <c r="AO329" s="2219"/>
      <c r="AP329" s="2213"/>
      <c r="AQ329" s="2219"/>
      <c r="AR329" s="2213"/>
      <c r="AS329" s="2213"/>
      <c r="AT329" s="2213"/>
      <c r="AU329" s="2213"/>
      <c r="AV329" s="2213"/>
      <c r="AW329" s="2217">
        <f t="shared" si="165"/>
        <v>33.677601999930687</v>
      </c>
      <c r="AX329" s="2217">
        <f t="shared" si="166"/>
        <v>3999.949200000407</v>
      </c>
      <c r="AY329" s="2217">
        <f t="shared" si="147"/>
        <v>42.431699999934608</v>
      </c>
      <c r="AZ329" s="2212">
        <v>6</v>
      </c>
      <c r="BA329" s="2208"/>
      <c r="BB329" s="263"/>
      <c r="BC329" s="2208"/>
      <c r="BD329" s="263"/>
      <c r="BE329" s="263"/>
      <c r="BF329" s="263"/>
      <c r="BG329" s="263"/>
      <c r="BH329" s="2208"/>
      <c r="BI329" s="2217">
        <f t="shared" si="167"/>
        <v>46.831428999910415</v>
      </c>
      <c r="BJ329" s="2217">
        <f t="shared" si="157"/>
        <v>3999.949200000407</v>
      </c>
      <c r="BK329" s="2217">
        <f t="shared" si="148"/>
        <v>42.431699999934608</v>
      </c>
      <c r="BL329" s="2212">
        <v>6</v>
      </c>
      <c r="BM329" s="2208"/>
      <c r="BN329" s="263"/>
      <c r="BO329" s="2208"/>
      <c r="BP329" s="263"/>
      <c r="BQ329" s="263"/>
      <c r="BR329" s="263"/>
      <c r="BS329" s="263"/>
      <c r="BT329" s="2208"/>
      <c r="BU329" s="2217">
        <f t="shared" si="168"/>
        <v>36.118149574570126</v>
      </c>
      <c r="BV329" s="2217">
        <f t="shared" si="149"/>
        <v>4004.0126415130244</v>
      </c>
      <c r="BW329" s="2217">
        <f t="shared" si="158"/>
        <v>53.884260880193324</v>
      </c>
      <c r="BX329" s="2212">
        <v>6</v>
      </c>
      <c r="BY329" s="2219"/>
      <c r="BZ329" s="2213"/>
      <c r="CA329" s="2219"/>
      <c r="CB329" s="2213"/>
      <c r="CC329" s="2213"/>
      <c r="CD329" s="2213"/>
      <c r="CE329" s="2213"/>
      <c r="CF329" s="2208"/>
      <c r="CG329" s="2217">
        <f t="shared" si="169"/>
        <v>42.584260880193327</v>
      </c>
      <c r="CH329" s="2217">
        <f t="shared" si="150"/>
        <v>4004.0126415130244</v>
      </c>
      <c r="CI329" s="2217">
        <f t="shared" si="159"/>
        <v>53.884260880193324</v>
      </c>
      <c r="CJ329" s="2212">
        <v>6</v>
      </c>
      <c r="CK329" s="2219"/>
      <c r="CL329" s="2213"/>
      <c r="CM329" s="2219"/>
      <c r="CN329" s="2213"/>
      <c r="CO329" s="2213"/>
      <c r="CP329" s="2213"/>
      <c r="CQ329" s="2213"/>
      <c r="CR329" s="2208"/>
      <c r="CS329" s="2217">
        <f t="shared" si="170"/>
        <v>45.982794999911718</v>
      </c>
      <c r="CT329" s="2217">
        <f t="shared" si="160"/>
        <v>3999.949200000407</v>
      </c>
      <c r="CU329" s="2217">
        <f t="shared" si="151"/>
        <v>42.431699999934608</v>
      </c>
      <c r="CV329" s="2212">
        <v>6</v>
      </c>
      <c r="CW329" s="2208"/>
      <c r="CX329" s="263"/>
      <c r="CY329" s="2208"/>
      <c r="CZ329" s="263"/>
      <c r="DA329" s="263"/>
      <c r="DB329" s="263"/>
      <c r="DC329" s="263"/>
      <c r="DD329" s="2208"/>
    </row>
    <row r="330" spans="1:108">
      <c r="A330" s="2217">
        <f t="shared" si="161"/>
        <v>51.093387113258743</v>
      </c>
      <c r="B330" s="2217">
        <f t="shared" si="152"/>
        <v>3950.1283806328311</v>
      </c>
      <c r="C330" s="2217">
        <f t="shared" si="153"/>
        <v>54.255119228920648</v>
      </c>
      <c r="D330" s="2212">
        <v>5</v>
      </c>
      <c r="E330" s="2219"/>
      <c r="F330" s="2213"/>
      <c r="G330" s="2219"/>
      <c r="H330" s="2213"/>
      <c r="I330" s="2213"/>
      <c r="J330" s="2213"/>
      <c r="K330" s="2213"/>
      <c r="L330" s="2213"/>
      <c r="M330" s="2217">
        <f t="shared" si="162"/>
        <v>54.891245459283198</v>
      </c>
      <c r="N330" s="2217">
        <f t="shared" si="144"/>
        <v>3950.1283806328311</v>
      </c>
      <c r="O330" s="2217">
        <f t="shared" si="154"/>
        <v>54.255119228920648</v>
      </c>
      <c r="P330" s="2212">
        <v>5</v>
      </c>
      <c r="Q330" s="2219"/>
      <c r="R330" s="2213"/>
      <c r="S330" s="2219"/>
      <c r="T330" s="2213"/>
      <c r="U330" s="2213"/>
      <c r="V330" s="2213"/>
      <c r="W330" s="2213"/>
      <c r="X330" s="2213"/>
      <c r="Y330" s="2217">
        <f t="shared" si="163"/>
        <v>59.774206189886058</v>
      </c>
      <c r="Z330" s="2217">
        <f t="shared" si="145"/>
        <v>3950.1283806328311</v>
      </c>
      <c r="AA330" s="2217">
        <f t="shared" si="155"/>
        <v>54.255119228920648</v>
      </c>
      <c r="AB330" s="2212">
        <v>5</v>
      </c>
      <c r="AC330" s="2219"/>
      <c r="AD330" s="2213"/>
      <c r="AE330" s="2219"/>
      <c r="AF330" s="2213"/>
      <c r="AG330" s="2213"/>
      <c r="AH330" s="2213"/>
      <c r="AI330" s="2213"/>
      <c r="AJ330" s="2213"/>
      <c r="AK330" s="2217">
        <f t="shared" si="164"/>
        <v>36.444504921450161</v>
      </c>
      <c r="AL330" s="2217">
        <f t="shared" si="146"/>
        <v>3950.1283806328311</v>
      </c>
      <c r="AM330" s="2217">
        <f t="shared" si="156"/>
        <v>54.255119228920648</v>
      </c>
      <c r="AN330" s="2212">
        <v>5</v>
      </c>
      <c r="AO330" s="2219"/>
      <c r="AP330" s="2213"/>
      <c r="AQ330" s="2219"/>
      <c r="AR330" s="2213"/>
      <c r="AS330" s="2213"/>
      <c r="AT330" s="2213"/>
      <c r="AU330" s="2213"/>
      <c r="AV330" s="2213"/>
      <c r="AW330" s="2217">
        <f t="shared" si="165"/>
        <v>34.213749999929149</v>
      </c>
      <c r="AX330" s="2217">
        <f t="shared" si="166"/>
        <v>3957.5175000004724</v>
      </c>
      <c r="AY330" s="2217">
        <f t="shared" si="147"/>
        <v>42.937499999933152</v>
      </c>
      <c r="AZ330" s="2212">
        <v>5</v>
      </c>
      <c r="BA330" s="2208"/>
      <c r="BB330" s="263"/>
      <c r="BC330" s="2208"/>
      <c r="BD330" s="263"/>
      <c r="BE330" s="263"/>
      <c r="BF330" s="263"/>
      <c r="BG330" s="263"/>
      <c r="BH330" s="2208"/>
      <c r="BI330" s="2217">
        <f t="shared" si="167"/>
        <v>47.524374999908417</v>
      </c>
      <c r="BJ330" s="2217">
        <f t="shared" si="157"/>
        <v>3957.5175000004724</v>
      </c>
      <c r="BK330" s="2217">
        <f t="shared" si="148"/>
        <v>42.937499999933152</v>
      </c>
      <c r="BL330" s="2212">
        <v>5</v>
      </c>
      <c r="BM330" s="2208"/>
      <c r="BN330" s="263"/>
      <c r="BO330" s="2208"/>
      <c r="BP330" s="263"/>
      <c r="BQ330" s="263"/>
      <c r="BR330" s="263"/>
      <c r="BS330" s="263"/>
      <c r="BT330" s="2208"/>
      <c r="BU330" s="2217">
        <f t="shared" si="168"/>
        <v>36.444504921450161</v>
      </c>
      <c r="BV330" s="2217">
        <f t="shared" si="149"/>
        <v>3950.1283806328311</v>
      </c>
      <c r="BW330" s="2217">
        <f t="shared" si="158"/>
        <v>54.255119228920648</v>
      </c>
      <c r="BX330" s="2212">
        <v>5</v>
      </c>
      <c r="BY330" s="2219"/>
      <c r="BZ330" s="2213"/>
      <c r="CA330" s="2219"/>
      <c r="CB330" s="2213"/>
      <c r="CC330" s="2213"/>
      <c r="CD330" s="2213"/>
      <c r="CE330" s="2213"/>
      <c r="CF330" s="2208"/>
      <c r="CG330" s="2217">
        <f t="shared" si="169"/>
        <v>42.955119228920651</v>
      </c>
      <c r="CH330" s="2217">
        <f t="shared" si="150"/>
        <v>3950.1283806328311</v>
      </c>
      <c r="CI330" s="2217">
        <f t="shared" si="159"/>
        <v>54.255119228920648</v>
      </c>
      <c r="CJ330" s="2212">
        <v>5</v>
      </c>
      <c r="CK330" s="2219"/>
      <c r="CL330" s="2213"/>
      <c r="CM330" s="2219"/>
      <c r="CN330" s="2213"/>
      <c r="CO330" s="2213"/>
      <c r="CP330" s="2213"/>
      <c r="CQ330" s="2213"/>
      <c r="CR330" s="2208"/>
      <c r="CS330" s="2217">
        <f t="shared" si="170"/>
        <v>46.665624999909753</v>
      </c>
      <c r="CT330" s="2217">
        <f t="shared" si="160"/>
        <v>3957.5175000004724</v>
      </c>
      <c r="CU330" s="2217">
        <f t="shared" si="151"/>
        <v>42.937499999933152</v>
      </c>
      <c r="CV330" s="2212">
        <v>5</v>
      </c>
      <c r="CW330" s="2208"/>
      <c r="CX330" s="263"/>
      <c r="CY330" s="2208"/>
      <c r="CZ330" s="263"/>
      <c r="DA330" s="263"/>
      <c r="DB330" s="263"/>
      <c r="DC330" s="263"/>
      <c r="DD330" s="2208"/>
    </row>
    <row r="331" spans="1:108">
      <c r="A331" s="2217">
        <f t="shared" si="161"/>
        <v>51.521187118390884</v>
      </c>
      <c r="B331" s="2217">
        <f t="shared" si="152"/>
        <v>3895.8732614039104</v>
      </c>
      <c r="C331" s="2217">
        <f t="shared" si="153"/>
        <v>54.627119233383382</v>
      </c>
      <c r="D331" s="2212">
        <v>4</v>
      </c>
      <c r="E331" s="2219"/>
      <c r="F331" s="2213"/>
      <c r="G331" s="2219"/>
      <c r="H331" s="2213"/>
      <c r="I331" s="2213"/>
      <c r="J331" s="2213"/>
      <c r="K331" s="2213"/>
      <c r="L331" s="2213"/>
      <c r="M331" s="2217">
        <f t="shared" si="162"/>
        <v>55.345085464727731</v>
      </c>
      <c r="N331" s="2217">
        <f t="shared" si="144"/>
        <v>3895.8732614039104</v>
      </c>
      <c r="O331" s="2217">
        <f t="shared" si="154"/>
        <v>54.627119233383382</v>
      </c>
      <c r="P331" s="2212">
        <v>4</v>
      </c>
      <c r="Q331" s="2219"/>
      <c r="R331" s="2213"/>
      <c r="S331" s="2219"/>
      <c r="T331" s="2213"/>
      <c r="U331" s="2213"/>
      <c r="V331" s="2213"/>
      <c r="W331" s="2213"/>
      <c r="X331" s="2213"/>
      <c r="Y331" s="2217">
        <f t="shared" si="163"/>
        <v>60.26152619573223</v>
      </c>
      <c r="Z331" s="2217">
        <f t="shared" si="145"/>
        <v>3895.8732614039104</v>
      </c>
      <c r="AA331" s="2217">
        <f t="shared" si="155"/>
        <v>54.627119233383382</v>
      </c>
      <c r="AB331" s="2212">
        <v>4</v>
      </c>
      <c r="AC331" s="2219"/>
      <c r="AD331" s="2213"/>
      <c r="AE331" s="2219"/>
      <c r="AF331" s="2213"/>
      <c r="AG331" s="2213"/>
      <c r="AH331" s="2213"/>
      <c r="AI331" s="2213"/>
      <c r="AJ331" s="2213"/>
      <c r="AK331" s="2217">
        <f t="shared" si="164"/>
        <v>36.771864925377372</v>
      </c>
      <c r="AL331" s="2217">
        <f t="shared" si="146"/>
        <v>3895.8732614039104</v>
      </c>
      <c r="AM331" s="2217">
        <f t="shared" si="156"/>
        <v>54.627119233383382</v>
      </c>
      <c r="AN331" s="2212">
        <v>4</v>
      </c>
      <c r="AO331" s="2219"/>
      <c r="AP331" s="2213"/>
      <c r="AQ331" s="2219"/>
      <c r="AR331" s="2213"/>
      <c r="AS331" s="2213"/>
      <c r="AT331" s="2213"/>
      <c r="AU331" s="2213"/>
      <c r="AV331" s="2213"/>
      <c r="AW331" s="2217">
        <f t="shared" si="165"/>
        <v>34.753713999928081</v>
      </c>
      <c r="AX331" s="2217">
        <f t="shared" si="166"/>
        <v>3914.5800000005393</v>
      </c>
      <c r="AY331" s="2217">
        <f t="shared" si="147"/>
        <v>43.446899999932157</v>
      </c>
      <c r="AZ331" s="2212">
        <v>4</v>
      </c>
      <c r="BA331" s="2208"/>
      <c r="BB331" s="263"/>
      <c r="BC331" s="2208"/>
      <c r="BD331" s="263"/>
      <c r="BE331" s="263"/>
      <c r="BF331" s="263"/>
      <c r="BG331" s="263"/>
      <c r="BH331" s="2208"/>
      <c r="BI331" s="2217">
        <f t="shared" si="167"/>
        <v>48.222252999907056</v>
      </c>
      <c r="BJ331" s="2217">
        <f t="shared" si="157"/>
        <v>3914.5800000005393</v>
      </c>
      <c r="BK331" s="2217">
        <f t="shared" si="148"/>
        <v>43.446899999932157</v>
      </c>
      <c r="BL331" s="2212">
        <v>4</v>
      </c>
      <c r="BM331" s="2208"/>
      <c r="BN331" s="263"/>
      <c r="BO331" s="2208"/>
      <c r="BP331" s="263"/>
      <c r="BQ331" s="263"/>
      <c r="BR331" s="263"/>
      <c r="BS331" s="263"/>
      <c r="BT331" s="2208"/>
      <c r="BU331" s="2217">
        <f t="shared" si="168"/>
        <v>36.771864925377372</v>
      </c>
      <c r="BV331" s="2217">
        <f t="shared" si="149"/>
        <v>3895.8732614039104</v>
      </c>
      <c r="BW331" s="2217">
        <f t="shared" si="158"/>
        <v>54.627119233383382</v>
      </c>
      <c r="BX331" s="2212">
        <v>4</v>
      </c>
      <c r="BY331" s="2219"/>
      <c r="BZ331" s="2213"/>
      <c r="CA331" s="2219"/>
      <c r="CB331" s="2213"/>
      <c r="CC331" s="2213"/>
      <c r="CD331" s="2213"/>
      <c r="CE331" s="2213"/>
      <c r="CF331" s="2208"/>
      <c r="CG331" s="2217">
        <f t="shared" si="169"/>
        <v>43.327119233383385</v>
      </c>
      <c r="CH331" s="2217">
        <f t="shared" si="150"/>
        <v>3895.8732614039104</v>
      </c>
      <c r="CI331" s="2217">
        <f t="shared" si="159"/>
        <v>54.627119233383382</v>
      </c>
      <c r="CJ331" s="2212">
        <v>4</v>
      </c>
      <c r="CK331" s="2219"/>
      <c r="CL331" s="2213"/>
      <c r="CM331" s="2219"/>
      <c r="CN331" s="2213"/>
      <c r="CO331" s="2213"/>
      <c r="CP331" s="2213"/>
      <c r="CQ331" s="2213"/>
      <c r="CR331" s="2208"/>
      <c r="CS331" s="2217">
        <f t="shared" si="170"/>
        <v>47.35331499990842</v>
      </c>
      <c r="CT331" s="2217">
        <f t="shared" si="160"/>
        <v>3914.5800000005393</v>
      </c>
      <c r="CU331" s="2217">
        <f t="shared" si="151"/>
        <v>43.446899999932157</v>
      </c>
      <c r="CV331" s="2212">
        <v>4</v>
      </c>
      <c r="CW331" s="2208"/>
      <c r="CX331" s="263"/>
      <c r="CY331" s="2208"/>
      <c r="CZ331" s="263"/>
      <c r="DA331" s="263"/>
      <c r="DB331" s="263"/>
      <c r="DC331" s="263"/>
      <c r="DD331" s="2208"/>
    </row>
    <row r="332" spans="1:108">
      <c r="A332" s="2217">
        <f t="shared" si="161"/>
        <v>51.950300027616137</v>
      </c>
      <c r="B332" s="2217">
        <f t="shared" si="152"/>
        <v>3841.246142170527</v>
      </c>
      <c r="C332" s="2217">
        <f t="shared" si="153"/>
        <v>55.000260893579252</v>
      </c>
      <c r="D332" s="2212">
        <v>3</v>
      </c>
      <c r="E332" s="2219"/>
      <c r="F332" s="2213"/>
      <c r="G332" s="2219"/>
      <c r="H332" s="2213"/>
      <c r="I332" s="2213"/>
      <c r="J332" s="2213"/>
      <c r="K332" s="2213"/>
      <c r="L332" s="2213"/>
      <c r="M332" s="2217">
        <f t="shared" si="162"/>
        <v>55.800318290166686</v>
      </c>
      <c r="N332" s="2217">
        <f t="shared" si="144"/>
        <v>3841.246142170527</v>
      </c>
      <c r="O332" s="2217">
        <f t="shared" si="154"/>
        <v>55.000260893579252</v>
      </c>
      <c r="P332" s="2212">
        <v>3</v>
      </c>
      <c r="Q332" s="2219"/>
      <c r="R332" s="2213"/>
      <c r="S332" s="2219"/>
      <c r="T332" s="2213"/>
      <c r="U332" s="2213"/>
      <c r="V332" s="2213"/>
      <c r="W332" s="2213"/>
      <c r="X332" s="2213"/>
      <c r="Y332" s="2217">
        <f t="shared" si="163"/>
        <v>60.750341770588832</v>
      </c>
      <c r="Z332" s="2217">
        <f t="shared" si="145"/>
        <v>3841.246142170527</v>
      </c>
      <c r="AA332" s="2217">
        <f t="shared" si="155"/>
        <v>55.000260893579252</v>
      </c>
      <c r="AB332" s="2212">
        <v>3</v>
      </c>
      <c r="AC332" s="2219"/>
      <c r="AD332" s="2213"/>
      <c r="AE332" s="2219"/>
      <c r="AF332" s="2213"/>
      <c r="AG332" s="2213"/>
      <c r="AH332" s="2213"/>
      <c r="AI332" s="2213"/>
      <c r="AJ332" s="2213"/>
      <c r="AK332" s="2217">
        <f t="shared" si="164"/>
        <v>37.100229586349741</v>
      </c>
      <c r="AL332" s="2217">
        <f t="shared" si="146"/>
        <v>3841.246142170527</v>
      </c>
      <c r="AM332" s="2217">
        <f t="shared" si="156"/>
        <v>55.000260893579252</v>
      </c>
      <c r="AN332" s="2212">
        <v>3</v>
      </c>
      <c r="AO332" s="2219"/>
      <c r="AP332" s="2213"/>
      <c r="AQ332" s="2219"/>
      <c r="AR332" s="2213"/>
      <c r="AS332" s="2213"/>
      <c r="AT332" s="2213"/>
      <c r="AU332" s="2213"/>
      <c r="AV332" s="2213"/>
      <c r="AW332" s="2217">
        <f t="shared" si="165"/>
        <v>35.297493999926559</v>
      </c>
      <c r="AX332" s="2217">
        <f t="shared" si="166"/>
        <v>3871.1331000006071</v>
      </c>
      <c r="AY332" s="2217">
        <f t="shared" si="147"/>
        <v>43.959899999930713</v>
      </c>
      <c r="AZ332" s="2212">
        <v>3</v>
      </c>
      <c r="BA332" s="2208"/>
      <c r="BB332" s="263"/>
      <c r="BC332" s="2208"/>
      <c r="BD332" s="263"/>
      <c r="BE332" s="263"/>
      <c r="BF332" s="263"/>
      <c r="BG332" s="263"/>
      <c r="BH332" s="2208"/>
      <c r="BI332" s="2217">
        <f t="shared" si="167"/>
        <v>48.92506299990508</v>
      </c>
      <c r="BJ332" s="2217">
        <f t="shared" si="157"/>
        <v>3871.1331000006071</v>
      </c>
      <c r="BK332" s="2217">
        <f t="shared" si="148"/>
        <v>43.959899999930713</v>
      </c>
      <c r="BL332" s="2212">
        <v>3</v>
      </c>
      <c r="BM332" s="2208"/>
      <c r="BN332" s="263"/>
      <c r="BO332" s="2208"/>
      <c r="BP332" s="263"/>
      <c r="BQ332" s="263"/>
      <c r="BR332" s="263"/>
      <c r="BS332" s="263"/>
      <c r="BT332" s="2208"/>
      <c r="BU332" s="2217">
        <f t="shared" si="168"/>
        <v>37.100229586349741</v>
      </c>
      <c r="BV332" s="2217">
        <f t="shared" si="149"/>
        <v>3841.246142170527</v>
      </c>
      <c r="BW332" s="2217">
        <f t="shared" si="158"/>
        <v>55.000260893579252</v>
      </c>
      <c r="BX332" s="2212">
        <v>3</v>
      </c>
      <c r="BY332" s="2219"/>
      <c r="BZ332" s="2213"/>
      <c r="CA332" s="2219"/>
      <c r="CB332" s="2213"/>
      <c r="CC332" s="2213"/>
      <c r="CD332" s="2213"/>
      <c r="CE332" s="2213"/>
      <c r="CF332" s="2208"/>
      <c r="CG332" s="2217">
        <f t="shared" si="169"/>
        <v>43.700260893579255</v>
      </c>
      <c r="CH332" s="2217">
        <f t="shared" si="150"/>
        <v>3841.246142170527</v>
      </c>
      <c r="CI332" s="2217">
        <f t="shared" si="159"/>
        <v>55.000260893579252</v>
      </c>
      <c r="CJ332" s="2212">
        <v>3</v>
      </c>
      <c r="CK332" s="2219"/>
      <c r="CL332" s="2213"/>
      <c r="CM332" s="2219"/>
      <c r="CN332" s="2213"/>
      <c r="CO332" s="2213"/>
      <c r="CP332" s="2213"/>
      <c r="CQ332" s="2213"/>
      <c r="CR332" s="2208"/>
      <c r="CS332" s="2217">
        <f t="shared" si="170"/>
        <v>48.04586499990647</v>
      </c>
      <c r="CT332" s="2217">
        <f t="shared" si="160"/>
        <v>3871.1331000006071</v>
      </c>
      <c r="CU332" s="2217">
        <f t="shared" si="151"/>
        <v>43.959899999930713</v>
      </c>
      <c r="CV332" s="2212">
        <v>3</v>
      </c>
      <c r="CW332" s="2208"/>
      <c r="CX332" s="263"/>
      <c r="CY332" s="2208"/>
      <c r="CZ332" s="263"/>
      <c r="DA332" s="263"/>
      <c r="DB332" s="263"/>
      <c r="DC332" s="263"/>
      <c r="DD332" s="2208"/>
    </row>
    <row r="333" spans="1:108">
      <c r="A333" s="2217">
        <f t="shared" si="161"/>
        <v>52.380725840938155</v>
      </c>
      <c r="B333" s="2217">
        <f t="shared" si="152"/>
        <v>3786.2458812769478</v>
      </c>
      <c r="C333" s="2217">
        <f t="shared" si="153"/>
        <v>55.374544209511441</v>
      </c>
      <c r="D333" s="2212">
        <v>2</v>
      </c>
      <c r="E333" s="2219"/>
      <c r="F333" s="2213"/>
      <c r="G333" s="2219"/>
      <c r="H333" s="2213"/>
      <c r="I333" s="2213"/>
      <c r="J333" s="2213"/>
      <c r="K333" s="2213"/>
      <c r="L333" s="2213"/>
      <c r="M333" s="2217">
        <f t="shared" si="162"/>
        <v>56.256943935603957</v>
      </c>
      <c r="N333" s="2217">
        <f t="shared" si="144"/>
        <v>3786.2458812769478</v>
      </c>
      <c r="O333" s="2217">
        <f t="shared" si="154"/>
        <v>55.374544209511441</v>
      </c>
      <c r="P333" s="2212">
        <v>2</v>
      </c>
      <c r="Q333" s="2219"/>
      <c r="R333" s="2213"/>
      <c r="S333" s="2219"/>
      <c r="T333" s="2213"/>
      <c r="U333" s="2213"/>
      <c r="V333" s="2213"/>
      <c r="W333" s="2213"/>
      <c r="X333" s="2213"/>
      <c r="Y333" s="2217">
        <f t="shared" si="163"/>
        <v>61.24065291446</v>
      </c>
      <c r="Z333" s="2217">
        <f t="shared" si="145"/>
        <v>3786.2458812769478</v>
      </c>
      <c r="AA333" s="2217">
        <f t="shared" si="155"/>
        <v>55.374544209511441</v>
      </c>
      <c r="AB333" s="2212">
        <v>2</v>
      </c>
      <c r="AC333" s="2219"/>
      <c r="AD333" s="2213"/>
      <c r="AE333" s="2219"/>
      <c r="AF333" s="2213"/>
      <c r="AG333" s="2213"/>
      <c r="AH333" s="2213"/>
      <c r="AI333" s="2213"/>
      <c r="AJ333" s="2213"/>
      <c r="AK333" s="2217">
        <f t="shared" si="164"/>
        <v>37.429598904370067</v>
      </c>
      <c r="AL333" s="2217">
        <f t="shared" si="146"/>
        <v>3786.2458812769478</v>
      </c>
      <c r="AM333" s="2217">
        <f t="shared" si="156"/>
        <v>55.374544209511441</v>
      </c>
      <c r="AN333" s="2212">
        <v>2</v>
      </c>
      <c r="AO333" s="2219"/>
      <c r="AP333" s="2213"/>
      <c r="AQ333" s="2219"/>
      <c r="AR333" s="2213"/>
      <c r="AS333" s="2213"/>
      <c r="AT333" s="2213"/>
      <c r="AU333" s="2213"/>
      <c r="AV333" s="2213"/>
      <c r="AW333" s="2217">
        <f t="shared" si="165"/>
        <v>35.84508999992552</v>
      </c>
      <c r="AX333" s="2217">
        <f t="shared" si="166"/>
        <v>3827.1732000006764</v>
      </c>
      <c r="AY333" s="2217">
        <f t="shared" si="147"/>
        <v>44.476499999929729</v>
      </c>
      <c r="AZ333" s="2212">
        <v>2</v>
      </c>
      <c r="BA333" s="2208"/>
      <c r="BB333" s="263"/>
      <c r="BC333" s="2208"/>
      <c r="BD333" s="263"/>
      <c r="BE333" s="263"/>
      <c r="BF333" s="263"/>
      <c r="BG333" s="263"/>
      <c r="BH333" s="2208"/>
      <c r="BI333" s="2217">
        <f t="shared" si="167"/>
        <v>49.632804999903726</v>
      </c>
      <c r="BJ333" s="2217">
        <f t="shared" si="157"/>
        <v>3827.1732000006764</v>
      </c>
      <c r="BK333" s="2217">
        <f t="shared" si="148"/>
        <v>44.476499999929729</v>
      </c>
      <c r="BL333" s="2212">
        <v>2</v>
      </c>
      <c r="BM333" s="2208"/>
      <c r="BN333" s="263"/>
      <c r="BO333" s="2208"/>
      <c r="BP333" s="263"/>
      <c r="BQ333" s="263"/>
      <c r="BR333" s="263"/>
      <c r="BS333" s="263"/>
      <c r="BT333" s="2208"/>
      <c r="BU333" s="2217">
        <f t="shared" si="168"/>
        <v>37.429598904370067</v>
      </c>
      <c r="BV333" s="2217">
        <f t="shared" si="149"/>
        <v>3786.2458812769478</v>
      </c>
      <c r="BW333" s="2217">
        <f t="shared" si="158"/>
        <v>55.374544209511441</v>
      </c>
      <c r="BX333" s="2212">
        <v>2</v>
      </c>
      <c r="BY333" s="2219"/>
      <c r="BZ333" s="2213"/>
      <c r="CA333" s="2219"/>
      <c r="CB333" s="2213"/>
      <c r="CC333" s="2213"/>
      <c r="CD333" s="2213"/>
      <c r="CE333" s="2213"/>
      <c r="CF333" s="2208"/>
      <c r="CG333" s="2217">
        <f t="shared" si="169"/>
        <v>44.074544209511444</v>
      </c>
      <c r="CH333" s="2217">
        <f t="shared" si="150"/>
        <v>3786.2458812769478</v>
      </c>
      <c r="CI333" s="2217">
        <f t="shared" si="159"/>
        <v>55.374544209511441</v>
      </c>
      <c r="CJ333" s="2212">
        <v>2</v>
      </c>
      <c r="CK333" s="2219"/>
      <c r="CL333" s="2213"/>
      <c r="CM333" s="2219"/>
      <c r="CN333" s="2213"/>
      <c r="CO333" s="2213"/>
      <c r="CP333" s="2213"/>
      <c r="CQ333" s="2213"/>
      <c r="CR333" s="2208"/>
      <c r="CS333" s="2217">
        <f t="shared" si="170"/>
        <v>48.74327499990514</v>
      </c>
      <c r="CT333" s="2217">
        <f t="shared" si="160"/>
        <v>3827.1732000006764</v>
      </c>
      <c r="CU333" s="2217">
        <f t="shared" si="151"/>
        <v>44.476499999929729</v>
      </c>
      <c r="CV333" s="2212">
        <v>2</v>
      </c>
      <c r="CW333" s="2208"/>
      <c r="CX333" s="263"/>
      <c r="CY333" s="2208"/>
      <c r="CZ333" s="263"/>
      <c r="DA333" s="263"/>
      <c r="DB333" s="263"/>
      <c r="DC333" s="263"/>
      <c r="DD333" s="2208"/>
    </row>
    <row r="334" spans="1:108">
      <c r="A334" s="2217">
        <f t="shared" si="161"/>
        <v>52.812464558353795</v>
      </c>
      <c r="B334" s="2217">
        <f t="shared" si="152"/>
        <v>3730.8713370674363</v>
      </c>
      <c r="C334" s="2217">
        <f>B334-B335</f>
        <v>55.749969181177221</v>
      </c>
      <c r="D334" s="2212">
        <v>1</v>
      </c>
      <c r="E334" s="2219"/>
      <c r="F334" s="2213"/>
      <c r="G334" s="2219"/>
      <c r="H334" s="2213"/>
      <c r="I334" s="2213"/>
      <c r="J334" s="2213"/>
      <c r="K334" s="2213"/>
      <c r="L334" s="2213"/>
      <c r="M334" s="2217">
        <f t="shared" si="162"/>
        <v>56.714962401036217</v>
      </c>
      <c r="N334" s="2217">
        <f t="shared" si="144"/>
        <v>3730.8713370674363</v>
      </c>
      <c r="O334" s="2217">
        <f>N334-N335</f>
        <v>55.749969181177221</v>
      </c>
      <c r="P334" s="2212">
        <v>1</v>
      </c>
      <c r="Q334" s="2219"/>
      <c r="R334" s="2213"/>
      <c r="S334" s="2219"/>
      <c r="T334" s="2213"/>
      <c r="U334" s="2213"/>
      <c r="V334" s="2213"/>
      <c r="W334" s="2213"/>
      <c r="X334" s="2213"/>
      <c r="Y334" s="2217">
        <f t="shared" si="163"/>
        <v>61.732459627342166</v>
      </c>
      <c r="Z334" s="2217">
        <f t="shared" si="145"/>
        <v>3730.8713370674363</v>
      </c>
      <c r="AA334" s="2217">
        <f>Z334-Z335</f>
        <v>55.749969181177221</v>
      </c>
      <c r="AB334" s="2212">
        <v>1</v>
      </c>
      <c r="AC334" s="2219"/>
      <c r="AD334" s="2213"/>
      <c r="AE334" s="2219"/>
      <c r="AF334" s="2213"/>
      <c r="AG334" s="2213"/>
      <c r="AH334" s="2213"/>
      <c r="AI334" s="2213"/>
      <c r="AJ334" s="2213"/>
      <c r="AK334" s="2217">
        <f t="shared" si="164"/>
        <v>37.759972879435949</v>
      </c>
      <c r="AL334" s="2217">
        <f t="shared" si="146"/>
        <v>3730.8713370674363</v>
      </c>
      <c r="AM334" s="2217">
        <f>AL334-AL335</f>
        <v>55.749969181177221</v>
      </c>
      <c r="AN334" s="2212">
        <v>1</v>
      </c>
      <c r="AO334" s="2219"/>
      <c r="AP334" s="2213"/>
      <c r="AQ334" s="2219"/>
      <c r="AR334" s="2213"/>
      <c r="AS334" s="2213"/>
      <c r="AT334" s="2213"/>
      <c r="AU334" s="2213"/>
      <c r="AV334" s="2213"/>
      <c r="AW334" s="2217">
        <f t="shared" si="165"/>
        <v>36.396501999923515</v>
      </c>
      <c r="AX334" s="2217">
        <f t="shared" si="166"/>
        <v>3782.6967000007467</v>
      </c>
      <c r="AY334" s="2217">
        <f>AX334-AX335</f>
        <v>44.996699999927841</v>
      </c>
      <c r="AZ334" s="2212">
        <v>1</v>
      </c>
      <c r="BA334" s="2208"/>
      <c r="BB334" s="263"/>
      <c r="BC334" s="2208"/>
      <c r="BD334" s="263"/>
      <c r="BE334" s="263"/>
      <c r="BF334" s="263"/>
      <c r="BG334" s="263"/>
      <c r="BH334" s="2208"/>
      <c r="BI334" s="2217">
        <f t="shared" si="167"/>
        <v>50.345478999901147</v>
      </c>
      <c r="BJ334" s="2217">
        <f t="shared" si="157"/>
        <v>3782.6967000007467</v>
      </c>
      <c r="BK334" s="2217">
        <f>BJ334-BJ335</f>
        <v>44.996699999927841</v>
      </c>
      <c r="BL334" s="2212">
        <v>1</v>
      </c>
      <c r="BM334" s="2208"/>
      <c r="BN334" s="263"/>
      <c r="BO334" s="2208"/>
      <c r="BP334" s="263"/>
      <c r="BQ334" s="263"/>
      <c r="BR334" s="263"/>
      <c r="BS334" s="263"/>
      <c r="BT334" s="2208"/>
      <c r="BU334" s="2217">
        <f t="shared" si="168"/>
        <v>37.759972879435949</v>
      </c>
      <c r="BV334" s="2217">
        <f t="shared" si="149"/>
        <v>3730.8713370674363</v>
      </c>
      <c r="BW334" s="2217">
        <f>BV334-BV335</f>
        <v>55.749969181177221</v>
      </c>
      <c r="BX334" s="2212">
        <v>1</v>
      </c>
      <c r="BY334" s="2219"/>
      <c r="BZ334" s="2213"/>
      <c r="CA334" s="2219"/>
      <c r="CB334" s="2213"/>
      <c r="CC334" s="2213"/>
      <c r="CD334" s="2213"/>
      <c r="CE334" s="2213"/>
      <c r="CF334" s="2208"/>
      <c r="CG334" s="2217">
        <f t="shared" si="169"/>
        <v>44.449969181177224</v>
      </c>
      <c r="CH334" s="2217">
        <f t="shared" si="150"/>
        <v>3730.8713370674363</v>
      </c>
      <c r="CI334" s="2217">
        <f>CH334-CH335</f>
        <v>55.749969181177221</v>
      </c>
      <c r="CJ334" s="2212">
        <v>1</v>
      </c>
      <c r="CK334" s="2219"/>
      <c r="CL334" s="2213"/>
      <c r="CM334" s="2219"/>
      <c r="CN334" s="2213"/>
      <c r="CO334" s="2213"/>
      <c r="CP334" s="2213"/>
      <c r="CQ334" s="2213"/>
      <c r="CR334" s="2208"/>
      <c r="CS334" s="2217">
        <f t="shared" si="170"/>
        <v>49.445544999902594</v>
      </c>
      <c r="CT334" s="2217">
        <f t="shared" si="160"/>
        <v>3782.6967000007467</v>
      </c>
      <c r="CU334" s="2217">
        <f>CT334-CT335</f>
        <v>44.996699999927841</v>
      </c>
      <c r="CV334" s="2212">
        <v>1</v>
      </c>
      <c r="CW334" s="2208"/>
      <c r="CX334" s="263"/>
      <c r="CY334" s="2208"/>
      <c r="CZ334" s="263"/>
      <c r="DA334" s="263"/>
      <c r="DB334" s="263"/>
      <c r="DC334" s="263"/>
      <c r="DD334" s="2208"/>
    </row>
    <row r="335" spans="1:108">
      <c r="A335" s="2217">
        <f t="shared" si="161"/>
        <v>47.349999999999994</v>
      </c>
      <c r="B335" s="2217">
        <f t="shared" si="152"/>
        <v>3675.1213678862591</v>
      </c>
      <c r="C335" s="2217">
        <v>51</v>
      </c>
      <c r="D335" s="2212">
        <v>0</v>
      </c>
      <c r="E335" s="2219"/>
      <c r="F335" s="2213"/>
      <c r="G335" s="2219"/>
      <c r="H335" s="2213"/>
      <c r="I335" s="2213"/>
      <c r="J335" s="2213"/>
      <c r="K335" s="2213"/>
      <c r="L335" s="2213"/>
      <c r="M335" s="2217">
        <f t="shared" si="162"/>
        <v>50.92</v>
      </c>
      <c r="N335" s="2217">
        <f t="shared" si="144"/>
        <v>3675.1213678862591</v>
      </c>
      <c r="O335" s="2217">
        <v>51</v>
      </c>
      <c r="P335" s="2212">
        <v>0</v>
      </c>
      <c r="Q335" s="2219"/>
      <c r="R335" s="2213"/>
      <c r="S335" s="2219"/>
      <c r="T335" s="2213"/>
      <c r="U335" s="2213"/>
      <c r="V335" s="2213"/>
      <c r="W335" s="2213"/>
      <c r="X335" s="2213"/>
      <c r="Y335" s="2217">
        <f t="shared" si="163"/>
        <v>55.510000000000005</v>
      </c>
      <c r="Z335" s="2217">
        <f t="shared" si="145"/>
        <v>3675.1213678862591</v>
      </c>
      <c r="AA335" s="2217">
        <v>51</v>
      </c>
      <c r="AB335" s="2212">
        <v>0</v>
      </c>
      <c r="AC335" s="2219"/>
      <c r="AD335" s="2213"/>
      <c r="AE335" s="2219"/>
      <c r="AF335" s="2213"/>
      <c r="AG335" s="2213"/>
      <c r="AH335" s="2213"/>
      <c r="AI335" s="2213"/>
      <c r="AJ335" s="2213"/>
      <c r="AK335" s="2217">
        <f t="shared" si="164"/>
        <v>33.58</v>
      </c>
      <c r="AL335" s="2217">
        <f t="shared" si="146"/>
        <v>3675.1213678862591</v>
      </c>
      <c r="AM335" s="2217">
        <v>51</v>
      </c>
      <c r="AN335" s="2212">
        <v>0</v>
      </c>
      <c r="AO335" s="2219"/>
      <c r="AP335" s="2213"/>
      <c r="AQ335" s="2219"/>
      <c r="AR335" s="2213"/>
      <c r="AS335" s="2213"/>
      <c r="AT335" s="2213"/>
      <c r="AU335" s="2213"/>
      <c r="AV335" s="2213"/>
      <c r="AW335" s="2217">
        <f t="shared" si="165"/>
        <v>36.396501999923515</v>
      </c>
      <c r="AX335" s="2217">
        <f t="shared" si="166"/>
        <v>3737.7000000008188</v>
      </c>
      <c r="AY335" s="2217">
        <f>AY334</f>
        <v>44.996699999927841</v>
      </c>
      <c r="AZ335" s="2212">
        <v>0</v>
      </c>
      <c r="BA335" s="2208"/>
      <c r="BB335" s="263"/>
      <c r="BC335" s="2208"/>
      <c r="BD335" s="263"/>
      <c r="BE335" s="263"/>
      <c r="BF335" s="263"/>
      <c r="BG335" s="263"/>
      <c r="BH335" s="2208"/>
      <c r="BI335" s="2217">
        <f t="shared" si="167"/>
        <v>50.345478999901147</v>
      </c>
      <c r="BJ335" s="2217">
        <f t="shared" si="157"/>
        <v>3737.7000000008188</v>
      </c>
      <c r="BK335" s="2217">
        <f>BK334</f>
        <v>44.996699999927841</v>
      </c>
      <c r="BL335" s="2212">
        <v>0</v>
      </c>
      <c r="BM335" s="2208"/>
      <c r="BN335" s="263"/>
      <c r="BO335" s="2208"/>
      <c r="BP335" s="263"/>
      <c r="BQ335" s="263"/>
      <c r="BR335" s="263"/>
      <c r="BS335" s="263"/>
      <c r="BT335" s="2208"/>
      <c r="BU335" s="2217">
        <f t="shared" si="168"/>
        <v>33.58</v>
      </c>
      <c r="BV335" s="2217">
        <f t="shared" si="149"/>
        <v>3675.1213678862591</v>
      </c>
      <c r="BW335" s="2217">
        <v>51</v>
      </c>
      <c r="BX335" s="2212">
        <v>0</v>
      </c>
      <c r="BY335" s="2219"/>
      <c r="BZ335" s="2213"/>
      <c r="CA335" s="2219"/>
      <c r="CB335" s="2213"/>
      <c r="CC335" s="2213"/>
      <c r="CD335" s="2213"/>
      <c r="CE335" s="2213"/>
      <c r="CF335" s="2208"/>
      <c r="CG335" s="2217">
        <f t="shared" si="169"/>
        <v>39.700000000000003</v>
      </c>
      <c r="CH335" s="2217">
        <f t="shared" si="150"/>
        <v>3675.1213678862591</v>
      </c>
      <c r="CI335" s="2217">
        <v>51</v>
      </c>
      <c r="CJ335" s="2212">
        <v>0</v>
      </c>
      <c r="CK335" s="2219"/>
      <c r="CL335" s="2213"/>
      <c r="CM335" s="2219"/>
      <c r="CN335" s="2213"/>
      <c r="CO335" s="2213"/>
      <c r="CP335" s="2213"/>
      <c r="CQ335" s="2213"/>
      <c r="CR335" s="2208"/>
      <c r="CS335" s="2217">
        <f t="shared" si="170"/>
        <v>49.445544999902594</v>
      </c>
      <c r="CT335" s="2217">
        <f t="shared" si="160"/>
        <v>3737.7000000008188</v>
      </c>
      <c r="CU335" s="2217">
        <f>CU334</f>
        <v>44.996699999927841</v>
      </c>
      <c r="CV335" s="2212">
        <v>0</v>
      </c>
      <c r="CW335" s="2208"/>
      <c r="CX335" s="263"/>
      <c r="CY335" s="2208"/>
      <c r="CZ335" s="263"/>
      <c r="DA335" s="263"/>
      <c r="DB335" s="263"/>
      <c r="DC335" s="263"/>
      <c r="DD335" s="2208"/>
    </row>
  </sheetData>
  <protectedRanges>
    <protectedRange sqref="B13 B16 B24:B27 B30 BJ30 BV13 BV16 AL24:AL27 N13 N16 CH24:CH27 N30 Z13 N24:N27 Z30 AL13 AL16 CT24:CT27 AL30 AX13 AX16 AX24:AX27 AX30 BJ13 BJ16 BV24:BV27 BJ24:BJ27 Z24:Z27" name="Område1_1"/>
  </protectedRanges>
  <pageMargins left="0.75" right="0.75" top="1" bottom="1" header="0.5" footer="0.5"/>
  <pageSetup paperSize="9"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11">
    <tabColor rgb="FF37ED05"/>
  </sheetPr>
  <dimension ref="A1:AG114"/>
  <sheetViews>
    <sheetView showZeros="0" zoomScaleNormal="100" workbookViewId="0">
      <selection activeCell="A12" sqref="A12"/>
    </sheetView>
  </sheetViews>
  <sheetFormatPr defaultRowHeight="12.75"/>
  <cols>
    <col min="1" max="1" width="3.7109375" customWidth="1"/>
    <col min="2" max="2" width="18.7109375" customWidth="1"/>
    <col min="3" max="3" width="9.5703125" customWidth="1"/>
    <col min="4" max="4" width="15.42578125" customWidth="1"/>
    <col min="5" max="5" width="9.5703125" customWidth="1"/>
    <col min="6" max="6" width="10.140625" customWidth="1"/>
    <col min="7" max="7" width="8.7109375" customWidth="1"/>
    <col min="8" max="8" width="10.28515625" customWidth="1"/>
    <col min="9" max="9" width="10" customWidth="1"/>
    <col min="10" max="11" width="11.140625" customWidth="1"/>
    <col min="12" max="12" width="10.85546875" customWidth="1"/>
    <col min="13" max="13" width="13.140625" customWidth="1"/>
    <col min="14" max="16" width="11.7109375" customWidth="1"/>
    <col min="17" max="17" width="10.7109375" customWidth="1"/>
    <col min="18" max="18" width="12.7109375" customWidth="1"/>
    <col min="19" max="19" width="11.85546875" customWidth="1"/>
    <col min="20" max="20" width="9.140625" customWidth="1"/>
    <col min="21" max="21" width="16.5703125" customWidth="1"/>
    <col min="22" max="23" width="11" customWidth="1"/>
    <col min="24" max="24" width="12.28515625" customWidth="1"/>
    <col min="25" max="25" width="14" bestFit="1" customWidth="1"/>
    <col min="26" max="26" width="12.28515625" bestFit="1" customWidth="1"/>
    <col min="27" max="27" width="12.5703125" bestFit="1" customWidth="1"/>
    <col min="28" max="28" width="10.85546875" customWidth="1"/>
  </cols>
  <sheetData>
    <row r="1" spans="1:33" ht="15.75">
      <c r="A1" s="2018" t="s">
        <v>1271</v>
      </c>
      <c r="B1" s="486"/>
      <c r="C1" s="486"/>
      <c r="D1" s="486"/>
      <c r="E1" s="486"/>
      <c r="F1" s="486"/>
      <c r="G1" s="486"/>
      <c r="H1" s="486"/>
      <c r="I1" s="1119"/>
      <c r="J1" s="1120"/>
      <c r="K1" s="1120"/>
      <c r="L1" s="1120"/>
      <c r="M1" s="1120"/>
      <c r="N1" s="1120"/>
      <c r="O1" s="1120"/>
      <c r="P1" s="1120"/>
      <c r="Q1" s="1121"/>
      <c r="R1" s="1130" t="s">
        <v>1742</v>
      </c>
      <c r="S1" s="1131"/>
      <c r="T1" s="1131"/>
      <c r="U1" s="2029"/>
      <c r="V1" s="2027" t="s">
        <v>1285</v>
      </c>
      <c r="W1" s="2029"/>
      <c r="X1" s="2030"/>
    </row>
    <row r="2" spans="1:33" s="232" customFormat="1" ht="19.5" customHeight="1">
      <c r="A2" s="2019" t="s">
        <v>1781</v>
      </c>
      <c r="B2" s="1458"/>
      <c r="C2" s="1458"/>
      <c r="D2" s="1458"/>
      <c r="E2" s="1458"/>
      <c r="F2" s="1458"/>
      <c r="G2" s="1458"/>
      <c r="H2" s="1458"/>
      <c r="I2" s="2022"/>
      <c r="J2" s="2016"/>
      <c r="K2" s="1427" t="s">
        <v>1299</v>
      </c>
      <c r="L2" s="2172">
        <v>10</v>
      </c>
      <c r="M2" s="2171" t="s">
        <v>1300</v>
      </c>
      <c r="N2" s="2016"/>
      <c r="O2" s="2016"/>
      <c r="P2" s="2016"/>
      <c r="Q2" s="2023"/>
      <c r="R2" s="2028"/>
      <c r="S2" s="2029"/>
      <c r="T2" s="2029"/>
      <c r="U2" s="1115"/>
      <c r="V2" s="1116" t="s">
        <v>152</v>
      </c>
      <c r="W2" s="1116" t="s">
        <v>502</v>
      </c>
      <c r="X2" s="1135"/>
    </row>
    <row r="3" spans="1:33" ht="19.5" customHeight="1">
      <c r="C3" s="2025"/>
      <c r="D3" s="2025" t="s">
        <v>1617</v>
      </c>
      <c r="E3" s="2026" t="s">
        <v>1715</v>
      </c>
      <c r="F3" s="486"/>
      <c r="G3" s="486"/>
      <c r="H3" s="486"/>
      <c r="I3" s="1122"/>
      <c r="J3" s="1114"/>
      <c r="K3" s="1114"/>
      <c r="L3" s="1114"/>
      <c r="M3" s="2425"/>
      <c r="N3" s="1114"/>
      <c r="O3" s="2017" t="s">
        <v>890</v>
      </c>
      <c r="P3" s="1426" t="s">
        <v>888</v>
      </c>
      <c r="Q3" s="1123"/>
      <c r="R3" s="1133"/>
      <c r="S3" s="1134"/>
      <c r="T3" s="1134"/>
      <c r="U3" s="1117" t="s">
        <v>145</v>
      </c>
      <c r="V3" s="2584">
        <f>+ICBM!AB27</f>
        <v>0</v>
      </c>
      <c r="W3" s="1348">
        <f>+V3*Mull_ICBM!C$10</f>
        <v>0</v>
      </c>
      <c r="X3" s="1136" t="s">
        <v>120</v>
      </c>
    </row>
    <row r="4" spans="1:33" ht="15.75">
      <c r="A4" s="710"/>
      <c r="B4" s="872"/>
      <c r="C4" s="486" t="s">
        <v>950</v>
      </c>
      <c r="E4" s="486"/>
      <c r="F4" s="1048"/>
      <c r="G4" s="1048"/>
      <c r="H4" s="1048"/>
      <c r="I4" s="1122"/>
      <c r="J4" s="1114"/>
      <c r="K4" s="2069" t="s">
        <v>136</v>
      </c>
      <c r="L4" s="1114"/>
      <c r="M4" s="1114"/>
      <c r="N4" s="1114"/>
      <c r="O4" s="1114" t="s">
        <v>891</v>
      </c>
      <c r="P4" s="1114" t="s">
        <v>949</v>
      </c>
      <c r="Q4" s="1123"/>
      <c r="R4" s="1133"/>
      <c r="S4" s="1134"/>
      <c r="T4" s="1134"/>
      <c r="U4" s="1117" t="s">
        <v>146</v>
      </c>
      <c r="V4" s="2584">
        <f>+ICBM!AB32</f>
        <v>0</v>
      </c>
      <c r="W4" s="1348">
        <f>+V4*Mull_ICBM!C$10</f>
        <v>0</v>
      </c>
      <c r="X4" s="1136" t="s">
        <v>120</v>
      </c>
      <c r="AC4" s="74"/>
      <c r="AD4" s="74"/>
      <c r="AE4" s="74"/>
      <c r="AF4" s="74"/>
      <c r="AG4" s="74"/>
    </row>
    <row r="5" spans="1:33" ht="18">
      <c r="A5" s="1049"/>
      <c r="B5" s="695"/>
      <c r="C5" s="486" t="s">
        <v>1619</v>
      </c>
      <c r="D5" s="486"/>
      <c r="E5" s="486"/>
      <c r="F5" s="1048"/>
      <c r="G5" s="1048"/>
      <c r="H5" s="1048"/>
      <c r="I5" s="1122"/>
      <c r="J5" s="2020" t="s">
        <v>824</v>
      </c>
      <c r="K5" s="2021">
        <f>Kostnader!U8</f>
        <v>0</v>
      </c>
      <c r="L5" s="1113" t="s">
        <v>143</v>
      </c>
      <c r="M5" s="1421" t="s">
        <v>896</v>
      </c>
      <c r="N5" s="1424" t="s">
        <v>823</v>
      </c>
      <c r="O5" s="1052">
        <f>Utlakning!L20</f>
        <v>37.085628571428565</v>
      </c>
      <c r="P5" s="1420">
        <f>Växthusgaser!Q14</f>
        <v>2079.6185950411914</v>
      </c>
      <c r="Q5" s="1123"/>
      <c r="R5" s="1133"/>
      <c r="S5" s="1134"/>
      <c r="T5" s="1134"/>
      <c r="U5" s="1593" t="s">
        <v>1302</v>
      </c>
      <c r="V5" s="2584">
        <f>+ICBM!AB44</f>
        <v>0</v>
      </c>
      <c r="W5" s="1348">
        <f>+V5*Mull_ICBM!C$10</f>
        <v>0</v>
      </c>
      <c r="X5" s="1136" t="s">
        <v>120</v>
      </c>
      <c r="AC5" s="153"/>
      <c r="AD5" s="153"/>
      <c r="AE5" s="153"/>
      <c r="AF5" s="74"/>
      <c r="AG5" s="74"/>
    </row>
    <row r="6" spans="1:33">
      <c r="A6" s="888"/>
      <c r="B6" s="1542"/>
      <c r="C6" s="486"/>
      <c r="D6" s="486"/>
      <c r="E6" s="486"/>
      <c r="F6" s="518"/>
      <c r="G6" s="518"/>
      <c r="H6" s="518"/>
      <c r="I6" s="1124"/>
      <c r="J6" s="2020" t="s">
        <v>1274</v>
      </c>
      <c r="K6" s="912">
        <f>Kostnader!U9</f>
        <v>0</v>
      </c>
      <c r="L6" s="1113" t="s">
        <v>143</v>
      </c>
      <c r="M6" s="2174">
        <f>L2</f>
        <v>10</v>
      </c>
      <c r="N6" s="1424" t="s">
        <v>1664</v>
      </c>
      <c r="O6" s="1052">
        <f>Utlakning!L39</f>
        <v>37.085628571428565</v>
      </c>
      <c r="P6" s="1420">
        <f>Växthusgaser!R14</f>
        <v>2079.6185950411914</v>
      </c>
      <c r="Q6" s="1123"/>
      <c r="R6" s="1133"/>
      <c r="S6" s="1134"/>
      <c r="T6" s="1134"/>
      <c r="U6" s="1593" t="s">
        <v>1293</v>
      </c>
      <c r="V6" s="2584">
        <f>+ICBM!AB72</f>
        <v>0</v>
      </c>
      <c r="W6" s="1348">
        <f>+V6*Mull_ICBM!C$10</f>
        <v>0</v>
      </c>
      <c r="X6" s="1136" t="s">
        <v>120</v>
      </c>
      <c r="AC6" s="153"/>
      <c r="AD6" s="1112"/>
      <c r="AE6" s="153"/>
      <c r="AF6" s="74"/>
      <c r="AG6" s="74"/>
    </row>
    <row r="7" spans="1:33" ht="18">
      <c r="A7" s="1"/>
      <c r="B7" s="2566" t="s">
        <v>1620</v>
      </c>
      <c r="C7" s="486"/>
      <c r="D7" s="486"/>
      <c r="E7" s="486"/>
      <c r="F7" s="486"/>
      <c r="G7" s="486"/>
      <c r="H7" s="486"/>
      <c r="I7" s="1125"/>
      <c r="J7" s="2020" t="s">
        <v>1275</v>
      </c>
      <c r="K7" s="912">
        <f>Kostnader!U10</f>
        <v>0</v>
      </c>
      <c r="L7" s="1113" t="s">
        <v>143</v>
      </c>
      <c r="M7" s="1657">
        <f>VLOOKUP(M6,ICBM!H10:Q19,10,FALSE)</f>
        <v>0</v>
      </c>
      <c r="N7" s="1424" t="s">
        <v>1663</v>
      </c>
      <c r="O7" s="1052">
        <f>IF(D10=0," ",O6-O5)</f>
        <v>0</v>
      </c>
      <c r="P7" s="1420">
        <f>P6-P5</f>
        <v>0</v>
      </c>
      <c r="Q7" s="1123"/>
      <c r="R7" s="1133"/>
      <c r="S7" s="1134"/>
      <c r="T7" s="1134"/>
      <c r="U7" s="1134"/>
      <c r="V7" s="1134"/>
      <c r="W7" s="1134"/>
      <c r="X7" s="1135"/>
      <c r="AC7" s="74"/>
      <c r="AD7" s="74"/>
      <c r="AE7" s="74"/>
      <c r="AF7" s="74"/>
      <c r="AG7" s="74"/>
    </row>
    <row r="8" spans="1:33" ht="16.5" customHeight="1" thickBot="1">
      <c r="A8" s="73"/>
      <c r="B8" s="2832"/>
      <c r="C8" s="2832"/>
      <c r="D8" s="2832"/>
      <c r="E8" s="2832"/>
      <c r="F8" s="2832"/>
      <c r="G8" s="2832"/>
      <c r="H8" s="2832"/>
      <c r="I8" s="1127"/>
      <c r="J8" s="1128"/>
      <c r="K8" s="1128"/>
      <c r="L8" s="1128"/>
      <c r="M8" s="1128"/>
      <c r="N8" s="1128"/>
      <c r="O8" s="1128"/>
      <c r="P8" s="1128"/>
      <c r="Q8" s="1129"/>
      <c r="R8" s="1133"/>
      <c r="S8" s="1543">
        <v>5</v>
      </c>
      <c r="T8" s="1118" t="s">
        <v>120</v>
      </c>
      <c r="U8" s="2078" t="s">
        <v>1879</v>
      </c>
      <c r="V8" s="1134"/>
      <c r="W8" s="1134"/>
      <c r="X8" s="1135"/>
      <c r="AC8" s="74"/>
      <c r="AD8" s="74"/>
      <c r="AE8" s="74"/>
      <c r="AF8" s="74"/>
      <c r="AG8" s="74"/>
    </row>
    <row r="9" spans="1:33">
      <c r="A9" s="733"/>
      <c r="B9" s="734"/>
      <c r="C9" s="734"/>
      <c r="D9" s="529"/>
      <c r="E9" s="529"/>
      <c r="F9" s="734"/>
      <c r="G9" s="734"/>
      <c r="H9" s="715"/>
      <c r="I9" s="529"/>
      <c r="J9" s="529"/>
      <c r="K9" s="529"/>
      <c r="L9" s="529"/>
      <c r="M9" s="529"/>
      <c r="N9" s="715"/>
      <c r="O9" s="529"/>
      <c r="P9" s="529"/>
      <c r="Q9" s="918"/>
      <c r="R9" s="1133"/>
      <c r="S9" s="1134"/>
      <c r="T9" s="1134"/>
      <c r="U9" s="1134"/>
      <c r="V9" s="1134"/>
      <c r="W9" s="1134"/>
      <c r="X9" s="1135"/>
      <c r="AC9" s="74"/>
      <c r="AD9" s="74"/>
      <c r="AE9" s="74"/>
      <c r="AF9" s="74"/>
      <c r="AG9" s="74"/>
    </row>
    <row r="10" spans="1:33" ht="15.75">
      <c r="A10" s="735" t="s">
        <v>133</v>
      </c>
      <c r="B10" s="8"/>
      <c r="C10" s="15" t="s">
        <v>134</v>
      </c>
      <c r="D10" s="732">
        <f>COUNT(D14:D23)</f>
        <v>7</v>
      </c>
      <c r="E10" s="526"/>
      <c r="F10" s="2535" t="s">
        <v>1741</v>
      </c>
      <c r="G10" s="2536"/>
      <c r="H10" s="1057" t="s">
        <v>1612</v>
      </c>
      <c r="I10" s="1061"/>
      <c r="J10" s="526"/>
      <c r="K10" s="526"/>
      <c r="L10" s="526"/>
      <c r="M10" s="526"/>
      <c r="N10" s="788"/>
      <c r="O10" s="526"/>
      <c r="P10" s="526"/>
      <c r="Q10" s="795"/>
      <c r="R10" s="1133"/>
      <c r="S10" s="1134"/>
      <c r="T10" s="1134"/>
      <c r="U10" s="1134"/>
      <c r="V10" s="1134"/>
      <c r="W10" s="1134"/>
      <c r="X10" s="1135"/>
      <c r="AC10" s="74"/>
      <c r="AD10" s="74"/>
      <c r="AE10" s="74"/>
      <c r="AF10" s="74"/>
      <c r="AG10" s="74"/>
    </row>
    <row r="11" spans="1:33" ht="14.25">
      <c r="A11" s="1053" t="s">
        <v>137</v>
      </c>
      <c r="B11" s="1054" t="s">
        <v>138</v>
      </c>
      <c r="C11" s="1055" t="s">
        <v>139</v>
      </c>
      <c r="D11" s="1056" t="s">
        <v>140</v>
      </c>
      <c r="E11" s="840"/>
      <c r="F11" s="1055" t="s">
        <v>16</v>
      </c>
      <c r="G11" s="1055" t="s">
        <v>1598</v>
      </c>
      <c r="H11" s="2549" t="s">
        <v>1613</v>
      </c>
      <c r="I11" s="697" t="s">
        <v>884</v>
      </c>
      <c r="J11" s="1056" t="s">
        <v>948</v>
      </c>
      <c r="K11" s="1057" t="s">
        <v>775</v>
      </c>
      <c r="L11" s="1058"/>
      <c r="M11" s="1059" t="s">
        <v>728</v>
      </c>
      <c r="N11" s="1060"/>
      <c r="O11" s="1061"/>
      <c r="P11" s="1056" t="s">
        <v>1270</v>
      </c>
      <c r="Q11" s="527"/>
      <c r="R11" s="1133"/>
      <c r="S11" s="1134"/>
      <c r="T11" s="1134"/>
      <c r="U11" s="1134"/>
      <c r="V11" s="1134"/>
      <c r="W11" s="1134"/>
      <c r="X11" s="1135"/>
      <c r="AD11" s="1457"/>
      <c r="AE11" s="74"/>
      <c r="AF11" s="74"/>
      <c r="AG11" s="74"/>
    </row>
    <row r="12" spans="1:33" ht="14.25">
      <c r="A12" s="1062"/>
      <c r="B12" s="1063"/>
      <c r="C12" s="1064" t="s">
        <v>133</v>
      </c>
      <c r="D12" s="1066" t="s">
        <v>774</v>
      </c>
      <c r="E12" s="822"/>
      <c r="F12" s="1064" t="s">
        <v>1597</v>
      </c>
      <c r="G12" s="1064" t="s">
        <v>1599</v>
      </c>
      <c r="H12" s="2550" t="s">
        <v>1732</v>
      </c>
      <c r="I12" s="1068" t="s">
        <v>885</v>
      </c>
      <c r="J12" s="1066" t="s">
        <v>13</v>
      </c>
      <c r="K12" s="1065"/>
      <c r="L12" s="1067"/>
      <c r="M12" s="1068"/>
      <c r="N12" s="1066" t="s">
        <v>311</v>
      </c>
      <c r="O12" s="1068" t="s">
        <v>801</v>
      </c>
      <c r="P12" s="1065"/>
      <c r="Q12" s="1370"/>
      <c r="R12" s="1371"/>
      <c r="S12" s="1372"/>
      <c r="T12" s="1372"/>
      <c r="U12" s="1372"/>
      <c r="V12" s="1372"/>
      <c r="W12" s="1372"/>
      <c r="X12" s="1373"/>
      <c r="AD12" s="74"/>
      <c r="AE12" s="74"/>
      <c r="AF12" s="74"/>
      <c r="AG12" s="74"/>
    </row>
    <row r="13" spans="1:33" ht="14.25">
      <c r="A13" s="1069"/>
      <c r="B13" s="1063"/>
      <c r="C13" s="1070" t="s">
        <v>317</v>
      </c>
      <c r="D13" s="1074" t="s">
        <v>103</v>
      </c>
      <c r="E13" s="839"/>
      <c r="F13" s="1070"/>
      <c r="G13" s="1070"/>
      <c r="H13" s="2551" t="s">
        <v>773</v>
      </c>
      <c r="I13" s="1407">
        <v>0.25</v>
      </c>
      <c r="J13" s="1072" t="s">
        <v>802</v>
      </c>
      <c r="K13" s="841" t="s">
        <v>1547</v>
      </c>
      <c r="L13" s="1073" t="s">
        <v>319</v>
      </c>
      <c r="M13" s="841" t="s">
        <v>309</v>
      </c>
      <c r="N13" s="1074" t="s">
        <v>320</v>
      </c>
      <c r="O13" s="841"/>
      <c r="P13" s="1071" t="s">
        <v>143</v>
      </c>
      <c r="Q13" s="1370"/>
      <c r="R13" s="1371"/>
      <c r="S13" s="1372"/>
      <c r="T13" s="1372"/>
      <c r="U13" s="1372"/>
      <c r="V13" s="1372"/>
      <c r="W13" s="1372"/>
      <c r="X13" s="1373"/>
      <c r="AD13" s="74"/>
      <c r="AE13" s="74"/>
      <c r="AF13" s="74"/>
      <c r="AG13" s="74"/>
    </row>
    <row r="14" spans="1:33" ht="14.25">
      <c r="A14" s="1374">
        <v>1</v>
      </c>
      <c r="B14" s="1375" t="s">
        <v>382</v>
      </c>
      <c r="C14" s="1626">
        <v>3500</v>
      </c>
      <c r="D14" s="1657">
        <f>IF(B14=0," ",(INDEX('Tekniskt underlag'!$A$5:$C$33,MATCH(B14,'Tekniskt underlag'!$A$5:$A$33,0),3)))</f>
        <v>4.0999999999999996</v>
      </c>
      <c r="E14" s="2852"/>
      <c r="F14" s="2877" t="b">
        <v>0</v>
      </c>
      <c r="G14" s="2878" t="b">
        <v>0</v>
      </c>
      <c r="H14" s="2879" t="b">
        <v>0</v>
      </c>
      <c r="I14" s="2526">
        <f>IF(B14&gt;0,IF(Mull_ICBM!H25="ja",0,(INDEX('Tekniskt underlag'!A$5:H$33,MATCH(Huvudinmatning!B14,'Tekniskt underlag'!A$5:A$33,0),8))*C14*I$13)," ")</f>
        <v>0</v>
      </c>
      <c r="J14" s="1367"/>
      <c r="K14" s="1466" t="b">
        <v>0</v>
      </c>
      <c r="L14" s="1409"/>
      <c r="M14" s="1368"/>
      <c r="N14" s="1410"/>
      <c r="O14" s="1367"/>
      <c r="P14" s="1633">
        <f t="shared" ref="P14:P23" si="0">IF(B14&gt;0,(C14*D14)+I14," ")</f>
        <v>14349.999999999998</v>
      </c>
      <c r="Q14" s="1370"/>
      <c r="R14" s="1371"/>
      <c r="S14" s="1372"/>
      <c r="T14" s="1372"/>
      <c r="U14" s="1372"/>
      <c r="V14" s="1372"/>
      <c r="W14" s="1372"/>
      <c r="X14" s="1373"/>
      <c r="AD14" s="74"/>
      <c r="AE14" s="74"/>
      <c r="AF14" s="74"/>
      <c r="AG14" s="74"/>
    </row>
    <row r="15" spans="1:33" ht="15">
      <c r="A15" s="1376">
        <v>2</v>
      </c>
      <c r="B15" s="1375" t="s">
        <v>195</v>
      </c>
      <c r="C15" s="1626">
        <v>8000</v>
      </c>
      <c r="D15" s="1657">
        <f>IF(B15=0," ",(INDEX('Tekniskt underlag'!$A$5:$C$33,MATCH(B15,'Tekniskt underlag'!$A$5:$A$33,0),3)))</f>
        <v>1.47</v>
      </c>
      <c r="E15" s="2852"/>
      <c r="F15" s="2877" t="b">
        <v>0</v>
      </c>
      <c r="G15" s="2877" t="b">
        <v>0</v>
      </c>
      <c r="H15" s="1466" t="b">
        <v>0</v>
      </c>
      <c r="I15" s="2526">
        <f>IF(B15&gt;0,IF(Mull_ICBM!H26="ja",0,(INDEX('Tekniskt underlag'!A$5:H$33,MATCH(Huvudinmatning!B15,'Tekniskt underlag'!A$5:A$33,0),8))*C15*I$13)," ")</f>
        <v>0</v>
      </c>
      <c r="J15" s="1367"/>
      <c r="K15" s="1466" t="b">
        <v>0</v>
      </c>
      <c r="L15" s="1409"/>
      <c r="M15" s="1368"/>
      <c r="N15" s="1410"/>
      <c r="O15" s="1367"/>
      <c r="P15" s="1633">
        <f t="shared" si="0"/>
        <v>11760</v>
      </c>
      <c r="Q15" s="1370"/>
      <c r="R15" s="1371"/>
      <c r="S15" s="1372"/>
      <c r="T15" s="1377"/>
      <c r="U15" s="1378"/>
      <c r="V15" s="1378"/>
      <c r="W15" s="1378"/>
      <c r="X15" s="1379"/>
      <c r="AD15" s="1018"/>
      <c r="AE15" s="74"/>
      <c r="AF15" s="74"/>
      <c r="AG15" s="74"/>
    </row>
    <row r="16" spans="1:33" ht="14.25">
      <c r="A16" s="1376">
        <v>3</v>
      </c>
      <c r="B16" s="1375" t="s">
        <v>195</v>
      </c>
      <c r="C16" s="1626">
        <v>8000</v>
      </c>
      <c r="D16" s="1657">
        <f>IF(B16=0," ",(INDEX('Tekniskt underlag'!$A$5:$C$33,MATCH(B16,'Tekniskt underlag'!$A$5:$A$33,0),3)))</f>
        <v>1.47</v>
      </c>
      <c r="E16" s="2852"/>
      <c r="F16" s="2564" t="b">
        <v>0</v>
      </c>
      <c r="G16" s="2564" t="b">
        <v>0</v>
      </c>
      <c r="H16" s="2552" t="b">
        <v>0</v>
      </c>
      <c r="I16" s="2526">
        <f>IF(B16&gt;0,IF(Mull_ICBM!H27="ja",0,(INDEX('Tekniskt underlag'!A$5:H$33,MATCH(Huvudinmatning!B16,'Tekniskt underlag'!A$5:A$33,0),8))*C16*I$13)," ")</f>
        <v>0</v>
      </c>
      <c r="J16" s="1367"/>
      <c r="K16" s="1466" t="b">
        <v>0</v>
      </c>
      <c r="L16" s="1409"/>
      <c r="M16" s="1368"/>
      <c r="N16" s="1410"/>
      <c r="O16" s="1367"/>
      <c r="P16" s="1633">
        <f t="shared" si="0"/>
        <v>11760</v>
      </c>
      <c r="Q16" s="1370"/>
      <c r="R16" s="1371"/>
      <c r="S16" s="1372"/>
      <c r="T16" s="1372"/>
      <c r="U16" s="1372"/>
      <c r="V16" s="1372"/>
      <c r="W16" s="1372"/>
      <c r="X16" s="1373"/>
      <c r="AD16" s="153"/>
      <c r="AE16" s="74"/>
      <c r="AF16" s="74"/>
      <c r="AG16" s="74"/>
    </row>
    <row r="17" spans="1:33" ht="14.25">
      <c r="A17" s="1376">
        <v>4</v>
      </c>
      <c r="B17" s="1375" t="s">
        <v>202</v>
      </c>
      <c r="C17" s="1626">
        <v>4000</v>
      </c>
      <c r="D17" s="1657">
        <f>IF(B17=0," ",(INDEX('Tekniskt underlag'!$A$5:$C$33,MATCH(B17,'Tekniskt underlag'!$A$5:$A$33,0),3)))</f>
        <v>1.83</v>
      </c>
      <c r="E17" s="2852"/>
      <c r="F17" s="2877" t="b">
        <v>0</v>
      </c>
      <c r="G17" s="2877" t="b">
        <v>0</v>
      </c>
      <c r="H17" s="1466" t="b">
        <v>0</v>
      </c>
      <c r="I17" s="2526">
        <f>IF(B17&gt;0,IF(Mull_ICBM!H28="ja",0,(INDEX('Tekniskt underlag'!A$5:H$33,MATCH(Huvudinmatning!B17,'Tekniskt underlag'!A$5:A$33,0),8))*C17*I$13)," ")</f>
        <v>0</v>
      </c>
      <c r="J17" s="1367"/>
      <c r="K17" s="1466" t="b">
        <v>0</v>
      </c>
      <c r="L17" s="1409"/>
      <c r="M17" s="1368"/>
      <c r="N17" s="1410"/>
      <c r="O17" s="1367"/>
      <c r="P17" s="1633">
        <f t="shared" si="0"/>
        <v>7320</v>
      </c>
      <c r="Q17" s="1370"/>
      <c r="R17" s="1371"/>
      <c r="S17" s="1372"/>
      <c r="T17" s="1372"/>
      <c r="U17" s="1372"/>
      <c r="V17" s="1372"/>
      <c r="W17" s="1372"/>
      <c r="X17" s="1373"/>
      <c r="AE17" s="74"/>
      <c r="AF17" s="74"/>
      <c r="AG17" s="74"/>
    </row>
    <row r="18" spans="1:33" ht="14.25">
      <c r="A18" s="1376">
        <v>5</v>
      </c>
      <c r="B18" s="1375" t="s">
        <v>195</v>
      </c>
      <c r="C18" s="1626">
        <v>8000</v>
      </c>
      <c r="D18" s="1657">
        <f>IF(B18=0," ",(INDEX('Tekniskt underlag'!$A$5:$C$33,MATCH(B18,'Tekniskt underlag'!$A$5:$A$33,0),3)))</f>
        <v>1.47</v>
      </c>
      <c r="E18" s="2852"/>
      <c r="F18" s="2877" t="b">
        <v>0</v>
      </c>
      <c r="G18" s="2877" t="b">
        <v>0</v>
      </c>
      <c r="H18" s="1466" t="b">
        <v>0</v>
      </c>
      <c r="I18" s="2526">
        <f>IF(B18&gt;0,IF(Mull_ICBM!H29="ja",0,(INDEX('Tekniskt underlag'!A$5:H$33,MATCH(Huvudinmatning!B18,'Tekniskt underlag'!A$5:A$33,0),8))*C18*I$13)," ")</f>
        <v>0</v>
      </c>
      <c r="J18" s="1367"/>
      <c r="K18" s="1466" t="b">
        <v>0</v>
      </c>
      <c r="L18" s="1409"/>
      <c r="M18" s="1368"/>
      <c r="N18" s="1410"/>
      <c r="O18" s="1367"/>
      <c r="P18" s="1633">
        <f t="shared" si="0"/>
        <v>11760</v>
      </c>
      <c r="Q18" s="1370"/>
      <c r="R18" s="1371"/>
      <c r="S18" s="1372"/>
      <c r="T18" s="1372"/>
      <c r="U18" s="1372"/>
      <c r="V18" s="1372"/>
      <c r="W18" s="1372"/>
      <c r="X18" s="1373"/>
      <c r="AD18" s="74"/>
      <c r="AE18" s="74"/>
      <c r="AF18" s="74"/>
      <c r="AG18" s="74"/>
    </row>
    <row r="19" spans="1:33" ht="14.25">
      <c r="A19" s="1376">
        <v>6</v>
      </c>
      <c r="B19" s="1375" t="s">
        <v>195</v>
      </c>
      <c r="C19" s="1626">
        <v>8000</v>
      </c>
      <c r="D19" s="1657">
        <f>IF(B19=0," ",(INDEX('Tekniskt underlag'!$A$5:$C$33,MATCH(B19,'Tekniskt underlag'!$A$5:$A$33,0),3)))</f>
        <v>1.47</v>
      </c>
      <c r="E19" s="2852"/>
      <c r="F19" s="2877" t="b">
        <v>0</v>
      </c>
      <c r="G19" s="2877" t="b">
        <v>0</v>
      </c>
      <c r="H19" s="1466" t="b">
        <v>0</v>
      </c>
      <c r="I19" s="2526">
        <f>IF(B19&gt;0,IF(Mull_ICBM!H30="ja",0,(INDEX('Tekniskt underlag'!A$5:H$33,MATCH(Huvudinmatning!B19,'Tekniskt underlag'!A$5:A$33,0),8))*C19*I$13)," ")</f>
        <v>0</v>
      </c>
      <c r="J19" s="1367"/>
      <c r="K19" s="1466" t="b">
        <v>0</v>
      </c>
      <c r="L19" s="1409"/>
      <c r="M19" s="1368"/>
      <c r="N19" s="1410"/>
      <c r="O19" s="1367"/>
      <c r="P19" s="1633">
        <f t="shared" si="0"/>
        <v>11760</v>
      </c>
      <c r="Q19" s="1370"/>
      <c r="R19" s="1371"/>
      <c r="S19" s="1372"/>
      <c r="T19" s="1372"/>
      <c r="U19" s="1372"/>
      <c r="V19" s="1372"/>
      <c r="W19" s="1372"/>
      <c r="X19" s="1373"/>
      <c r="AD19" s="74"/>
      <c r="AE19" s="74"/>
      <c r="AF19" s="74"/>
      <c r="AG19" s="74"/>
    </row>
    <row r="20" spans="1:33" ht="14.25">
      <c r="A20" s="1376">
        <v>7</v>
      </c>
      <c r="B20" s="1375" t="s">
        <v>199</v>
      </c>
      <c r="C20" s="1626">
        <v>5500</v>
      </c>
      <c r="D20" s="1657">
        <f>IF(B20=0," ",(INDEX('Tekniskt underlag'!$A$5:$C$33,MATCH(B20,'Tekniskt underlag'!$A$5:$A$33,0),3)))</f>
        <v>1.62</v>
      </c>
      <c r="E20" s="2852"/>
      <c r="F20" s="2877" t="b">
        <v>0</v>
      </c>
      <c r="G20" s="2877" t="b">
        <v>0</v>
      </c>
      <c r="H20" s="1466" t="b">
        <v>0</v>
      </c>
      <c r="I20" s="2526">
        <f>IF(B20&gt;0,IF(Mull_ICBM!H31="ja",0,(INDEX('Tekniskt underlag'!A$5:H$33,MATCH(Huvudinmatning!B20,'Tekniskt underlag'!A$5:A$33,0),8))*C20*I$13)," ")</f>
        <v>0</v>
      </c>
      <c r="J20" s="1367"/>
      <c r="K20" s="1466" t="b">
        <v>0</v>
      </c>
      <c r="L20" s="1409"/>
      <c r="M20" s="1368"/>
      <c r="N20" s="1410"/>
      <c r="O20" s="1367"/>
      <c r="P20" s="1633">
        <f t="shared" si="0"/>
        <v>8910</v>
      </c>
      <c r="Q20" s="1370"/>
      <c r="R20" s="1371"/>
      <c r="S20" s="1372"/>
      <c r="T20" s="1372"/>
      <c r="U20" s="1372"/>
      <c r="V20" s="1372"/>
      <c r="W20" s="1372"/>
      <c r="X20" s="1373"/>
      <c r="AD20" s="74"/>
      <c r="AE20" s="74"/>
      <c r="AF20" s="74"/>
      <c r="AG20" s="74"/>
    </row>
    <row r="21" spans="1:33" ht="14.25">
      <c r="A21" s="1376">
        <v>8</v>
      </c>
      <c r="B21" s="1375"/>
      <c r="C21" s="1626"/>
      <c r="D21" s="1657" t="str">
        <f>IF(B21=0," ",(INDEX('Tekniskt underlag'!$A$5:$C$33,MATCH(B21,'Tekniskt underlag'!$A$5:$A$33,0),3)))</f>
        <v xml:space="preserve"> </v>
      </c>
      <c r="E21" s="2852"/>
      <c r="F21" s="2877" t="b">
        <v>0</v>
      </c>
      <c r="G21" s="2877" t="b">
        <v>0</v>
      </c>
      <c r="H21" s="1466" t="b">
        <v>0</v>
      </c>
      <c r="I21" s="2526" t="str">
        <f>IF(B21&gt;0,IF(Mull_ICBM!H32="ja",0,(INDEX('Tekniskt underlag'!A$5:H$33,MATCH(Huvudinmatning!B21,'Tekniskt underlag'!A$5:A$33,0),8))*C21*I$13)," ")</f>
        <v xml:space="preserve"> </v>
      </c>
      <c r="J21" s="1367"/>
      <c r="K21" s="1466" t="b">
        <v>0</v>
      </c>
      <c r="L21" s="1409"/>
      <c r="M21" s="1368"/>
      <c r="N21" s="1410"/>
      <c r="O21" s="1367"/>
      <c r="P21" s="1633" t="str">
        <f t="shared" si="0"/>
        <v xml:space="preserve"> </v>
      </c>
      <c r="Q21" s="1370"/>
      <c r="R21" s="1371"/>
      <c r="S21" s="1372"/>
      <c r="T21" s="1372"/>
      <c r="U21" s="1372"/>
      <c r="V21" s="1372"/>
      <c r="W21" s="1372"/>
      <c r="X21" s="1373"/>
      <c r="AD21" s="74"/>
      <c r="AE21" s="74"/>
      <c r="AF21" s="74"/>
      <c r="AG21" s="74"/>
    </row>
    <row r="22" spans="1:33" ht="14.25">
      <c r="A22" s="1376">
        <v>9</v>
      </c>
      <c r="B22" s="1375"/>
      <c r="C22" s="1626"/>
      <c r="D22" s="1657" t="str">
        <f>IF(B22=0," ",(INDEX('Tekniskt underlag'!$A$5:$C$33,MATCH(B22,'Tekniskt underlag'!$A$5:$A$33,0),3)))</f>
        <v xml:space="preserve"> </v>
      </c>
      <c r="E22" s="2852"/>
      <c r="F22" s="2877" t="b">
        <v>0</v>
      </c>
      <c r="G22" s="2877" t="b">
        <v>0</v>
      </c>
      <c r="H22" s="1466" t="b">
        <v>0</v>
      </c>
      <c r="I22" s="2526" t="str">
        <f>IF(B22&gt;0,IF(Mull_ICBM!H33="ja",0,(INDEX('Tekniskt underlag'!A$5:H$33,MATCH(Huvudinmatning!B22,'Tekniskt underlag'!A$5:A$33,0),8))*C22*I$13)," ")</f>
        <v xml:space="preserve"> </v>
      </c>
      <c r="J22" s="1367"/>
      <c r="K22" s="1466" t="b">
        <v>0</v>
      </c>
      <c r="L22" s="1409"/>
      <c r="M22" s="1368"/>
      <c r="N22" s="1410"/>
      <c r="O22" s="1367"/>
      <c r="P22" s="1633" t="str">
        <f t="shared" si="0"/>
        <v xml:space="preserve"> </v>
      </c>
      <c r="Q22" s="1370"/>
      <c r="R22" s="1371"/>
      <c r="S22" s="1372"/>
      <c r="T22" s="1372"/>
      <c r="U22" s="1372"/>
      <c r="V22" s="1372"/>
      <c r="W22" s="1372"/>
      <c r="X22" s="1373"/>
      <c r="AD22" s="74"/>
      <c r="AE22" s="74"/>
      <c r="AF22" s="74"/>
      <c r="AG22" s="74"/>
    </row>
    <row r="23" spans="1:33" ht="14.25">
      <c r="A23" s="1376">
        <v>10</v>
      </c>
      <c r="B23" s="1375"/>
      <c r="C23" s="1626"/>
      <c r="D23" s="1657" t="str">
        <f>IF(B23=0," ",(INDEX('Tekniskt underlag'!$A$5:$C$33,MATCH(B23,'Tekniskt underlag'!$A$5:$A$33,0),3)))</f>
        <v xml:space="preserve"> </v>
      </c>
      <c r="E23" s="2852"/>
      <c r="F23" s="2877" t="b">
        <v>0</v>
      </c>
      <c r="G23" s="2877" t="b">
        <v>0</v>
      </c>
      <c r="H23" s="1466" t="b">
        <v>0</v>
      </c>
      <c r="I23" s="2526" t="str">
        <f>IF(B23&gt;0,IF(Mull_ICBM!H34="ja",0,(INDEX('Tekniskt underlag'!A$5:H$33,MATCH(Huvudinmatning!B23,'Tekniskt underlag'!A$5:A$33,0),8))*C23*I$13)," ")</f>
        <v xml:space="preserve"> </v>
      </c>
      <c r="J23" s="1367"/>
      <c r="K23" s="1466" t="b">
        <v>0</v>
      </c>
      <c r="L23" s="1409"/>
      <c r="M23" s="1368"/>
      <c r="N23" s="1410"/>
      <c r="O23" s="1367"/>
      <c r="P23" s="1634" t="str">
        <f t="shared" si="0"/>
        <v xml:space="preserve"> </v>
      </c>
      <c r="Q23" s="1370"/>
      <c r="R23" s="1371"/>
      <c r="S23" s="1372"/>
      <c r="T23" s="1372"/>
      <c r="U23" s="1372"/>
      <c r="V23" s="1372"/>
      <c r="W23" s="1372"/>
      <c r="X23" s="1373"/>
      <c r="AD23" s="74"/>
      <c r="AE23" s="74"/>
      <c r="AF23" s="74"/>
      <c r="AG23" s="74"/>
    </row>
    <row r="24" spans="1:33" ht="15">
      <c r="A24" s="1380"/>
      <c r="B24" s="1381"/>
      <c r="C24" s="1381"/>
      <c r="D24" s="1382"/>
      <c r="E24" s="526"/>
      <c r="F24" s="1381"/>
      <c r="G24" s="1381"/>
      <c r="H24" s="846"/>
      <c r="I24" s="846"/>
      <c r="J24" s="526"/>
      <c r="K24" s="846"/>
      <c r="L24" s="846"/>
      <c r="M24" s="846"/>
      <c r="N24" s="1382"/>
      <c r="O24" s="846"/>
      <c r="P24" s="2015">
        <f>SUM(P14:P23)/D10</f>
        <v>11088.571428571429</v>
      </c>
      <c r="Q24" s="2039"/>
      <c r="R24" s="1371"/>
      <c r="S24" s="1372"/>
      <c r="T24" s="1372"/>
      <c r="U24" s="1372"/>
      <c r="V24" s="1372"/>
      <c r="W24" s="1372"/>
      <c r="X24" s="1373"/>
      <c r="AD24" s="74"/>
      <c r="AE24" s="74"/>
      <c r="AF24" s="74"/>
      <c r="AG24" s="74"/>
    </row>
    <row r="25" spans="1:33" ht="8.25" customHeight="1" thickBot="1">
      <c r="A25" s="1383"/>
      <c r="B25" s="1384"/>
      <c r="C25" s="1384"/>
      <c r="D25" s="1385"/>
      <c r="E25" s="562"/>
      <c r="F25" s="1384"/>
      <c r="G25" s="1384"/>
      <c r="H25" s="1386"/>
      <c r="I25" s="1385"/>
      <c r="J25" s="1385"/>
      <c r="K25" s="1385"/>
      <c r="L25" s="1385"/>
      <c r="M25" s="1385"/>
      <c r="N25" s="1386"/>
      <c r="O25" s="1385"/>
      <c r="P25" s="1385"/>
      <c r="Q25" s="1387"/>
      <c r="R25" s="1388"/>
      <c r="S25" s="1389"/>
      <c r="T25" s="1389"/>
      <c r="U25" s="1389"/>
      <c r="V25" s="1389"/>
      <c r="W25" s="1389"/>
      <c r="X25" s="1390"/>
      <c r="AC25" s="1018"/>
      <c r="AD25" s="74"/>
      <c r="AE25" s="74"/>
      <c r="AF25" s="74"/>
      <c r="AG25" s="74"/>
    </row>
    <row r="26" spans="1:33" ht="11.25" customHeight="1" thickBot="1">
      <c r="A26" s="1391"/>
      <c r="B26" s="1392"/>
      <c r="C26" s="1392"/>
      <c r="D26" s="1392"/>
      <c r="E26" s="1392"/>
      <c r="F26" s="1392"/>
      <c r="G26" s="1393"/>
      <c r="H26" s="1393"/>
      <c r="I26" s="1393"/>
      <c r="J26" s="1394"/>
      <c r="K26" s="1393"/>
      <c r="L26" s="1395"/>
      <c r="M26" s="1396"/>
      <c r="N26" s="1391"/>
      <c r="O26" s="1391"/>
      <c r="P26" s="1391"/>
      <c r="Q26" s="1391"/>
      <c r="R26" s="1391"/>
      <c r="S26" s="1391"/>
      <c r="T26" s="1391"/>
      <c r="U26" s="1635"/>
      <c r="V26" s="1636"/>
      <c r="W26" s="1636"/>
      <c r="X26" s="1636"/>
      <c r="Y26" s="1636"/>
      <c r="Z26" s="1636"/>
      <c r="AA26" s="1636"/>
      <c r="AB26" s="74"/>
      <c r="AC26" s="74"/>
      <c r="AD26" s="74"/>
      <c r="AE26" s="74"/>
      <c r="AF26" s="74"/>
      <c r="AG26" s="74"/>
    </row>
    <row r="27" spans="1:33" ht="8.25" customHeight="1">
      <c r="A27" s="1397"/>
      <c r="B27" s="1398"/>
      <c r="C27" s="1398"/>
      <c r="D27" s="1398"/>
      <c r="E27" s="1398"/>
      <c r="F27" s="1399"/>
      <c r="G27" s="1399"/>
      <c r="H27" s="1398"/>
      <c r="I27" s="1398"/>
      <c r="J27" s="529"/>
      <c r="K27" s="1398"/>
      <c r="L27" s="529"/>
      <c r="M27" s="529"/>
      <c r="N27" s="529"/>
      <c r="O27" s="1399"/>
      <c r="P27" s="1399"/>
      <c r="Q27" s="1399"/>
      <c r="R27" s="529"/>
      <c r="S27" s="529"/>
      <c r="T27" s="529"/>
      <c r="U27" s="529"/>
      <c r="V27" s="529"/>
      <c r="W27" s="1398"/>
      <c r="X27" s="1400"/>
      <c r="AC27" s="1625"/>
      <c r="AD27" s="1625"/>
      <c r="AE27" s="1625"/>
      <c r="AF27" s="1625"/>
    </row>
    <row r="28" spans="1:33" ht="15">
      <c r="A28" s="1401" t="s">
        <v>147</v>
      </c>
      <c r="B28" s="1381"/>
      <c r="C28" s="1402" t="s">
        <v>134</v>
      </c>
      <c r="D28" s="1403">
        <f>COUNT(H33:H42)</f>
        <v>7</v>
      </c>
      <c r="E28" s="846"/>
      <c r="F28" s="526"/>
      <c r="G28" s="1381"/>
      <c r="H28" s="526"/>
      <c r="I28" s="1381"/>
      <c r="J28" s="526"/>
      <c r="K28" s="2546" t="s">
        <v>1741</v>
      </c>
      <c r="L28" s="2547"/>
      <c r="M28" s="1565" t="s">
        <v>1612</v>
      </c>
      <c r="N28" s="1061"/>
      <c r="O28" s="846"/>
      <c r="P28" s="526"/>
      <c r="Q28" s="526"/>
      <c r="R28" s="526"/>
      <c r="S28" s="526"/>
      <c r="T28" s="526"/>
      <c r="U28" s="526"/>
      <c r="V28" s="526"/>
      <c r="W28" s="1381"/>
      <c r="X28" s="1404"/>
      <c r="AC28" s="164" t="s">
        <v>1533</v>
      </c>
    </row>
    <row r="29" spans="1:33" ht="15">
      <c r="A29" s="1053" t="s">
        <v>137</v>
      </c>
      <c r="B29" s="1054" t="s">
        <v>138</v>
      </c>
      <c r="C29" s="1075" t="s">
        <v>139</v>
      </c>
      <c r="D29" s="1057" t="s">
        <v>754</v>
      </c>
      <c r="E29" s="1058"/>
      <c r="F29" s="1629" t="s">
        <v>893</v>
      </c>
      <c r="G29" s="1630"/>
      <c r="H29" s="1056" t="s">
        <v>150</v>
      </c>
      <c r="I29" s="1055" t="s">
        <v>809</v>
      </c>
      <c r="J29" s="774"/>
      <c r="K29" s="1075" t="s">
        <v>16</v>
      </c>
      <c r="L29" s="1075" t="s">
        <v>1598</v>
      </c>
      <c r="M29" s="2549" t="s">
        <v>1613</v>
      </c>
      <c r="N29" s="2548" t="s">
        <v>884</v>
      </c>
      <c r="O29" s="1056" t="s">
        <v>948</v>
      </c>
      <c r="P29" s="1057" t="s">
        <v>775</v>
      </c>
      <c r="Q29" s="1058"/>
      <c r="R29" s="1059" t="s">
        <v>728</v>
      </c>
      <c r="S29" s="1060"/>
      <c r="T29" s="1061"/>
      <c r="U29" s="1082" t="s">
        <v>148</v>
      </c>
      <c r="V29" s="1565" t="s">
        <v>874</v>
      </c>
      <c r="W29" s="1056" t="s">
        <v>1270</v>
      </c>
      <c r="X29" s="1404"/>
      <c r="AE29" t="s">
        <v>1534</v>
      </c>
      <c r="AF29" s="2507"/>
    </row>
    <row r="30" spans="1:33" ht="15">
      <c r="A30" s="1062"/>
      <c r="B30" s="1063"/>
      <c r="C30" s="1076" t="s">
        <v>133</v>
      </c>
      <c r="D30" s="1077" t="s">
        <v>138</v>
      </c>
      <c r="E30" s="1077" t="s">
        <v>139</v>
      </c>
      <c r="F30" s="1563" t="s">
        <v>151</v>
      </c>
      <c r="G30" s="1631" t="s">
        <v>381</v>
      </c>
      <c r="H30" s="1065"/>
      <c r="I30" s="1622" t="s">
        <v>774</v>
      </c>
      <c r="J30" s="776"/>
      <c r="K30" s="1076" t="s">
        <v>1597</v>
      </c>
      <c r="L30" s="1076" t="s">
        <v>1599</v>
      </c>
      <c r="M30" s="2550" t="s">
        <v>1732</v>
      </c>
      <c r="N30" s="1624" t="s">
        <v>914</v>
      </c>
      <c r="O30" s="1066" t="s">
        <v>13</v>
      </c>
      <c r="P30" s="1065"/>
      <c r="Q30" s="1067"/>
      <c r="R30" s="1068"/>
      <c r="S30" s="1066" t="s">
        <v>311</v>
      </c>
      <c r="T30" s="1068" t="s">
        <v>801</v>
      </c>
      <c r="U30" s="1066" t="s">
        <v>898</v>
      </c>
      <c r="V30" s="1566" t="s">
        <v>883</v>
      </c>
      <c r="W30" s="1065" t="s">
        <v>142</v>
      </c>
      <c r="X30" s="1404"/>
      <c r="AC30" t="s">
        <v>1535</v>
      </c>
      <c r="AD30" t="s">
        <v>1167</v>
      </c>
      <c r="AE30" t="s">
        <v>1536</v>
      </c>
      <c r="AF30" s="2507"/>
    </row>
    <row r="31" spans="1:33" ht="14.25">
      <c r="A31" s="1062"/>
      <c r="B31" s="1063"/>
      <c r="C31" s="1076"/>
      <c r="D31" s="1077"/>
      <c r="E31" s="1077"/>
      <c r="F31" s="796"/>
      <c r="G31" s="526"/>
      <c r="H31" s="1065"/>
      <c r="I31" s="796"/>
      <c r="J31" s="776"/>
      <c r="K31" s="1076"/>
      <c r="L31" s="1076"/>
      <c r="M31" s="2551" t="s">
        <v>773</v>
      </c>
      <c r="N31" s="1624"/>
      <c r="O31" s="1066"/>
      <c r="P31" s="1065"/>
      <c r="Q31" s="1562"/>
      <c r="R31" s="1068"/>
      <c r="S31" s="1066"/>
      <c r="T31" s="1624"/>
      <c r="U31" s="1068" t="s">
        <v>1269</v>
      </c>
      <c r="V31" s="1566"/>
      <c r="W31" s="1065"/>
      <c r="X31" s="1404"/>
      <c r="AC31" t="s">
        <v>1537</v>
      </c>
      <c r="AE31" t="s">
        <v>1538</v>
      </c>
    </row>
    <row r="32" spans="1:33" ht="14.25">
      <c r="A32" s="1069"/>
      <c r="B32" s="1063"/>
      <c r="C32" s="1078" t="s">
        <v>317</v>
      </c>
      <c r="D32" s="1079" t="s">
        <v>769</v>
      </c>
      <c r="E32" s="1079" t="s">
        <v>317</v>
      </c>
      <c r="F32" s="1564" t="s">
        <v>317</v>
      </c>
      <c r="G32" s="1632" t="s">
        <v>317</v>
      </c>
      <c r="H32" s="841" t="s">
        <v>317</v>
      </c>
      <c r="I32" s="1623" t="s">
        <v>103</v>
      </c>
      <c r="J32" s="779"/>
      <c r="K32" s="1078"/>
      <c r="L32" s="1078"/>
      <c r="M32" s="1651"/>
      <c r="N32" s="793" t="s">
        <v>1551</v>
      </c>
      <c r="O32" s="1072" t="s">
        <v>802</v>
      </c>
      <c r="P32" s="841" t="s">
        <v>1547</v>
      </c>
      <c r="Q32" s="1073" t="s">
        <v>319</v>
      </c>
      <c r="R32" s="841" t="s">
        <v>309</v>
      </c>
      <c r="S32" s="1074" t="s">
        <v>320</v>
      </c>
      <c r="T32" s="1624"/>
      <c r="U32" s="2694">
        <f>SUM(U33:U42)/D28</f>
        <v>0</v>
      </c>
      <c r="V32" s="1567" t="s">
        <v>143</v>
      </c>
      <c r="W32" s="841"/>
      <c r="X32" s="1404"/>
      <c r="AE32" t="s">
        <v>1539</v>
      </c>
    </row>
    <row r="33" spans="1:32" ht="13.5" customHeight="1">
      <c r="A33" s="1365">
        <v>1</v>
      </c>
      <c r="B33" s="1464" t="str">
        <f t="shared" ref="B33:B42" si="1">IF(B14=0," ",B14)</f>
        <v xml:space="preserve">Höstraps </v>
      </c>
      <c r="C33" s="1465">
        <f t="shared" ref="C33:C42" si="2">C14</f>
        <v>3500</v>
      </c>
      <c r="D33" s="1366"/>
      <c r="E33" s="1626"/>
      <c r="F33" s="1627"/>
      <c r="G33" s="1627"/>
      <c r="H33" s="1369">
        <f t="shared" ref="H33:H42" si="3">IF((C33+E33)&gt;0,IF(D33&gt;0,SUM(E33,F33,G33),IF(B33&gt;0,SUM(C33,F33,G33)))," ")</f>
        <v>3500</v>
      </c>
      <c r="I33" s="1658">
        <f>IF(H33=" "," ",IF(D33&gt;0,(INDEX('Tekniskt underlag'!$A$5:$C$32,MATCH(D33,'Tekniskt underlag'!$A$5:$A304,0),3)),(INDEX('Tekniskt underlag'!$A$5:$C$32,MATCH(B33,'Tekniskt underlag'!$A$5:$A$29,0),3))))</f>
        <v>4.0999999999999996</v>
      </c>
      <c r="J33" s="2852"/>
      <c r="K33" s="2564" t="b">
        <v>0</v>
      </c>
      <c r="L33" s="2564" t="b">
        <v>0</v>
      </c>
      <c r="M33" s="2564" t="b">
        <v>0</v>
      </c>
      <c r="N33" s="2526">
        <f>IF(H33=" "," ",IF(Mull_ICBM!H48="ja",0,(INDEX('Tekniskt underlag'!A$5:H$33,MATCH(Kostnader!B31,'Tekniskt underlag'!A$5:A$33,0),8))*H33*I$13))</f>
        <v>0</v>
      </c>
      <c r="O33" s="1367"/>
      <c r="P33" s="1466" t="b">
        <v>0</v>
      </c>
      <c r="Q33" s="1408"/>
      <c r="R33" s="1368"/>
      <c r="S33" s="1409"/>
      <c r="T33" s="1367"/>
      <c r="U33" s="2695">
        <f>IF(H33=" "," ",VLOOKUP(L$2,ICBM!H$10:Q$19,10,FALSE)/100*H33*I33)</f>
        <v>0</v>
      </c>
      <c r="V33" s="1411"/>
      <c r="W33" s="1638">
        <f t="shared" ref="W33:W42" si="4">IF(H33=" "," ",(H33*I33)+N33+U33+V33)</f>
        <v>14349.999999999998</v>
      </c>
      <c r="X33" s="1404"/>
      <c r="AC33" s="2508">
        <v>1.8</v>
      </c>
      <c r="AD33" s="2509">
        <f t="shared" ref="AD33:AD42" si="5">IF(C33&gt;0,H33*AC33*0.01,0)</f>
        <v>63</v>
      </c>
      <c r="AE33" s="2510"/>
    </row>
    <row r="34" spans="1:32" ht="15">
      <c r="A34" s="1365">
        <v>2</v>
      </c>
      <c r="B34" s="1464" t="str">
        <f t="shared" si="1"/>
        <v>Höstvete bröd</v>
      </c>
      <c r="C34" s="1465">
        <f t="shared" si="2"/>
        <v>8000</v>
      </c>
      <c r="D34" s="1366"/>
      <c r="E34" s="1626"/>
      <c r="F34" s="1627"/>
      <c r="G34" s="1628"/>
      <c r="H34" s="1369">
        <f t="shared" si="3"/>
        <v>8000</v>
      </c>
      <c r="I34" s="1658">
        <f>IF(H34=" "," ",IF(D34&gt;0,(INDEX('Tekniskt underlag'!$A$5:$C$32,MATCH(D34,'Tekniskt underlag'!$A$5:$A305,0),3)),(INDEX('Tekniskt underlag'!$A$5:$C$32,MATCH(B34,'Tekniskt underlag'!$A$5:$A$29,0),3))))</f>
        <v>1.47</v>
      </c>
      <c r="J34" s="2852"/>
      <c r="K34" s="2564" t="b">
        <v>0</v>
      </c>
      <c r="L34" s="2564" t="b">
        <v>0</v>
      </c>
      <c r="M34" s="2552" t="b">
        <v>0</v>
      </c>
      <c r="N34" s="2526">
        <f>IF(H34=" "," ",IF(Mull_ICBM!H49="ja",0,(INDEX('Tekniskt underlag'!A$5:H$33,MATCH(Kostnader!B32,'Tekniskt underlag'!A$5:A$33,0),8))*H34*I$13))</f>
        <v>0</v>
      </c>
      <c r="O34" s="1367"/>
      <c r="P34" s="1466" t="b">
        <v>0</v>
      </c>
      <c r="Q34" s="1408"/>
      <c r="R34" s="1368"/>
      <c r="S34" s="1409"/>
      <c r="T34" s="1367"/>
      <c r="U34" s="2695">
        <f>IF(H34=" "," ",VLOOKUP(L$2,ICBM!H$10:Q$19,10,FALSE)/100*H34*I34)</f>
        <v>0</v>
      </c>
      <c r="V34" s="1408"/>
      <c r="W34" s="1638">
        <f t="shared" si="4"/>
        <v>11760</v>
      </c>
      <c r="X34" s="1404"/>
      <c r="AC34" s="2510">
        <v>1.8</v>
      </c>
      <c r="AD34" s="2509">
        <f t="shared" si="5"/>
        <v>144</v>
      </c>
      <c r="AE34" s="2510"/>
      <c r="AF34" s="2507"/>
    </row>
    <row r="35" spans="1:32" ht="15">
      <c r="A35" s="1365">
        <v>3</v>
      </c>
      <c r="B35" s="1464" t="str">
        <f t="shared" si="1"/>
        <v>Höstvete bröd</v>
      </c>
      <c r="C35" s="1465">
        <f t="shared" si="2"/>
        <v>8000</v>
      </c>
      <c r="D35" s="1366"/>
      <c r="E35" s="1626"/>
      <c r="F35" s="1627"/>
      <c r="G35" s="1628"/>
      <c r="H35" s="1369">
        <f t="shared" si="3"/>
        <v>8000</v>
      </c>
      <c r="I35" s="1658">
        <f>IF(H35=" "," ",IF(D35&gt;0,(INDEX('Tekniskt underlag'!$A$5:$C$32,MATCH(D35,'Tekniskt underlag'!$A$5:$A306,0),3)),(INDEX('Tekniskt underlag'!$A$5:$C$32,MATCH(B35,'Tekniskt underlag'!$A$5:$A$29,0),3))))</f>
        <v>1.47</v>
      </c>
      <c r="J35" s="2852"/>
      <c r="K35" s="2564" t="b">
        <v>0</v>
      </c>
      <c r="L35" s="2564" t="b">
        <v>0</v>
      </c>
      <c r="M35" s="2552" t="b">
        <v>0</v>
      </c>
      <c r="N35" s="2526">
        <f>IF(H35=" "," ",IF(Mull_ICBM!H50="ja",0,(INDEX('Tekniskt underlag'!A$5:H$33,MATCH(Kostnader!B33,'Tekniskt underlag'!A$5:A$33,0),8))*H35*I$13))</f>
        <v>0</v>
      </c>
      <c r="O35" s="1367"/>
      <c r="P35" s="1466" t="b">
        <v>0</v>
      </c>
      <c r="Q35" s="1408"/>
      <c r="R35" s="1368"/>
      <c r="S35" s="1409"/>
      <c r="T35" s="1367"/>
      <c r="U35" s="2695">
        <f>IF(H35=" "," ",VLOOKUP(L$2,ICBM!H$10:Q$19,10,FALSE)/100*H35*I35)</f>
        <v>0</v>
      </c>
      <c r="V35" s="1408"/>
      <c r="W35" s="1638">
        <f t="shared" si="4"/>
        <v>11760</v>
      </c>
      <c r="X35" s="1404"/>
      <c r="AC35" s="2510">
        <v>1.8</v>
      </c>
      <c r="AD35" s="2509">
        <f t="shared" si="5"/>
        <v>144</v>
      </c>
      <c r="AE35" s="2510"/>
      <c r="AF35" s="2507"/>
    </row>
    <row r="36" spans="1:32" ht="15">
      <c r="A36" s="1365">
        <v>4</v>
      </c>
      <c r="B36" s="1464" t="str">
        <f t="shared" si="1"/>
        <v>Foderärt</v>
      </c>
      <c r="C36" s="1465">
        <f t="shared" si="2"/>
        <v>4000</v>
      </c>
      <c r="D36" s="1366"/>
      <c r="E36" s="1626"/>
      <c r="F36" s="1627"/>
      <c r="G36" s="1628"/>
      <c r="H36" s="1369">
        <f t="shared" si="3"/>
        <v>4000</v>
      </c>
      <c r="I36" s="1658">
        <f>IF(H36=" "," ",IF(D36&gt;0,(INDEX('Tekniskt underlag'!$A$5:$C$32,MATCH(D36,'Tekniskt underlag'!$A$5:$A307,0),3)),(INDEX('Tekniskt underlag'!$A$5:$C$32,MATCH(B36,'Tekniskt underlag'!$A$5:$A$29,0),3))))</f>
        <v>1.83</v>
      </c>
      <c r="J36" s="2852"/>
      <c r="K36" s="2564" t="b">
        <v>0</v>
      </c>
      <c r="L36" s="2564" t="b">
        <v>0</v>
      </c>
      <c r="M36" s="2552" t="b">
        <v>0</v>
      </c>
      <c r="N36" s="2526">
        <f>IF(H36=" "," ",IF(Mull_ICBM!H51="ja",0,(INDEX('Tekniskt underlag'!A$5:H$33,MATCH(Kostnader!B34,'Tekniskt underlag'!A$5:A$33,0),8))*H36*I$13))</f>
        <v>0</v>
      </c>
      <c r="O36" s="1367"/>
      <c r="P36" s="1466" t="b">
        <v>0</v>
      </c>
      <c r="Q36" s="1408"/>
      <c r="R36" s="1368"/>
      <c r="S36" s="1409"/>
      <c r="T36" s="1367"/>
      <c r="U36" s="2695">
        <f>IF(H36=" "," ",VLOOKUP(L$2,ICBM!H$10:Q$19,10,FALSE)/100*H36*I36)</f>
        <v>0</v>
      </c>
      <c r="V36" s="1408"/>
      <c r="W36" s="1638">
        <f t="shared" si="4"/>
        <v>7320</v>
      </c>
      <c r="X36" s="1404"/>
      <c r="AC36" s="2510">
        <v>1.8</v>
      </c>
      <c r="AD36" s="2509">
        <f t="shared" si="5"/>
        <v>72</v>
      </c>
      <c r="AE36" s="2510"/>
    </row>
    <row r="37" spans="1:32" ht="15">
      <c r="A37" s="1365">
        <v>5</v>
      </c>
      <c r="B37" s="1464" t="str">
        <f t="shared" si="1"/>
        <v>Höstvete bröd</v>
      </c>
      <c r="C37" s="1465">
        <f t="shared" si="2"/>
        <v>8000</v>
      </c>
      <c r="D37" s="1366"/>
      <c r="E37" s="1626"/>
      <c r="F37" s="1627"/>
      <c r="G37" s="1628"/>
      <c r="H37" s="1369">
        <f t="shared" si="3"/>
        <v>8000</v>
      </c>
      <c r="I37" s="1658">
        <f>IF(H37=" "," ",IF(D37&gt;0,(INDEX('Tekniskt underlag'!$A$5:$C$32,MATCH(D37,'Tekniskt underlag'!$A$5:$A308,0),3)),(INDEX('Tekniskt underlag'!$A$5:$C$32,MATCH(B37,'Tekniskt underlag'!$A$5:$A$29,0),3))))</f>
        <v>1.47</v>
      </c>
      <c r="J37" s="2852"/>
      <c r="K37" s="2564" t="b">
        <v>0</v>
      </c>
      <c r="L37" s="2564" t="b">
        <v>0</v>
      </c>
      <c r="M37" s="2552" t="b">
        <v>0</v>
      </c>
      <c r="N37" s="2526">
        <f>IF(H37=" "," ",IF(Mull_ICBM!H52="ja",0,(INDEX('Tekniskt underlag'!A$5:H$33,MATCH(Kostnader!B35,'Tekniskt underlag'!A$5:A$33,0),8))*H37*I$13))</f>
        <v>0</v>
      </c>
      <c r="O37" s="1367"/>
      <c r="P37" s="1466" t="b">
        <v>0</v>
      </c>
      <c r="Q37" s="1408"/>
      <c r="R37" s="1368"/>
      <c r="S37" s="1409"/>
      <c r="T37" s="1367"/>
      <c r="U37" s="2695">
        <f>IF(H37=" "," ",VLOOKUP(L$2,ICBM!H$10:Q$19,10,FALSE)/100*H37*I37)</f>
        <v>0</v>
      </c>
      <c r="V37" s="1408"/>
      <c r="W37" s="1638">
        <f t="shared" si="4"/>
        <v>11760</v>
      </c>
      <c r="X37" s="1404"/>
      <c r="AC37" s="2510"/>
      <c r="AD37" s="2509">
        <f t="shared" si="5"/>
        <v>0</v>
      </c>
      <c r="AE37" s="2510"/>
    </row>
    <row r="38" spans="1:32" ht="15">
      <c r="A38" s="1365">
        <v>6</v>
      </c>
      <c r="B38" s="1464" t="str">
        <f t="shared" si="1"/>
        <v>Höstvete bröd</v>
      </c>
      <c r="C38" s="1465">
        <f t="shared" si="2"/>
        <v>8000</v>
      </c>
      <c r="D38" s="1366"/>
      <c r="E38" s="1626"/>
      <c r="F38" s="1627"/>
      <c r="G38" s="1628"/>
      <c r="H38" s="1369">
        <f t="shared" si="3"/>
        <v>8000</v>
      </c>
      <c r="I38" s="1658">
        <f>IF(H38=" "," ",IF(D38&gt;0,(INDEX('Tekniskt underlag'!$A$5:$C$32,MATCH(D38,'Tekniskt underlag'!$A$5:$A309,0),3)),(INDEX('Tekniskt underlag'!$A$5:$C$32,MATCH(B38,'Tekniskt underlag'!$A$5:$A$29,0),3))))</f>
        <v>1.47</v>
      </c>
      <c r="J38" s="2852"/>
      <c r="K38" s="2564" t="b">
        <v>0</v>
      </c>
      <c r="L38" s="2564" t="b">
        <v>0</v>
      </c>
      <c r="M38" s="2552" t="b">
        <v>0</v>
      </c>
      <c r="N38" s="2526">
        <f>IF(H38=" "," ",IF(Mull_ICBM!H53="ja",0,(INDEX('Tekniskt underlag'!A$5:H$33,MATCH(Kostnader!B36,'Tekniskt underlag'!A$5:A$33,0),8))*H38*I$13))</f>
        <v>0</v>
      </c>
      <c r="O38" s="1367"/>
      <c r="P38" s="1466" t="b">
        <v>0</v>
      </c>
      <c r="Q38" s="1408"/>
      <c r="R38" s="1368"/>
      <c r="S38" s="1409"/>
      <c r="T38" s="1367"/>
      <c r="U38" s="2695">
        <f>IF(H38=" "," ",VLOOKUP(L$2,ICBM!H$10:Q$19,10,FALSE)/100*H38*I38)</f>
        <v>0</v>
      </c>
      <c r="V38" s="1412"/>
      <c r="W38" s="1638">
        <f t="shared" si="4"/>
        <v>11760</v>
      </c>
      <c r="X38" s="1404"/>
      <c r="AC38" s="2510"/>
      <c r="AD38" s="2509">
        <f t="shared" si="5"/>
        <v>0</v>
      </c>
      <c r="AE38" s="2510"/>
    </row>
    <row r="39" spans="1:32" ht="15">
      <c r="A39" s="1365">
        <v>7</v>
      </c>
      <c r="B39" s="1464" t="str">
        <f t="shared" si="1"/>
        <v>Maltkorn</v>
      </c>
      <c r="C39" s="1465">
        <f t="shared" si="2"/>
        <v>5500</v>
      </c>
      <c r="D39" s="1366"/>
      <c r="E39" s="1626"/>
      <c r="F39" s="1628"/>
      <c r="G39" s="1628"/>
      <c r="H39" s="1369">
        <f t="shared" si="3"/>
        <v>5500</v>
      </c>
      <c r="I39" s="1658">
        <f>IF(H39=" "," ",IF(D39&gt;0,(INDEX('Tekniskt underlag'!$A$5:$C$32,MATCH(D39,'Tekniskt underlag'!$A$5:$A310,0),3)),(INDEX('Tekniskt underlag'!$A$5:$C$32,MATCH(B39,'Tekniskt underlag'!$A$5:$A$29,0),3))))</f>
        <v>1.62</v>
      </c>
      <c r="J39" s="2852"/>
      <c r="K39" s="2564"/>
      <c r="L39" s="2564" t="b">
        <v>0</v>
      </c>
      <c r="M39" s="2552" t="b">
        <v>0</v>
      </c>
      <c r="N39" s="2526">
        <f>IF(H39=" "," ",IF(Mull_ICBM!H54="ja",0,(INDEX('Tekniskt underlag'!A$5:H$33,MATCH(Kostnader!B37,'Tekniskt underlag'!A$5:A$33,0),8))*H39*I$13))</f>
        <v>0</v>
      </c>
      <c r="O39" s="1367"/>
      <c r="P39" s="1466" t="b">
        <v>0</v>
      </c>
      <c r="Q39" s="1408"/>
      <c r="R39" s="1368"/>
      <c r="S39" s="1409"/>
      <c r="T39" s="1367"/>
      <c r="U39" s="2695">
        <f>IF(H39=" "," ",VLOOKUP(L$2,ICBM!H$10:Q$19,10,FALSE)/100*H39*I39)</f>
        <v>0</v>
      </c>
      <c r="V39" s="1408"/>
      <c r="W39" s="1638">
        <f t="shared" si="4"/>
        <v>8910</v>
      </c>
      <c r="X39" s="1404"/>
      <c r="AC39" s="2510"/>
      <c r="AD39" s="2509">
        <f t="shared" si="5"/>
        <v>0</v>
      </c>
      <c r="AE39" s="2510"/>
      <c r="AF39" s="2507"/>
    </row>
    <row r="40" spans="1:32" ht="15">
      <c r="A40" s="1365">
        <v>8</v>
      </c>
      <c r="B40" s="1464" t="str">
        <f t="shared" si="1"/>
        <v xml:space="preserve"> </v>
      </c>
      <c r="C40" s="1465">
        <f t="shared" si="2"/>
        <v>0</v>
      </c>
      <c r="D40" s="1366"/>
      <c r="E40" s="1626"/>
      <c r="F40" s="1628"/>
      <c r="G40" s="1628"/>
      <c r="H40" s="1369" t="str">
        <f t="shared" si="3"/>
        <v xml:space="preserve"> </v>
      </c>
      <c r="I40" s="1658" t="str">
        <f>IF(H40=" "," ",IF(D40&gt;0,(INDEX('Tekniskt underlag'!$A$5:$C$32,MATCH(D40,'Tekniskt underlag'!$A$5:$A311,0),3)),(INDEX('Tekniskt underlag'!$A$5:$C$32,MATCH(B40,'Tekniskt underlag'!$A$5:$A$29,0),3))))</f>
        <v xml:space="preserve"> </v>
      </c>
      <c r="J40" s="2852"/>
      <c r="K40" s="2564"/>
      <c r="L40" s="2564" t="b">
        <v>0</v>
      </c>
      <c r="M40" s="2552" t="b">
        <v>0</v>
      </c>
      <c r="N40" s="2526" t="str">
        <f>IF(H40=" "," ",IF(Mull_ICBM!H55="ja",0,(INDEX('Tekniskt underlag'!A$5:H$33,MATCH(Kostnader!B38,'Tekniskt underlag'!A$5:A$33,0),8))*H40*I$13))</f>
        <v xml:space="preserve"> </v>
      </c>
      <c r="O40" s="1367"/>
      <c r="P40" s="1466" t="b">
        <v>0</v>
      </c>
      <c r="Q40" s="1408"/>
      <c r="R40" s="1368"/>
      <c r="S40" s="1409"/>
      <c r="T40" s="1367"/>
      <c r="U40" s="2695" t="str">
        <f>IF(H40=" "," ",VLOOKUP(L$2,ICBM!H$10:Q$19,10,FALSE)/100*H40*I40)</f>
        <v xml:space="preserve"> </v>
      </c>
      <c r="V40" s="1408"/>
      <c r="W40" s="1638" t="str">
        <f t="shared" si="4"/>
        <v xml:space="preserve"> </v>
      </c>
      <c r="X40" s="1404"/>
      <c r="AC40" s="2510"/>
      <c r="AD40" s="2509">
        <f t="shared" si="5"/>
        <v>0</v>
      </c>
      <c r="AE40" s="2510"/>
      <c r="AF40" s="2507"/>
    </row>
    <row r="41" spans="1:32" ht="15">
      <c r="A41" s="1365">
        <v>9</v>
      </c>
      <c r="B41" s="1464" t="str">
        <f t="shared" si="1"/>
        <v xml:space="preserve"> </v>
      </c>
      <c r="C41" s="1465">
        <f t="shared" si="2"/>
        <v>0</v>
      </c>
      <c r="D41" s="1366"/>
      <c r="E41" s="1626"/>
      <c r="F41" s="1628"/>
      <c r="G41" s="1628"/>
      <c r="H41" s="1369" t="str">
        <f t="shared" si="3"/>
        <v xml:space="preserve"> </v>
      </c>
      <c r="I41" s="1658" t="str">
        <f>IF(H41=" "," ",IF(D41&gt;0,(INDEX('Tekniskt underlag'!$A$5:$C$32,MATCH(D41,'Tekniskt underlag'!$A$5:$A312,0),3)),(INDEX('Tekniskt underlag'!$A$5:$C$32,MATCH(B41,'Tekniskt underlag'!$A$5:$A$29,0),3))))</f>
        <v xml:space="preserve"> </v>
      </c>
      <c r="J41" s="2852"/>
      <c r="K41" s="2564"/>
      <c r="L41" s="2564"/>
      <c r="M41" s="2552" t="b">
        <v>0</v>
      </c>
      <c r="N41" s="2526" t="str">
        <f>IF(H41=" "," ",IF(Mull_ICBM!H56="ja",0,(INDEX('Tekniskt underlag'!A$5:H$33,MATCH(Kostnader!B39,'Tekniskt underlag'!A$5:A$33,0),8))*H41*I$13))</f>
        <v xml:space="preserve"> </v>
      </c>
      <c r="O41" s="1367"/>
      <c r="P41" s="1466" t="b">
        <v>0</v>
      </c>
      <c r="Q41" s="1408"/>
      <c r="R41" s="1368"/>
      <c r="S41" s="1409"/>
      <c r="T41" s="1367"/>
      <c r="U41" s="2695" t="str">
        <f>IF(H41=" "," ",VLOOKUP(L$2,ICBM!H$10:Q$19,10,FALSE)/100*H41*I41)</f>
        <v xml:space="preserve"> </v>
      </c>
      <c r="V41" s="1408"/>
      <c r="W41" s="1638" t="str">
        <f t="shared" si="4"/>
        <v xml:space="preserve"> </v>
      </c>
      <c r="X41" s="1404"/>
      <c r="AC41" s="2510"/>
      <c r="AD41" s="2509">
        <f t="shared" si="5"/>
        <v>0</v>
      </c>
      <c r="AE41" s="2510"/>
      <c r="AF41" s="2507"/>
    </row>
    <row r="42" spans="1:32" ht="15">
      <c r="A42" s="1365">
        <v>10</v>
      </c>
      <c r="B42" s="1464" t="str">
        <f t="shared" si="1"/>
        <v xml:space="preserve"> </v>
      </c>
      <c r="C42" s="1465">
        <f t="shared" si="2"/>
        <v>0</v>
      </c>
      <c r="D42" s="1366"/>
      <c r="E42" s="1626"/>
      <c r="F42" s="1628"/>
      <c r="G42" s="1628"/>
      <c r="H42" s="1369" t="str">
        <f t="shared" si="3"/>
        <v xml:space="preserve"> </v>
      </c>
      <c r="I42" s="1658" t="str">
        <f>IF(H42=" "," ",IF(D42&gt;0,(INDEX('Tekniskt underlag'!$A$5:$C$32,MATCH(D42,'Tekniskt underlag'!$A$5:$A313,0),3)),(INDEX('Tekniskt underlag'!$A$5:$C$32,MATCH(B42,'Tekniskt underlag'!$A$5:$A$29,0),3))))</f>
        <v xml:space="preserve"> </v>
      </c>
      <c r="J42" s="2852"/>
      <c r="K42" s="2564"/>
      <c r="L42" s="2564"/>
      <c r="M42" s="2552" t="b">
        <v>0</v>
      </c>
      <c r="N42" s="2526" t="str">
        <f>IF(H42=" "," ",IF(Mull_ICBM!H57="ja",0,(INDEX('Tekniskt underlag'!A$5:H$33,MATCH(Kostnader!B40,'Tekniskt underlag'!A$5:A$33,0),8))*H42*I$13))</f>
        <v xml:space="preserve"> </v>
      </c>
      <c r="O42" s="1367"/>
      <c r="P42" s="1466" t="b">
        <v>0</v>
      </c>
      <c r="Q42" s="1408"/>
      <c r="R42" s="1368"/>
      <c r="S42" s="1409"/>
      <c r="T42" s="1367"/>
      <c r="U42" s="2695" t="str">
        <f>IF(H42=" "," ",VLOOKUP(L$2,ICBM!H$10:Q$19,10,FALSE)/100*H42*I42)</f>
        <v xml:space="preserve"> </v>
      </c>
      <c r="V42" s="1408"/>
      <c r="W42" s="1638" t="str">
        <f t="shared" si="4"/>
        <v xml:space="preserve"> </v>
      </c>
      <c r="X42" s="1404"/>
      <c r="AC42" s="2510"/>
      <c r="AD42" s="2509">
        <f t="shared" si="5"/>
        <v>0</v>
      </c>
      <c r="AE42" s="2510"/>
      <c r="AF42" s="2507"/>
    </row>
    <row r="43" spans="1:32" ht="15.75">
      <c r="A43" s="1380"/>
      <c r="B43" s="1402"/>
      <c r="C43" s="1402"/>
      <c r="D43" s="846"/>
      <c r="E43" s="846"/>
      <c r="F43" s="1402"/>
      <c r="G43" s="1402"/>
      <c r="H43" s="526"/>
      <c r="I43" s="1402"/>
      <c r="J43" s="526"/>
      <c r="K43" s="526"/>
      <c r="L43" s="526"/>
      <c r="M43" s="846"/>
      <c r="N43" s="846"/>
      <c r="O43" s="1063"/>
      <c r="P43" s="526"/>
      <c r="Q43" s="526"/>
      <c r="R43" s="526"/>
      <c r="S43" s="526"/>
      <c r="T43" s="526"/>
      <c r="U43" s="1097"/>
      <c r="V43" s="526"/>
      <c r="W43" s="1637">
        <f>SUM(W33:W42)/D28</f>
        <v>11088.571428571429</v>
      </c>
      <c r="X43" s="1404"/>
      <c r="AD43" s="64">
        <f>SUM(AD33:AD42)</f>
        <v>423</v>
      </c>
      <c r="AE43" s="64">
        <f>SUM(AE33:AE42)</f>
        <v>0</v>
      </c>
      <c r="AF43" s="2511">
        <f>+klimat!M47+klimat!N47</f>
        <v>0</v>
      </c>
    </row>
    <row r="44" spans="1:32" ht="15.75" thickBot="1">
      <c r="A44" s="1383"/>
      <c r="B44" s="1405"/>
      <c r="C44" s="1405"/>
      <c r="D44" s="1385"/>
      <c r="E44" s="1385"/>
      <c r="F44" s="1405"/>
      <c r="G44" s="1405"/>
      <c r="H44" s="562"/>
      <c r="I44" s="1405"/>
      <c r="J44" s="562"/>
      <c r="K44" s="562"/>
      <c r="L44" s="562"/>
      <c r="M44" s="1385"/>
      <c r="N44" s="1385"/>
      <c r="O44" s="1385"/>
      <c r="P44" s="562"/>
      <c r="Q44" s="562"/>
      <c r="R44" s="562"/>
      <c r="S44" s="562"/>
      <c r="T44" s="562"/>
      <c r="U44" s="562"/>
      <c r="V44" s="562"/>
      <c r="W44" s="1405"/>
      <c r="X44" s="1406"/>
      <c r="AC44" s="2507"/>
      <c r="AD44" t="s">
        <v>1540</v>
      </c>
      <c r="AF44" s="2467">
        <f>+(AF43-AD43)/D28</f>
        <v>-60.428571428571431</v>
      </c>
    </row>
    <row r="45" spans="1:32" ht="15">
      <c r="A45" s="2"/>
      <c r="B45" s="2"/>
      <c r="C45" s="2"/>
      <c r="D45" s="2"/>
      <c r="E45" s="2"/>
      <c r="F45" s="2"/>
      <c r="G45" s="2"/>
      <c r="H45" s="2"/>
      <c r="I45" s="2"/>
      <c r="J45" s="2"/>
      <c r="K45" s="2"/>
      <c r="L45" s="2"/>
      <c r="M45" s="2"/>
      <c r="N45" s="2"/>
      <c r="O45" s="2"/>
      <c r="P45" s="2"/>
      <c r="Q45" s="2"/>
      <c r="S45" s="2"/>
      <c r="T45" s="2"/>
      <c r="U45" s="2"/>
      <c r="AB45" s="74"/>
      <c r="AC45" s="2507"/>
      <c r="AD45" t="s">
        <v>1541</v>
      </c>
      <c r="AF45" s="97">
        <f>-Mull_ICBM!AM16*0.1</f>
        <v>-1.5889574486279889</v>
      </c>
    </row>
    <row r="46" spans="1:32" ht="15">
      <c r="AC46" s="2507"/>
    </row>
    <row r="48" spans="1:32">
      <c r="A48" s="25"/>
      <c r="B48" s="25"/>
      <c r="C48" s="25"/>
      <c r="D48" s="25"/>
      <c r="E48" s="25"/>
      <c r="F48" s="25"/>
      <c r="G48" s="25"/>
      <c r="H48" s="25"/>
      <c r="I48" s="25"/>
      <c r="J48" s="25"/>
      <c r="K48" s="1051"/>
      <c r="L48" s="25"/>
    </row>
    <row r="49" spans="1:32">
      <c r="A49" s="25"/>
      <c r="B49" s="25"/>
      <c r="C49" s="25"/>
      <c r="D49" s="25"/>
      <c r="E49" s="25"/>
      <c r="F49" s="25"/>
      <c r="G49" s="25"/>
      <c r="H49" s="25"/>
      <c r="I49" s="25"/>
      <c r="J49" s="25"/>
      <c r="K49" s="25"/>
      <c r="L49" s="25"/>
    </row>
    <row r="50" spans="1:32">
      <c r="A50" s="25"/>
      <c r="B50" s="25"/>
      <c r="C50" s="25"/>
      <c r="D50" s="25"/>
      <c r="E50" s="25"/>
      <c r="F50" s="25"/>
      <c r="G50" s="25"/>
      <c r="H50" s="25"/>
      <c r="I50" s="25"/>
      <c r="J50" s="25"/>
      <c r="K50" s="25"/>
      <c r="L50" s="25"/>
    </row>
    <row r="51" spans="1:32" ht="15">
      <c r="A51" s="25"/>
      <c r="B51" s="25"/>
      <c r="C51" s="25"/>
      <c r="D51" s="25"/>
      <c r="E51" s="25"/>
      <c r="F51" s="25"/>
      <c r="G51" s="25"/>
      <c r="H51" s="25"/>
      <c r="I51" s="25"/>
      <c r="J51" s="25"/>
      <c r="K51" s="25"/>
      <c r="L51" s="25"/>
      <c r="Y51" s="1461"/>
    </row>
    <row r="52" spans="1:32" ht="15">
      <c r="A52" s="25"/>
      <c r="B52" s="25"/>
      <c r="C52" s="25"/>
      <c r="D52" s="25"/>
      <c r="E52" s="25"/>
      <c r="F52" s="25"/>
      <c r="G52" s="25"/>
      <c r="H52" s="25"/>
      <c r="I52" s="25"/>
      <c r="J52" s="25"/>
      <c r="K52" s="25"/>
      <c r="L52" s="25"/>
      <c r="AF52" s="2507"/>
    </row>
    <row r="53" spans="1:32" ht="15">
      <c r="F53" s="25"/>
      <c r="AF53" s="2507"/>
    </row>
    <row r="57" spans="1:32" ht="15">
      <c r="AF57" s="2507"/>
    </row>
    <row r="58" spans="1:32" ht="15">
      <c r="AF58" s="2507"/>
    </row>
    <row r="59" spans="1:32" ht="15">
      <c r="AF59" s="2507"/>
    </row>
    <row r="60" spans="1:32" ht="15">
      <c r="AF60" s="2507"/>
    </row>
    <row r="61" spans="1:32">
      <c r="AE61" s="64"/>
    </row>
    <row r="62" spans="1:32" ht="15">
      <c r="AD62" s="64"/>
      <c r="AE62" s="64"/>
      <c r="AF62" s="2511"/>
    </row>
    <row r="63" spans="1:32" ht="15">
      <c r="R63" s="1137" t="s">
        <v>153</v>
      </c>
      <c r="S63" s="1137" t="s">
        <v>746</v>
      </c>
      <c r="T63" s="1137" t="s">
        <v>751</v>
      </c>
      <c r="V63" s="473" t="str">
        <f>Mullberäkning!AE101</f>
        <v>År</v>
      </c>
      <c r="W63" s="2575" t="s">
        <v>98</v>
      </c>
      <c r="X63" s="2575" t="s">
        <v>98</v>
      </c>
      <c r="Y63" s="473" t="str">
        <f>Mullberäkning!AG101</f>
        <v>Mullhalt</v>
      </c>
      <c r="Z63" s="473" t="str">
        <f>Mullberäkning!AF101</f>
        <v>Mullhalt</v>
      </c>
      <c r="AA63" t="s">
        <v>1453</v>
      </c>
      <c r="AF63" s="2467"/>
    </row>
    <row r="64" spans="1:32" ht="15">
      <c r="R64" s="1137" t="s">
        <v>744</v>
      </c>
      <c r="S64" s="1137" t="s">
        <v>747</v>
      </c>
      <c r="T64" s="1137" t="s">
        <v>755</v>
      </c>
      <c r="V64" s="473"/>
      <c r="W64" s="473" t="s">
        <v>823</v>
      </c>
      <c r="X64" s="473" t="s">
        <v>872</v>
      </c>
      <c r="Y64" s="473" t="s">
        <v>823</v>
      </c>
      <c r="Z64" s="473" t="s">
        <v>872</v>
      </c>
      <c r="AA64" s="2082" t="s">
        <v>1451</v>
      </c>
      <c r="AB64" s="2082" t="s">
        <v>1452</v>
      </c>
      <c r="AF64" s="97"/>
    </row>
    <row r="65" spans="18:32" ht="15">
      <c r="R65" s="473">
        <f t="shared" ref="R65:R74" si="6">SUM(C33,E33)</f>
        <v>3500</v>
      </c>
      <c r="S65" s="473" t="str">
        <f t="shared" ref="S65:S74" si="7">IF((F33+G33)=0," ",SUM(F33:G33))</f>
        <v xml:space="preserve"> </v>
      </c>
      <c r="T65" s="730">
        <f>IF(B33&gt;0,IF(D33&gt;0,INDEX('Tekniskt underlag'!$A$5:$E$24,MATCH(D33,'Tekniskt underlag'!$A$5:$A$24,0),5),INDEX('Tekniskt underlag'!$A$5:$E$24,MATCH(B33,'Tekniskt underlag'!$A$5:$A$24,0),5)),0)</f>
        <v>1062.0714285714284</v>
      </c>
      <c r="V65" s="473">
        <f>Mullberäkning!AE103</f>
        <v>1</v>
      </c>
      <c r="W65" s="903">
        <f>ICBM!X23</f>
        <v>1.6960465116279069</v>
      </c>
      <c r="X65" s="903">
        <f>ICBM!Y23</f>
        <v>1.6960465116279069</v>
      </c>
      <c r="Y65" s="903">
        <f>W65*Mull_ICBM!C$10</f>
        <v>2.9171999999999998</v>
      </c>
      <c r="Z65" s="903">
        <f>X65*Mull_ICBM!C$10</f>
        <v>2.9171999999999998</v>
      </c>
      <c r="AA65">
        <f>+ICBM!Z23</f>
        <v>1.6</v>
      </c>
      <c r="AB65">
        <f>+ICBM!AA23</f>
        <v>1.6</v>
      </c>
      <c r="AF65" s="99"/>
    </row>
    <row r="66" spans="18:32" ht="15">
      <c r="R66" s="473">
        <f t="shared" si="6"/>
        <v>8000</v>
      </c>
      <c r="S66" s="473" t="str">
        <f t="shared" si="7"/>
        <v xml:space="preserve"> </v>
      </c>
      <c r="T66" s="730">
        <f>IF(B34&gt;0,IF(D34&gt;0,INDEX('Tekniskt underlag'!$A$5:$E$24,MATCH(D34,'Tekniskt underlag'!$A$5:$A$24,0),5),INDEX('Tekniskt underlag'!$A$5:$E$24,MATCH(B34,'Tekniskt underlag'!$A$5:$A$24,0),5)),0)</f>
        <v>438.55250000000001</v>
      </c>
      <c r="V66" s="473">
        <f>Mullberäkning!AE104</f>
        <v>2</v>
      </c>
      <c r="W66" s="903">
        <f>ICBM!X24</f>
        <v>1.7114465075044007</v>
      </c>
      <c r="X66" s="903">
        <f>ICBM!Y24</f>
        <v>1.7114465075044007</v>
      </c>
      <c r="Y66" s="903">
        <f>W66*Mull_ICBM!C$10</f>
        <v>2.9436879929075692</v>
      </c>
      <c r="Z66" s="903">
        <f>X66*Mull_ICBM!C$10</f>
        <v>2.9436879929075692</v>
      </c>
      <c r="AA66">
        <f>+ICBM!Z24</f>
        <v>0</v>
      </c>
      <c r="AB66">
        <f>+ICBM!AA24</f>
        <v>0</v>
      </c>
      <c r="AF66" s="2467"/>
    </row>
    <row r="67" spans="18:32" ht="15">
      <c r="R67" s="473">
        <f t="shared" si="6"/>
        <v>8000</v>
      </c>
      <c r="S67" s="473" t="str">
        <f t="shared" si="7"/>
        <v xml:space="preserve"> </v>
      </c>
      <c r="T67" s="730">
        <f>IF(B35&gt;0,IF(D35&gt;0,INDEX('Tekniskt underlag'!$A$5:$E$24,MATCH(D35,'Tekniskt underlag'!$A$5:$A$24,0),5),INDEX('Tekniskt underlag'!$A$5:$E$24,MATCH(B35,'Tekniskt underlag'!$A$5:$A$24,0),5)),0)</f>
        <v>438.55250000000001</v>
      </c>
      <c r="V67" s="473">
        <f>Mullberäkning!AE105</f>
        <v>3</v>
      </c>
      <c r="W67" s="903">
        <f>ICBM!X25</f>
        <v>1.7144342357450939</v>
      </c>
      <c r="X67" s="903">
        <f>ICBM!Y25</f>
        <v>1.7144342357450939</v>
      </c>
      <c r="Y67" s="903">
        <f>W67*Mull_ICBM!C$10</f>
        <v>2.9488268854815614</v>
      </c>
      <c r="Z67" s="903">
        <f>X67*Mull_ICBM!C$10</f>
        <v>2.9488268854815614</v>
      </c>
      <c r="AA67" t="s">
        <v>327</v>
      </c>
      <c r="AB67">
        <f>+ICBM!AA25</f>
        <v>0</v>
      </c>
    </row>
    <row r="68" spans="18:32" ht="15">
      <c r="R68" s="473">
        <f t="shared" si="6"/>
        <v>4000</v>
      </c>
      <c r="S68" s="473" t="str">
        <f t="shared" si="7"/>
        <v xml:space="preserve"> </v>
      </c>
      <c r="T68" s="730">
        <f>IF(B36&gt;0,IF(D36&gt;0,INDEX('Tekniskt underlag'!$A$5:$E$24,MATCH(D36,'Tekniskt underlag'!$A$5:$A$24,0),5),INDEX('Tekniskt underlag'!$A$5:$E$24,MATCH(B36,'Tekniskt underlag'!$A$5:$A$24,0),5)),0)</f>
        <v>347.07749999999999</v>
      </c>
      <c r="V68" s="473">
        <f>Mullberäkning!AE106</f>
        <v>4</v>
      </c>
      <c r="W68" s="903">
        <f>ICBM!X26</f>
        <v>1.7154323088573873</v>
      </c>
      <c r="X68" s="903">
        <f>ICBM!Y26</f>
        <v>1.7154323088573873</v>
      </c>
      <c r="Y68" s="903">
        <f>W68*Mull_ICBM!C$10</f>
        <v>2.9505435712347059</v>
      </c>
      <c r="Z68" s="903">
        <f>X68*Mull_ICBM!C$10</f>
        <v>2.9505435712347059</v>
      </c>
      <c r="AA68">
        <f>+ICBM!Z26</f>
        <v>0</v>
      </c>
      <c r="AB68">
        <f>+ICBM!AA26</f>
        <v>0</v>
      </c>
    </row>
    <row r="69" spans="18:32" ht="15">
      <c r="R69" s="473">
        <f t="shared" si="6"/>
        <v>8000</v>
      </c>
      <c r="S69" s="473" t="str">
        <f t="shared" si="7"/>
        <v xml:space="preserve"> </v>
      </c>
      <c r="T69" s="730">
        <f>IF(B37&gt;0,IF(D37&gt;0,INDEX('Tekniskt underlag'!$A$5:$E$24,MATCH(D37,'Tekniskt underlag'!$A$5:$A$24,0),5),INDEX('Tekniskt underlag'!$A$5:$E$24,MATCH(B37,'Tekniskt underlag'!$A$5:$A$24,0),5)),0)</f>
        <v>438.55250000000001</v>
      </c>
      <c r="V69" s="473">
        <f>Mullberäkning!AE107</f>
        <v>5</v>
      </c>
      <c r="W69" s="903">
        <f>ICBM!X27</f>
        <v>1.7161053859234028</v>
      </c>
      <c r="X69" s="903">
        <f>ICBM!Y27</f>
        <v>1.7161053859234028</v>
      </c>
      <c r="Y69" s="903">
        <f>W69*Mull_ICBM!C$10</f>
        <v>2.9517012637882529</v>
      </c>
      <c r="Z69" s="903">
        <f>X69*Mull_ICBM!C$10</f>
        <v>2.9517012637882529</v>
      </c>
      <c r="AA69">
        <f>+ICBM!Z27</f>
        <v>0</v>
      </c>
      <c r="AB69">
        <f>+ICBM!AA27</f>
        <v>0</v>
      </c>
    </row>
    <row r="70" spans="18:32" ht="15">
      <c r="R70" s="473">
        <f t="shared" si="6"/>
        <v>8000</v>
      </c>
      <c r="S70" s="473" t="str">
        <f t="shared" si="7"/>
        <v xml:space="preserve"> </v>
      </c>
      <c r="T70" s="730">
        <f>IF(B38&gt;0,IF(D38&gt;0,INDEX('Tekniskt underlag'!$A$5:$E$24,MATCH(D38,'Tekniskt underlag'!$A$5:$A$24,0),5),INDEX('Tekniskt underlag'!$A$5:$E$24,MATCH(B38,'Tekniskt underlag'!$A$5:$A$24,0),5)),0)</f>
        <v>438.55250000000001</v>
      </c>
      <c r="V70" s="473">
        <f>Mullberäkning!AE108</f>
        <v>6</v>
      </c>
      <c r="W70" s="903">
        <f>ICBM!X28</f>
        <v>1.7167194240334245</v>
      </c>
      <c r="X70" s="903">
        <f>ICBM!Y28</f>
        <v>1.7167194240334245</v>
      </c>
      <c r="Y70" s="903">
        <f>W70*Mull_ICBM!C$10</f>
        <v>2.9527574093374902</v>
      </c>
      <c r="Z70" s="903">
        <f>X70*Mull_ICBM!C$10</f>
        <v>2.9527574093374902</v>
      </c>
      <c r="AA70">
        <f>+ICBM!Z28</f>
        <v>0</v>
      </c>
      <c r="AB70">
        <f>+ICBM!AA28</f>
        <v>0</v>
      </c>
    </row>
    <row r="71" spans="18:32" ht="15">
      <c r="R71" s="473">
        <f t="shared" si="6"/>
        <v>5500</v>
      </c>
      <c r="S71" s="473" t="str">
        <f t="shared" si="7"/>
        <v xml:space="preserve"> </v>
      </c>
      <c r="T71" s="730">
        <f>IF(B39&gt;0,IF(D39&gt;0,INDEX('Tekniskt underlag'!$A$5:$E$24,MATCH(D39,'Tekniskt underlag'!$A$5:$A$24,0),5),INDEX('Tekniskt underlag'!$A$5:$E$24,MATCH(B39,'Tekniskt underlag'!$A$5:$A$24,0),5)),0)</f>
        <v>379.89727272727271</v>
      </c>
      <c r="V71" s="473">
        <f>Mullberäkning!AE109</f>
        <v>7</v>
      </c>
      <c r="W71" s="903">
        <f>ICBM!X29</f>
        <v>1.7173169973236555</v>
      </c>
      <c r="X71" s="903">
        <f>ICBM!Y29</f>
        <v>1.7173169973236555</v>
      </c>
      <c r="Y71" s="903">
        <f>W71*Mull_ICBM!C$10</f>
        <v>2.9537852353966874</v>
      </c>
      <c r="Z71" s="903">
        <f>X71*Mull_ICBM!C$10</f>
        <v>2.9537852353966874</v>
      </c>
      <c r="AA71">
        <f>+ICBM!Z29</f>
        <v>0</v>
      </c>
      <c r="AB71">
        <f>+ICBM!AA29</f>
        <v>0</v>
      </c>
    </row>
    <row r="72" spans="18:32" ht="15">
      <c r="R72" s="473">
        <f t="shared" si="6"/>
        <v>0</v>
      </c>
      <c r="S72" s="473" t="str">
        <f t="shared" si="7"/>
        <v xml:space="preserve"> </v>
      </c>
      <c r="T72" s="730" t="e">
        <f>IF(B40&gt;0,IF(D40&gt;0,INDEX('Tekniskt underlag'!$A$5:$E$24,MATCH(D40,'Tekniskt underlag'!$A$5:$A$24,0),5),INDEX('Tekniskt underlag'!$A$5:$E$24,MATCH(B40,'Tekniskt underlag'!$A$5:$A$24,0),5)),0)</f>
        <v>#N/A</v>
      </c>
      <c r="V72" s="473">
        <f>Mullberäkning!AE110</f>
        <v>8</v>
      </c>
      <c r="W72" s="903">
        <f>ICBM!X30</f>
        <v>1.7179050028825327</v>
      </c>
      <c r="X72" s="903">
        <f>ICBM!Y30</f>
        <v>1.7179050028825327</v>
      </c>
      <c r="Y72" s="903">
        <f>W72*Mull_ICBM!C$10</f>
        <v>2.9547966049579562</v>
      </c>
      <c r="Z72" s="903">
        <f>X72*Mull_ICBM!C$10</f>
        <v>2.9547966049579562</v>
      </c>
      <c r="AA72">
        <f>+ICBM!Z30</f>
        <v>0</v>
      </c>
      <c r="AB72">
        <f>+ICBM!AA30</f>
        <v>0</v>
      </c>
    </row>
    <row r="73" spans="18:32" ht="15">
      <c r="R73" s="473">
        <f t="shared" si="6"/>
        <v>0</v>
      </c>
      <c r="S73" s="473" t="str">
        <f t="shared" si="7"/>
        <v xml:space="preserve"> </v>
      </c>
      <c r="T73" s="730" t="e">
        <f>IF(B41&gt;0,IF(D41&gt;0,INDEX('Tekniskt underlag'!$A$5:$E$24,MATCH(D41,'Tekniskt underlag'!$A$5:$A$24,0),5),INDEX('Tekniskt underlag'!$A$5:$E$24,MATCH(B41,'Tekniskt underlag'!$A$5:$A$24,0),5)),0)</f>
        <v>#N/A</v>
      </c>
      <c r="V73" s="473">
        <f>Mullberäkning!AE111</f>
        <v>9</v>
      </c>
      <c r="W73" s="903">
        <f>ICBM!X31</f>
        <v>1.718484638590754</v>
      </c>
      <c r="X73" s="903">
        <f>ICBM!Y31</f>
        <v>1.718484638590754</v>
      </c>
      <c r="Y73" s="903">
        <f>W73*Mull_ICBM!C$10</f>
        <v>2.9557935783760967</v>
      </c>
      <c r="Z73" s="903">
        <f>X73*Mull_ICBM!C$10</f>
        <v>2.9557935783760967</v>
      </c>
      <c r="AA73">
        <f>+ICBM!Z31</f>
        <v>0</v>
      </c>
      <c r="AB73">
        <f>+ICBM!AA31</f>
        <v>0</v>
      </c>
    </row>
    <row r="74" spans="18:32" ht="15">
      <c r="R74" s="473">
        <f t="shared" si="6"/>
        <v>0</v>
      </c>
      <c r="S74" s="473" t="str">
        <f t="shared" si="7"/>
        <v xml:space="preserve"> </v>
      </c>
      <c r="T74" s="730" t="e">
        <f>IF(B42&gt;0,IF(D42&gt;0,INDEX('Tekniskt underlag'!$A$5:$E$24,MATCH(D42,'Tekniskt underlag'!$A$5:$A$24,0),5),INDEX('Tekniskt underlag'!$A$5:$E$24,MATCH(B42,'Tekniskt underlag'!$A$5:$A$24,0),5)),0)</f>
        <v>#N/A</v>
      </c>
      <c r="V74" s="473">
        <f>Mullberäkning!AE112</f>
        <v>10</v>
      </c>
      <c r="W74" s="903">
        <f>ICBM!X32</f>
        <v>1.7190561907908666</v>
      </c>
      <c r="X74" s="903">
        <f>ICBM!Y32</f>
        <v>1.7190561907908666</v>
      </c>
      <c r="Y74" s="903">
        <f>W74*Mull_ICBM!C$10</f>
        <v>2.9567766481602904</v>
      </c>
      <c r="Z74" s="903">
        <f>X74*Mull_ICBM!C$10</f>
        <v>2.9567766481602904</v>
      </c>
      <c r="AA74">
        <f>+ICBM!Z32</f>
        <v>0</v>
      </c>
      <c r="AB74">
        <f>+ICBM!AA32</f>
        <v>0</v>
      </c>
    </row>
    <row r="75" spans="18:32">
      <c r="V75" s="473">
        <f>Mullberäkning!AE113</f>
        <v>11</v>
      </c>
      <c r="W75" s="903">
        <f>ICBM!X33</f>
        <v>1.7196197989269877</v>
      </c>
      <c r="X75" s="903">
        <f>ICBM!Y33</f>
        <v>1.7196197989269877</v>
      </c>
      <c r="Y75" s="903">
        <f>W75*Mull_ICBM!C$10</f>
        <v>2.9577460541544189</v>
      </c>
      <c r="Z75" s="903">
        <f>X75*Mull_ICBM!C$10</f>
        <v>2.9577460541544189</v>
      </c>
      <c r="AA75">
        <f>+ICBM!Z33</f>
        <v>0</v>
      </c>
      <c r="AB75">
        <f>+ICBM!AA33</f>
        <v>0</v>
      </c>
    </row>
    <row r="76" spans="18:32">
      <c r="V76" s="473">
        <f>Mullberäkning!AE114</f>
        <v>12</v>
      </c>
      <c r="W76" s="903">
        <f>ICBM!X34</f>
        <v>1.720175577680938</v>
      </c>
      <c r="X76" s="903">
        <f>ICBM!Y34</f>
        <v>1.720175577680938</v>
      </c>
      <c r="Y76" s="903">
        <f>W76*Mull_ICBM!C$10</f>
        <v>2.9587019936112133</v>
      </c>
      <c r="Z76" s="903">
        <f>X76*Mull_ICBM!C$10</f>
        <v>2.9587019936112133</v>
      </c>
      <c r="AA76">
        <f>+ICBM!Z34</f>
        <v>0</v>
      </c>
      <c r="AB76">
        <f>+ICBM!AA34</f>
        <v>0</v>
      </c>
    </row>
    <row r="77" spans="18:32">
      <c r="V77" s="473">
        <f>Mullberäkning!AE115</f>
        <v>13</v>
      </c>
      <c r="W77" s="903">
        <f>ICBM!X35</f>
        <v>1.7207236364962386</v>
      </c>
      <c r="X77" s="903">
        <f>ICBM!Y35</f>
        <v>1.7207236364962386</v>
      </c>
      <c r="Y77" s="903">
        <f>W77*Mull_ICBM!C$10</f>
        <v>2.9596446547735304</v>
      </c>
      <c r="Z77" s="903">
        <f>X77*Mull_ICBM!C$10</f>
        <v>2.9596446547735304</v>
      </c>
      <c r="AA77">
        <f>+ICBM!Z35</f>
        <v>0</v>
      </c>
      <c r="AB77">
        <f>+ICBM!AA35</f>
        <v>0</v>
      </c>
    </row>
    <row r="78" spans="18:32">
      <c r="V78" s="473">
        <f>Mullberäkning!AE116</f>
        <v>14</v>
      </c>
      <c r="W78" s="903">
        <f>ICBM!X36</f>
        <v>1.7212640827140442</v>
      </c>
      <c r="X78" s="903">
        <f>ICBM!Y36</f>
        <v>1.7212640827140442</v>
      </c>
      <c r="Y78" s="903">
        <f>W78*Mull_ICBM!C$10</f>
        <v>2.9605742222681561</v>
      </c>
      <c r="Z78" s="903">
        <f>X78*Mull_ICBM!C$10</f>
        <v>2.9605742222681561</v>
      </c>
      <c r="AA78">
        <f>+ICBM!Z36</f>
        <v>0</v>
      </c>
      <c r="AB78">
        <f>+ICBM!AA36</f>
        <v>0</v>
      </c>
    </row>
    <row r="79" spans="18:32">
      <c r="V79" s="473">
        <f>Mullberäkning!AE117</f>
        <v>15</v>
      </c>
      <c r="W79" s="903">
        <f>ICBM!X37</f>
        <v>1.7217970220915548</v>
      </c>
      <c r="X79" s="903">
        <f>ICBM!Y37</f>
        <v>1.7217970220915548</v>
      </c>
      <c r="Y79" s="903">
        <f>W79*Mull_ICBM!C$10</f>
        <v>2.9614908779974742</v>
      </c>
      <c r="Z79" s="903">
        <f>X79*Mull_ICBM!C$10</f>
        <v>2.9614908779974742</v>
      </c>
      <c r="AA79">
        <f>+ICBM!Z37</f>
        <v>0</v>
      </c>
      <c r="AB79">
        <f>+ICBM!AA37</f>
        <v>0</v>
      </c>
    </row>
    <row r="80" spans="18:32">
      <c r="V80" s="473">
        <f>Mullberäkning!AE118</f>
        <v>16</v>
      </c>
      <c r="W80" s="903">
        <f>ICBM!X38</f>
        <v>1.7223225589021458</v>
      </c>
      <c r="X80" s="903">
        <f>ICBM!Y38</f>
        <v>1.7223225589021458</v>
      </c>
      <c r="Y80" s="903">
        <f>W80*Mull_ICBM!C$10</f>
        <v>2.9623948013116905</v>
      </c>
      <c r="Z80" s="903">
        <f>X80*Mull_ICBM!C$10</f>
        <v>2.9623948013116905</v>
      </c>
      <c r="AA80">
        <f>+ICBM!Z38</f>
        <v>0</v>
      </c>
      <c r="AB80">
        <f>+ICBM!AA38</f>
        <v>0</v>
      </c>
    </row>
    <row r="81" spans="22:28">
      <c r="V81" s="473">
        <f>Mullberäkning!AE119</f>
        <v>17</v>
      </c>
      <c r="W81" s="903">
        <f>ICBM!X39</f>
        <v>1.7228407959684564</v>
      </c>
      <c r="X81" s="903">
        <f>ICBM!Y39</f>
        <v>1.7228407959684564</v>
      </c>
      <c r="Y81" s="903">
        <f>W81*Mull_ICBM!C$10</f>
        <v>2.963286169065745</v>
      </c>
      <c r="Z81" s="903">
        <f>X81*Mull_ICBM!C$10</f>
        <v>2.963286169065745</v>
      </c>
      <c r="AA81">
        <f>+ICBM!Z39</f>
        <v>0</v>
      </c>
      <c r="AB81">
        <f>+ICBM!AA39</f>
        <v>0</v>
      </c>
    </row>
    <row r="82" spans="22:28">
      <c r="V82" s="473">
        <f>Mullberäkning!AE120</f>
        <v>18</v>
      </c>
      <c r="W82" s="903">
        <f>ICBM!X40</f>
        <v>1.7233518346845327</v>
      </c>
      <c r="X82" s="903">
        <f>ICBM!Y40</f>
        <v>1.7233518346845327</v>
      </c>
      <c r="Y82" s="903">
        <f>W82*Mull_ICBM!C$10</f>
        <v>2.9641651556573962</v>
      </c>
      <c r="Z82" s="903">
        <f>X82*Mull_ICBM!C$10</f>
        <v>2.9641651556573962</v>
      </c>
      <c r="AA82">
        <f>+ICBM!Z40</f>
        <v>0</v>
      </c>
      <c r="AB82">
        <f>+ICBM!AA40</f>
        <v>0</v>
      </c>
    </row>
    <row r="83" spans="22:28">
      <c r="V83" s="473">
        <f>Mullberäkning!AE121</f>
        <v>19</v>
      </c>
      <c r="W83" s="903">
        <f>ICBM!X41</f>
        <v>1.72385577503599</v>
      </c>
      <c r="X83" s="903">
        <f>ICBM!Y41</f>
        <v>1.72385577503599</v>
      </c>
      <c r="Y83" s="903">
        <f>W83*Mull_ICBM!C$10</f>
        <v>2.9650319330619026</v>
      </c>
      <c r="Z83" s="903">
        <f>X83*Mull_ICBM!C$10</f>
        <v>2.9650319330619026</v>
      </c>
      <c r="AA83">
        <f>+ICBM!Z41</f>
        <v>0</v>
      </c>
      <c r="AB83">
        <f>+ICBM!AA41</f>
        <v>0</v>
      </c>
    </row>
    <row r="84" spans="22:28">
      <c r="V84" s="473">
        <f>Mullberäkning!AE122</f>
        <v>20</v>
      </c>
      <c r="W84" s="903">
        <f>ICBM!X42</f>
        <v>1.7243527156196266</v>
      </c>
      <c r="X84" s="903">
        <f>ICBM!Y42</f>
        <v>1.7243527156196266</v>
      </c>
      <c r="Y84" s="903">
        <f>W84*Mull_ICBM!C$10</f>
        <v>2.9658866708657574</v>
      </c>
      <c r="Z84" s="903">
        <f>X84*Mull_ICBM!C$10</f>
        <v>2.9658866708657574</v>
      </c>
      <c r="AA84">
        <f>+ICBM!Z42</f>
        <v>0</v>
      </c>
      <c r="AB84">
        <f>+ICBM!AA42</f>
        <v>0</v>
      </c>
    </row>
    <row r="85" spans="22:28">
      <c r="V85" s="473">
        <f>Mullberäkning!AE123</f>
        <v>21</v>
      </c>
      <c r="W85" s="903">
        <f>ICBM!X43</f>
        <v>1.7248427536627227</v>
      </c>
      <c r="X85" s="903">
        <f>ICBM!Y43</f>
        <v>1.7248427536627227</v>
      </c>
      <c r="Y85" s="903">
        <f>W85*Mull_ICBM!C$10</f>
        <v>2.9667295362998831</v>
      </c>
      <c r="Z85" s="903">
        <f>X85*Mull_ICBM!C$10</f>
        <v>2.9667295362998831</v>
      </c>
      <c r="AA85">
        <f>+ICBM!Z43</f>
        <v>0</v>
      </c>
      <c r="AB85">
        <f>+ICBM!AA43</f>
        <v>0</v>
      </c>
    </row>
    <row r="86" spans="22:28">
      <c r="V86" s="473">
        <f>Mullberäkning!AE124</f>
        <v>22</v>
      </c>
      <c r="W86" s="903">
        <f>ICBM!X44</f>
        <v>1.7253259850420639</v>
      </c>
      <c r="X86" s="903">
        <f>ICBM!Y44</f>
        <v>1.7253259850420639</v>
      </c>
      <c r="Y86" s="903">
        <f>W86*Mull_ICBM!C$10</f>
        <v>2.96756069427235</v>
      </c>
      <c r="Z86" s="903">
        <f>X86*Mull_ICBM!C$10</f>
        <v>2.96756069427235</v>
      </c>
      <c r="AA86">
        <f>+ICBM!Z44</f>
        <v>0</v>
      </c>
      <c r="AB86">
        <f>+ICBM!AA44</f>
        <v>0</v>
      </c>
    </row>
    <row r="87" spans="22:28">
      <c r="V87" s="473">
        <f>Mullberäkning!AE125</f>
        <v>23</v>
      </c>
      <c r="W87" s="903">
        <f>ICBM!X45</f>
        <v>1.725802504302701</v>
      </c>
      <c r="X87" s="903">
        <f>ICBM!Y45</f>
        <v>1.725802504302701</v>
      </c>
      <c r="Y87" s="903">
        <f>W87*Mull_ICBM!C$10</f>
        <v>2.9683803074006456</v>
      </c>
      <c r="Z87" s="903">
        <f>X87*Mull_ICBM!C$10</f>
        <v>2.9683803074006456</v>
      </c>
      <c r="AA87">
        <f>+ICBM!Z45</f>
        <v>0</v>
      </c>
      <c r="AB87">
        <f>+ICBM!AA45</f>
        <v>0</v>
      </c>
    </row>
    <row r="88" spans="22:28">
      <c r="V88" s="473">
        <f>Mullberäkning!AE126</f>
        <v>24</v>
      </c>
      <c r="W88" s="903">
        <f>ICBM!X46</f>
        <v>1.7262724046764466</v>
      </c>
      <c r="X88" s="903">
        <f>ICBM!Y46</f>
        <v>1.7262724046764466</v>
      </c>
      <c r="Y88" s="903">
        <f>W88*Mull_ICBM!C$10</f>
        <v>2.9691885360434882</v>
      </c>
      <c r="Z88" s="903">
        <f>X88*Mull_ICBM!C$10</f>
        <v>2.9691885360434882</v>
      </c>
      <c r="AA88">
        <f>+ICBM!Z46</f>
        <v>0</v>
      </c>
      <c r="AB88">
        <f>+ICBM!AA46</f>
        <v>0</v>
      </c>
    </row>
    <row r="89" spans="22:28">
      <c r="V89" s="473">
        <f>Mullberäkning!AE127</f>
        <v>25</v>
      </c>
      <c r="W89" s="903">
        <f>ICBM!X47</f>
        <v>1.7267357781001167</v>
      </c>
      <c r="X89" s="903">
        <f>ICBM!Y47</f>
        <v>1.7267357781001167</v>
      </c>
      <c r="Y89" s="903">
        <f>W89*Mull_ICBM!C$10</f>
        <v>2.9699855383322005</v>
      </c>
      <c r="Z89" s="903">
        <f>X89*Mull_ICBM!C$10</f>
        <v>2.9699855383322005</v>
      </c>
      <c r="AA89">
        <f>+ICBM!Z47</f>
        <v>0</v>
      </c>
      <c r="AB89">
        <f>+ICBM!AA47</f>
        <v>0</v>
      </c>
    </row>
    <row r="90" spans="22:28">
      <c r="V90" s="473">
        <f>Mullberäkning!AE128</f>
        <v>26</v>
      </c>
      <c r="W90" s="903">
        <f>ICBM!X48</f>
        <v>1.7271927152335189</v>
      </c>
      <c r="X90" s="903">
        <f>ICBM!Y48</f>
        <v>1.7271927152335189</v>
      </c>
      <c r="Y90" s="903">
        <f>W90*Mull_ICBM!C$10</f>
        <v>2.9707714702016523</v>
      </c>
      <c r="Z90" s="903">
        <f>X90*Mull_ICBM!C$10</f>
        <v>2.9707714702016523</v>
      </c>
      <c r="AA90">
        <f>+ICBM!Z48</f>
        <v>0</v>
      </c>
      <c r="AB90">
        <f>+ICBM!AA48</f>
        <v>0</v>
      </c>
    </row>
    <row r="91" spans="22:28">
      <c r="V91" s="473">
        <f>Mullberäkning!AE129</f>
        <v>27</v>
      </c>
      <c r="W91" s="903">
        <f>ICBM!X49</f>
        <v>1.7276433054771891</v>
      </c>
      <c r="X91" s="903">
        <f>ICBM!Y49</f>
        <v>1.7276433054771891</v>
      </c>
      <c r="Y91" s="903">
        <f>W91*Mull_ICBM!C$10</f>
        <v>2.9715464854207654</v>
      </c>
      <c r="Z91" s="903">
        <f>X91*Mull_ICBM!C$10</f>
        <v>2.9715464854207654</v>
      </c>
      <c r="AA91">
        <f>+ICBM!Z49</f>
        <v>0</v>
      </c>
      <c r="AB91">
        <f>+ICBM!AA49</f>
        <v>0</v>
      </c>
    </row>
    <row r="92" spans="22:28">
      <c r="V92" s="473">
        <f>Mullberäkning!AE130</f>
        <v>28</v>
      </c>
      <c r="W92" s="903">
        <f>ICBM!X50</f>
        <v>1.728087636989883</v>
      </c>
      <c r="X92" s="903">
        <f>ICBM!Y50</f>
        <v>1.728087636989883</v>
      </c>
      <c r="Y92" s="903">
        <f>W92*Mull_ICBM!C$10</f>
        <v>2.9723107356225986</v>
      </c>
      <c r="Z92" s="903">
        <f>X92*Mull_ICBM!C$10</f>
        <v>2.9723107356225986</v>
      </c>
      <c r="AA92">
        <f>+ICBM!Z50</f>
        <v>0</v>
      </c>
      <c r="AB92">
        <f>+ICBM!AA50</f>
        <v>0</v>
      </c>
    </row>
    <row r="93" spans="22:28">
      <c r="V93" s="473">
        <f>Mullberäkning!AE131</f>
        <v>29</v>
      </c>
      <c r="W93" s="903">
        <f>ICBM!X51</f>
        <v>1.7285257967058254</v>
      </c>
      <c r="X93" s="903">
        <f>ICBM!Y51</f>
        <v>1.7285257967058254</v>
      </c>
      <c r="Y93" s="903">
        <f>W93*Mull_ICBM!C$10</f>
        <v>2.9730643703340198</v>
      </c>
      <c r="Z93" s="903">
        <f>X93*Mull_ICBM!C$10</f>
        <v>2.9730643703340198</v>
      </c>
      <c r="AA93">
        <f>+ICBM!Z51</f>
        <v>0</v>
      </c>
      <c r="AB93">
        <f>+ICBM!AA51</f>
        <v>0</v>
      </c>
    </row>
    <row r="94" spans="22:28">
      <c r="V94" s="473">
        <f>Mullberäkning!AE132</f>
        <v>30</v>
      </c>
      <c r="W94" s="903">
        <f>ICBM!X52</f>
        <v>1.7289578703517181</v>
      </c>
      <c r="X94" s="903">
        <f>ICBM!Y52</f>
        <v>1.7289578703517181</v>
      </c>
      <c r="Y94" s="903">
        <f>W94*Mull_ICBM!C$10</f>
        <v>2.973807537004955</v>
      </c>
      <c r="Z94" s="903">
        <f>X94*Mull_ICBM!C$10</f>
        <v>2.973807537004955</v>
      </c>
      <c r="AA94">
        <f>+ICBM!Z52</f>
        <v>0</v>
      </c>
      <c r="AB94">
        <f>+ICBM!AA52</f>
        <v>0</v>
      </c>
    </row>
    <row r="95" spans="22:28">
      <c r="V95" s="473">
        <f>Mullberäkning!AE133</f>
        <v>31</v>
      </c>
      <c r="W95" s="903">
        <f>ICBM!X53</f>
        <v>1.7293839424635131</v>
      </c>
      <c r="X95" s="903">
        <f>ICBM!Y53</f>
        <v>1.7293839424635131</v>
      </c>
      <c r="Y95" s="903">
        <f>W95*Mull_ICBM!C$10</f>
        <v>2.9745403810372424</v>
      </c>
      <c r="Z95" s="903">
        <f>X95*Mull_ICBM!C$10</f>
        <v>2.9745403810372424</v>
      </c>
      <c r="AA95">
        <f>+ICBM!Z53</f>
        <v>0</v>
      </c>
      <c r="AB95">
        <f>+ICBM!AA53</f>
        <v>0</v>
      </c>
    </row>
    <row r="96" spans="22:28">
      <c r="V96" s="473">
        <f>Mullberäkning!AE134</f>
        <v>32</v>
      </c>
      <c r="W96" s="903">
        <f>ICBM!X54</f>
        <v>1.7298040964029515</v>
      </c>
      <c r="X96" s="903">
        <f>ICBM!Y54</f>
        <v>1.7298040964029515</v>
      </c>
      <c r="Y96" s="903">
        <f>W96*Mull_ICBM!C$10</f>
        <v>2.9752630458130764</v>
      </c>
      <c r="Z96" s="903">
        <f>X96*Mull_ICBM!C$10</f>
        <v>2.9752630458130764</v>
      </c>
      <c r="AA96">
        <f>+ICBM!Z54</f>
        <v>0</v>
      </c>
      <c r="AB96">
        <f>+ICBM!AA54</f>
        <v>0</v>
      </c>
    </row>
    <row r="97" spans="22:28">
      <c r="V97" s="473">
        <f>Mullberäkning!AE135</f>
        <v>33</v>
      </c>
      <c r="W97" s="903">
        <f>ICBM!X55</f>
        <v>1.7302184143738746</v>
      </c>
      <c r="X97" s="903">
        <f>ICBM!Y55</f>
        <v>1.7302184143738746</v>
      </c>
      <c r="Y97" s="903">
        <f>W97*Mull_ICBM!C$10</f>
        <v>2.9759756727230644</v>
      </c>
      <c r="Z97" s="903">
        <f>X97*Mull_ICBM!C$10</f>
        <v>2.9759756727230644</v>
      </c>
      <c r="AA97">
        <f>+ICBM!Z55</f>
        <v>1.4</v>
      </c>
      <c r="AB97">
        <f>+ICBM!AA55</f>
        <v>0</v>
      </c>
    </row>
    <row r="98" spans="22:28">
      <c r="V98" s="473">
        <f>Mullberäkning!AE136</f>
        <v>34</v>
      </c>
      <c r="W98" s="903">
        <f>ICBM!X56</f>
        <v>1.7306269774383056</v>
      </c>
      <c r="X98" s="903">
        <f>ICBM!Y56</f>
        <v>1.7306269774383056</v>
      </c>
      <c r="Y98" s="903">
        <f>W98*Mull_ICBM!C$10</f>
        <v>2.9766784011938858</v>
      </c>
      <c r="Z98" s="903">
        <f>X98*Mull_ICBM!C$10</f>
        <v>2.9766784011938858</v>
      </c>
      <c r="AA98">
        <f>+ICBM!Z56</f>
        <v>0</v>
      </c>
      <c r="AB98">
        <f>+ICBM!AA56</f>
        <v>0</v>
      </c>
    </row>
    <row r="99" spans="22:28">
      <c r="V99" s="473">
        <f>Mullberäkning!AE137</f>
        <v>35</v>
      </c>
      <c r="W99" s="903">
        <f>ICBM!X57</f>
        <v>1.7310298655323104</v>
      </c>
      <c r="X99" s="903">
        <f>ICBM!Y57</f>
        <v>1.7310298655323104</v>
      </c>
      <c r="Y99" s="903">
        <f>W99*Mull_ICBM!C$10</f>
        <v>2.9773713687155738</v>
      </c>
      <c r="Z99" s="903">
        <f>X99*Mull_ICBM!C$10</f>
        <v>2.9773713687155738</v>
      </c>
      <c r="AA99">
        <f>+ICBM!Z57</f>
        <v>0</v>
      </c>
      <c r="AB99">
        <f>+ICBM!AA57</f>
        <v>0</v>
      </c>
    </row>
    <row r="100" spans="22:28">
      <c r="V100" s="473">
        <f>Mullberäkning!AE138</f>
        <v>36</v>
      </c>
      <c r="W100" s="903">
        <f>ICBM!X58</f>
        <v>1.7314271574816378</v>
      </c>
      <c r="X100" s="903">
        <f>ICBM!Y58</f>
        <v>1.7314271574816378</v>
      </c>
      <c r="Y100" s="903">
        <f>W100*Mull_ICBM!C$10</f>
        <v>2.9780547108684168</v>
      </c>
      <c r="Z100" s="903">
        <f>X100*Mull_ICBM!C$10</f>
        <v>2.9780547108684168</v>
      </c>
      <c r="AA100">
        <f>+ICBM!Z58</f>
        <v>0</v>
      </c>
      <c r="AB100">
        <f>+ICBM!AA58</f>
        <v>0</v>
      </c>
    </row>
    <row r="101" spans="22:28">
      <c r="V101" s="473">
        <f>Mullberäkning!AE139</f>
        <v>37</v>
      </c>
      <c r="W101" s="903">
        <f>ICBM!X59</f>
        <v>1.7318189310171408</v>
      </c>
      <c r="X101" s="903">
        <f>ICBM!Y59</f>
        <v>1.7318189310171408</v>
      </c>
      <c r="Y101" s="903">
        <f>W101*Mull_ICBM!C$10</f>
        <v>2.9787285613494823</v>
      </c>
      <c r="Z101" s="903">
        <f>X101*Mull_ICBM!C$10</f>
        <v>2.9787285613494823</v>
      </c>
      <c r="AA101">
        <f>+ICBM!Z59</f>
        <v>0</v>
      </c>
      <c r="AB101">
        <f>+ICBM!AA59</f>
        <v>0</v>
      </c>
    </row>
    <row r="102" spans="22:28">
      <c r="V102" s="473">
        <f>Mullberäkning!AE140</f>
        <v>38</v>
      </c>
      <c r="W102" s="903">
        <f>ICBM!X60</f>
        <v>1.7322052627899853</v>
      </c>
      <c r="X102" s="903">
        <f>ICBM!Y60</f>
        <v>1.7322052627899853</v>
      </c>
      <c r="Y102" s="903">
        <f>W102*Mull_ICBM!C$10</f>
        <v>2.9793930519987746</v>
      </c>
      <c r="Z102" s="903">
        <f>X102*Mull_ICBM!C$10</f>
        <v>2.9793930519987746</v>
      </c>
      <c r="AA102">
        <f>+ICBM!Z60</f>
        <v>0</v>
      </c>
      <c r="AB102">
        <f>+ICBM!AA60</f>
        <v>0</v>
      </c>
    </row>
    <row r="103" spans="22:28">
      <c r="V103" s="473">
        <f>Mullberäkning!AE141</f>
        <v>39</v>
      </c>
      <c r="W103" s="903">
        <f>ICBM!X61</f>
        <v>1.7325862283866471</v>
      </c>
      <c r="X103" s="903">
        <f>ICBM!Y61</f>
        <v>1.7325862283866471</v>
      </c>
      <c r="Y103" s="903">
        <f>W103*Mull_ICBM!C$10</f>
        <v>2.980048312825033</v>
      </c>
      <c r="Z103" s="903">
        <f>X103*Mull_ICBM!C$10</f>
        <v>2.980048312825033</v>
      </c>
      <c r="AA103">
        <f>+ICBM!Z61</f>
        <v>0</v>
      </c>
      <c r="AB103">
        <f>+ICBM!AA61</f>
        <v>0</v>
      </c>
    </row>
    <row r="104" spans="22:28">
      <c r="V104" s="473">
        <f>Mullberäkning!AE142</f>
        <v>40</v>
      </c>
      <c r="W104" s="903">
        <f>ICBM!X62</f>
        <v>1.7329619023437004</v>
      </c>
      <c r="X104" s="903">
        <f>ICBM!Y62</f>
        <v>1.7329619023437004</v>
      </c>
      <c r="Y104" s="903">
        <f>W104*Mull_ICBM!C$10</f>
        <v>2.9806944720311646</v>
      </c>
      <c r="Z104" s="903">
        <f>X104*Mull_ICBM!C$10</f>
        <v>2.9806944720311646</v>
      </c>
      <c r="AA104">
        <f>+ICBM!Z62</f>
        <v>0</v>
      </c>
      <c r="AB104">
        <f>+ICBM!AA62</f>
        <v>0</v>
      </c>
    </row>
    <row r="105" spans="22:28">
      <c r="V105" s="473">
        <f>Mullberäkning!AE143</f>
        <v>41</v>
      </c>
      <c r="W105" s="903">
        <f>ICBM!X63</f>
        <v>1.7333323581624007</v>
      </c>
      <c r="X105" s="903">
        <f>ICBM!Y63</f>
        <v>1.7333323581624007</v>
      </c>
      <c r="Y105" s="903">
        <f>W105*Mull_ICBM!C$10</f>
        <v>2.981331656039329</v>
      </c>
      <c r="Z105" s="903">
        <f>X105*Mull_ICBM!C$10</f>
        <v>2.981331656039329</v>
      </c>
      <c r="AA105">
        <f>+ICBM!Z63</f>
        <v>0</v>
      </c>
      <c r="AB105">
        <f>+ICBM!AA63</f>
        <v>0</v>
      </c>
    </row>
    <row r="106" spans="22:28">
      <c r="V106" s="473">
        <f>Mullberäkning!AE144</f>
        <v>42</v>
      </c>
      <c r="W106" s="903">
        <f>ICBM!X64</f>
        <v>1.733697668323066</v>
      </c>
      <c r="X106" s="903">
        <f>ICBM!Y64</f>
        <v>1.733697668323066</v>
      </c>
      <c r="Y106" s="903">
        <f>W106*Mull_ICBM!C$10</f>
        <v>2.9819599895156736</v>
      </c>
      <c r="Z106" s="903">
        <f>X106*Mull_ICBM!C$10</f>
        <v>2.9819599895156736</v>
      </c>
      <c r="AA106">
        <f>+ICBM!Z64</f>
        <v>0</v>
      </c>
      <c r="AB106">
        <f>+ICBM!AA64</f>
        <v>0</v>
      </c>
    </row>
    <row r="107" spans="22:28">
      <c r="V107" s="473">
        <f>Mullberäkning!AE145</f>
        <v>43</v>
      </c>
      <c r="W107" s="903">
        <f>ICBM!X65</f>
        <v>1.7340579042992579</v>
      </c>
      <c r="X107" s="903">
        <f>ICBM!Y65</f>
        <v>1.7340579042992579</v>
      </c>
      <c r="Y107" s="903">
        <f>W107*Mull_ICBM!C$10</f>
        <v>2.9825795953947236</v>
      </c>
      <c r="Z107" s="903">
        <f>X107*Mull_ICBM!C$10</f>
        <v>2.9825795953947236</v>
      </c>
      <c r="AA107">
        <f>+ICBM!Z65</f>
        <v>0</v>
      </c>
      <c r="AB107">
        <f>+ICBM!AA65</f>
        <v>0</v>
      </c>
    </row>
    <row r="108" spans="22:28">
      <c r="V108" s="473">
        <f>Mullberäkning!AE146</f>
        <v>44</v>
      </c>
      <c r="W108" s="903">
        <f>ICBM!X66</f>
        <v>1.7344131365717641</v>
      </c>
      <c r="X108" s="903">
        <f>ICBM!Y66</f>
        <v>1.7344131365717641</v>
      </c>
      <c r="Y108" s="903">
        <f>W108*Mull_ICBM!C$10</f>
        <v>2.9831905949034341</v>
      </c>
      <c r="Z108" s="903">
        <f>X108*Mull_ICBM!C$10</f>
        <v>2.9831905949034341</v>
      </c>
      <c r="AA108">
        <f>+ICBM!Z66</f>
        <v>0</v>
      </c>
      <c r="AB108">
        <f>+ICBM!AA66</f>
        <v>0</v>
      </c>
    </row>
    <row r="109" spans="22:28">
      <c r="V109" s="473">
        <f>Mullberäkning!AE147</f>
        <v>45</v>
      </c>
      <c r="W109" s="903">
        <f>ICBM!X67</f>
        <v>1.7347634346423899</v>
      </c>
      <c r="X109" s="903">
        <f>ICBM!Y67</f>
        <v>1.7347634346423899</v>
      </c>
      <c r="Y109" s="903">
        <f>W109*Mull_ICBM!C$10</f>
        <v>2.9837931075849107</v>
      </c>
      <c r="Z109" s="903">
        <f>X109*Mull_ICBM!C$10</f>
        <v>2.9837931075849107</v>
      </c>
      <c r="AA109">
        <f>+ICBM!Z67</f>
        <v>0</v>
      </c>
      <c r="AB109">
        <f>+ICBM!AA67</f>
        <v>0</v>
      </c>
    </row>
    <row r="110" spans="22:28">
      <c r="V110" s="473">
        <f>Mullberäkning!AE148</f>
        <v>46</v>
      </c>
      <c r="W110" s="903">
        <f>ICBM!X68</f>
        <v>1.735108867047555</v>
      </c>
      <c r="X110" s="903">
        <f>ICBM!Y68</f>
        <v>1.735108867047555</v>
      </c>
      <c r="Y110" s="903">
        <f>W110*Mull_ICBM!C$10</f>
        <v>2.9843872513217944</v>
      </c>
      <c r="Z110" s="903">
        <f>X110*Mull_ICBM!C$10</f>
        <v>2.9843872513217944</v>
      </c>
      <c r="AA110">
        <f>+ICBM!Z68</f>
        <v>0</v>
      </c>
      <c r="AB110">
        <f>+ICBM!AA68</f>
        <v>0</v>
      </c>
    </row>
    <row r="111" spans="22:28">
      <c r="V111" s="473">
        <f>Mullberäkning!AE149</f>
        <v>47</v>
      </c>
      <c r="W111" s="903">
        <f>ICBM!X69</f>
        <v>1.7354495013717035</v>
      </c>
      <c r="X111" s="903">
        <f>ICBM!Y69</f>
        <v>1.7354495013717035</v>
      </c>
      <c r="Y111" s="903">
        <f>W111*Mull_ICBM!C$10</f>
        <v>2.9849731423593302</v>
      </c>
      <c r="Z111" s="903">
        <f>X111*Mull_ICBM!C$10</f>
        <v>2.9849731423593302</v>
      </c>
      <c r="AA111">
        <f>+ICBM!Z69</f>
        <v>0</v>
      </c>
      <c r="AB111">
        <f>+ICBM!AA69</f>
        <v>0</v>
      </c>
    </row>
    <row r="112" spans="22:28">
      <c r="V112" s="473">
        <f>Mullberäkning!AE150</f>
        <v>48</v>
      </c>
      <c r="W112" s="903">
        <f>ICBM!X70</f>
        <v>1.7357854042605272</v>
      </c>
      <c r="X112" s="903">
        <f>ICBM!Y70</f>
        <v>1.7357854042605272</v>
      </c>
      <c r="Y112" s="903">
        <f>W112*Mull_ICBM!C$10</f>
        <v>2.9855508953281067</v>
      </c>
      <c r="Z112" s="903">
        <f>X112*Mull_ICBM!C$10</f>
        <v>2.9855508953281067</v>
      </c>
      <c r="AA112">
        <f>+ICBM!Z70</f>
        <v>0</v>
      </c>
      <c r="AB112">
        <f>+ICBM!AA70</f>
        <v>0</v>
      </c>
    </row>
    <row r="113" spans="22:28">
      <c r="V113" s="473">
        <f>Mullberäkning!AE151</f>
        <v>49</v>
      </c>
      <c r="W113" s="903">
        <f>ICBM!X71</f>
        <v>1.7361166414340035</v>
      </c>
      <c r="X113" s="903">
        <f>ICBM!Y71</f>
        <v>1.7361166414340035</v>
      </c>
      <c r="Y113" s="903">
        <f>W113*Mull_ICBM!C$10</f>
        <v>2.9861206232664861</v>
      </c>
      <c r="Z113" s="903">
        <f>X113*Mull_ICBM!C$10</f>
        <v>2.9861206232664861</v>
      </c>
      <c r="AA113">
        <f>+ICBM!Z71</f>
        <v>0</v>
      </c>
      <c r="AB113">
        <f>+ICBM!AA71</f>
        <v>0</v>
      </c>
    </row>
    <row r="114" spans="22:28">
      <c r="V114" s="473">
        <f>Mullberäkning!AE152</f>
        <v>50</v>
      </c>
      <c r="W114" s="903">
        <f>ICBM!X72</f>
        <v>1.7364432776992549</v>
      </c>
      <c r="X114" s="903">
        <f>ICBM!Y72</f>
        <v>1.7364432776992549</v>
      </c>
      <c r="Y114" s="903">
        <f>W114*Mull_ICBM!C$10</f>
        <v>2.9866824376427186</v>
      </c>
      <c r="Z114" s="903">
        <f>X114*Mull_ICBM!C$10</f>
        <v>2.9866824376427186</v>
      </c>
      <c r="AA114">
        <f>+ICBM!Z72</f>
        <v>0</v>
      </c>
      <c r="AB114">
        <f>+ICBM!AA72</f>
        <v>0</v>
      </c>
    </row>
  </sheetData>
  <sheetProtection sheet="1" objects="1" scenarios="1"/>
  <protectedRanges>
    <protectedRange sqref="L2 S8" name="Område3"/>
    <protectedRange sqref="F14:H23" name="Område1"/>
    <protectedRange sqref="B14:C23 J14:J23 L14:O23 D33:G42 O33:O42 Q33:T42 V33:V42" name="Område2"/>
  </protectedRanges>
  <dataConsolidate/>
  <phoneticPr fontId="24" type="noConversion"/>
  <conditionalFormatting sqref="O33">
    <cfRule type="containsText" dxfId="16" priority="19" operator="containsText" text="Tidig höst">
      <formula>NOT(ISERROR(SEARCH("Tidig höst",O33)))</formula>
    </cfRule>
  </conditionalFormatting>
  <conditionalFormatting sqref="O33:O42">
    <cfRule type="containsText" dxfId="15" priority="17" operator="containsText" text="Ingen">
      <formula>NOT(ISERROR(SEARCH("Ingen",O33)))</formula>
    </cfRule>
    <cfRule type="containsText" dxfId="14" priority="18" operator="containsText" text="Tidig höst">
      <formula>NOT(ISERROR(SEARCH("Tidig höst",O33)))</formula>
    </cfRule>
  </conditionalFormatting>
  <conditionalFormatting sqref="S8">
    <cfRule type="cellIs" dxfId="13" priority="15" operator="lessThan">
      <formula>0</formula>
    </cfRule>
    <cfRule type="cellIs" dxfId="12" priority="16" operator="greaterThan">
      <formula>9</formula>
    </cfRule>
  </conditionalFormatting>
  <conditionalFormatting sqref="J14:J23">
    <cfRule type="containsText" dxfId="11" priority="11" operator="containsText" text="Tidig höst">
      <formula>NOT(ISERROR(SEARCH("Tidig höst",J14)))</formula>
    </cfRule>
  </conditionalFormatting>
  <conditionalFormatting sqref="J14:J23">
    <cfRule type="containsText" dxfId="10" priority="9" operator="containsText" text="Ingen">
      <formula>NOT(ISERROR(SEARCH("Ingen",J14)))</formula>
    </cfRule>
    <cfRule type="containsText" dxfId="9" priority="10" operator="containsText" text="Tidig höst">
      <formula>NOT(ISERROR(SEARCH("Tidig höst",J14)))</formula>
    </cfRule>
  </conditionalFormatting>
  <dataValidations count="1">
    <dataValidation type="list" allowBlank="1" showInputMessage="1" showErrorMessage="1" sqref="B33:B42">
      <formula1>Grodor_dynamisk</formula1>
    </dataValidation>
  </dataValidations>
  <pageMargins left="0.74791666666666667" right="0.74791666666666667" top="0.98402777777777772" bottom="0.98402777777777772" header="0.51180555555555551" footer="0.51180555555555551"/>
  <pageSetup paperSize="9" firstPageNumber="0"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070" r:id="rId4" name="Check Box 22">
              <controlPr defaultSize="0" print="0" autoFill="0" autoLine="0" autoPict="0">
                <anchor moveWithCells="1">
                  <from>
                    <xdr:col>7</xdr:col>
                    <xdr:colOff>123825</xdr:colOff>
                    <xdr:row>12</xdr:row>
                    <xdr:rowOff>152400</xdr:rowOff>
                  </from>
                  <to>
                    <xdr:col>7</xdr:col>
                    <xdr:colOff>314325</xdr:colOff>
                    <xdr:row>14</xdr:row>
                    <xdr:rowOff>28575</xdr:rowOff>
                  </to>
                </anchor>
              </controlPr>
            </control>
          </mc:Choice>
        </mc:AlternateContent>
        <mc:AlternateContent xmlns:mc="http://schemas.openxmlformats.org/markup-compatibility/2006">
          <mc:Choice Requires="x14">
            <control shapeId="2071" r:id="rId5" name="Check Box 23">
              <controlPr defaultSize="0" print="0" autoFill="0" autoLine="0" autoPict="0">
                <anchor moveWithCells="1">
                  <from>
                    <xdr:col>7</xdr:col>
                    <xdr:colOff>123825</xdr:colOff>
                    <xdr:row>13</xdr:row>
                    <xdr:rowOff>133350</xdr:rowOff>
                  </from>
                  <to>
                    <xdr:col>7</xdr:col>
                    <xdr:colOff>314325</xdr:colOff>
                    <xdr:row>15</xdr:row>
                    <xdr:rowOff>0</xdr:rowOff>
                  </to>
                </anchor>
              </controlPr>
            </control>
          </mc:Choice>
        </mc:AlternateContent>
        <mc:AlternateContent xmlns:mc="http://schemas.openxmlformats.org/markup-compatibility/2006">
          <mc:Choice Requires="x14">
            <control shapeId="2075" r:id="rId6" name="Check Box 27">
              <controlPr defaultSize="0" print="0" autoFill="0" autoLine="0" autoPict="0">
                <anchor moveWithCells="1">
                  <from>
                    <xdr:col>7</xdr:col>
                    <xdr:colOff>123825</xdr:colOff>
                    <xdr:row>16</xdr:row>
                    <xdr:rowOff>161925</xdr:rowOff>
                  </from>
                  <to>
                    <xdr:col>7</xdr:col>
                    <xdr:colOff>314325</xdr:colOff>
                    <xdr:row>18</xdr:row>
                    <xdr:rowOff>38100</xdr:rowOff>
                  </to>
                </anchor>
              </controlPr>
            </control>
          </mc:Choice>
        </mc:AlternateContent>
        <mc:AlternateContent xmlns:mc="http://schemas.openxmlformats.org/markup-compatibility/2006">
          <mc:Choice Requires="x14">
            <control shapeId="2076" r:id="rId7" name="Check Box 28">
              <controlPr defaultSize="0" print="0" autoFill="0" autoLine="0" autoPict="0">
                <anchor moveWithCells="1">
                  <from>
                    <xdr:col>7</xdr:col>
                    <xdr:colOff>123825</xdr:colOff>
                    <xdr:row>17</xdr:row>
                    <xdr:rowOff>161925</xdr:rowOff>
                  </from>
                  <to>
                    <xdr:col>7</xdr:col>
                    <xdr:colOff>314325</xdr:colOff>
                    <xdr:row>19</xdr:row>
                    <xdr:rowOff>38100</xdr:rowOff>
                  </to>
                </anchor>
              </controlPr>
            </control>
          </mc:Choice>
        </mc:AlternateContent>
        <mc:AlternateContent xmlns:mc="http://schemas.openxmlformats.org/markup-compatibility/2006">
          <mc:Choice Requires="x14">
            <control shapeId="2077" r:id="rId8" name="Check Box 29">
              <controlPr defaultSize="0" print="0" autoFill="0" autoLine="0" autoPict="0">
                <anchor moveWithCells="1">
                  <from>
                    <xdr:col>7</xdr:col>
                    <xdr:colOff>123825</xdr:colOff>
                    <xdr:row>18</xdr:row>
                    <xdr:rowOff>161925</xdr:rowOff>
                  </from>
                  <to>
                    <xdr:col>7</xdr:col>
                    <xdr:colOff>314325</xdr:colOff>
                    <xdr:row>20</xdr:row>
                    <xdr:rowOff>38100</xdr:rowOff>
                  </to>
                </anchor>
              </controlPr>
            </control>
          </mc:Choice>
        </mc:AlternateContent>
        <mc:AlternateContent xmlns:mc="http://schemas.openxmlformats.org/markup-compatibility/2006">
          <mc:Choice Requires="x14">
            <control shapeId="2078" r:id="rId9" name="Check Box 30">
              <controlPr defaultSize="0" print="0" autoFill="0" autoLine="0" autoPict="0">
                <anchor moveWithCells="1">
                  <from>
                    <xdr:col>7</xdr:col>
                    <xdr:colOff>123825</xdr:colOff>
                    <xdr:row>19</xdr:row>
                    <xdr:rowOff>171450</xdr:rowOff>
                  </from>
                  <to>
                    <xdr:col>7</xdr:col>
                    <xdr:colOff>314325</xdr:colOff>
                    <xdr:row>21</xdr:row>
                    <xdr:rowOff>38100</xdr:rowOff>
                  </to>
                </anchor>
              </controlPr>
            </control>
          </mc:Choice>
        </mc:AlternateContent>
        <mc:AlternateContent xmlns:mc="http://schemas.openxmlformats.org/markup-compatibility/2006">
          <mc:Choice Requires="x14">
            <control shapeId="2079" r:id="rId10" name="Check Box 31">
              <controlPr defaultSize="0" print="0" autoFill="0" autoLine="0" autoPict="0">
                <anchor moveWithCells="1">
                  <from>
                    <xdr:col>7</xdr:col>
                    <xdr:colOff>123825</xdr:colOff>
                    <xdr:row>20</xdr:row>
                    <xdr:rowOff>171450</xdr:rowOff>
                  </from>
                  <to>
                    <xdr:col>7</xdr:col>
                    <xdr:colOff>314325</xdr:colOff>
                    <xdr:row>22</xdr:row>
                    <xdr:rowOff>38100</xdr:rowOff>
                  </to>
                </anchor>
              </controlPr>
            </control>
          </mc:Choice>
        </mc:AlternateContent>
        <mc:AlternateContent xmlns:mc="http://schemas.openxmlformats.org/markup-compatibility/2006">
          <mc:Choice Requires="x14">
            <control shapeId="2081" r:id="rId11" name="Check Box 33">
              <controlPr defaultSize="0" print="0" autoFill="0" autoLine="0" autoPict="0">
                <anchor moveWithCells="1">
                  <from>
                    <xdr:col>7</xdr:col>
                    <xdr:colOff>123825</xdr:colOff>
                    <xdr:row>21</xdr:row>
                    <xdr:rowOff>161925</xdr:rowOff>
                  </from>
                  <to>
                    <xdr:col>7</xdr:col>
                    <xdr:colOff>314325</xdr:colOff>
                    <xdr:row>23</xdr:row>
                    <xdr:rowOff>38100</xdr:rowOff>
                  </to>
                </anchor>
              </controlPr>
            </control>
          </mc:Choice>
        </mc:AlternateContent>
        <mc:AlternateContent xmlns:mc="http://schemas.openxmlformats.org/markup-compatibility/2006">
          <mc:Choice Requires="x14">
            <control shapeId="2084" r:id="rId12" name="Check Box 36">
              <controlPr defaultSize="0" print="0" autoFill="0" autoLine="0" autoPict="0">
                <anchor moveWithCells="1">
                  <from>
                    <xdr:col>12</xdr:col>
                    <xdr:colOff>123825</xdr:colOff>
                    <xdr:row>31</xdr:row>
                    <xdr:rowOff>152400</xdr:rowOff>
                  </from>
                  <to>
                    <xdr:col>12</xdr:col>
                    <xdr:colOff>314325</xdr:colOff>
                    <xdr:row>33</xdr:row>
                    <xdr:rowOff>38100</xdr:rowOff>
                  </to>
                </anchor>
              </controlPr>
            </control>
          </mc:Choice>
        </mc:AlternateContent>
        <mc:AlternateContent xmlns:mc="http://schemas.openxmlformats.org/markup-compatibility/2006">
          <mc:Choice Requires="x14">
            <control shapeId="2171" r:id="rId13" name="Check Box 123">
              <controlPr defaultSize="0" print="0" autoFill="0" autoLine="0" autoPict="0">
                <anchor moveWithCells="1">
                  <from>
                    <xdr:col>7</xdr:col>
                    <xdr:colOff>123825</xdr:colOff>
                    <xdr:row>14</xdr:row>
                    <xdr:rowOff>161925</xdr:rowOff>
                  </from>
                  <to>
                    <xdr:col>7</xdr:col>
                    <xdr:colOff>314325</xdr:colOff>
                    <xdr:row>16</xdr:row>
                    <xdr:rowOff>28575</xdr:rowOff>
                  </to>
                </anchor>
              </controlPr>
            </control>
          </mc:Choice>
        </mc:AlternateContent>
        <mc:AlternateContent xmlns:mc="http://schemas.openxmlformats.org/markup-compatibility/2006">
          <mc:Choice Requires="x14">
            <control shapeId="2172" r:id="rId14" name="Check Box 124">
              <controlPr locked="0" defaultSize="0" print="0" autoFill="0" autoLine="0" autoPict="0">
                <anchor moveWithCells="1">
                  <from>
                    <xdr:col>7</xdr:col>
                    <xdr:colOff>123825</xdr:colOff>
                    <xdr:row>15</xdr:row>
                    <xdr:rowOff>152400</xdr:rowOff>
                  </from>
                  <to>
                    <xdr:col>7</xdr:col>
                    <xdr:colOff>314325</xdr:colOff>
                    <xdr:row>17</xdr:row>
                    <xdr:rowOff>28575</xdr:rowOff>
                  </to>
                </anchor>
              </controlPr>
            </control>
          </mc:Choice>
        </mc:AlternateContent>
        <mc:AlternateContent xmlns:mc="http://schemas.openxmlformats.org/markup-compatibility/2006">
          <mc:Choice Requires="x14">
            <control shapeId="2173" r:id="rId15" name="Check Box 125">
              <controlPr defaultSize="0" print="0" autoFill="0" autoLine="0" autoPict="0">
                <anchor moveWithCells="1">
                  <from>
                    <xdr:col>12</xdr:col>
                    <xdr:colOff>123825</xdr:colOff>
                    <xdr:row>32</xdr:row>
                    <xdr:rowOff>142875</xdr:rowOff>
                  </from>
                  <to>
                    <xdr:col>12</xdr:col>
                    <xdr:colOff>314325</xdr:colOff>
                    <xdr:row>34</xdr:row>
                    <xdr:rowOff>28575</xdr:rowOff>
                  </to>
                </anchor>
              </controlPr>
            </control>
          </mc:Choice>
        </mc:AlternateContent>
        <mc:AlternateContent xmlns:mc="http://schemas.openxmlformats.org/markup-compatibility/2006">
          <mc:Choice Requires="x14">
            <control shapeId="2174" r:id="rId16" name="Check Box 126">
              <controlPr defaultSize="0" print="0" autoFill="0" autoLine="0" autoPict="0">
                <anchor moveWithCells="1">
                  <from>
                    <xdr:col>12</xdr:col>
                    <xdr:colOff>123825</xdr:colOff>
                    <xdr:row>33</xdr:row>
                    <xdr:rowOff>152400</xdr:rowOff>
                  </from>
                  <to>
                    <xdr:col>12</xdr:col>
                    <xdr:colOff>314325</xdr:colOff>
                    <xdr:row>35</xdr:row>
                    <xdr:rowOff>0</xdr:rowOff>
                  </to>
                </anchor>
              </controlPr>
            </control>
          </mc:Choice>
        </mc:AlternateContent>
        <mc:AlternateContent xmlns:mc="http://schemas.openxmlformats.org/markup-compatibility/2006">
          <mc:Choice Requires="x14">
            <control shapeId="2175" r:id="rId17" name="Check Box 127">
              <controlPr defaultSize="0" print="0" autoFill="0" autoLine="0" autoPict="0">
                <anchor moveWithCells="1">
                  <from>
                    <xdr:col>12</xdr:col>
                    <xdr:colOff>123825</xdr:colOff>
                    <xdr:row>34</xdr:row>
                    <xdr:rowOff>142875</xdr:rowOff>
                  </from>
                  <to>
                    <xdr:col>12</xdr:col>
                    <xdr:colOff>314325</xdr:colOff>
                    <xdr:row>36</xdr:row>
                    <xdr:rowOff>0</xdr:rowOff>
                  </to>
                </anchor>
              </controlPr>
            </control>
          </mc:Choice>
        </mc:AlternateContent>
        <mc:AlternateContent xmlns:mc="http://schemas.openxmlformats.org/markup-compatibility/2006">
          <mc:Choice Requires="x14">
            <control shapeId="2176" r:id="rId18" name="Check Box 128">
              <controlPr defaultSize="0" print="0" autoFill="0" autoLine="0" autoPict="0">
                <anchor moveWithCells="1">
                  <from>
                    <xdr:col>12</xdr:col>
                    <xdr:colOff>123825</xdr:colOff>
                    <xdr:row>35</xdr:row>
                    <xdr:rowOff>142875</xdr:rowOff>
                  </from>
                  <to>
                    <xdr:col>12</xdr:col>
                    <xdr:colOff>314325</xdr:colOff>
                    <xdr:row>37</xdr:row>
                    <xdr:rowOff>0</xdr:rowOff>
                  </to>
                </anchor>
              </controlPr>
            </control>
          </mc:Choice>
        </mc:AlternateContent>
        <mc:AlternateContent xmlns:mc="http://schemas.openxmlformats.org/markup-compatibility/2006">
          <mc:Choice Requires="x14">
            <control shapeId="2177" r:id="rId19" name="Check Box 129">
              <controlPr defaultSize="0" print="0" autoFill="0" autoLine="0" autoPict="0">
                <anchor moveWithCells="1">
                  <from>
                    <xdr:col>12</xdr:col>
                    <xdr:colOff>123825</xdr:colOff>
                    <xdr:row>36</xdr:row>
                    <xdr:rowOff>142875</xdr:rowOff>
                  </from>
                  <to>
                    <xdr:col>12</xdr:col>
                    <xdr:colOff>314325</xdr:colOff>
                    <xdr:row>38</xdr:row>
                    <xdr:rowOff>0</xdr:rowOff>
                  </to>
                </anchor>
              </controlPr>
            </control>
          </mc:Choice>
        </mc:AlternateContent>
        <mc:AlternateContent xmlns:mc="http://schemas.openxmlformats.org/markup-compatibility/2006">
          <mc:Choice Requires="x14">
            <control shapeId="2178" r:id="rId20" name="Check Box 130">
              <controlPr defaultSize="0" print="0" autoFill="0" autoLine="0" autoPict="0">
                <anchor moveWithCells="1">
                  <from>
                    <xdr:col>12</xdr:col>
                    <xdr:colOff>123825</xdr:colOff>
                    <xdr:row>37</xdr:row>
                    <xdr:rowOff>133350</xdr:rowOff>
                  </from>
                  <to>
                    <xdr:col>12</xdr:col>
                    <xdr:colOff>314325</xdr:colOff>
                    <xdr:row>38</xdr:row>
                    <xdr:rowOff>180975</xdr:rowOff>
                  </to>
                </anchor>
              </controlPr>
            </control>
          </mc:Choice>
        </mc:AlternateContent>
        <mc:AlternateContent xmlns:mc="http://schemas.openxmlformats.org/markup-compatibility/2006">
          <mc:Choice Requires="x14">
            <control shapeId="2179" r:id="rId21" name="Check Box 131">
              <controlPr defaultSize="0" print="0" autoFill="0" autoLine="0" autoPict="0">
                <anchor moveWithCells="1">
                  <from>
                    <xdr:col>12</xdr:col>
                    <xdr:colOff>123825</xdr:colOff>
                    <xdr:row>38</xdr:row>
                    <xdr:rowOff>142875</xdr:rowOff>
                  </from>
                  <to>
                    <xdr:col>12</xdr:col>
                    <xdr:colOff>314325</xdr:colOff>
                    <xdr:row>40</xdr:row>
                    <xdr:rowOff>0</xdr:rowOff>
                  </to>
                </anchor>
              </controlPr>
            </control>
          </mc:Choice>
        </mc:AlternateContent>
        <mc:AlternateContent xmlns:mc="http://schemas.openxmlformats.org/markup-compatibility/2006">
          <mc:Choice Requires="x14">
            <control shapeId="2180" r:id="rId22" name="Check Box 132">
              <controlPr defaultSize="0" print="0" autoFill="0" autoLine="0" autoPict="0">
                <anchor moveWithCells="1">
                  <from>
                    <xdr:col>12</xdr:col>
                    <xdr:colOff>123825</xdr:colOff>
                    <xdr:row>39</xdr:row>
                    <xdr:rowOff>142875</xdr:rowOff>
                  </from>
                  <to>
                    <xdr:col>12</xdr:col>
                    <xdr:colOff>314325</xdr:colOff>
                    <xdr:row>41</xdr:row>
                    <xdr:rowOff>0</xdr:rowOff>
                  </to>
                </anchor>
              </controlPr>
            </control>
          </mc:Choice>
        </mc:AlternateContent>
        <mc:AlternateContent xmlns:mc="http://schemas.openxmlformats.org/markup-compatibility/2006">
          <mc:Choice Requires="x14">
            <control shapeId="2181" r:id="rId23" name="Check Box 133">
              <controlPr defaultSize="0" print="0" autoFill="0" autoLine="0" autoPict="0">
                <anchor moveWithCells="1">
                  <from>
                    <xdr:col>12</xdr:col>
                    <xdr:colOff>123825</xdr:colOff>
                    <xdr:row>40</xdr:row>
                    <xdr:rowOff>152400</xdr:rowOff>
                  </from>
                  <to>
                    <xdr:col>12</xdr:col>
                    <xdr:colOff>314325</xdr:colOff>
                    <xdr:row>42</xdr:row>
                    <xdr:rowOff>0</xdr:rowOff>
                  </to>
                </anchor>
              </controlPr>
            </control>
          </mc:Choice>
        </mc:AlternateContent>
        <mc:AlternateContent xmlns:mc="http://schemas.openxmlformats.org/markup-compatibility/2006">
          <mc:Choice Requires="x14">
            <control shapeId="2224" r:id="rId24" name="Check Box 33">
              <controlPr defaultSize="0" print="0" autoFill="0" autoLine="0" autoPict="0">
                <anchor moveWithCells="1">
                  <from>
                    <xdr:col>10</xdr:col>
                    <xdr:colOff>123825</xdr:colOff>
                    <xdr:row>12</xdr:row>
                    <xdr:rowOff>161925</xdr:rowOff>
                  </from>
                  <to>
                    <xdr:col>10</xdr:col>
                    <xdr:colOff>314325</xdr:colOff>
                    <xdr:row>14</xdr:row>
                    <xdr:rowOff>38100</xdr:rowOff>
                  </to>
                </anchor>
              </controlPr>
            </control>
          </mc:Choice>
        </mc:AlternateContent>
        <mc:AlternateContent xmlns:mc="http://schemas.openxmlformats.org/markup-compatibility/2006">
          <mc:Choice Requires="x14">
            <control shapeId="2226" r:id="rId25" name="Check Box 33">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27" r:id="rId26" name="Check Box 33">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28" r:id="rId27" name="Check Box 33">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29" r:id="rId28" name="Check Box 33">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0" r:id="rId29" name="Check Box 33">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1" r:id="rId30" name="Check Box 33">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2" r:id="rId31" name="Check Box 33">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3" r:id="rId32" name="Check Box 33">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4" r:id="rId33" name="Check Box 33">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5" r:id="rId34" name="Check Box 33">
              <controlPr defaultSize="0" print="0" autoFill="0" autoLine="0" autoPict="0">
                <anchor moveWithCells="1">
                  <from>
                    <xdr:col>10</xdr:col>
                    <xdr:colOff>123825</xdr:colOff>
                    <xdr:row>16</xdr:row>
                    <xdr:rowOff>161925</xdr:rowOff>
                  </from>
                  <to>
                    <xdr:col>10</xdr:col>
                    <xdr:colOff>314325</xdr:colOff>
                    <xdr:row>18</xdr:row>
                    <xdr:rowOff>38100</xdr:rowOff>
                  </to>
                </anchor>
              </controlPr>
            </control>
          </mc:Choice>
        </mc:AlternateContent>
        <mc:AlternateContent xmlns:mc="http://schemas.openxmlformats.org/markup-compatibility/2006">
          <mc:Choice Requires="x14">
            <control shapeId="2236" r:id="rId35" name="Check Box 33">
              <controlPr defaultSize="0" print="0" autoFill="0" autoLine="0" autoPict="0">
                <anchor moveWithCells="1">
                  <from>
                    <xdr:col>10</xdr:col>
                    <xdr:colOff>123825</xdr:colOff>
                    <xdr:row>13</xdr:row>
                    <xdr:rowOff>161925</xdr:rowOff>
                  </from>
                  <to>
                    <xdr:col>10</xdr:col>
                    <xdr:colOff>314325</xdr:colOff>
                    <xdr:row>15</xdr:row>
                    <xdr:rowOff>28575</xdr:rowOff>
                  </to>
                </anchor>
              </controlPr>
            </control>
          </mc:Choice>
        </mc:AlternateContent>
        <mc:AlternateContent xmlns:mc="http://schemas.openxmlformats.org/markup-compatibility/2006">
          <mc:Choice Requires="x14">
            <control shapeId="2237" r:id="rId36" name="Check Box 33">
              <controlPr defaultSize="0" print="0" autoFill="0" autoLine="0" autoPict="0">
                <anchor moveWithCells="1">
                  <from>
                    <xdr:col>10</xdr:col>
                    <xdr:colOff>123825</xdr:colOff>
                    <xdr:row>14</xdr:row>
                    <xdr:rowOff>161925</xdr:rowOff>
                  </from>
                  <to>
                    <xdr:col>10</xdr:col>
                    <xdr:colOff>314325</xdr:colOff>
                    <xdr:row>16</xdr:row>
                    <xdr:rowOff>28575</xdr:rowOff>
                  </to>
                </anchor>
              </controlPr>
            </control>
          </mc:Choice>
        </mc:AlternateContent>
        <mc:AlternateContent xmlns:mc="http://schemas.openxmlformats.org/markup-compatibility/2006">
          <mc:Choice Requires="x14">
            <control shapeId="2238" r:id="rId37" name="Check Box 33">
              <controlPr defaultSize="0" print="0" autoFill="0" autoLine="0" autoPict="0">
                <anchor moveWithCells="1">
                  <from>
                    <xdr:col>10</xdr:col>
                    <xdr:colOff>123825</xdr:colOff>
                    <xdr:row>15</xdr:row>
                    <xdr:rowOff>161925</xdr:rowOff>
                  </from>
                  <to>
                    <xdr:col>10</xdr:col>
                    <xdr:colOff>314325</xdr:colOff>
                    <xdr:row>17</xdr:row>
                    <xdr:rowOff>38100</xdr:rowOff>
                  </to>
                </anchor>
              </controlPr>
            </control>
          </mc:Choice>
        </mc:AlternateContent>
        <mc:AlternateContent xmlns:mc="http://schemas.openxmlformats.org/markup-compatibility/2006">
          <mc:Choice Requires="x14">
            <control shapeId="2239" r:id="rId38" name="Check Box 33">
              <controlPr defaultSize="0" print="0" autoFill="0" autoLine="0" autoPict="0">
                <anchor moveWithCells="1">
                  <from>
                    <xdr:col>10</xdr:col>
                    <xdr:colOff>123825</xdr:colOff>
                    <xdr:row>16</xdr:row>
                    <xdr:rowOff>161925</xdr:rowOff>
                  </from>
                  <to>
                    <xdr:col>10</xdr:col>
                    <xdr:colOff>314325</xdr:colOff>
                    <xdr:row>18</xdr:row>
                    <xdr:rowOff>38100</xdr:rowOff>
                  </to>
                </anchor>
              </controlPr>
            </control>
          </mc:Choice>
        </mc:AlternateContent>
        <mc:AlternateContent xmlns:mc="http://schemas.openxmlformats.org/markup-compatibility/2006">
          <mc:Choice Requires="x14">
            <control shapeId="2240" r:id="rId39" name="Check Box 33">
              <controlPr defaultSize="0" print="0" autoFill="0" autoLine="0" autoPict="0">
                <anchor moveWithCells="1">
                  <from>
                    <xdr:col>10</xdr:col>
                    <xdr:colOff>123825</xdr:colOff>
                    <xdr:row>17</xdr:row>
                    <xdr:rowOff>161925</xdr:rowOff>
                  </from>
                  <to>
                    <xdr:col>10</xdr:col>
                    <xdr:colOff>314325</xdr:colOff>
                    <xdr:row>19</xdr:row>
                    <xdr:rowOff>38100</xdr:rowOff>
                  </to>
                </anchor>
              </controlPr>
            </control>
          </mc:Choice>
        </mc:AlternateContent>
        <mc:AlternateContent xmlns:mc="http://schemas.openxmlformats.org/markup-compatibility/2006">
          <mc:Choice Requires="x14">
            <control shapeId="2241" r:id="rId40" name="Check Box 33">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2" r:id="rId41" name="Check Box 33">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3" r:id="rId42" name="Check Box 33">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4" r:id="rId43" name="Check Box 33">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5" r:id="rId44" name="Check Box 33">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6" r:id="rId45" name="Check Box 33">
              <controlPr defaultSize="0" print="0" autoFill="0" autoLine="0" autoPict="0">
                <anchor moveWithCells="1">
                  <from>
                    <xdr:col>10</xdr:col>
                    <xdr:colOff>123825</xdr:colOff>
                    <xdr:row>20</xdr:row>
                    <xdr:rowOff>161925</xdr:rowOff>
                  </from>
                  <to>
                    <xdr:col>10</xdr:col>
                    <xdr:colOff>314325</xdr:colOff>
                    <xdr:row>22</xdr:row>
                    <xdr:rowOff>38100</xdr:rowOff>
                  </to>
                </anchor>
              </controlPr>
            </control>
          </mc:Choice>
        </mc:AlternateContent>
        <mc:AlternateContent xmlns:mc="http://schemas.openxmlformats.org/markup-compatibility/2006">
          <mc:Choice Requires="x14">
            <control shapeId="2247" r:id="rId46" name="Check Box 33">
              <controlPr defaultSize="0" print="0" autoFill="0" autoLine="0" autoPict="0">
                <anchor moveWithCells="1">
                  <from>
                    <xdr:col>10</xdr:col>
                    <xdr:colOff>123825</xdr:colOff>
                    <xdr:row>18</xdr:row>
                    <xdr:rowOff>161925</xdr:rowOff>
                  </from>
                  <to>
                    <xdr:col>10</xdr:col>
                    <xdr:colOff>314325</xdr:colOff>
                    <xdr:row>20</xdr:row>
                    <xdr:rowOff>38100</xdr:rowOff>
                  </to>
                </anchor>
              </controlPr>
            </control>
          </mc:Choice>
        </mc:AlternateContent>
        <mc:AlternateContent xmlns:mc="http://schemas.openxmlformats.org/markup-compatibility/2006">
          <mc:Choice Requires="x14">
            <control shapeId="2248" r:id="rId47" name="Check Box 33">
              <controlPr defaultSize="0" print="0" autoFill="0" autoLine="0" autoPict="0">
                <anchor moveWithCells="1">
                  <from>
                    <xdr:col>10</xdr:col>
                    <xdr:colOff>123825</xdr:colOff>
                    <xdr:row>19</xdr:row>
                    <xdr:rowOff>161925</xdr:rowOff>
                  </from>
                  <to>
                    <xdr:col>10</xdr:col>
                    <xdr:colOff>314325</xdr:colOff>
                    <xdr:row>21</xdr:row>
                    <xdr:rowOff>38100</xdr:rowOff>
                  </to>
                </anchor>
              </controlPr>
            </control>
          </mc:Choice>
        </mc:AlternateContent>
        <mc:AlternateContent xmlns:mc="http://schemas.openxmlformats.org/markup-compatibility/2006">
          <mc:Choice Requires="x14">
            <control shapeId="2249" r:id="rId48" name="Check Box 33">
              <controlPr defaultSize="0" print="0" autoFill="0" autoLine="0" autoPict="0">
                <anchor moveWithCells="1">
                  <from>
                    <xdr:col>10</xdr:col>
                    <xdr:colOff>123825</xdr:colOff>
                    <xdr:row>20</xdr:row>
                    <xdr:rowOff>161925</xdr:rowOff>
                  </from>
                  <to>
                    <xdr:col>10</xdr:col>
                    <xdr:colOff>314325</xdr:colOff>
                    <xdr:row>22</xdr:row>
                    <xdr:rowOff>38100</xdr:rowOff>
                  </to>
                </anchor>
              </controlPr>
            </control>
          </mc:Choice>
        </mc:AlternateContent>
        <mc:AlternateContent xmlns:mc="http://schemas.openxmlformats.org/markup-compatibility/2006">
          <mc:Choice Requires="x14">
            <control shapeId="2250" r:id="rId49" name="Check Box 33">
              <controlPr defaultSize="0" print="0" autoFill="0" autoLine="0" autoPict="0">
                <anchor moveWithCells="1">
                  <from>
                    <xdr:col>10</xdr:col>
                    <xdr:colOff>123825</xdr:colOff>
                    <xdr:row>21</xdr:row>
                    <xdr:rowOff>161925</xdr:rowOff>
                  </from>
                  <to>
                    <xdr:col>10</xdr:col>
                    <xdr:colOff>314325</xdr:colOff>
                    <xdr:row>23</xdr:row>
                    <xdr:rowOff>38100</xdr:rowOff>
                  </to>
                </anchor>
              </controlPr>
            </control>
          </mc:Choice>
        </mc:AlternateContent>
        <mc:AlternateContent xmlns:mc="http://schemas.openxmlformats.org/markup-compatibility/2006">
          <mc:Choice Requires="x14">
            <control shapeId="2251" r:id="rId50" name="Check Box 203">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2" r:id="rId51" name="Check Box 204">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3" r:id="rId52" name="Check Box 205">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4" r:id="rId53" name="Check Box 206">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5" r:id="rId54" name="Check Box 207">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6" r:id="rId55" name="Check Box 208">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57" r:id="rId56" name="Check Box 209">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58" r:id="rId57" name="Check Box 210">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59" r:id="rId58" name="Check Box 211">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0" r:id="rId59" name="Check Box 212">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61" r:id="rId60" name="Check Box 213">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62" r:id="rId61" name="Check Box 214">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63" r:id="rId62" name="Check Box 215">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4" r:id="rId63" name="Check Box 216">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65" r:id="rId64" name="Check Box 217">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66" r:id="rId65" name="Check Box 218">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67" r:id="rId66" name="Check Box 219">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68" r:id="rId67" name="Check Box 220">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69" r:id="rId68" name="Check Box 221">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70" r:id="rId69" name="Check Box 222">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71" r:id="rId70" name="Check Box 223">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72" r:id="rId71" name="Check Box 224">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73" r:id="rId72" name="Check Box 225">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74" r:id="rId73" name="Check Box 226">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75" r:id="rId74" name="Check Box 227">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76" r:id="rId75" name="Check Box 228">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77" r:id="rId76" name="Check Box 229">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78" r:id="rId77" name="Check Box 230">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79" r:id="rId78" name="Check Box 231">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80" r:id="rId79" name="Check Box 232">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81" r:id="rId80" name="Check Box 233">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82" r:id="rId81" name="Check Box 234">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83" r:id="rId82" name="Check Box 235">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84" r:id="rId83" name="Check Box 236">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85" r:id="rId84" name="Check Box 237">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86" r:id="rId85" name="Check Box 238">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287" r:id="rId86" name="Check Box 239">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88" r:id="rId87" name="Check Box 240">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89" r:id="rId88" name="Check Box 241">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90" r:id="rId89" name="Check Box 242">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291" r:id="rId90" name="Check Box 243">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292" r:id="rId91" name="Check Box 244">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293" r:id="rId92" name="Check Box 245">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294" r:id="rId93" name="Check Box 246">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295" r:id="rId94" name="Check Box 247">
              <controlPr defaultSize="0" print="0" autoFill="0" autoLine="0" autoPict="0">
                <anchor moveWithCells="1">
                  <from>
                    <xdr:col>15</xdr:col>
                    <xdr:colOff>123825</xdr:colOff>
                    <xdr:row>39</xdr:row>
                    <xdr:rowOff>161925</xdr:rowOff>
                  </from>
                  <to>
                    <xdr:col>15</xdr:col>
                    <xdr:colOff>314325</xdr:colOff>
                    <xdr:row>41</xdr:row>
                    <xdr:rowOff>28575</xdr:rowOff>
                  </to>
                </anchor>
              </controlPr>
            </control>
          </mc:Choice>
        </mc:AlternateContent>
        <mc:AlternateContent xmlns:mc="http://schemas.openxmlformats.org/markup-compatibility/2006">
          <mc:Choice Requires="x14">
            <control shapeId="2296" r:id="rId95" name="Check Box 248">
              <controlPr defaultSize="0" print="0" autoFill="0" autoLine="0" autoPict="0">
                <anchor moveWithCells="1">
                  <from>
                    <xdr:col>15</xdr:col>
                    <xdr:colOff>123825</xdr:colOff>
                    <xdr:row>31</xdr:row>
                    <xdr:rowOff>161925</xdr:rowOff>
                  </from>
                  <to>
                    <xdr:col>15</xdr:col>
                    <xdr:colOff>314325</xdr:colOff>
                    <xdr:row>33</xdr:row>
                    <xdr:rowOff>47625</xdr:rowOff>
                  </to>
                </anchor>
              </controlPr>
            </control>
          </mc:Choice>
        </mc:AlternateContent>
        <mc:AlternateContent xmlns:mc="http://schemas.openxmlformats.org/markup-compatibility/2006">
          <mc:Choice Requires="x14">
            <control shapeId="2297" r:id="rId96" name="Check Box 249">
              <controlPr defaultSize="0" print="0" autoFill="0" autoLine="0" autoPict="0">
                <anchor moveWithCells="1">
                  <from>
                    <xdr:col>15</xdr:col>
                    <xdr:colOff>123825</xdr:colOff>
                    <xdr:row>32</xdr:row>
                    <xdr:rowOff>161925</xdr:rowOff>
                  </from>
                  <to>
                    <xdr:col>15</xdr:col>
                    <xdr:colOff>314325</xdr:colOff>
                    <xdr:row>34</xdr:row>
                    <xdr:rowOff>38100</xdr:rowOff>
                  </to>
                </anchor>
              </controlPr>
            </control>
          </mc:Choice>
        </mc:AlternateContent>
        <mc:AlternateContent xmlns:mc="http://schemas.openxmlformats.org/markup-compatibility/2006">
          <mc:Choice Requires="x14">
            <control shapeId="2298" r:id="rId97" name="Check Box 250">
              <controlPr defaultSize="0" print="0" autoFill="0" autoLine="0" autoPict="0">
                <anchor moveWithCells="1">
                  <from>
                    <xdr:col>15</xdr:col>
                    <xdr:colOff>123825</xdr:colOff>
                    <xdr:row>33</xdr:row>
                    <xdr:rowOff>161925</xdr:rowOff>
                  </from>
                  <to>
                    <xdr:col>15</xdr:col>
                    <xdr:colOff>314325</xdr:colOff>
                    <xdr:row>35</xdr:row>
                    <xdr:rowOff>28575</xdr:rowOff>
                  </to>
                </anchor>
              </controlPr>
            </control>
          </mc:Choice>
        </mc:AlternateContent>
        <mc:AlternateContent xmlns:mc="http://schemas.openxmlformats.org/markup-compatibility/2006">
          <mc:Choice Requires="x14">
            <control shapeId="2299" r:id="rId98" name="Check Box 251">
              <controlPr defaultSize="0" print="0" autoFill="0" autoLine="0" autoPict="0">
                <anchor moveWithCells="1">
                  <from>
                    <xdr:col>15</xdr:col>
                    <xdr:colOff>123825</xdr:colOff>
                    <xdr:row>34</xdr:row>
                    <xdr:rowOff>161925</xdr:rowOff>
                  </from>
                  <to>
                    <xdr:col>15</xdr:col>
                    <xdr:colOff>314325</xdr:colOff>
                    <xdr:row>36</xdr:row>
                    <xdr:rowOff>28575</xdr:rowOff>
                  </to>
                </anchor>
              </controlPr>
            </control>
          </mc:Choice>
        </mc:AlternateContent>
        <mc:AlternateContent xmlns:mc="http://schemas.openxmlformats.org/markup-compatibility/2006">
          <mc:Choice Requires="x14">
            <control shapeId="2300" r:id="rId99" name="Check Box 252">
              <controlPr defaultSize="0" print="0" autoFill="0" autoLine="0" autoPict="0">
                <anchor moveWithCells="1">
                  <from>
                    <xdr:col>15</xdr:col>
                    <xdr:colOff>123825</xdr:colOff>
                    <xdr:row>35</xdr:row>
                    <xdr:rowOff>161925</xdr:rowOff>
                  </from>
                  <to>
                    <xdr:col>15</xdr:col>
                    <xdr:colOff>314325</xdr:colOff>
                    <xdr:row>37</xdr:row>
                    <xdr:rowOff>28575</xdr:rowOff>
                  </to>
                </anchor>
              </controlPr>
            </control>
          </mc:Choice>
        </mc:AlternateContent>
        <mc:AlternateContent xmlns:mc="http://schemas.openxmlformats.org/markup-compatibility/2006">
          <mc:Choice Requires="x14">
            <control shapeId="2301" r:id="rId100" name="Check Box 253">
              <controlPr defaultSize="0" print="0" autoFill="0" autoLine="0" autoPict="0">
                <anchor moveWithCells="1">
                  <from>
                    <xdr:col>15</xdr:col>
                    <xdr:colOff>123825</xdr:colOff>
                    <xdr:row>36</xdr:row>
                    <xdr:rowOff>161925</xdr:rowOff>
                  </from>
                  <to>
                    <xdr:col>15</xdr:col>
                    <xdr:colOff>314325</xdr:colOff>
                    <xdr:row>38</xdr:row>
                    <xdr:rowOff>28575</xdr:rowOff>
                  </to>
                </anchor>
              </controlPr>
            </control>
          </mc:Choice>
        </mc:AlternateContent>
        <mc:AlternateContent xmlns:mc="http://schemas.openxmlformats.org/markup-compatibility/2006">
          <mc:Choice Requires="x14">
            <control shapeId="2302" r:id="rId101" name="Check Box 254">
              <controlPr defaultSize="0" print="0" autoFill="0" autoLine="0" autoPict="0">
                <anchor moveWithCells="1">
                  <from>
                    <xdr:col>15</xdr:col>
                    <xdr:colOff>123825</xdr:colOff>
                    <xdr:row>37</xdr:row>
                    <xdr:rowOff>161925</xdr:rowOff>
                  </from>
                  <to>
                    <xdr:col>15</xdr:col>
                    <xdr:colOff>314325</xdr:colOff>
                    <xdr:row>39</xdr:row>
                    <xdr:rowOff>28575</xdr:rowOff>
                  </to>
                </anchor>
              </controlPr>
            </control>
          </mc:Choice>
        </mc:AlternateContent>
        <mc:AlternateContent xmlns:mc="http://schemas.openxmlformats.org/markup-compatibility/2006">
          <mc:Choice Requires="x14">
            <control shapeId="2303" r:id="rId102" name="Check Box 255">
              <controlPr defaultSize="0" print="0" autoFill="0" autoLine="0" autoPict="0">
                <anchor moveWithCells="1">
                  <from>
                    <xdr:col>15</xdr:col>
                    <xdr:colOff>123825</xdr:colOff>
                    <xdr:row>38</xdr:row>
                    <xdr:rowOff>161925</xdr:rowOff>
                  </from>
                  <to>
                    <xdr:col>15</xdr:col>
                    <xdr:colOff>314325</xdr:colOff>
                    <xdr:row>40</xdr:row>
                    <xdr:rowOff>28575</xdr:rowOff>
                  </to>
                </anchor>
              </controlPr>
            </control>
          </mc:Choice>
        </mc:AlternateContent>
        <mc:AlternateContent xmlns:mc="http://schemas.openxmlformats.org/markup-compatibility/2006">
          <mc:Choice Requires="x14">
            <control shapeId="2304" r:id="rId103" name="Check Box 256">
              <controlPr defaultSize="0" print="0" autoFill="0" autoLine="0" autoPict="0">
                <anchor moveWithCells="1">
                  <from>
                    <xdr:col>15</xdr:col>
                    <xdr:colOff>123825</xdr:colOff>
                    <xdr:row>39</xdr:row>
                    <xdr:rowOff>161925</xdr:rowOff>
                  </from>
                  <to>
                    <xdr:col>15</xdr:col>
                    <xdr:colOff>314325</xdr:colOff>
                    <xdr:row>41</xdr:row>
                    <xdr:rowOff>28575</xdr:rowOff>
                  </to>
                </anchor>
              </controlPr>
            </control>
          </mc:Choice>
        </mc:AlternateContent>
        <mc:AlternateContent xmlns:mc="http://schemas.openxmlformats.org/markup-compatibility/2006">
          <mc:Choice Requires="x14">
            <control shapeId="2305" r:id="rId104" name="Check Box 257">
              <controlPr defaultSize="0" print="0" autoFill="0" autoLine="0" autoPict="0">
                <anchor moveWithCells="1">
                  <from>
                    <xdr:col>15</xdr:col>
                    <xdr:colOff>123825</xdr:colOff>
                    <xdr:row>40</xdr:row>
                    <xdr:rowOff>161925</xdr:rowOff>
                  </from>
                  <to>
                    <xdr:col>15</xdr:col>
                    <xdr:colOff>314325</xdr:colOff>
                    <xdr:row>42</xdr:row>
                    <xdr:rowOff>28575</xdr:rowOff>
                  </to>
                </anchor>
              </controlPr>
            </control>
          </mc:Choice>
        </mc:AlternateContent>
        <mc:AlternateContent xmlns:mc="http://schemas.openxmlformats.org/markup-compatibility/2006">
          <mc:Choice Requires="x14">
            <control shapeId="2316" r:id="rId105" name="Check Box 22">
              <controlPr defaultSize="0" print="0" autoFill="0" autoLine="0" autoPict="0">
                <anchor moveWithCells="1">
                  <from>
                    <xdr:col>5</xdr:col>
                    <xdr:colOff>123825</xdr:colOff>
                    <xdr:row>13</xdr:row>
                    <xdr:rowOff>152400</xdr:rowOff>
                  </from>
                  <to>
                    <xdr:col>5</xdr:col>
                    <xdr:colOff>314325</xdr:colOff>
                    <xdr:row>15</xdr:row>
                    <xdr:rowOff>28575</xdr:rowOff>
                  </to>
                </anchor>
              </controlPr>
            </control>
          </mc:Choice>
        </mc:AlternateContent>
        <mc:AlternateContent xmlns:mc="http://schemas.openxmlformats.org/markup-compatibility/2006">
          <mc:Choice Requires="x14">
            <control shapeId="2318" r:id="rId106" name="Check Box 22">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20" r:id="rId107" name="Check Box 22">
              <controlPr locked="0" defaultSize="0" print="0" autoFill="0" autoLine="0" autoPict="0">
                <anchor moveWithCells="1">
                  <from>
                    <xdr:col>6</xdr:col>
                    <xdr:colOff>123825</xdr:colOff>
                    <xdr:row>13</xdr:row>
                    <xdr:rowOff>152400</xdr:rowOff>
                  </from>
                  <to>
                    <xdr:col>6</xdr:col>
                    <xdr:colOff>314325</xdr:colOff>
                    <xdr:row>15</xdr:row>
                    <xdr:rowOff>28575</xdr:rowOff>
                  </to>
                </anchor>
              </controlPr>
            </control>
          </mc:Choice>
        </mc:AlternateContent>
        <mc:AlternateContent xmlns:mc="http://schemas.openxmlformats.org/markup-compatibility/2006">
          <mc:Choice Requires="x14">
            <control shapeId="2322" r:id="rId108" name="Check Box 22">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24" r:id="rId109" name="Check Box 22">
              <controlPr locked="0" defaultSize="0" print="0" autoFill="0" autoLine="0" autoPict="0">
                <anchor moveWithCells="1">
                  <from>
                    <xdr:col>6</xdr:col>
                    <xdr:colOff>123825</xdr:colOff>
                    <xdr:row>16</xdr:row>
                    <xdr:rowOff>152400</xdr:rowOff>
                  </from>
                  <to>
                    <xdr:col>6</xdr:col>
                    <xdr:colOff>314325</xdr:colOff>
                    <xdr:row>18</xdr:row>
                    <xdr:rowOff>28575</xdr:rowOff>
                  </to>
                </anchor>
              </controlPr>
            </control>
          </mc:Choice>
        </mc:AlternateContent>
        <mc:AlternateContent xmlns:mc="http://schemas.openxmlformats.org/markup-compatibility/2006">
          <mc:Choice Requires="x14">
            <control shapeId="2326" r:id="rId110" name="Check Box 22">
              <controlPr locked="0" defaultSize="0" print="0" autoFill="0" autoLine="0" autoPict="0">
                <anchor moveWithCells="1">
                  <from>
                    <xdr:col>6</xdr:col>
                    <xdr:colOff>123825</xdr:colOff>
                    <xdr:row>15</xdr:row>
                    <xdr:rowOff>152400</xdr:rowOff>
                  </from>
                  <to>
                    <xdr:col>6</xdr:col>
                    <xdr:colOff>314325</xdr:colOff>
                    <xdr:row>17</xdr:row>
                    <xdr:rowOff>28575</xdr:rowOff>
                  </to>
                </anchor>
              </controlPr>
            </control>
          </mc:Choice>
        </mc:AlternateContent>
        <mc:AlternateContent xmlns:mc="http://schemas.openxmlformats.org/markup-compatibility/2006">
          <mc:Choice Requires="x14">
            <control shapeId="2327" r:id="rId111" name="Check Box 22">
              <controlPr locked="0" defaultSize="0" print="0" autoFill="0" autoLine="0" autoPict="0">
                <anchor moveWithCells="1">
                  <from>
                    <xdr:col>6</xdr:col>
                    <xdr:colOff>123825</xdr:colOff>
                    <xdr:row>12</xdr:row>
                    <xdr:rowOff>152400</xdr:rowOff>
                  </from>
                  <to>
                    <xdr:col>6</xdr:col>
                    <xdr:colOff>314325</xdr:colOff>
                    <xdr:row>14</xdr:row>
                    <xdr:rowOff>28575</xdr:rowOff>
                  </to>
                </anchor>
              </controlPr>
            </control>
          </mc:Choice>
        </mc:AlternateContent>
        <mc:AlternateContent xmlns:mc="http://schemas.openxmlformats.org/markup-compatibility/2006">
          <mc:Choice Requires="x14">
            <control shapeId="2329" r:id="rId112" name="Check Box 22">
              <controlPr defaultSize="0" print="0" autoFill="0" autoLine="0" autoPict="0">
                <anchor moveWithCells="1">
                  <from>
                    <xdr:col>5</xdr:col>
                    <xdr:colOff>123825</xdr:colOff>
                    <xdr:row>12</xdr:row>
                    <xdr:rowOff>152400</xdr:rowOff>
                  </from>
                  <to>
                    <xdr:col>5</xdr:col>
                    <xdr:colOff>314325</xdr:colOff>
                    <xdr:row>14</xdr:row>
                    <xdr:rowOff>28575</xdr:rowOff>
                  </to>
                </anchor>
              </controlPr>
            </control>
          </mc:Choice>
        </mc:AlternateContent>
        <mc:AlternateContent xmlns:mc="http://schemas.openxmlformats.org/markup-compatibility/2006">
          <mc:Choice Requires="x14">
            <control shapeId="2330" r:id="rId113" name="Check Box 22">
              <controlPr locked="0" defaultSize="0" print="0" autoFill="0" autoLine="0" autoPict="0">
                <anchor moveWithCells="1">
                  <from>
                    <xdr:col>5</xdr:col>
                    <xdr:colOff>123825</xdr:colOff>
                    <xdr:row>14</xdr:row>
                    <xdr:rowOff>152400</xdr:rowOff>
                  </from>
                  <to>
                    <xdr:col>5</xdr:col>
                    <xdr:colOff>314325</xdr:colOff>
                    <xdr:row>16</xdr:row>
                    <xdr:rowOff>28575</xdr:rowOff>
                  </to>
                </anchor>
              </controlPr>
            </control>
          </mc:Choice>
        </mc:AlternateContent>
        <mc:AlternateContent xmlns:mc="http://schemas.openxmlformats.org/markup-compatibility/2006">
          <mc:Choice Requires="x14">
            <control shapeId="2332" r:id="rId114" name="Check Box 22">
              <controlPr locked="0" defaultSize="0" print="0" autoFill="0" autoLine="0" autoPict="0">
                <anchor moveWithCells="1">
                  <from>
                    <xdr:col>5</xdr:col>
                    <xdr:colOff>123825</xdr:colOff>
                    <xdr:row>15</xdr:row>
                    <xdr:rowOff>152400</xdr:rowOff>
                  </from>
                  <to>
                    <xdr:col>5</xdr:col>
                    <xdr:colOff>314325</xdr:colOff>
                    <xdr:row>17</xdr:row>
                    <xdr:rowOff>28575</xdr:rowOff>
                  </to>
                </anchor>
              </controlPr>
            </control>
          </mc:Choice>
        </mc:AlternateContent>
        <mc:AlternateContent xmlns:mc="http://schemas.openxmlformats.org/markup-compatibility/2006">
          <mc:Choice Requires="x14">
            <control shapeId="2333" r:id="rId115" name="Check Box 22">
              <controlPr locked="0" defaultSize="0" print="0" autoFill="0" autoLine="0" autoPict="0">
                <anchor moveWithCells="1">
                  <from>
                    <xdr:col>5</xdr:col>
                    <xdr:colOff>123825</xdr:colOff>
                    <xdr:row>16</xdr:row>
                    <xdr:rowOff>152400</xdr:rowOff>
                  </from>
                  <to>
                    <xdr:col>5</xdr:col>
                    <xdr:colOff>314325</xdr:colOff>
                    <xdr:row>18</xdr:row>
                    <xdr:rowOff>28575</xdr:rowOff>
                  </to>
                </anchor>
              </controlPr>
            </control>
          </mc:Choice>
        </mc:AlternateContent>
        <mc:AlternateContent xmlns:mc="http://schemas.openxmlformats.org/markup-compatibility/2006">
          <mc:Choice Requires="x14">
            <control shapeId="2334" r:id="rId116" name="Check Box 22">
              <controlPr locked="0" defaultSize="0" print="0" autoFill="0" autoLine="0" autoPict="0">
                <anchor moveWithCells="1">
                  <from>
                    <xdr:col>5</xdr:col>
                    <xdr:colOff>123825</xdr:colOff>
                    <xdr:row>17</xdr:row>
                    <xdr:rowOff>152400</xdr:rowOff>
                  </from>
                  <to>
                    <xdr:col>5</xdr:col>
                    <xdr:colOff>314325</xdr:colOff>
                    <xdr:row>19</xdr:row>
                    <xdr:rowOff>28575</xdr:rowOff>
                  </to>
                </anchor>
              </controlPr>
            </control>
          </mc:Choice>
        </mc:AlternateContent>
        <mc:AlternateContent xmlns:mc="http://schemas.openxmlformats.org/markup-compatibility/2006">
          <mc:Choice Requires="x14">
            <control shapeId="2335" r:id="rId117" name="Check Box 22">
              <controlPr locked="0" defaultSize="0" print="0" autoFill="0" autoLine="0" autoPict="0">
                <anchor moveWithCells="1">
                  <from>
                    <xdr:col>5</xdr:col>
                    <xdr:colOff>123825</xdr:colOff>
                    <xdr:row>18</xdr:row>
                    <xdr:rowOff>152400</xdr:rowOff>
                  </from>
                  <to>
                    <xdr:col>5</xdr:col>
                    <xdr:colOff>314325</xdr:colOff>
                    <xdr:row>20</xdr:row>
                    <xdr:rowOff>28575</xdr:rowOff>
                  </to>
                </anchor>
              </controlPr>
            </control>
          </mc:Choice>
        </mc:AlternateContent>
        <mc:AlternateContent xmlns:mc="http://schemas.openxmlformats.org/markup-compatibility/2006">
          <mc:Choice Requires="x14">
            <control shapeId="2336" r:id="rId118" name="Check Box 22">
              <controlPr locked="0" defaultSize="0" print="0" autoFill="0" autoLine="0" autoPict="0">
                <anchor moveWithCells="1">
                  <from>
                    <xdr:col>5</xdr:col>
                    <xdr:colOff>123825</xdr:colOff>
                    <xdr:row>19</xdr:row>
                    <xdr:rowOff>152400</xdr:rowOff>
                  </from>
                  <to>
                    <xdr:col>5</xdr:col>
                    <xdr:colOff>314325</xdr:colOff>
                    <xdr:row>21</xdr:row>
                    <xdr:rowOff>28575</xdr:rowOff>
                  </to>
                </anchor>
              </controlPr>
            </control>
          </mc:Choice>
        </mc:AlternateContent>
        <mc:AlternateContent xmlns:mc="http://schemas.openxmlformats.org/markup-compatibility/2006">
          <mc:Choice Requires="x14">
            <control shapeId="2338" r:id="rId119" name="Check Box 22">
              <controlPr locked="0" defaultSize="0" print="0" autoFill="0" autoLine="0" autoPict="0">
                <anchor moveWithCells="1">
                  <from>
                    <xdr:col>5</xdr:col>
                    <xdr:colOff>123825</xdr:colOff>
                    <xdr:row>20</xdr:row>
                    <xdr:rowOff>152400</xdr:rowOff>
                  </from>
                  <to>
                    <xdr:col>5</xdr:col>
                    <xdr:colOff>314325</xdr:colOff>
                    <xdr:row>22</xdr:row>
                    <xdr:rowOff>28575</xdr:rowOff>
                  </to>
                </anchor>
              </controlPr>
            </control>
          </mc:Choice>
        </mc:AlternateContent>
        <mc:AlternateContent xmlns:mc="http://schemas.openxmlformats.org/markup-compatibility/2006">
          <mc:Choice Requires="x14">
            <control shapeId="2340" r:id="rId120" name="Check Box 22">
              <controlPr locked="0" defaultSize="0" print="0" autoFill="0" autoLine="0" autoPict="0">
                <anchor moveWithCells="1">
                  <from>
                    <xdr:col>5</xdr:col>
                    <xdr:colOff>123825</xdr:colOff>
                    <xdr:row>21</xdr:row>
                    <xdr:rowOff>152400</xdr:rowOff>
                  </from>
                  <to>
                    <xdr:col>5</xdr:col>
                    <xdr:colOff>314325</xdr:colOff>
                    <xdr:row>23</xdr:row>
                    <xdr:rowOff>28575</xdr:rowOff>
                  </to>
                </anchor>
              </controlPr>
            </control>
          </mc:Choice>
        </mc:AlternateContent>
        <mc:AlternateContent xmlns:mc="http://schemas.openxmlformats.org/markup-compatibility/2006">
          <mc:Choice Requires="x14">
            <control shapeId="2342" r:id="rId121" name="Check Box 22">
              <controlPr locked="0" defaultSize="0" print="0" autoFill="0" autoLine="0" autoPict="0">
                <anchor moveWithCells="1">
                  <from>
                    <xdr:col>6</xdr:col>
                    <xdr:colOff>123825</xdr:colOff>
                    <xdr:row>17</xdr:row>
                    <xdr:rowOff>152400</xdr:rowOff>
                  </from>
                  <to>
                    <xdr:col>6</xdr:col>
                    <xdr:colOff>314325</xdr:colOff>
                    <xdr:row>19</xdr:row>
                    <xdr:rowOff>28575</xdr:rowOff>
                  </to>
                </anchor>
              </controlPr>
            </control>
          </mc:Choice>
        </mc:AlternateContent>
        <mc:AlternateContent xmlns:mc="http://schemas.openxmlformats.org/markup-compatibility/2006">
          <mc:Choice Requires="x14">
            <control shapeId="2343" r:id="rId122" name="Check Box 22">
              <controlPr locked="0" defaultSize="0" print="0" autoFill="0" autoLine="0" autoPict="0">
                <anchor moveWithCells="1">
                  <from>
                    <xdr:col>6</xdr:col>
                    <xdr:colOff>123825</xdr:colOff>
                    <xdr:row>18</xdr:row>
                    <xdr:rowOff>152400</xdr:rowOff>
                  </from>
                  <to>
                    <xdr:col>6</xdr:col>
                    <xdr:colOff>314325</xdr:colOff>
                    <xdr:row>20</xdr:row>
                    <xdr:rowOff>28575</xdr:rowOff>
                  </to>
                </anchor>
              </controlPr>
            </control>
          </mc:Choice>
        </mc:AlternateContent>
        <mc:AlternateContent xmlns:mc="http://schemas.openxmlformats.org/markup-compatibility/2006">
          <mc:Choice Requires="x14">
            <control shapeId="2344" r:id="rId123" name="Check Box 22">
              <controlPr locked="0" defaultSize="0" print="0" autoFill="0" autoLine="0" autoPict="0">
                <anchor moveWithCells="1">
                  <from>
                    <xdr:col>6</xdr:col>
                    <xdr:colOff>123825</xdr:colOff>
                    <xdr:row>19</xdr:row>
                    <xdr:rowOff>152400</xdr:rowOff>
                  </from>
                  <to>
                    <xdr:col>6</xdr:col>
                    <xdr:colOff>314325</xdr:colOff>
                    <xdr:row>21</xdr:row>
                    <xdr:rowOff>28575</xdr:rowOff>
                  </to>
                </anchor>
              </controlPr>
            </control>
          </mc:Choice>
        </mc:AlternateContent>
        <mc:AlternateContent xmlns:mc="http://schemas.openxmlformats.org/markup-compatibility/2006">
          <mc:Choice Requires="x14">
            <control shapeId="2346" r:id="rId124" name="Check Box 22">
              <controlPr locked="0" defaultSize="0" print="0" autoFill="0" autoLine="0" autoPict="0">
                <anchor moveWithCells="1">
                  <from>
                    <xdr:col>6</xdr:col>
                    <xdr:colOff>123825</xdr:colOff>
                    <xdr:row>20</xdr:row>
                    <xdr:rowOff>152400</xdr:rowOff>
                  </from>
                  <to>
                    <xdr:col>6</xdr:col>
                    <xdr:colOff>314325</xdr:colOff>
                    <xdr:row>22</xdr:row>
                    <xdr:rowOff>28575</xdr:rowOff>
                  </to>
                </anchor>
              </controlPr>
            </control>
          </mc:Choice>
        </mc:AlternateContent>
        <mc:AlternateContent xmlns:mc="http://schemas.openxmlformats.org/markup-compatibility/2006">
          <mc:Choice Requires="x14">
            <control shapeId="2348" r:id="rId125" name="Check Box 22">
              <controlPr locked="0" defaultSize="0" print="0" autoFill="0" autoLine="0" autoPict="0">
                <anchor moveWithCells="1">
                  <from>
                    <xdr:col>6</xdr:col>
                    <xdr:colOff>123825</xdr:colOff>
                    <xdr:row>21</xdr:row>
                    <xdr:rowOff>152400</xdr:rowOff>
                  </from>
                  <to>
                    <xdr:col>6</xdr:col>
                    <xdr:colOff>314325</xdr:colOff>
                    <xdr:row>23</xdr:row>
                    <xdr:rowOff>28575</xdr:rowOff>
                  </to>
                </anchor>
              </controlPr>
            </control>
          </mc:Choice>
        </mc:AlternateContent>
        <mc:AlternateContent xmlns:mc="http://schemas.openxmlformats.org/markup-compatibility/2006">
          <mc:Choice Requires="x14">
            <control shapeId="2350" r:id="rId126" name="Check Box 302">
              <controlPr locked="0" defaultSize="0" print="0" autoFill="0" autoLine="0" autoPict="0">
                <anchor moveWithCells="1">
                  <from>
                    <xdr:col>10</xdr:col>
                    <xdr:colOff>123825</xdr:colOff>
                    <xdr:row>32</xdr:row>
                    <xdr:rowOff>152400</xdr:rowOff>
                  </from>
                  <to>
                    <xdr:col>10</xdr:col>
                    <xdr:colOff>314325</xdr:colOff>
                    <xdr:row>34</xdr:row>
                    <xdr:rowOff>28575</xdr:rowOff>
                  </to>
                </anchor>
              </controlPr>
            </control>
          </mc:Choice>
        </mc:AlternateContent>
        <mc:AlternateContent xmlns:mc="http://schemas.openxmlformats.org/markup-compatibility/2006">
          <mc:Choice Requires="x14">
            <control shapeId="2351" r:id="rId127" name="Check Box 303">
              <controlPr locked="0" defaultSize="0" print="0" autoFill="0" autoLine="0" autoPict="0">
                <anchor moveWithCells="1">
                  <from>
                    <xdr:col>11</xdr:col>
                    <xdr:colOff>123825</xdr:colOff>
                    <xdr:row>33</xdr:row>
                    <xdr:rowOff>152400</xdr:rowOff>
                  </from>
                  <to>
                    <xdr:col>11</xdr:col>
                    <xdr:colOff>314325</xdr:colOff>
                    <xdr:row>35</xdr:row>
                    <xdr:rowOff>9525</xdr:rowOff>
                  </to>
                </anchor>
              </controlPr>
            </control>
          </mc:Choice>
        </mc:AlternateContent>
        <mc:AlternateContent xmlns:mc="http://schemas.openxmlformats.org/markup-compatibility/2006">
          <mc:Choice Requires="x14">
            <control shapeId="2352" r:id="rId128" name="Check Box 304">
              <controlPr locked="0" defaultSize="0" print="0" autoFill="0" autoLine="0" autoPict="0">
                <anchor moveWithCells="1">
                  <from>
                    <xdr:col>11</xdr:col>
                    <xdr:colOff>123825</xdr:colOff>
                    <xdr:row>32</xdr:row>
                    <xdr:rowOff>152400</xdr:rowOff>
                  </from>
                  <to>
                    <xdr:col>11</xdr:col>
                    <xdr:colOff>314325</xdr:colOff>
                    <xdr:row>34</xdr:row>
                    <xdr:rowOff>28575</xdr:rowOff>
                  </to>
                </anchor>
              </controlPr>
            </control>
          </mc:Choice>
        </mc:AlternateContent>
        <mc:AlternateContent xmlns:mc="http://schemas.openxmlformats.org/markup-compatibility/2006">
          <mc:Choice Requires="x14">
            <control shapeId="2353" r:id="rId129" name="Check Box 305">
              <controlPr locked="0" defaultSize="0" print="0" autoFill="0" autoLine="0" autoPict="0">
                <anchor moveWithCells="1">
                  <from>
                    <xdr:col>11</xdr:col>
                    <xdr:colOff>123825</xdr:colOff>
                    <xdr:row>33</xdr:row>
                    <xdr:rowOff>152400</xdr:rowOff>
                  </from>
                  <to>
                    <xdr:col>11</xdr:col>
                    <xdr:colOff>314325</xdr:colOff>
                    <xdr:row>35</xdr:row>
                    <xdr:rowOff>9525</xdr:rowOff>
                  </to>
                </anchor>
              </controlPr>
            </control>
          </mc:Choice>
        </mc:AlternateContent>
        <mc:AlternateContent xmlns:mc="http://schemas.openxmlformats.org/markup-compatibility/2006">
          <mc:Choice Requires="x14">
            <control shapeId="2354" r:id="rId130" name="Check Box 306">
              <controlPr locked="0" defaultSize="0" print="0" autoFill="0" autoLine="0" autoPict="0">
                <anchor moveWithCells="1">
                  <from>
                    <xdr:col>11</xdr:col>
                    <xdr:colOff>123825</xdr:colOff>
                    <xdr:row>35</xdr:row>
                    <xdr:rowOff>152400</xdr:rowOff>
                  </from>
                  <to>
                    <xdr:col>11</xdr:col>
                    <xdr:colOff>314325</xdr:colOff>
                    <xdr:row>37</xdr:row>
                    <xdr:rowOff>9525</xdr:rowOff>
                  </to>
                </anchor>
              </controlPr>
            </control>
          </mc:Choice>
        </mc:AlternateContent>
        <mc:AlternateContent xmlns:mc="http://schemas.openxmlformats.org/markup-compatibility/2006">
          <mc:Choice Requires="x14">
            <control shapeId="2355" r:id="rId131" name="Check Box 307">
              <controlPr locked="0" defaultSize="0" print="0" autoFill="0" autoLine="0" autoPict="0">
                <anchor moveWithCells="1">
                  <from>
                    <xdr:col>11</xdr:col>
                    <xdr:colOff>123825</xdr:colOff>
                    <xdr:row>34</xdr:row>
                    <xdr:rowOff>152400</xdr:rowOff>
                  </from>
                  <to>
                    <xdr:col>11</xdr:col>
                    <xdr:colOff>314325</xdr:colOff>
                    <xdr:row>36</xdr:row>
                    <xdr:rowOff>9525</xdr:rowOff>
                  </to>
                </anchor>
              </controlPr>
            </control>
          </mc:Choice>
        </mc:AlternateContent>
        <mc:AlternateContent xmlns:mc="http://schemas.openxmlformats.org/markup-compatibility/2006">
          <mc:Choice Requires="x14">
            <control shapeId="2356" r:id="rId132" name="Check Box 308">
              <controlPr locked="0" defaultSize="0" print="0" autoFill="0" autoLine="0" autoPict="0">
                <anchor moveWithCells="1">
                  <from>
                    <xdr:col>11</xdr:col>
                    <xdr:colOff>123825</xdr:colOff>
                    <xdr:row>31</xdr:row>
                    <xdr:rowOff>152400</xdr:rowOff>
                  </from>
                  <to>
                    <xdr:col>11</xdr:col>
                    <xdr:colOff>314325</xdr:colOff>
                    <xdr:row>33</xdr:row>
                    <xdr:rowOff>38100</xdr:rowOff>
                  </to>
                </anchor>
              </controlPr>
            </control>
          </mc:Choice>
        </mc:AlternateContent>
        <mc:AlternateContent xmlns:mc="http://schemas.openxmlformats.org/markup-compatibility/2006">
          <mc:Choice Requires="x14">
            <control shapeId="2357" r:id="rId133" name="Check Box 309">
              <controlPr locked="0" defaultSize="0" print="0" autoFill="0" autoLine="0" autoPict="0">
                <anchor moveWithCells="1">
                  <from>
                    <xdr:col>10</xdr:col>
                    <xdr:colOff>123825</xdr:colOff>
                    <xdr:row>31</xdr:row>
                    <xdr:rowOff>152400</xdr:rowOff>
                  </from>
                  <to>
                    <xdr:col>10</xdr:col>
                    <xdr:colOff>314325</xdr:colOff>
                    <xdr:row>33</xdr:row>
                    <xdr:rowOff>38100</xdr:rowOff>
                  </to>
                </anchor>
              </controlPr>
            </control>
          </mc:Choice>
        </mc:AlternateContent>
        <mc:AlternateContent xmlns:mc="http://schemas.openxmlformats.org/markup-compatibility/2006">
          <mc:Choice Requires="x14">
            <control shapeId="2358" r:id="rId134" name="Check Box 310">
              <controlPr locked="0" defaultSize="0" print="0" autoFill="0" autoLine="0" autoPict="0">
                <anchor moveWithCells="1">
                  <from>
                    <xdr:col>10</xdr:col>
                    <xdr:colOff>123825</xdr:colOff>
                    <xdr:row>33</xdr:row>
                    <xdr:rowOff>152400</xdr:rowOff>
                  </from>
                  <to>
                    <xdr:col>10</xdr:col>
                    <xdr:colOff>314325</xdr:colOff>
                    <xdr:row>35</xdr:row>
                    <xdr:rowOff>9525</xdr:rowOff>
                  </to>
                </anchor>
              </controlPr>
            </control>
          </mc:Choice>
        </mc:AlternateContent>
        <mc:AlternateContent xmlns:mc="http://schemas.openxmlformats.org/markup-compatibility/2006">
          <mc:Choice Requires="x14">
            <control shapeId="2359" r:id="rId135" name="Check Box 311">
              <controlPr locked="0" defaultSize="0" print="0" autoFill="0" autoLine="0" autoPict="0">
                <anchor moveWithCells="1">
                  <from>
                    <xdr:col>10</xdr:col>
                    <xdr:colOff>123825</xdr:colOff>
                    <xdr:row>34</xdr:row>
                    <xdr:rowOff>152400</xdr:rowOff>
                  </from>
                  <to>
                    <xdr:col>10</xdr:col>
                    <xdr:colOff>314325</xdr:colOff>
                    <xdr:row>36</xdr:row>
                    <xdr:rowOff>9525</xdr:rowOff>
                  </to>
                </anchor>
              </controlPr>
            </control>
          </mc:Choice>
        </mc:AlternateContent>
        <mc:AlternateContent xmlns:mc="http://schemas.openxmlformats.org/markup-compatibility/2006">
          <mc:Choice Requires="x14">
            <control shapeId="2360" r:id="rId136" name="Check Box 312">
              <controlPr locked="0" defaultSize="0" print="0" autoFill="0" autoLine="0" autoPict="0">
                <anchor moveWithCells="1">
                  <from>
                    <xdr:col>10</xdr:col>
                    <xdr:colOff>123825</xdr:colOff>
                    <xdr:row>35</xdr:row>
                    <xdr:rowOff>152400</xdr:rowOff>
                  </from>
                  <to>
                    <xdr:col>10</xdr:col>
                    <xdr:colOff>314325</xdr:colOff>
                    <xdr:row>37</xdr:row>
                    <xdr:rowOff>9525</xdr:rowOff>
                  </to>
                </anchor>
              </controlPr>
            </control>
          </mc:Choice>
        </mc:AlternateContent>
        <mc:AlternateContent xmlns:mc="http://schemas.openxmlformats.org/markup-compatibility/2006">
          <mc:Choice Requires="x14">
            <control shapeId="2361" r:id="rId137" name="Check Box 313">
              <controlPr locked="0" defaultSize="0" print="0" autoFill="0" autoLine="0" autoPict="0">
                <anchor moveWithCells="1">
                  <from>
                    <xdr:col>10</xdr:col>
                    <xdr:colOff>123825</xdr:colOff>
                    <xdr:row>36</xdr:row>
                    <xdr:rowOff>152400</xdr:rowOff>
                  </from>
                  <to>
                    <xdr:col>10</xdr:col>
                    <xdr:colOff>314325</xdr:colOff>
                    <xdr:row>38</xdr:row>
                    <xdr:rowOff>0</xdr:rowOff>
                  </to>
                </anchor>
              </controlPr>
            </control>
          </mc:Choice>
        </mc:AlternateContent>
        <mc:AlternateContent xmlns:mc="http://schemas.openxmlformats.org/markup-compatibility/2006">
          <mc:Choice Requires="x14">
            <control shapeId="2362" r:id="rId138" name="Check Box 314">
              <controlPr locked="0" defaultSize="0" print="0" autoFill="0" autoLine="0" autoPict="0">
                <anchor moveWithCells="1">
                  <from>
                    <xdr:col>10</xdr:col>
                    <xdr:colOff>123825</xdr:colOff>
                    <xdr:row>37</xdr:row>
                    <xdr:rowOff>152400</xdr:rowOff>
                  </from>
                  <to>
                    <xdr:col>10</xdr:col>
                    <xdr:colOff>314325</xdr:colOff>
                    <xdr:row>39</xdr:row>
                    <xdr:rowOff>0</xdr:rowOff>
                  </to>
                </anchor>
              </controlPr>
            </control>
          </mc:Choice>
        </mc:AlternateContent>
        <mc:AlternateContent xmlns:mc="http://schemas.openxmlformats.org/markup-compatibility/2006">
          <mc:Choice Requires="x14">
            <control shapeId="2363" r:id="rId139" name="Check Box 315">
              <controlPr locked="0" defaultSize="0" print="0" autoFill="0" autoLine="0" autoPict="0">
                <anchor moveWithCells="1">
                  <from>
                    <xdr:col>10</xdr:col>
                    <xdr:colOff>123825</xdr:colOff>
                    <xdr:row>38</xdr:row>
                    <xdr:rowOff>152400</xdr:rowOff>
                  </from>
                  <to>
                    <xdr:col>10</xdr:col>
                    <xdr:colOff>314325</xdr:colOff>
                    <xdr:row>40</xdr:row>
                    <xdr:rowOff>9525</xdr:rowOff>
                  </to>
                </anchor>
              </controlPr>
            </control>
          </mc:Choice>
        </mc:AlternateContent>
        <mc:AlternateContent xmlns:mc="http://schemas.openxmlformats.org/markup-compatibility/2006">
          <mc:Choice Requires="x14">
            <control shapeId="2364" r:id="rId140" name="Check Box 316">
              <controlPr locked="0" defaultSize="0" print="0" autoFill="0" autoLine="0" autoPict="0">
                <anchor moveWithCells="1">
                  <from>
                    <xdr:col>10</xdr:col>
                    <xdr:colOff>123825</xdr:colOff>
                    <xdr:row>39</xdr:row>
                    <xdr:rowOff>152400</xdr:rowOff>
                  </from>
                  <to>
                    <xdr:col>10</xdr:col>
                    <xdr:colOff>314325</xdr:colOff>
                    <xdr:row>41</xdr:row>
                    <xdr:rowOff>9525</xdr:rowOff>
                  </to>
                </anchor>
              </controlPr>
            </control>
          </mc:Choice>
        </mc:AlternateContent>
        <mc:AlternateContent xmlns:mc="http://schemas.openxmlformats.org/markup-compatibility/2006">
          <mc:Choice Requires="x14">
            <control shapeId="2365" r:id="rId141" name="Check Box 317">
              <controlPr locked="0" defaultSize="0" print="0" autoFill="0" autoLine="0" autoPict="0">
                <anchor moveWithCells="1">
                  <from>
                    <xdr:col>10</xdr:col>
                    <xdr:colOff>123825</xdr:colOff>
                    <xdr:row>40</xdr:row>
                    <xdr:rowOff>152400</xdr:rowOff>
                  </from>
                  <to>
                    <xdr:col>10</xdr:col>
                    <xdr:colOff>314325</xdr:colOff>
                    <xdr:row>42</xdr:row>
                    <xdr:rowOff>0</xdr:rowOff>
                  </to>
                </anchor>
              </controlPr>
            </control>
          </mc:Choice>
        </mc:AlternateContent>
        <mc:AlternateContent xmlns:mc="http://schemas.openxmlformats.org/markup-compatibility/2006">
          <mc:Choice Requires="x14">
            <control shapeId="2366" r:id="rId142" name="Check Box 318">
              <controlPr locked="0" defaultSize="0" print="0" autoFill="0" autoLine="0" autoPict="0">
                <anchor moveWithCells="1">
                  <from>
                    <xdr:col>11</xdr:col>
                    <xdr:colOff>123825</xdr:colOff>
                    <xdr:row>36</xdr:row>
                    <xdr:rowOff>152400</xdr:rowOff>
                  </from>
                  <to>
                    <xdr:col>11</xdr:col>
                    <xdr:colOff>314325</xdr:colOff>
                    <xdr:row>38</xdr:row>
                    <xdr:rowOff>0</xdr:rowOff>
                  </to>
                </anchor>
              </controlPr>
            </control>
          </mc:Choice>
        </mc:AlternateContent>
        <mc:AlternateContent xmlns:mc="http://schemas.openxmlformats.org/markup-compatibility/2006">
          <mc:Choice Requires="x14">
            <control shapeId="2367" r:id="rId143" name="Check Box 319">
              <controlPr locked="0" defaultSize="0" print="0" autoFill="0" autoLine="0" autoPict="0">
                <anchor moveWithCells="1">
                  <from>
                    <xdr:col>11</xdr:col>
                    <xdr:colOff>123825</xdr:colOff>
                    <xdr:row>37</xdr:row>
                    <xdr:rowOff>152400</xdr:rowOff>
                  </from>
                  <to>
                    <xdr:col>11</xdr:col>
                    <xdr:colOff>314325</xdr:colOff>
                    <xdr:row>39</xdr:row>
                    <xdr:rowOff>0</xdr:rowOff>
                  </to>
                </anchor>
              </controlPr>
            </control>
          </mc:Choice>
        </mc:AlternateContent>
        <mc:AlternateContent xmlns:mc="http://schemas.openxmlformats.org/markup-compatibility/2006">
          <mc:Choice Requires="x14">
            <control shapeId="2368" r:id="rId144" name="Check Box 320">
              <controlPr locked="0" defaultSize="0" print="0" autoFill="0" autoLine="0" autoPict="0">
                <anchor moveWithCells="1">
                  <from>
                    <xdr:col>11</xdr:col>
                    <xdr:colOff>123825</xdr:colOff>
                    <xdr:row>38</xdr:row>
                    <xdr:rowOff>152400</xdr:rowOff>
                  </from>
                  <to>
                    <xdr:col>11</xdr:col>
                    <xdr:colOff>314325</xdr:colOff>
                    <xdr:row>40</xdr:row>
                    <xdr:rowOff>9525</xdr:rowOff>
                  </to>
                </anchor>
              </controlPr>
            </control>
          </mc:Choice>
        </mc:AlternateContent>
        <mc:AlternateContent xmlns:mc="http://schemas.openxmlformats.org/markup-compatibility/2006">
          <mc:Choice Requires="x14">
            <control shapeId="2369" r:id="rId145" name="Check Box 321">
              <controlPr locked="0" defaultSize="0" print="0" autoFill="0" autoLine="0" autoPict="0">
                <anchor moveWithCells="1">
                  <from>
                    <xdr:col>11</xdr:col>
                    <xdr:colOff>123825</xdr:colOff>
                    <xdr:row>39</xdr:row>
                    <xdr:rowOff>152400</xdr:rowOff>
                  </from>
                  <to>
                    <xdr:col>11</xdr:col>
                    <xdr:colOff>314325</xdr:colOff>
                    <xdr:row>41</xdr:row>
                    <xdr:rowOff>9525</xdr:rowOff>
                  </to>
                </anchor>
              </controlPr>
            </control>
          </mc:Choice>
        </mc:AlternateContent>
        <mc:AlternateContent xmlns:mc="http://schemas.openxmlformats.org/markup-compatibility/2006">
          <mc:Choice Requires="x14">
            <control shapeId="2370" r:id="rId146" name="Check Box 322">
              <controlPr locked="0" defaultSize="0" print="0" autoFill="0" autoLine="0" autoPict="0">
                <anchor moveWithCells="1">
                  <from>
                    <xdr:col>11</xdr:col>
                    <xdr:colOff>123825</xdr:colOff>
                    <xdr:row>40</xdr:row>
                    <xdr:rowOff>152400</xdr:rowOff>
                  </from>
                  <to>
                    <xdr:col>11</xdr:col>
                    <xdr:colOff>314325</xdr:colOff>
                    <xdr:row>42</xdr:row>
                    <xdr:rowOff>0</xdr:rowOff>
                  </to>
                </anchor>
              </controlPr>
            </control>
          </mc:Choice>
        </mc:AlternateContent>
        <mc:AlternateContent xmlns:mc="http://schemas.openxmlformats.org/markup-compatibility/2006">
          <mc:Choice Requires="x14">
            <control shapeId="2382" r:id="rId147" name="Check Box 334">
              <controlPr locked="0" defaultSize="0" print="0" autoFill="0" autoLine="0" autoPict="0">
                <anchor moveWithCells="1">
                  <from>
                    <xdr:col>6</xdr:col>
                    <xdr:colOff>123825</xdr:colOff>
                    <xdr:row>13</xdr:row>
                    <xdr:rowOff>152400</xdr:rowOff>
                  </from>
                  <to>
                    <xdr:col>6</xdr:col>
                    <xdr:colOff>314325</xdr:colOff>
                    <xdr:row>15</xdr:row>
                    <xdr:rowOff>28575</xdr:rowOff>
                  </to>
                </anchor>
              </controlPr>
            </control>
          </mc:Choice>
        </mc:AlternateContent>
        <mc:AlternateContent xmlns:mc="http://schemas.openxmlformats.org/markup-compatibility/2006">
          <mc:Choice Requires="x14">
            <control shapeId="2383" r:id="rId148" name="Check Box 335">
              <controlPr locked="0" defaultSize="0" print="0" autoFill="0" autoLine="0" autoPict="0">
                <anchor moveWithCells="1">
                  <from>
                    <xdr:col>6</xdr:col>
                    <xdr:colOff>123825</xdr:colOff>
                    <xdr:row>14</xdr:row>
                    <xdr:rowOff>152400</xdr:rowOff>
                  </from>
                  <to>
                    <xdr:col>6</xdr:col>
                    <xdr:colOff>314325</xdr:colOff>
                    <xdr:row>16</xdr:row>
                    <xdr:rowOff>28575</xdr:rowOff>
                  </to>
                </anchor>
              </controlPr>
            </control>
          </mc:Choice>
        </mc:AlternateContent>
        <mc:AlternateContent xmlns:mc="http://schemas.openxmlformats.org/markup-compatibility/2006">
          <mc:Choice Requires="x14">
            <control shapeId="2384" r:id="rId149" name="Check Box 336">
              <controlPr locked="0" defaultSize="0" print="0" autoFill="0" autoLine="0" autoPict="0">
                <anchor moveWithCells="1">
                  <from>
                    <xdr:col>6</xdr:col>
                    <xdr:colOff>123825</xdr:colOff>
                    <xdr:row>15</xdr:row>
                    <xdr:rowOff>152400</xdr:rowOff>
                  </from>
                  <to>
                    <xdr:col>6</xdr:col>
                    <xdr:colOff>314325</xdr:colOff>
                    <xdr:row>17</xdr:row>
                    <xdr:rowOff>28575</xdr:rowOff>
                  </to>
                </anchor>
              </controlPr>
            </control>
          </mc:Choice>
        </mc:AlternateContent>
        <mc:AlternateContent xmlns:mc="http://schemas.openxmlformats.org/markup-compatibility/2006">
          <mc:Choice Requires="x14">
            <control shapeId="2385" r:id="rId150" name="Check Box 337">
              <controlPr locked="0" defaultSize="0" print="0" autoFill="0" autoLine="0" autoPict="0">
                <anchor moveWithCells="1">
                  <from>
                    <xdr:col>6</xdr:col>
                    <xdr:colOff>123825</xdr:colOff>
                    <xdr:row>16</xdr:row>
                    <xdr:rowOff>152400</xdr:rowOff>
                  </from>
                  <to>
                    <xdr:col>6</xdr:col>
                    <xdr:colOff>314325</xdr:colOff>
                    <xdr:row>18</xdr:row>
                    <xdr:rowOff>28575</xdr:rowOff>
                  </to>
                </anchor>
              </controlPr>
            </control>
          </mc:Choice>
        </mc:AlternateContent>
        <mc:AlternateContent xmlns:mc="http://schemas.openxmlformats.org/markup-compatibility/2006">
          <mc:Choice Requires="x14">
            <control shapeId="2386" r:id="rId151" name="Check Box 338">
              <controlPr locked="0" defaultSize="0" print="0" autoFill="0" autoLine="0" autoPict="0">
                <anchor moveWithCells="1">
                  <from>
                    <xdr:col>6</xdr:col>
                    <xdr:colOff>123825</xdr:colOff>
                    <xdr:row>17</xdr:row>
                    <xdr:rowOff>152400</xdr:rowOff>
                  </from>
                  <to>
                    <xdr:col>6</xdr:col>
                    <xdr:colOff>314325</xdr:colOff>
                    <xdr:row>19</xdr:row>
                    <xdr:rowOff>28575</xdr:rowOff>
                  </to>
                </anchor>
              </controlPr>
            </control>
          </mc:Choice>
        </mc:AlternateContent>
        <mc:AlternateContent xmlns:mc="http://schemas.openxmlformats.org/markup-compatibility/2006">
          <mc:Choice Requires="x14">
            <control shapeId="2387" r:id="rId152" name="Check Box 339">
              <controlPr locked="0" defaultSize="0" print="0" autoFill="0" autoLine="0" autoPict="0">
                <anchor moveWithCells="1">
                  <from>
                    <xdr:col>6</xdr:col>
                    <xdr:colOff>123825</xdr:colOff>
                    <xdr:row>18</xdr:row>
                    <xdr:rowOff>152400</xdr:rowOff>
                  </from>
                  <to>
                    <xdr:col>6</xdr:col>
                    <xdr:colOff>314325</xdr:colOff>
                    <xdr:row>20</xdr:row>
                    <xdr:rowOff>28575</xdr:rowOff>
                  </to>
                </anchor>
              </controlPr>
            </control>
          </mc:Choice>
        </mc:AlternateContent>
        <mc:AlternateContent xmlns:mc="http://schemas.openxmlformats.org/markup-compatibility/2006">
          <mc:Choice Requires="x14">
            <control shapeId="2388" r:id="rId153" name="Check Box 340">
              <controlPr locked="0" defaultSize="0" print="0" autoFill="0" autoLine="0" autoPict="0">
                <anchor moveWithCells="1">
                  <from>
                    <xdr:col>6</xdr:col>
                    <xdr:colOff>123825</xdr:colOff>
                    <xdr:row>19</xdr:row>
                    <xdr:rowOff>152400</xdr:rowOff>
                  </from>
                  <to>
                    <xdr:col>6</xdr:col>
                    <xdr:colOff>314325</xdr:colOff>
                    <xdr:row>21</xdr:row>
                    <xdr:rowOff>28575</xdr:rowOff>
                  </to>
                </anchor>
              </controlPr>
            </control>
          </mc:Choice>
        </mc:AlternateContent>
        <mc:AlternateContent xmlns:mc="http://schemas.openxmlformats.org/markup-compatibility/2006">
          <mc:Choice Requires="x14">
            <control shapeId="2389" r:id="rId154" name="Check Box 341">
              <controlPr locked="0" defaultSize="0" print="0" autoFill="0" autoLine="0" autoPict="0">
                <anchor moveWithCells="1">
                  <from>
                    <xdr:col>6</xdr:col>
                    <xdr:colOff>123825</xdr:colOff>
                    <xdr:row>20</xdr:row>
                    <xdr:rowOff>152400</xdr:rowOff>
                  </from>
                  <to>
                    <xdr:col>6</xdr:col>
                    <xdr:colOff>314325</xdr:colOff>
                    <xdr:row>22</xdr:row>
                    <xdr:rowOff>28575</xdr:rowOff>
                  </to>
                </anchor>
              </controlPr>
            </control>
          </mc:Choice>
        </mc:AlternateContent>
        <mc:AlternateContent xmlns:mc="http://schemas.openxmlformats.org/markup-compatibility/2006">
          <mc:Choice Requires="x14">
            <control shapeId="2390" r:id="rId155" name="Check Box 342">
              <controlPr locked="0" defaultSize="0" print="0" autoFill="0" autoLine="0" autoPict="0">
                <anchor moveWithCells="1">
                  <from>
                    <xdr:col>6</xdr:col>
                    <xdr:colOff>123825</xdr:colOff>
                    <xdr:row>21</xdr:row>
                    <xdr:rowOff>152400</xdr:rowOff>
                  </from>
                  <to>
                    <xdr:col>6</xdr:col>
                    <xdr:colOff>314325</xdr:colOff>
                    <xdr:row>23</xdr:row>
                    <xdr:rowOff>28575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5">
        <x14:dataValidation type="list" allowBlank="1" showInputMessage="1" showErrorMessage="1">
          <x14:formula1>
            <xm:f>Mullberäkning!$Y$5:$Y$8</xm:f>
          </x14:formula1>
          <xm:sqref>O33:O42 J14:J23</xm:sqref>
        </x14:dataValidation>
        <x14:dataValidation type="list" allowBlank="1" showInputMessage="1" showErrorMessage="1">
          <x14:formula1>
            <xm:f>Stallgödseldata!$T$12:$T$16</xm:f>
          </x14:formula1>
          <xm:sqref>O14:O23 T33:T42</xm:sqref>
        </x14:dataValidation>
        <x14:dataValidation type="list" allowBlank="1" showInputMessage="1" showErrorMessage="1">
          <x14:formula1>
            <xm:f>Stallgödseldata!$B$16:$B$27</xm:f>
          </x14:formula1>
          <xm:sqref>M14:M23 R33:R42</xm:sqref>
        </x14:dataValidation>
        <x14:dataValidation type="list" allowBlank="1" showInputMessage="1" showErrorMessage="1">
          <x14:formula1>
            <xm:f>'Tekniskt underlag'!$A$5:$A$32</xm:f>
          </x14:formula1>
          <xm:sqref>D33:D42 B14:B23</xm:sqref>
        </x14:dataValidation>
        <x14:dataValidation type="list" allowBlank="1" showInputMessage="1" showErrorMessage="1">
          <x14:formula1>
            <xm:f>Mullberäkning!$AC$74:$AC$83</xm:f>
          </x14:formula1>
          <xm:sqref>L2</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1"/>
  <dimension ref="A1:X130"/>
  <sheetViews>
    <sheetView zoomScale="80" zoomScaleNormal="80" workbookViewId="0">
      <selection activeCell="I19" sqref="I19"/>
    </sheetView>
  </sheetViews>
  <sheetFormatPr defaultColWidth="9.140625" defaultRowHeight="12.75"/>
  <cols>
    <col min="1" max="1" width="16.42578125" style="1827" customWidth="1"/>
    <col min="2" max="2" width="10.140625" style="1827" customWidth="1"/>
    <col min="3" max="3" width="11" style="1827" customWidth="1"/>
    <col min="4" max="4" width="9.140625" style="1827"/>
    <col min="5" max="5" width="14" style="1827" bestFit="1" customWidth="1"/>
    <col min="6" max="6" width="16.5703125" style="1827" customWidth="1"/>
    <col min="7" max="8" width="9.140625" style="1827"/>
    <col min="9" max="9" width="14.5703125" style="1857" bestFit="1" customWidth="1"/>
    <col min="10" max="11" width="10.5703125" style="1827" customWidth="1"/>
    <col min="12" max="12" width="12.7109375" style="1827" customWidth="1"/>
    <col min="13" max="13" width="13" style="1827" customWidth="1"/>
    <col min="14" max="14" width="10.42578125" style="1827" customWidth="1"/>
    <col min="15" max="15" width="18.42578125" style="1827" customWidth="1"/>
    <col min="16" max="16" width="15.28515625" style="1827" customWidth="1"/>
    <col min="17" max="17" width="9.140625" style="1827"/>
    <col min="18" max="18" width="10.85546875" style="1857" customWidth="1"/>
    <col min="19" max="16384" width="9.140625" style="1827"/>
  </cols>
  <sheetData>
    <row r="1" spans="1:19" ht="20.25">
      <c r="A1" s="1856" t="s">
        <v>1155</v>
      </c>
      <c r="B1" s="1838"/>
      <c r="C1" s="1838"/>
      <c r="D1" s="1856"/>
      <c r="E1" s="1838"/>
      <c r="F1" s="1838"/>
      <c r="G1" s="1838"/>
      <c r="H1" s="1838"/>
      <c r="I1" s="1837"/>
      <c r="J1" s="1838"/>
      <c r="K1" s="1838"/>
      <c r="L1" s="1838"/>
      <c r="M1" s="1838"/>
      <c r="N1" s="1838"/>
      <c r="O1" s="1838"/>
      <c r="P1" s="1838"/>
      <c r="Q1" s="1838"/>
    </row>
    <row r="2" spans="1:19">
      <c r="A2" s="1838"/>
      <c r="B2" s="1838"/>
      <c r="C2" s="1838"/>
      <c r="D2" s="1838"/>
      <c r="E2" s="1838"/>
      <c r="F2" s="1838"/>
      <c r="G2" s="1838"/>
      <c r="H2" s="1838"/>
      <c r="I2" s="1837"/>
      <c r="J2" s="1838"/>
      <c r="K2" s="1838"/>
      <c r="L2" s="1838"/>
      <c r="M2" s="1838"/>
      <c r="N2" s="1838"/>
      <c r="O2" s="1838"/>
      <c r="P2" s="1838"/>
      <c r="Q2" s="1838"/>
    </row>
    <row r="3" spans="1:19" ht="18">
      <c r="A3" s="1858" t="s">
        <v>1156</v>
      </c>
      <c r="B3" s="1838"/>
      <c r="C3" s="1838"/>
      <c r="D3" s="1838"/>
      <c r="E3" s="1838"/>
      <c r="F3" s="1838"/>
      <c r="G3" s="1838"/>
      <c r="H3" s="1858" t="s">
        <v>1157</v>
      </c>
      <c r="I3" s="1837"/>
      <c r="J3" s="1838"/>
      <c r="K3" s="1838"/>
      <c r="L3" s="1838"/>
      <c r="M3" s="1838"/>
      <c r="N3" s="1838"/>
      <c r="O3" s="1838"/>
      <c r="P3" s="1838"/>
      <c r="Q3" s="1838"/>
    </row>
    <row r="4" spans="1:19">
      <c r="A4" s="1859"/>
      <c r="B4" s="1860" t="s">
        <v>139</v>
      </c>
      <c r="C4" s="1860" t="s">
        <v>1075</v>
      </c>
      <c r="D4" s="1861" t="s">
        <v>1068</v>
      </c>
      <c r="E4" s="1862"/>
      <c r="F4" s="1863"/>
      <c r="G4" s="1863"/>
      <c r="H4" s="1859" t="s">
        <v>139</v>
      </c>
      <c r="I4" s="3037" t="s">
        <v>1158</v>
      </c>
      <c r="J4" s="3038"/>
      <c r="K4" s="1864"/>
      <c r="L4" s="1860" t="s">
        <v>1159</v>
      </c>
      <c r="M4" s="3037" t="s">
        <v>149</v>
      </c>
      <c r="N4" s="3038"/>
      <c r="O4" s="1865"/>
      <c r="P4" s="1860" t="s">
        <v>1159</v>
      </c>
      <c r="Q4" s="1838"/>
    </row>
    <row r="5" spans="1:19">
      <c r="A5" s="1866"/>
      <c r="B5" s="1867"/>
      <c r="C5" s="1867"/>
      <c r="D5" s="1868" t="s">
        <v>740</v>
      </c>
      <c r="E5" s="1867" t="s">
        <v>74</v>
      </c>
      <c r="F5" s="1868"/>
      <c r="G5" s="1863"/>
      <c r="H5" s="1867"/>
      <c r="I5" s="1867" t="s">
        <v>1160</v>
      </c>
      <c r="J5" s="1867" t="s">
        <v>1050</v>
      </c>
      <c r="K5" s="1867" t="s">
        <v>1161</v>
      </c>
      <c r="L5" s="1867" t="s">
        <v>1162</v>
      </c>
      <c r="M5" s="1867"/>
      <c r="N5" s="1860"/>
      <c r="O5" s="1867" t="s">
        <v>1163</v>
      </c>
      <c r="P5" s="1867" t="s">
        <v>1162</v>
      </c>
      <c r="Q5" s="1838"/>
    </row>
    <row r="6" spans="1:19">
      <c r="A6" s="1866"/>
      <c r="B6" s="1867" t="s">
        <v>1086</v>
      </c>
      <c r="C6" s="1867" t="s">
        <v>1164</v>
      </c>
      <c r="D6" s="1868" t="s">
        <v>1164</v>
      </c>
      <c r="E6" s="1867" t="s">
        <v>1165</v>
      </c>
      <c r="F6" s="1868"/>
      <c r="G6" s="1863"/>
      <c r="H6" s="1867" t="s">
        <v>1086</v>
      </c>
      <c r="I6" s="1867" t="s">
        <v>1075</v>
      </c>
      <c r="J6" s="1867" t="s">
        <v>1166</v>
      </c>
      <c r="K6" s="1867" t="s">
        <v>1167</v>
      </c>
      <c r="L6" s="1867" t="s">
        <v>1168</v>
      </c>
      <c r="M6" s="1867" t="s">
        <v>1169</v>
      </c>
      <c r="N6" s="1867" t="s">
        <v>1170</v>
      </c>
      <c r="O6" s="1867"/>
      <c r="P6" s="1867" t="s">
        <v>1171</v>
      </c>
      <c r="Q6" s="1838"/>
    </row>
    <row r="7" spans="1:19">
      <c r="A7" s="1844"/>
      <c r="B7" s="1869"/>
      <c r="C7" s="1869"/>
      <c r="D7" s="1870"/>
      <c r="E7" s="1871"/>
      <c r="F7" s="1835"/>
      <c r="G7" s="1838"/>
      <c r="H7" s="1871"/>
      <c r="I7" s="1867" t="s">
        <v>1164</v>
      </c>
      <c r="J7" s="1871"/>
      <c r="K7" s="1869"/>
      <c r="L7" s="1872" t="s">
        <v>727</v>
      </c>
      <c r="M7" s="1872" t="s">
        <v>1132</v>
      </c>
      <c r="N7" s="1872" t="s">
        <v>1132</v>
      </c>
      <c r="O7" s="1872" t="s">
        <v>727</v>
      </c>
      <c r="P7" s="1872" t="s">
        <v>727</v>
      </c>
      <c r="Q7" s="1838"/>
    </row>
    <row r="8" spans="1:19" ht="15">
      <c r="A8" s="1873" t="str">
        <f>'"Kvävesimulator"'!C20</f>
        <v xml:space="preserve"> Höstvete foder</v>
      </c>
      <c r="B8" s="1873">
        <f>'"Kvävesimulator"'!S20</f>
        <v>85</v>
      </c>
      <c r="C8" s="1874">
        <f>'"Kvävesimulator"'!U20</f>
        <v>1.4</v>
      </c>
      <c r="D8" s="1873">
        <f>'"Kvävesimulator"'!W20</f>
        <v>0.25</v>
      </c>
      <c r="E8" s="1875">
        <f>IF('"Kvävesimulator"'!S20&lt;&gt;"",(Spannmål_S!F8+(('"Kvävesimulator"'!S20-Spannmål_S!E8)*(Spannmål_S!B16)))-'"Kvävesimulator"'!AD20-'"Kvävesimulator"'!AA20,0)</f>
        <v>159.57901037472462</v>
      </c>
      <c r="F8" s="1876"/>
      <c r="G8" s="1838"/>
      <c r="H8" s="1877">
        <v>80</v>
      </c>
      <c r="I8" s="1874">
        <v>1.4</v>
      </c>
      <c r="J8" s="1841">
        <v>149.50557557650001</v>
      </c>
      <c r="K8" s="1842">
        <v>25</v>
      </c>
      <c r="L8" s="1841">
        <f>J8+K8</f>
        <v>174.50557557650001</v>
      </c>
      <c r="M8" s="1842">
        <v>1.5</v>
      </c>
      <c r="N8" s="1842">
        <v>1.5</v>
      </c>
      <c r="O8" s="1878">
        <f>IF(E8&gt;P8,P8,E8)</f>
        <v>159.57901037472462</v>
      </c>
      <c r="P8" s="1841">
        <f>VLOOKUP(B8,Maxgiva,2)-'"Kvävesimulator"'!AD20-'"Kvävesimulator"'!AA20</f>
        <v>182.00557557650001</v>
      </c>
      <c r="Q8" s="1838"/>
    </row>
    <row r="9" spans="1:19" ht="15">
      <c r="A9" s="1873"/>
      <c r="B9" s="1873"/>
      <c r="C9" s="1874"/>
      <c r="D9" s="1873"/>
      <c r="E9" s="1875"/>
      <c r="F9" s="1876"/>
      <c r="G9" s="1838"/>
      <c r="H9" s="1877"/>
      <c r="I9" s="1879"/>
      <c r="J9" s="1841"/>
      <c r="K9" s="1840"/>
      <c r="L9" s="1841"/>
      <c r="M9" s="1840"/>
      <c r="N9" s="1840"/>
      <c r="O9" s="1878"/>
      <c r="P9" s="1841"/>
      <c r="Q9" s="1838"/>
    </row>
    <row r="10" spans="1:19" ht="15">
      <c r="A10" s="1873" t="str">
        <f>'"Kvävesimulator"'!C22</f>
        <v xml:space="preserve"> Höstvete kvarn</v>
      </c>
      <c r="B10" s="1873">
        <f>'"Kvävesimulator"'!S22</f>
        <v>80</v>
      </c>
      <c r="C10" s="1874">
        <f>'"Kvävesimulator"'!U22</f>
        <v>1.47</v>
      </c>
      <c r="D10" s="1873">
        <f>'"Kvävesimulator"'!W22</f>
        <v>0.25</v>
      </c>
      <c r="E10" s="1875">
        <f>IF('"Kvävesimulator"'!S22&lt;&gt;"",(Spannmål_S!R$8+(('"Kvävesimulator"'!S22-Spannmål_S!Q$8)*(Spannmål_S!N16)))-'"Kvävesimulator"'!AD22-'"Kvävesimulator"'!AA22,0)</f>
        <v>155.4955230549366</v>
      </c>
      <c r="F10" s="1876"/>
      <c r="G10" s="1838"/>
      <c r="H10" s="1877">
        <v>80</v>
      </c>
      <c r="I10" s="1874">
        <v>1.6</v>
      </c>
      <c r="J10" s="1841">
        <v>160.00375639450002</v>
      </c>
      <c r="K10" s="1842">
        <v>25</v>
      </c>
      <c r="L10" s="1841">
        <f>J10+K10</f>
        <v>185.00375639450002</v>
      </c>
      <c r="M10" s="1842">
        <v>1.5</v>
      </c>
      <c r="N10" s="1842">
        <v>1.5</v>
      </c>
      <c r="O10" s="1878">
        <f t="shared" ref="O10:O33" si="0">IF(E10&gt;P10,P10,E10)</f>
        <v>155.4955230549366</v>
      </c>
      <c r="P10" s="1841">
        <f>VLOOKUP(B10,Maxgiva,4)-'"Kvävesimulator"'!AD22-'"Kvävesimulator"'!AA22</f>
        <v>185.00375639450002</v>
      </c>
      <c r="Q10" s="1838"/>
      <c r="S10" s="1880"/>
    </row>
    <row r="11" spans="1:19" ht="15">
      <c r="A11" s="1873"/>
      <c r="B11" s="1873"/>
      <c r="C11" s="1874"/>
      <c r="D11" s="1873"/>
      <c r="E11" s="1875"/>
      <c r="F11" s="1876"/>
      <c r="G11" s="1838"/>
      <c r="H11" s="1877"/>
      <c r="I11" s="1879"/>
      <c r="J11" s="1841"/>
      <c r="K11" s="1840"/>
      <c r="L11" s="1841"/>
      <c r="M11" s="1840"/>
      <c r="N11" s="1840"/>
      <c r="O11" s="1878"/>
      <c r="P11" s="1841"/>
      <c r="Q11" s="1838"/>
      <c r="S11" s="1880"/>
    </row>
    <row r="12" spans="1:19" ht="15">
      <c r="A12" s="1873" t="str">
        <f>'"Kvävesimulator"'!C24</f>
        <v xml:space="preserve"> Vårvete</v>
      </c>
      <c r="B12" s="1873">
        <f>'"Kvävesimulator"'!S24</f>
        <v>50</v>
      </c>
      <c r="C12" s="1874">
        <f>'"Kvävesimulator"'!U24</f>
        <v>1.56</v>
      </c>
      <c r="D12" s="1873">
        <f>'"Kvävesimulator"'!W24</f>
        <v>0.25</v>
      </c>
      <c r="E12" s="1875">
        <f>IF('"Kvävesimulator"'!S24&lt;&gt;"",(Spannmål_S!AD$8+(('"Kvävesimulator"'!S24-Spannmål_S!AC$8)*(Spannmål_S!Z16)))-'"Kvävesimulator"'!AD24-'"Kvävesimulator"'!AA24,0)</f>
        <v>130.10534716629948</v>
      </c>
      <c r="F12" s="1876"/>
      <c r="G12" s="1838"/>
      <c r="H12" s="1877">
        <v>60</v>
      </c>
      <c r="I12" s="1874">
        <v>1.7</v>
      </c>
      <c r="J12" s="1841">
        <v>153.00743410200002</v>
      </c>
      <c r="K12" s="1842">
        <v>20</v>
      </c>
      <c r="L12" s="1841">
        <f>J12+K12</f>
        <v>173.00743410200002</v>
      </c>
      <c r="M12" s="1842">
        <v>2</v>
      </c>
      <c r="N12" s="1842">
        <v>2</v>
      </c>
      <c r="O12" s="1878">
        <f t="shared" si="0"/>
        <v>130.10534716629948</v>
      </c>
      <c r="P12" s="1841">
        <f>VLOOKUP(B12,Maxgiva,5)-'"Kvävesimulator"'!AD24-'"Kvävesimulator"'!AA24</f>
        <v>153.00743410200002</v>
      </c>
      <c r="Q12" s="1838"/>
      <c r="S12" s="1880"/>
    </row>
    <row r="13" spans="1:19" ht="15">
      <c r="A13" s="1873"/>
      <c r="B13" s="1873"/>
      <c r="C13" s="1874"/>
      <c r="D13" s="1873"/>
      <c r="E13" s="1875"/>
      <c r="F13" s="1876"/>
      <c r="G13" s="1838"/>
      <c r="H13" s="1877"/>
      <c r="I13" s="1879"/>
      <c r="J13" s="1841"/>
      <c r="K13" s="1840"/>
      <c r="L13" s="1841"/>
      <c r="M13" s="1840"/>
      <c r="N13" s="1840"/>
      <c r="O13" s="1878"/>
      <c r="P13" s="1841"/>
      <c r="Q13" s="1838"/>
      <c r="S13" s="1880"/>
    </row>
    <row r="14" spans="1:19" ht="15">
      <c r="A14" s="1873" t="str">
        <f>'"Kvävesimulator"'!C26</f>
        <v xml:space="preserve"> Höstkorn</v>
      </c>
      <c r="B14" s="1873">
        <f>'"Kvävesimulator"'!S26</f>
        <v>60</v>
      </c>
      <c r="C14" s="1874">
        <f>'"Kvävesimulator"'!U26</f>
        <v>1.1299999999999999</v>
      </c>
      <c r="D14" s="1873">
        <f>'"Kvävesimulator"'!W26</f>
        <v>0.25</v>
      </c>
      <c r="E14" s="1875">
        <f>IF('"Kvävesimulator"'!S26&lt;&gt;"",(Spannmål_S!AP$8+(('"Kvävesimulator"'!S26-Spannmål_S!AO$8)*(Spannmål_S!AL$16)))-'"Kvävesimulator"'!AD26-'"Kvävesimulator"'!AA26,0)</f>
        <v>110.49272492740727</v>
      </c>
      <c r="F14" s="1876"/>
      <c r="G14" s="1838"/>
      <c r="H14" s="1877">
        <v>70</v>
      </c>
      <c r="I14" s="1874">
        <v>1.4</v>
      </c>
      <c r="J14" s="1841">
        <v>137.09312800000001</v>
      </c>
      <c r="K14" s="1842">
        <v>20</v>
      </c>
      <c r="L14" s="1841">
        <f>J14+K14</f>
        <v>157.09312800000001</v>
      </c>
      <c r="M14" s="1842">
        <v>1.5</v>
      </c>
      <c r="N14" s="1842">
        <v>1.5</v>
      </c>
      <c r="O14" s="1878">
        <f t="shared" si="0"/>
        <v>110.49272492740727</v>
      </c>
      <c r="P14" s="1841">
        <f>VLOOKUP(B14,Maxgiva,7)-'"Kvävesimulator"'!AD26-'"Kvävesimulator"'!AA26</f>
        <v>142.09312800000001</v>
      </c>
      <c r="Q14" s="1838"/>
      <c r="S14" s="1880"/>
    </row>
    <row r="15" spans="1:19" ht="15">
      <c r="A15" s="1873"/>
      <c r="B15" s="1873"/>
      <c r="C15" s="1874"/>
      <c r="D15" s="1873"/>
      <c r="E15" s="1875"/>
      <c r="F15" s="1876"/>
      <c r="G15" s="1838"/>
      <c r="H15" s="1877"/>
      <c r="I15" s="1879"/>
      <c r="J15" s="1841"/>
      <c r="K15" s="1840"/>
      <c r="L15" s="1841"/>
      <c r="M15" s="1840"/>
      <c r="N15" s="1840"/>
      <c r="O15" s="1878"/>
      <c r="P15" s="1841"/>
      <c r="Q15" s="1838"/>
    </row>
    <row r="16" spans="1:19" ht="15">
      <c r="A16" s="1873" t="str">
        <f>'"Kvävesimulator"'!C28</f>
        <v xml:space="preserve"> Vårkorn foder</v>
      </c>
      <c r="B16" s="1873">
        <f>'"Kvävesimulator"'!S28</f>
        <v>55</v>
      </c>
      <c r="C16" s="1874">
        <f>'"Kvävesimulator"'!U28</f>
        <v>1.31</v>
      </c>
      <c r="D16" s="1873">
        <f>'"Kvävesimulator"'!W28</f>
        <v>0.25</v>
      </c>
      <c r="E16" s="1875">
        <f>IF('"Kvävesimulator"'!S28&lt;&gt;"",(Spannmål_S!BB$8+(('"Kvävesimulator"'!S28-Spannmål_S!BA$8)*(Spannmål_S!AX$16)))-'"Kvävesimulator"'!AD28-'"Kvävesimulator"'!AA28,0)</f>
        <v>91.353803500011196</v>
      </c>
      <c r="F16" s="1876"/>
      <c r="G16" s="1838"/>
      <c r="H16" s="1877">
        <v>60</v>
      </c>
      <c r="I16" s="1874">
        <v>1.4</v>
      </c>
      <c r="J16" s="1841">
        <v>102.3595</v>
      </c>
      <c r="K16" s="1842">
        <v>20</v>
      </c>
      <c r="L16" s="1841">
        <f>J16+K16</f>
        <v>122.3595</v>
      </c>
      <c r="M16" s="1842">
        <v>1.5</v>
      </c>
      <c r="N16" s="1842">
        <v>1.5</v>
      </c>
      <c r="O16" s="1878">
        <f t="shared" si="0"/>
        <v>91.353803500011196</v>
      </c>
      <c r="P16" s="1841">
        <f>VLOOKUP(B16,Maxgiva,8)-'"Kvävesimulator"'!AD28-'"Kvävesimulator"'!AA28</f>
        <v>114.8595</v>
      </c>
      <c r="Q16" s="1838"/>
    </row>
    <row r="17" spans="1:20" ht="15">
      <c r="A17" s="1873"/>
      <c r="B17" s="1873"/>
      <c r="C17" s="1874"/>
      <c r="D17" s="1873"/>
      <c r="E17" s="1875"/>
      <c r="F17" s="1876"/>
      <c r="G17" s="1838"/>
      <c r="H17" s="1877"/>
      <c r="I17" s="1879"/>
      <c r="J17" s="1841"/>
      <c r="K17" s="1840"/>
      <c r="L17" s="1841"/>
      <c r="M17" s="1840"/>
      <c r="N17" s="1840"/>
      <c r="O17" s="1878"/>
      <c r="P17" s="1841"/>
      <c r="Q17" s="1838"/>
    </row>
    <row r="18" spans="1:20" ht="15">
      <c r="A18" s="1873" t="str">
        <f>'"Kvävesimulator"'!C30</f>
        <v xml:space="preserve"> Vårkorn malt</v>
      </c>
      <c r="B18" s="1873">
        <f>'"Kvävesimulator"'!S30</f>
        <v>55</v>
      </c>
      <c r="C18" s="1874">
        <f>'"Kvävesimulator"'!U30</f>
        <v>1.62</v>
      </c>
      <c r="D18" s="1873">
        <f>'"Kvävesimulator"'!W30</f>
        <v>0.25</v>
      </c>
      <c r="E18" s="1875">
        <f>IF('"Kvävesimulator"'!S30&lt;&gt;"",(Spannmål_S!BN$8+(('"Kvävesimulator"'!S30-Spannmål_S!BM$8)*(Spannmål_S!BJ$16)))-'"Kvävesimulator"'!AD30-'"Kvävesimulator"'!AA30,0)</f>
        <v>98.17429950000701</v>
      </c>
      <c r="F18" s="1876"/>
      <c r="G18" s="1838"/>
      <c r="H18" s="1877">
        <v>60</v>
      </c>
      <c r="I18" s="1874">
        <v>1.4</v>
      </c>
      <c r="J18" s="1841">
        <v>97.373047779999993</v>
      </c>
      <c r="K18" s="1842">
        <v>20</v>
      </c>
      <c r="L18" s="1841">
        <f>J18+K18</f>
        <v>117.37304777999999</v>
      </c>
      <c r="M18" s="1842">
        <v>1.5</v>
      </c>
      <c r="N18" s="1842">
        <v>1.5</v>
      </c>
      <c r="O18" s="1878">
        <f t="shared" si="0"/>
        <v>98.17429950000701</v>
      </c>
      <c r="P18" s="1841">
        <f>VLOOKUP(B18,Maxgiva,9)-'"Kvävesimulator"'!AD30-'"Kvävesimulator"'!AA30</f>
        <v>109.87304777999999</v>
      </c>
      <c r="Q18" s="1838"/>
    </row>
    <row r="19" spans="1:20" ht="15">
      <c r="A19" s="1873"/>
      <c r="B19" s="1873"/>
      <c r="C19" s="1874"/>
      <c r="D19" s="1873"/>
      <c r="E19" s="1875"/>
      <c r="F19" s="1876"/>
      <c r="G19" s="1838"/>
      <c r="H19" s="1877"/>
      <c r="I19" s="1879"/>
      <c r="J19" s="1841"/>
      <c r="K19" s="1840"/>
      <c r="L19" s="1841"/>
      <c r="M19" s="1840"/>
      <c r="N19" s="1840"/>
      <c r="O19" s="1878"/>
      <c r="P19" s="1841"/>
      <c r="Q19" s="1838"/>
    </row>
    <row r="20" spans="1:20" ht="15">
      <c r="A20" s="1873" t="str">
        <f>'"Kvävesimulator"'!C32</f>
        <v xml:space="preserve"> Råg</v>
      </c>
      <c r="B20" s="1873">
        <f>'"Kvävesimulator"'!S32</f>
        <v>60</v>
      </c>
      <c r="C20" s="1874">
        <f>'"Kvävesimulator"'!U32</f>
        <v>1.1299999999999999</v>
      </c>
      <c r="D20" s="1873">
        <f>'"Kvävesimulator"'!W32</f>
        <v>0.25</v>
      </c>
      <c r="E20" s="1875">
        <f>IF('"Kvävesimulator"'!S32&lt;&gt;"",(Spannmål_S!BZ$8+(('"Kvävesimulator"'!S32-Spannmål_S!BY$8)*(Spannmål_S!BV$16)))-'"Kvävesimulator"'!AD32-'"Kvävesimulator"'!AA32,0)</f>
        <v>101.04830130099424</v>
      </c>
      <c r="F20" s="1876"/>
      <c r="G20" s="1838"/>
      <c r="H20" s="1877">
        <v>60</v>
      </c>
      <c r="I20" s="1874">
        <v>1.4</v>
      </c>
      <c r="J20" s="1841">
        <v>112.73073836449998</v>
      </c>
      <c r="K20" s="1842">
        <v>10</v>
      </c>
      <c r="L20" s="1841">
        <f>J20+K20</f>
        <v>122.73073836449998</v>
      </c>
      <c r="M20" s="1842">
        <v>1.5</v>
      </c>
      <c r="N20" s="1842">
        <v>0.2</v>
      </c>
      <c r="O20" s="1878">
        <f t="shared" si="0"/>
        <v>101.04830130099424</v>
      </c>
      <c r="P20" s="1841">
        <f>VLOOKUP(B20,Maxgiva,10)-'"Kvävesimulator"'!AD32-'"Kvävesimulator"'!AA32</f>
        <v>122.73073836449998</v>
      </c>
      <c r="Q20" s="1838"/>
    </row>
    <row r="21" spans="1:20" ht="15">
      <c r="A21" s="1873"/>
      <c r="B21" s="1873"/>
      <c r="C21" s="1874"/>
      <c r="D21" s="1873"/>
      <c r="E21" s="1875"/>
      <c r="F21" s="1876"/>
      <c r="G21" s="1838"/>
      <c r="H21" s="1877"/>
      <c r="I21" s="1879"/>
      <c r="J21" s="1841"/>
      <c r="K21" s="1840"/>
      <c r="L21" s="1841"/>
      <c r="M21" s="1840"/>
      <c r="N21" s="1840"/>
      <c r="O21" s="1878"/>
      <c r="P21" s="1841"/>
      <c r="Q21" s="1838"/>
    </row>
    <row r="22" spans="1:20" ht="15">
      <c r="A22" s="1873" t="str">
        <f>'"Kvävesimulator"'!C34</f>
        <v xml:space="preserve"> Rågvete</v>
      </c>
      <c r="B22" s="1873">
        <f>'"Kvävesimulator"'!S34</f>
        <v>60</v>
      </c>
      <c r="C22" s="1874">
        <f>'"Kvävesimulator"'!U34</f>
        <v>1.25</v>
      </c>
      <c r="D22" s="1873">
        <f>'"Kvävesimulator"'!W34</f>
        <v>0.25</v>
      </c>
      <c r="E22" s="1875">
        <f>IF('"Kvävesimulator"'!S34&lt;&gt;"",(Spannmål_S!CL$8+(('"Kvävesimulator"'!S34-Spannmål_S!CK$8)*(Spannmål_S!CH$16)))-'"Kvävesimulator"'!AD34-'"Kvävesimulator"'!AA34,0)</f>
        <v>114.56267346325428</v>
      </c>
      <c r="F22" s="1876"/>
      <c r="G22" s="1838"/>
      <c r="H22" s="1877">
        <v>70</v>
      </c>
      <c r="I22" s="1874">
        <v>1.4</v>
      </c>
      <c r="J22" s="1841">
        <v>130.96081389999998</v>
      </c>
      <c r="K22" s="1842">
        <v>20</v>
      </c>
      <c r="L22" s="1841">
        <f>J22+K22</f>
        <v>150.96081389999998</v>
      </c>
      <c r="M22" s="1842">
        <v>1.5</v>
      </c>
      <c r="N22" s="1842">
        <v>1.5</v>
      </c>
      <c r="O22" s="1878">
        <f t="shared" si="0"/>
        <v>114.56267346325428</v>
      </c>
      <c r="P22" s="1841">
        <f>VLOOKUP(B22,Maxgiva,11)-'"Kvävesimulator"'!AD34-'"Kvävesimulator"'!AA34</f>
        <v>135.96081389999998</v>
      </c>
      <c r="Q22" s="1838"/>
    </row>
    <row r="23" spans="1:20" ht="15">
      <c r="A23" s="1873"/>
      <c r="B23" s="1873"/>
      <c r="C23" s="1874"/>
      <c r="D23" s="1873"/>
      <c r="E23" s="1875"/>
      <c r="F23" s="1876"/>
      <c r="G23" s="1838"/>
      <c r="H23" s="1877"/>
      <c r="I23" s="1879"/>
      <c r="J23" s="1841"/>
      <c r="K23" s="1840"/>
      <c r="L23" s="1841"/>
      <c r="M23" s="1840"/>
      <c r="N23" s="1840"/>
      <c r="O23" s="1878"/>
      <c r="P23" s="1841"/>
      <c r="Q23" s="1838"/>
    </row>
    <row r="24" spans="1:20" ht="15">
      <c r="A24" s="1873" t="str">
        <f>'"Kvävesimulator"'!C36</f>
        <v xml:space="preserve"> Havre</v>
      </c>
      <c r="B24" s="1873">
        <f>'"Kvävesimulator"'!S36</f>
        <v>55</v>
      </c>
      <c r="C24" s="1874">
        <f>'"Kvävesimulator"'!U36</f>
        <v>1.6</v>
      </c>
      <c r="D24" s="1873">
        <f>'"Kvävesimulator"'!W36</f>
        <v>0.25</v>
      </c>
      <c r="E24" s="1875">
        <f>IF('"Kvävesimulator"'!S36&lt;&gt;"",(Spannmål_S!CX$8+(('"Kvävesimulator"'!S36-Spannmål_S!CW$8)*(Spannmål_S!CT$16)))-'"Kvävesimulator"'!AD36-'"Kvävesimulator"'!AA36,0)</f>
        <v>99.035812000006459</v>
      </c>
      <c r="F24" s="1876"/>
      <c r="G24" s="1838"/>
      <c r="H24" s="1877">
        <v>60</v>
      </c>
      <c r="I24" s="1874">
        <v>1.4</v>
      </c>
      <c r="J24" s="1841">
        <v>96.5539858275</v>
      </c>
      <c r="K24" s="1842">
        <v>20</v>
      </c>
      <c r="L24" s="1841">
        <f>J24+K24</f>
        <v>116.5539858275</v>
      </c>
      <c r="M24" s="1842">
        <v>1.5</v>
      </c>
      <c r="N24" s="1842">
        <v>1.5</v>
      </c>
      <c r="O24" s="1878">
        <f t="shared" si="0"/>
        <v>99.035812000006459</v>
      </c>
      <c r="P24" s="1841">
        <f>VLOOKUP(B24,Maxgiva,12)-'"Kvävesimulator"'!AD36-'"Kvävesimulator"'!AA36</f>
        <v>109.0539858275</v>
      </c>
      <c r="Q24" s="1838"/>
    </row>
    <row r="25" spans="1:20">
      <c r="A25" s="1873"/>
      <c r="B25" s="1873"/>
      <c r="C25" s="1874"/>
      <c r="D25" s="1873"/>
      <c r="E25" s="1881"/>
      <c r="F25" s="1882"/>
      <c r="G25" s="1838"/>
      <c r="H25" s="1877"/>
      <c r="I25" s="1877"/>
      <c r="J25" s="1877"/>
      <c r="K25" s="1840"/>
      <c r="L25" s="1841"/>
      <c r="M25" s="1840"/>
      <c r="N25" s="1840"/>
      <c r="O25" s="1878"/>
      <c r="P25" s="1841"/>
      <c r="Q25" s="1838"/>
    </row>
    <row r="26" spans="1:20" ht="15">
      <c r="A26" s="1873" t="str">
        <f>'"Kvävesimulator"'!C38</f>
        <v xml:space="preserve"> Höstraps</v>
      </c>
      <c r="B26" s="1873">
        <f>'"Kvävesimulator"'!S38</f>
        <v>35</v>
      </c>
      <c r="C26" s="1874">
        <f>'"Kvävesimulator"'!U38</f>
        <v>4.0999999999999996</v>
      </c>
      <c r="D26" s="1873">
        <f>'"Kvävesimulator"'!W38</f>
        <v>0.4</v>
      </c>
      <c r="E26" s="1875">
        <f>IF('"Kvävesimulator"'!S38&lt;&gt;"",(Oljeväxter!F9+(('"Kvävesimulator"'!S38-Oljeväxter!E9)*(Oljeväxter!B16)))-'"Kvävesimulator"'!AA38,0)</f>
        <v>163.32932092800002</v>
      </c>
      <c r="F26" s="1876"/>
      <c r="G26" s="1838"/>
      <c r="H26" s="1877">
        <v>30</v>
      </c>
      <c r="I26" s="1840">
        <v>3.5</v>
      </c>
      <c r="J26" s="1841">
        <v>125.97502399999998</v>
      </c>
      <c r="K26" s="1842">
        <v>25</v>
      </c>
      <c r="L26" s="1841">
        <f>J26+K26</f>
        <v>150.97502399999996</v>
      </c>
      <c r="M26" s="1842">
        <v>2</v>
      </c>
      <c r="N26" s="1842">
        <v>1.5</v>
      </c>
      <c r="O26" s="1878">
        <f t="shared" si="0"/>
        <v>158.47502399999996</v>
      </c>
      <c r="P26" s="1841">
        <f>VLOOKUP(B26,Max_oljeväxter,2)-'"Kvävesimulator"'!AA38</f>
        <v>158.47502399999996</v>
      </c>
      <c r="Q26" s="1883"/>
      <c r="R26" s="1815"/>
      <c r="S26" s="1884"/>
      <c r="T26" s="1884"/>
    </row>
    <row r="27" spans="1:20">
      <c r="A27" s="1873"/>
      <c r="B27" s="1873"/>
      <c r="C27" s="1874"/>
      <c r="D27" s="1873"/>
      <c r="E27" s="1881"/>
      <c r="F27" s="1882"/>
      <c r="G27" s="1838"/>
      <c r="H27" s="1877"/>
      <c r="I27" s="1840"/>
      <c r="J27" s="1841"/>
      <c r="K27" s="1840"/>
      <c r="L27" s="1841"/>
      <c r="M27" s="1840"/>
      <c r="N27" s="1840"/>
      <c r="O27" s="1878"/>
      <c r="P27" s="1841"/>
      <c r="Q27" s="1883"/>
      <c r="R27" s="1815"/>
      <c r="S27" s="1884"/>
      <c r="T27" s="1884"/>
    </row>
    <row r="28" spans="1:20" ht="15">
      <c r="A28" s="1873" t="str">
        <f>'"Kvävesimulator"'!C40</f>
        <v xml:space="preserve"> Vårraps</v>
      </c>
      <c r="B28" s="1873">
        <f>'"Kvävesimulator"'!S40</f>
        <v>20</v>
      </c>
      <c r="C28" s="1874">
        <f>'"Kvävesimulator"'!U40</f>
        <v>2.81</v>
      </c>
      <c r="D28" s="1873">
        <f>'"Kvävesimulator"'!W40</f>
        <v>0.4</v>
      </c>
      <c r="E28" s="1875">
        <f>IF('"Kvävesimulator"'!S40&lt;&gt;"",(Oljeväxter!R8+(('"Kvävesimulator"'!S40-Oljeväxter!Q8)*(Oljeväxter!N16)))-'"Kvävesimulator"'!AA40,0)</f>
        <v>111.09874600000001</v>
      </c>
      <c r="F28" s="1838"/>
      <c r="G28" s="1838"/>
      <c r="H28" s="1877">
        <v>20</v>
      </c>
      <c r="I28" s="1840">
        <v>3.5</v>
      </c>
      <c r="J28" s="1841">
        <v>109.250377472</v>
      </c>
      <c r="K28" s="1842">
        <v>25</v>
      </c>
      <c r="L28" s="1841">
        <f>J28+K28</f>
        <v>134.250377472</v>
      </c>
      <c r="M28" s="1842">
        <v>2</v>
      </c>
      <c r="N28" s="1842">
        <v>1.5</v>
      </c>
      <c r="O28" s="1878">
        <f t="shared" si="0"/>
        <v>111.09874600000001</v>
      </c>
      <c r="P28" s="1841">
        <f>VLOOKUP(B28,Max_oljeväxter,3)-'"Kvävesimulator"'!AA40</f>
        <v>114</v>
      </c>
      <c r="Q28" s="1883"/>
      <c r="R28" s="1815"/>
      <c r="S28" s="1884"/>
      <c r="T28" s="1884"/>
    </row>
    <row r="29" spans="1:20" ht="15">
      <c r="A29" s="1873"/>
      <c r="B29" s="1873"/>
      <c r="C29" s="1874"/>
      <c r="D29" s="1873"/>
      <c r="E29" s="1885"/>
      <c r="F29" s="1886" t="s">
        <v>1172</v>
      </c>
      <c r="G29" s="1838"/>
      <c r="H29" s="1877"/>
      <c r="I29" s="1840"/>
      <c r="J29" s="1841"/>
      <c r="K29" s="1842"/>
      <c r="L29" s="1841"/>
      <c r="M29" s="1842"/>
      <c r="N29" s="1842"/>
      <c r="O29" s="1878"/>
      <c r="P29" s="1841"/>
      <c r="Q29" s="1883"/>
      <c r="R29" s="1815"/>
      <c r="S29" s="1884"/>
      <c r="T29" s="1884"/>
    </row>
    <row r="30" spans="1:20" ht="15">
      <c r="A30" s="1873"/>
      <c r="B30" s="1887" t="s">
        <v>974</v>
      </c>
      <c r="C30" s="1874"/>
      <c r="D30" s="1873"/>
      <c r="E30" s="1885" t="s">
        <v>1173</v>
      </c>
      <c r="F30" s="1888" t="s">
        <v>1174</v>
      </c>
      <c r="G30" s="1838"/>
      <c r="H30" s="1877"/>
      <c r="I30" s="1840"/>
      <c r="J30" s="1840"/>
      <c r="K30" s="1840"/>
      <c r="L30" s="1841"/>
      <c r="M30" s="1840"/>
      <c r="N30" s="1840"/>
      <c r="O30" s="1878"/>
      <c r="P30" s="1841"/>
      <c r="Q30" s="1883"/>
      <c r="R30" s="1815"/>
      <c r="S30" s="1884"/>
      <c r="T30" s="1884"/>
    </row>
    <row r="31" spans="1:20" ht="15">
      <c r="A31" s="1873" t="s">
        <v>1110</v>
      </c>
      <c r="B31" s="1889">
        <f>'"Kvävesimulator"'!H46</f>
        <v>9</v>
      </c>
      <c r="C31" s="1874">
        <f>'"Kvävesimulator"'!U46</f>
        <v>1.25</v>
      </c>
      <c r="D31" s="1873">
        <f>'"Kvävesimulator"'!W46</f>
        <v>0.5</v>
      </c>
      <c r="E31" s="1875">
        <f>IF('"Kvävesimulator"'!H46&lt;&gt;"",(Vall!F$15+(('"Kvävesimulator"'!H46-Vall!E$15)*(Vall!B$17)))-'"Kvävesimulator"'!AA46+20,0)</f>
        <v>220.24312</v>
      </c>
      <c r="F31" s="1888">
        <f>E31*Vall!B18</f>
        <v>220.24312</v>
      </c>
      <c r="G31" s="1838"/>
      <c r="H31" s="1877">
        <v>7</v>
      </c>
      <c r="I31" s="1874">
        <v>1.2</v>
      </c>
      <c r="J31" s="1840">
        <v>110</v>
      </c>
      <c r="K31" s="1842">
        <v>50</v>
      </c>
      <c r="L31" s="1841">
        <f>J31+K31</f>
        <v>160</v>
      </c>
      <c r="M31" s="1842">
        <v>20</v>
      </c>
      <c r="N31" s="1842">
        <v>20</v>
      </c>
      <c r="O31" s="1878">
        <f t="shared" si="0"/>
        <v>200</v>
      </c>
      <c r="P31" s="1841">
        <f>VLOOKUP(B31,Max_vall,2)</f>
        <v>200</v>
      </c>
      <c r="Q31" s="1883"/>
      <c r="R31" s="1815"/>
      <c r="S31" s="1884"/>
      <c r="T31" s="1884"/>
    </row>
    <row r="32" spans="1:20" ht="15">
      <c r="A32" s="1873"/>
      <c r="B32" s="1889"/>
      <c r="C32" s="1874"/>
      <c r="D32" s="1873"/>
      <c r="E32" s="1875"/>
      <c r="F32" s="1875"/>
      <c r="G32" s="1838"/>
      <c r="H32" s="1877"/>
      <c r="I32" s="1874"/>
      <c r="J32" s="1840"/>
      <c r="K32" s="1840"/>
      <c r="L32" s="1841"/>
      <c r="M32" s="1840"/>
      <c r="N32" s="1840"/>
      <c r="O32" s="1878"/>
      <c r="P32" s="1841"/>
      <c r="Q32" s="1883"/>
      <c r="R32" s="1815"/>
      <c r="S32" s="1884"/>
      <c r="T32" s="1884"/>
    </row>
    <row r="33" spans="1:20" ht="15">
      <c r="A33" s="1873" t="s">
        <v>1111</v>
      </c>
      <c r="B33" s="1889">
        <f>'"Kvävesimulator"'!H48</f>
        <v>9</v>
      </c>
      <c r="C33" s="1874">
        <f>'"Kvävesimulator"'!U48</f>
        <v>1.25</v>
      </c>
      <c r="D33" s="1873">
        <f>'"Kvävesimulator"'!W48</f>
        <v>0.6</v>
      </c>
      <c r="E33" s="1875">
        <f>IF('"Kvävesimulator"'!H48&lt;&gt;"",(Vall!R$15+(('"Kvävesimulator"'!H48-Vall!Q$15)*(Vall!N$17)))-'"Kvävesimulator"'!AA48+20,0)</f>
        <v>241.5643</v>
      </c>
      <c r="F33" s="1875">
        <f>E33*Vall!N18</f>
        <v>241.5643</v>
      </c>
      <c r="G33" s="1838"/>
      <c r="H33" s="1877">
        <v>7</v>
      </c>
      <c r="I33" s="1874">
        <v>1.3</v>
      </c>
      <c r="J33" s="1840">
        <v>145</v>
      </c>
      <c r="K33" s="1842">
        <v>50</v>
      </c>
      <c r="L33" s="1841">
        <f>J33+K33</f>
        <v>195</v>
      </c>
      <c r="M33" s="1842">
        <v>25</v>
      </c>
      <c r="N33" s="1842">
        <v>25</v>
      </c>
      <c r="O33" s="1878">
        <f t="shared" si="0"/>
        <v>239.5</v>
      </c>
      <c r="P33" s="1841">
        <f>VLOOKUP(B33,Max_vall,3)</f>
        <v>239.5</v>
      </c>
      <c r="Q33" s="1883"/>
      <c r="R33" s="1815"/>
      <c r="S33" s="1884"/>
      <c r="T33" s="1884"/>
    </row>
    <row r="34" spans="1:20" ht="15">
      <c r="A34" s="1873"/>
      <c r="B34" s="1889"/>
      <c r="C34" s="1874"/>
      <c r="D34" s="1873"/>
      <c r="E34" s="1875"/>
      <c r="F34" s="1876"/>
      <c r="G34" s="1838"/>
      <c r="H34" s="1877"/>
      <c r="I34" s="1874"/>
      <c r="J34" s="1840"/>
      <c r="K34" s="1840"/>
      <c r="L34" s="1841"/>
      <c r="M34" s="1840"/>
      <c r="N34" s="1840"/>
      <c r="O34" s="1878"/>
      <c r="P34" s="1841"/>
      <c r="Q34" s="1883"/>
      <c r="R34" s="1815"/>
      <c r="S34" s="1884"/>
      <c r="T34" s="1884"/>
    </row>
    <row r="35" spans="1:20">
      <c r="A35" s="1890"/>
      <c r="B35" s="1890"/>
      <c r="C35" s="1883"/>
      <c r="D35" s="1890"/>
      <c r="E35" s="1882"/>
      <c r="F35" s="1882"/>
      <c r="G35" s="1838"/>
      <c r="H35" s="1835"/>
      <c r="I35" s="1835"/>
      <c r="J35" s="1835"/>
      <c r="K35" s="1863"/>
      <c r="L35" s="1863"/>
      <c r="M35" s="1863"/>
      <c r="N35" s="1891"/>
      <c r="O35" s="1838"/>
      <c r="P35" s="1838"/>
      <c r="Q35" s="1883"/>
      <c r="R35" s="1815"/>
      <c r="S35" s="1884"/>
      <c r="T35" s="1884"/>
    </row>
    <row r="36" spans="1:20">
      <c r="N36" s="1880"/>
    </row>
    <row r="37" spans="1:20">
      <c r="A37" s="1892" t="s">
        <v>139</v>
      </c>
      <c r="B37" s="1893" t="s">
        <v>390</v>
      </c>
      <c r="C37" s="1894"/>
      <c r="D37" s="1893"/>
      <c r="E37" s="1894"/>
      <c r="F37" s="1894"/>
      <c r="G37" s="1893" t="s">
        <v>391</v>
      </c>
      <c r="H37" s="1893"/>
      <c r="I37" s="1850"/>
      <c r="J37" s="1893" t="s">
        <v>1175</v>
      </c>
      <c r="K37" s="1893" t="s">
        <v>480</v>
      </c>
      <c r="L37" s="1895" t="s">
        <v>169</v>
      </c>
      <c r="N37" s="1893" t="s">
        <v>139</v>
      </c>
      <c r="O37" s="1893" t="s">
        <v>353</v>
      </c>
      <c r="P37" s="1893" t="s">
        <v>1176</v>
      </c>
      <c r="R37" s="1893" t="s">
        <v>139</v>
      </c>
      <c r="S37" s="1893" t="s">
        <v>16</v>
      </c>
      <c r="T37" s="1893" t="s">
        <v>16</v>
      </c>
    </row>
    <row r="38" spans="1:20">
      <c r="A38" s="1828"/>
      <c r="B38" s="1896" t="s">
        <v>1177</v>
      </c>
      <c r="C38" s="1829"/>
      <c r="D38" s="1896" t="s">
        <v>1178</v>
      </c>
      <c r="E38" s="1829" t="s">
        <v>200</v>
      </c>
      <c r="F38" s="1829"/>
      <c r="G38" s="1896" t="s">
        <v>1179</v>
      </c>
      <c r="H38" s="1896" t="s">
        <v>1177</v>
      </c>
      <c r="I38" s="1897" t="s">
        <v>1180</v>
      </c>
      <c r="J38" s="1896"/>
      <c r="K38" s="1896"/>
      <c r="L38" s="1898"/>
      <c r="N38" s="1896"/>
      <c r="O38" s="1896"/>
      <c r="P38" s="1896"/>
      <c r="R38" s="1896"/>
      <c r="S38" s="1896"/>
      <c r="T38" s="1896"/>
    </row>
    <row r="39" spans="1:20">
      <c r="A39" s="1899" t="s">
        <v>1124</v>
      </c>
      <c r="B39" s="1900" t="s">
        <v>1181</v>
      </c>
      <c r="C39" s="1830"/>
      <c r="D39" s="1900"/>
      <c r="E39" s="1830"/>
      <c r="F39" s="1830"/>
      <c r="G39" s="1900"/>
      <c r="H39" s="1900"/>
      <c r="I39" s="1851"/>
      <c r="J39" s="1900"/>
      <c r="K39" s="1900"/>
      <c r="L39" s="1901"/>
      <c r="N39" s="1900" t="s">
        <v>1124</v>
      </c>
      <c r="O39" s="1902"/>
      <c r="P39" s="1902"/>
      <c r="R39" s="1900" t="s">
        <v>974</v>
      </c>
      <c r="S39" s="1902" t="s">
        <v>1182</v>
      </c>
      <c r="T39" s="1902" t="s">
        <v>1183</v>
      </c>
    </row>
    <row r="40" spans="1:20">
      <c r="A40" s="1900">
        <v>30</v>
      </c>
      <c r="B40" s="1903">
        <f t="shared" ref="B40:B89" si="1">B41-M$8</f>
        <v>99.505575576500007</v>
      </c>
      <c r="C40" s="1903"/>
      <c r="D40" s="1903">
        <f t="shared" ref="D40:D89" si="2">D41-M$10</f>
        <v>110.00375639450002</v>
      </c>
      <c r="E40" s="1903">
        <f t="shared" ref="E40:E69" si="3">E41-M$12</f>
        <v>113.00743410200002</v>
      </c>
      <c r="F40" s="1903"/>
      <c r="G40" s="1903">
        <f t="shared" ref="G40:G79" si="4">G41-M$14</f>
        <v>97.093128000000007</v>
      </c>
      <c r="H40" s="1903">
        <f t="shared" ref="H40:H69" si="5">H41-M$16</f>
        <v>77.359499999999997</v>
      </c>
      <c r="I40" s="1904">
        <f t="shared" ref="I40:I69" si="6">I41-M$18</f>
        <v>72.373047779999993</v>
      </c>
      <c r="J40" s="1903">
        <f t="shared" ref="J40:J69" si="7">J41-M$20</f>
        <v>77.730738364499985</v>
      </c>
      <c r="K40" s="1903">
        <f t="shared" ref="K40:K79" si="8">K41-M$22</f>
        <v>90.960813899999977</v>
      </c>
      <c r="L40" s="1903">
        <f t="shared" ref="L40:L69" si="9">L41-M$24</f>
        <v>71.5539858275</v>
      </c>
      <c r="N40" s="1852">
        <v>10</v>
      </c>
      <c r="O40" s="1905">
        <f t="shared" ref="O40:O58" si="10">O41-M$26</f>
        <v>110.97502399999996</v>
      </c>
      <c r="P40" s="1853">
        <f t="shared" ref="P40:P48" si="11">P41-M$28</f>
        <v>94</v>
      </c>
      <c r="R40" s="1906">
        <v>5</v>
      </c>
      <c r="S40" s="1905">
        <f t="shared" ref="S40:S58" si="12">S41-M$31/10</f>
        <v>120</v>
      </c>
      <c r="T40" s="1905">
        <f t="shared" ref="T40:T57" si="13">T41-N$33/10</f>
        <v>145</v>
      </c>
    </row>
    <row r="41" spans="1:20">
      <c r="A41" s="1907">
        <v>31</v>
      </c>
      <c r="B41" s="1908">
        <f t="shared" si="1"/>
        <v>101.00557557650001</v>
      </c>
      <c r="C41" s="1908"/>
      <c r="D41" s="1908">
        <f t="shared" si="2"/>
        <v>111.50375639450002</v>
      </c>
      <c r="E41" s="1908">
        <f t="shared" si="3"/>
        <v>115.00743410200002</v>
      </c>
      <c r="F41" s="1908"/>
      <c r="G41" s="1908">
        <f t="shared" si="4"/>
        <v>98.593128000000007</v>
      </c>
      <c r="H41" s="1908">
        <f t="shared" si="5"/>
        <v>78.859499999999997</v>
      </c>
      <c r="I41" s="1847">
        <f t="shared" si="6"/>
        <v>73.873047779999993</v>
      </c>
      <c r="J41" s="1908">
        <f t="shared" si="7"/>
        <v>79.230738364499985</v>
      </c>
      <c r="K41" s="1908">
        <f t="shared" si="8"/>
        <v>92.460813899999977</v>
      </c>
      <c r="L41" s="1908">
        <f t="shared" si="9"/>
        <v>73.0539858275</v>
      </c>
      <c r="N41" s="1852">
        <v>11</v>
      </c>
      <c r="O41" s="1905">
        <f t="shared" si="10"/>
        <v>112.97502399999996</v>
      </c>
      <c r="P41" s="1853">
        <f t="shared" si="11"/>
        <v>96</v>
      </c>
      <c r="R41" s="1852">
        <v>5.0999999999999996</v>
      </c>
      <c r="S41" s="1905">
        <f t="shared" si="12"/>
        <v>122</v>
      </c>
      <c r="T41" s="1905">
        <f t="shared" si="13"/>
        <v>147.5</v>
      </c>
    </row>
    <row r="42" spans="1:20">
      <c r="A42" s="1907">
        <v>32</v>
      </c>
      <c r="B42" s="1908">
        <f t="shared" si="1"/>
        <v>102.50557557650001</v>
      </c>
      <c r="C42" s="1908"/>
      <c r="D42" s="1908">
        <f t="shared" si="2"/>
        <v>113.00375639450002</v>
      </c>
      <c r="E42" s="1908">
        <f t="shared" si="3"/>
        <v>117.00743410200002</v>
      </c>
      <c r="F42" s="1908"/>
      <c r="G42" s="1908">
        <f t="shared" si="4"/>
        <v>100.09312800000001</v>
      </c>
      <c r="H42" s="1908">
        <f t="shared" si="5"/>
        <v>80.359499999999997</v>
      </c>
      <c r="I42" s="1847">
        <f t="shared" si="6"/>
        <v>75.373047779999993</v>
      </c>
      <c r="J42" s="1908">
        <f t="shared" si="7"/>
        <v>80.730738364499985</v>
      </c>
      <c r="K42" s="1908">
        <f t="shared" si="8"/>
        <v>93.960813899999977</v>
      </c>
      <c r="L42" s="1908">
        <f t="shared" si="9"/>
        <v>74.5539858275</v>
      </c>
      <c r="N42" s="1852">
        <v>12</v>
      </c>
      <c r="O42" s="1905">
        <f t="shared" si="10"/>
        <v>114.97502399999996</v>
      </c>
      <c r="P42" s="1853">
        <f t="shared" si="11"/>
        <v>98</v>
      </c>
      <c r="R42" s="1906">
        <v>5.2</v>
      </c>
      <c r="S42" s="1905">
        <f t="shared" si="12"/>
        <v>124</v>
      </c>
      <c r="T42" s="1905">
        <f t="shared" si="13"/>
        <v>150</v>
      </c>
    </row>
    <row r="43" spans="1:20">
      <c r="A43" s="1907">
        <v>33</v>
      </c>
      <c r="B43" s="1908">
        <f t="shared" si="1"/>
        <v>104.00557557650001</v>
      </c>
      <c r="C43" s="1908"/>
      <c r="D43" s="1908">
        <f t="shared" si="2"/>
        <v>114.50375639450002</v>
      </c>
      <c r="E43" s="1908">
        <f t="shared" si="3"/>
        <v>119.00743410200002</v>
      </c>
      <c r="F43" s="1908"/>
      <c r="G43" s="1908">
        <f t="shared" si="4"/>
        <v>101.59312800000001</v>
      </c>
      <c r="H43" s="1908">
        <f t="shared" si="5"/>
        <v>81.859499999999997</v>
      </c>
      <c r="I43" s="1847">
        <f t="shared" si="6"/>
        <v>76.873047779999993</v>
      </c>
      <c r="J43" s="1908">
        <f t="shared" si="7"/>
        <v>82.230738364499985</v>
      </c>
      <c r="K43" s="1908">
        <f t="shared" si="8"/>
        <v>95.460813899999977</v>
      </c>
      <c r="L43" s="1908">
        <f t="shared" si="9"/>
        <v>76.0539858275</v>
      </c>
      <c r="N43" s="1852">
        <v>13</v>
      </c>
      <c r="O43" s="1905">
        <f t="shared" si="10"/>
        <v>116.97502399999996</v>
      </c>
      <c r="P43" s="1853">
        <f t="shared" si="11"/>
        <v>100</v>
      </c>
      <c r="R43" s="1852">
        <v>5.3</v>
      </c>
      <c r="S43" s="1905">
        <f t="shared" si="12"/>
        <v>126</v>
      </c>
      <c r="T43" s="1905">
        <f t="shared" si="13"/>
        <v>152.5</v>
      </c>
    </row>
    <row r="44" spans="1:20">
      <c r="A44" s="1907">
        <v>34</v>
      </c>
      <c r="B44" s="1908">
        <f t="shared" si="1"/>
        <v>105.50557557650001</v>
      </c>
      <c r="C44" s="1908"/>
      <c r="D44" s="1908">
        <f t="shared" si="2"/>
        <v>116.00375639450002</v>
      </c>
      <c r="E44" s="1908">
        <f t="shared" si="3"/>
        <v>121.00743410200002</v>
      </c>
      <c r="F44" s="1908"/>
      <c r="G44" s="1908">
        <f t="shared" si="4"/>
        <v>103.09312800000001</v>
      </c>
      <c r="H44" s="1908">
        <f t="shared" si="5"/>
        <v>83.359499999999997</v>
      </c>
      <c r="I44" s="1847">
        <f t="shared" si="6"/>
        <v>78.373047779999993</v>
      </c>
      <c r="J44" s="1908">
        <f t="shared" si="7"/>
        <v>83.730738364499985</v>
      </c>
      <c r="K44" s="1908">
        <f t="shared" si="8"/>
        <v>96.960813899999977</v>
      </c>
      <c r="L44" s="1908">
        <f t="shared" si="9"/>
        <v>77.5539858275</v>
      </c>
      <c r="N44" s="1852">
        <v>14</v>
      </c>
      <c r="O44" s="1905">
        <f t="shared" si="10"/>
        <v>118.97502399999996</v>
      </c>
      <c r="P44" s="1853">
        <f t="shared" si="11"/>
        <v>102</v>
      </c>
      <c r="R44" s="1906">
        <v>5.4</v>
      </c>
      <c r="S44" s="1905">
        <f t="shared" si="12"/>
        <v>128</v>
      </c>
      <c r="T44" s="1905">
        <f t="shared" si="13"/>
        <v>155</v>
      </c>
    </row>
    <row r="45" spans="1:20">
      <c r="A45" s="1907">
        <v>35</v>
      </c>
      <c r="B45" s="1908">
        <f t="shared" si="1"/>
        <v>107.00557557650001</v>
      </c>
      <c r="C45" s="1908"/>
      <c r="D45" s="1908">
        <f t="shared" si="2"/>
        <v>117.50375639450002</v>
      </c>
      <c r="E45" s="1908">
        <f t="shared" si="3"/>
        <v>123.00743410200002</v>
      </c>
      <c r="F45" s="1908"/>
      <c r="G45" s="1908">
        <f t="shared" si="4"/>
        <v>104.59312800000001</v>
      </c>
      <c r="H45" s="1908">
        <f t="shared" si="5"/>
        <v>84.859499999999997</v>
      </c>
      <c r="I45" s="1847">
        <f t="shared" si="6"/>
        <v>79.873047779999993</v>
      </c>
      <c r="J45" s="1908">
        <f t="shared" si="7"/>
        <v>85.230738364499985</v>
      </c>
      <c r="K45" s="1908">
        <f t="shared" si="8"/>
        <v>98.460813899999977</v>
      </c>
      <c r="L45" s="1908">
        <f t="shared" si="9"/>
        <v>79.0539858275</v>
      </c>
      <c r="N45" s="1852">
        <v>15</v>
      </c>
      <c r="O45" s="1905">
        <f t="shared" si="10"/>
        <v>120.97502399999996</v>
      </c>
      <c r="P45" s="1853">
        <f t="shared" si="11"/>
        <v>104</v>
      </c>
      <c r="R45" s="1852">
        <v>5.5</v>
      </c>
      <c r="S45" s="1905">
        <f t="shared" si="12"/>
        <v>130</v>
      </c>
      <c r="T45" s="1905">
        <f t="shared" si="13"/>
        <v>157.5</v>
      </c>
    </row>
    <row r="46" spans="1:20">
      <c r="A46" s="1907">
        <v>36</v>
      </c>
      <c r="B46" s="1908">
        <f t="shared" si="1"/>
        <v>108.50557557650001</v>
      </c>
      <c r="C46" s="1908"/>
      <c r="D46" s="1908">
        <f t="shared" si="2"/>
        <v>119.00375639450002</v>
      </c>
      <c r="E46" s="1908">
        <f t="shared" si="3"/>
        <v>125.00743410200002</v>
      </c>
      <c r="F46" s="1908"/>
      <c r="G46" s="1908">
        <f t="shared" si="4"/>
        <v>106.09312800000001</v>
      </c>
      <c r="H46" s="1908">
        <f t="shared" si="5"/>
        <v>86.359499999999997</v>
      </c>
      <c r="I46" s="1847">
        <f t="shared" si="6"/>
        <v>81.373047779999993</v>
      </c>
      <c r="J46" s="1908">
        <f t="shared" si="7"/>
        <v>86.730738364499985</v>
      </c>
      <c r="K46" s="1908">
        <f t="shared" si="8"/>
        <v>99.960813899999977</v>
      </c>
      <c r="L46" s="1908">
        <f t="shared" si="9"/>
        <v>80.5539858275</v>
      </c>
      <c r="N46" s="1852">
        <v>16</v>
      </c>
      <c r="O46" s="1905">
        <f t="shared" si="10"/>
        <v>122.97502399999996</v>
      </c>
      <c r="P46" s="1853">
        <f t="shared" si="11"/>
        <v>106</v>
      </c>
      <c r="R46" s="1906">
        <v>5.6</v>
      </c>
      <c r="S46" s="1905">
        <f t="shared" si="12"/>
        <v>132</v>
      </c>
      <c r="T46" s="1905">
        <f t="shared" si="13"/>
        <v>160</v>
      </c>
    </row>
    <row r="47" spans="1:20">
      <c r="A47" s="1907">
        <v>37</v>
      </c>
      <c r="B47" s="1908">
        <f t="shared" si="1"/>
        <v>110.00557557650001</v>
      </c>
      <c r="C47" s="1908"/>
      <c r="D47" s="1908">
        <f t="shared" si="2"/>
        <v>120.50375639450002</v>
      </c>
      <c r="E47" s="1908">
        <f t="shared" si="3"/>
        <v>127.00743410200002</v>
      </c>
      <c r="F47" s="1908"/>
      <c r="G47" s="1908">
        <f t="shared" si="4"/>
        <v>107.59312800000001</v>
      </c>
      <c r="H47" s="1908">
        <f t="shared" si="5"/>
        <v>87.859499999999997</v>
      </c>
      <c r="I47" s="1847">
        <f t="shared" si="6"/>
        <v>82.873047779999993</v>
      </c>
      <c r="J47" s="1908">
        <f t="shared" si="7"/>
        <v>88.230738364499985</v>
      </c>
      <c r="K47" s="1908">
        <f t="shared" si="8"/>
        <v>101.46081389999998</v>
      </c>
      <c r="L47" s="1908">
        <f t="shared" si="9"/>
        <v>82.0539858275</v>
      </c>
      <c r="N47" s="1852">
        <v>17</v>
      </c>
      <c r="O47" s="1905">
        <f t="shared" si="10"/>
        <v>124.97502399999996</v>
      </c>
      <c r="P47" s="1853">
        <f t="shared" si="11"/>
        <v>108</v>
      </c>
      <c r="R47" s="1852">
        <v>5.7</v>
      </c>
      <c r="S47" s="1905">
        <f t="shared" si="12"/>
        <v>134</v>
      </c>
      <c r="T47" s="1905">
        <f t="shared" si="13"/>
        <v>162.5</v>
      </c>
    </row>
    <row r="48" spans="1:20">
      <c r="A48" s="1907">
        <v>38</v>
      </c>
      <c r="B48" s="1908">
        <f t="shared" si="1"/>
        <v>111.50557557650001</v>
      </c>
      <c r="C48" s="1908"/>
      <c r="D48" s="1908">
        <f t="shared" si="2"/>
        <v>122.00375639450002</v>
      </c>
      <c r="E48" s="1908">
        <f t="shared" si="3"/>
        <v>129.00743410200002</v>
      </c>
      <c r="F48" s="1908"/>
      <c r="G48" s="1908">
        <f t="shared" si="4"/>
        <v>109.09312800000001</v>
      </c>
      <c r="H48" s="1908">
        <f t="shared" si="5"/>
        <v>89.359499999999997</v>
      </c>
      <c r="I48" s="1847">
        <f t="shared" si="6"/>
        <v>84.373047779999993</v>
      </c>
      <c r="J48" s="1908">
        <f t="shared" si="7"/>
        <v>89.730738364499985</v>
      </c>
      <c r="K48" s="1908">
        <f t="shared" si="8"/>
        <v>102.96081389999998</v>
      </c>
      <c r="L48" s="1908">
        <f t="shared" si="9"/>
        <v>83.5539858275</v>
      </c>
      <c r="N48" s="1852">
        <v>18</v>
      </c>
      <c r="O48" s="1905">
        <f t="shared" si="10"/>
        <v>126.97502399999996</v>
      </c>
      <c r="P48" s="1853">
        <f t="shared" si="11"/>
        <v>110</v>
      </c>
      <c r="R48" s="1906">
        <v>5.8</v>
      </c>
      <c r="S48" s="1905">
        <f t="shared" si="12"/>
        <v>136</v>
      </c>
      <c r="T48" s="1905">
        <f t="shared" si="13"/>
        <v>165</v>
      </c>
    </row>
    <row r="49" spans="1:20">
      <c r="A49" s="1907">
        <v>39</v>
      </c>
      <c r="B49" s="1908">
        <f t="shared" si="1"/>
        <v>113.00557557650001</v>
      </c>
      <c r="C49" s="1908"/>
      <c r="D49" s="1908">
        <f t="shared" si="2"/>
        <v>123.50375639450002</v>
      </c>
      <c r="E49" s="1908">
        <f t="shared" si="3"/>
        <v>131.00743410200002</v>
      </c>
      <c r="F49" s="1908"/>
      <c r="G49" s="1908">
        <f t="shared" si="4"/>
        <v>110.59312800000001</v>
      </c>
      <c r="H49" s="1908">
        <f t="shared" si="5"/>
        <v>90.859499999999997</v>
      </c>
      <c r="I49" s="1847">
        <f t="shared" si="6"/>
        <v>85.873047779999993</v>
      </c>
      <c r="J49" s="1908">
        <f t="shared" si="7"/>
        <v>91.230738364499985</v>
      </c>
      <c r="K49" s="1908">
        <f t="shared" si="8"/>
        <v>104.46081389999998</v>
      </c>
      <c r="L49" s="1908">
        <f t="shared" si="9"/>
        <v>85.0539858275</v>
      </c>
      <c r="N49" s="1852">
        <v>19</v>
      </c>
      <c r="O49" s="1905">
        <f t="shared" si="10"/>
        <v>128.97502399999996</v>
      </c>
      <c r="P49" s="1853">
        <f>P50-M$28</f>
        <v>112</v>
      </c>
      <c r="R49" s="1906">
        <v>5.9</v>
      </c>
      <c r="S49" s="1905">
        <f t="shared" si="12"/>
        <v>138</v>
      </c>
      <c r="T49" s="1905">
        <f t="shared" si="13"/>
        <v>167.5</v>
      </c>
    </row>
    <row r="50" spans="1:20">
      <c r="A50" s="1907">
        <v>40</v>
      </c>
      <c r="B50" s="1908">
        <f t="shared" si="1"/>
        <v>114.50557557650001</v>
      </c>
      <c r="C50" s="1908"/>
      <c r="D50" s="1908">
        <f t="shared" si="2"/>
        <v>125.00375639450002</v>
      </c>
      <c r="E50" s="1908">
        <f t="shared" si="3"/>
        <v>133.00743410200002</v>
      </c>
      <c r="F50" s="1908"/>
      <c r="G50" s="1908">
        <f t="shared" si="4"/>
        <v>112.09312800000001</v>
      </c>
      <c r="H50" s="1908">
        <f t="shared" si="5"/>
        <v>92.359499999999997</v>
      </c>
      <c r="I50" s="1847">
        <f t="shared" si="6"/>
        <v>87.373047779999993</v>
      </c>
      <c r="J50" s="1908">
        <f t="shared" si="7"/>
        <v>92.730738364499985</v>
      </c>
      <c r="K50" s="1908">
        <f t="shared" si="8"/>
        <v>105.96081389999998</v>
      </c>
      <c r="L50" s="1908">
        <f t="shared" si="9"/>
        <v>86.5539858275</v>
      </c>
      <c r="N50" s="1909">
        <v>20</v>
      </c>
      <c r="O50" s="1905">
        <f t="shared" si="10"/>
        <v>130.97502399999996</v>
      </c>
      <c r="P50" s="1910">
        <v>114</v>
      </c>
      <c r="R50" s="1906">
        <v>6</v>
      </c>
      <c r="S50" s="1905">
        <f t="shared" si="12"/>
        <v>140</v>
      </c>
      <c r="T50" s="1905">
        <f t="shared" si="13"/>
        <v>170</v>
      </c>
    </row>
    <row r="51" spans="1:20">
      <c r="A51" s="1907">
        <v>41</v>
      </c>
      <c r="B51" s="1908">
        <f t="shared" si="1"/>
        <v>116.00557557650001</v>
      </c>
      <c r="C51" s="1908"/>
      <c r="D51" s="1908">
        <f t="shared" si="2"/>
        <v>126.50375639450002</v>
      </c>
      <c r="E51" s="1908">
        <f t="shared" si="3"/>
        <v>135.00743410200002</v>
      </c>
      <c r="F51" s="1908"/>
      <c r="G51" s="1908">
        <f t="shared" si="4"/>
        <v>113.59312800000001</v>
      </c>
      <c r="H51" s="1908">
        <f t="shared" si="5"/>
        <v>93.859499999999997</v>
      </c>
      <c r="I51" s="1847">
        <f t="shared" si="6"/>
        <v>88.873047779999993</v>
      </c>
      <c r="J51" s="1908">
        <f t="shared" si="7"/>
        <v>94.230738364499985</v>
      </c>
      <c r="K51" s="1908">
        <f t="shared" si="8"/>
        <v>107.46081389999998</v>
      </c>
      <c r="L51" s="1908">
        <f t="shared" si="9"/>
        <v>88.0539858275</v>
      </c>
      <c r="N51" s="1852">
        <v>21</v>
      </c>
      <c r="O51" s="1905">
        <f t="shared" si="10"/>
        <v>132.97502399999996</v>
      </c>
      <c r="P51" s="1905">
        <f>P50+N$28</f>
        <v>115.5</v>
      </c>
      <c r="R51" s="1906">
        <v>6.1</v>
      </c>
      <c r="S51" s="1905">
        <f t="shared" si="12"/>
        <v>142</v>
      </c>
      <c r="T51" s="1905">
        <f t="shared" si="13"/>
        <v>172.5</v>
      </c>
    </row>
    <row r="52" spans="1:20">
      <c r="A52" s="1907">
        <v>42</v>
      </c>
      <c r="B52" s="1908">
        <f t="shared" si="1"/>
        <v>117.50557557650001</v>
      </c>
      <c r="C52" s="1908"/>
      <c r="D52" s="1908">
        <f t="shared" si="2"/>
        <v>128.00375639450002</v>
      </c>
      <c r="E52" s="1908">
        <f t="shared" si="3"/>
        <v>137.00743410200002</v>
      </c>
      <c r="F52" s="1908"/>
      <c r="G52" s="1908">
        <f t="shared" si="4"/>
        <v>115.09312800000001</v>
      </c>
      <c r="H52" s="1908">
        <f t="shared" si="5"/>
        <v>95.359499999999997</v>
      </c>
      <c r="I52" s="1847">
        <f t="shared" si="6"/>
        <v>90.373047779999993</v>
      </c>
      <c r="J52" s="1908">
        <f t="shared" si="7"/>
        <v>95.730738364499985</v>
      </c>
      <c r="K52" s="1908">
        <f t="shared" si="8"/>
        <v>108.96081389999998</v>
      </c>
      <c r="L52" s="1908">
        <f t="shared" si="9"/>
        <v>89.5539858275</v>
      </c>
      <c r="N52" s="1852">
        <v>22</v>
      </c>
      <c r="O52" s="1905">
        <f t="shared" si="10"/>
        <v>134.97502399999996</v>
      </c>
      <c r="P52" s="1905">
        <f t="shared" ref="P52:P90" si="14">P51+N$28</f>
        <v>117</v>
      </c>
      <c r="R52" s="1852">
        <v>6.2</v>
      </c>
      <c r="S52" s="1905">
        <f t="shared" si="12"/>
        <v>144</v>
      </c>
      <c r="T52" s="1905">
        <f t="shared" si="13"/>
        <v>175</v>
      </c>
    </row>
    <row r="53" spans="1:20">
      <c r="A53" s="1907">
        <v>43</v>
      </c>
      <c r="B53" s="1908">
        <f t="shared" si="1"/>
        <v>119.00557557650001</v>
      </c>
      <c r="C53" s="1908"/>
      <c r="D53" s="1908">
        <f t="shared" si="2"/>
        <v>129.50375639450002</v>
      </c>
      <c r="E53" s="1908">
        <f t="shared" si="3"/>
        <v>139.00743410200002</v>
      </c>
      <c r="F53" s="1908"/>
      <c r="G53" s="1908">
        <f t="shared" si="4"/>
        <v>116.59312800000001</v>
      </c>
      <c r="H53" s="1908">
        <f t="shared" si="5"/>
        <v>96.859499999999997</v>
      </c>
      <c r="I53" s="1847">
        <f t="shared" si="6"/>
        <v>91.873047779999993</v>
      </c>
      <c r="J53" s="1908">
        <f t="shared" si="7"/>
        <v>97.230738364499985</v>
      </c>
      <c r="K53" s="1908">
        <f t="shared" si="8"/>
        <v>110.46081389999998</v>
      </c>
      <c r="L53" s="1908">
        <f t="shared" si="9"/>
        <v>91.0539858275</v>
      </c>
      <c r="N53" s="1852">
        <v>23</v>
      </c>
      <c r="O53" s="1905">
        <f t="shared" si="10"/>
        <v>136.97502399999996</v>
      </c>
      <c r="P53" s="1905">
        <f t="shared" si="14"/>
        <v>118.5</v>
      </c>
      <c r="R53" s="1906">
        <v>6.3</v>
      </c>
      <c r="S53" s="1905">
        <f t="shared" si="12"/>
        <v>146</v>
      </c>
      <c r="T53" s="1905">
        <f t="shared" si="13"/>
        <v>177.5</v>
      </c>
    </row>
    <row r="54" spans="1:20">
      <c r="A54" s="1907">
        <v>44</v>
      </c>
      <c r="B54" s="1908">
        <f t="shared" si="1"/>
        <v>120.50557557650001</v>
      </c>
      <c r="C54" s="1908"/>
      <c r="D54" s="1908">
        <f t="shared" si="2"/>
        <v>131.00375639450002</v>
      </c>
      <c r="E54" s="1908">
        <f t="shared" si="3"/>
        <v>141.00743410200002</v>
      </c>
      <c r="F54" s="1908"/>
      <c r="G54" s="1908">
        <f t="shared" si="4"/>
        <v>118.09312800000001</v>
      </c>
      <c r="H54" s="1908">
        <f t="shared" si="5"/>
        <v>98.359499999999997</v>
      </c>
      <c r="I54" s="1847">
        <f t="shared" si="6"/>
        <v>93.373047779999993</v>
      </c>
      <c r="J54" s="1908">
        <f t="shared" si="7"/>
        <v>98.730738364499985</v>
      </c>
      <c r="K54" s="1908">
        <f t="shared" si="8"/>
        <v>111.96081389999998</v>
      </c>
      <c r="L54" s="1908">
        <f t="shared" si="9"/>
        <v>92.5539858275</v>
      </c>
      <c r="N54" s="1852">
        <v>24</v>
      </c>
      <c r="O54" s="1905">
        <f t="shared" si="10"/>
        <v>138.97502399999996</v>
      </c>
      <c r="P54" s="1905">
        <f t="shared" si="14"/>
        <v>120</v>
      </c>
      <c r="R54" s="1852">
        <v>6.4</v>
      </c>
      <c r="S54" s="1905">
        <f t="shared" si="12"/>
        <v>148</v>
      </c>
      <c r="T54" s="1905">
        <f t="shared" si="13"/>
        <v>180</v>
      </c>
    </row>
    <row r="55" spans="1:20">
      <c r="A55" s="1907">
        <v>45</v>
      </c>
      <c r="B55" s="1908">
        <f t="shared" si="1"/>
        <v>122.00557557650001</v>
      </c>
      <c r="C55" s="1908"/>
      <c r="D55" s="1908">
        <f t="shared" si="2"/>
        <v>132.50375639450002</v>
      </c>
      <c r="E55" s="1908">
        <f t="shared" si="3"/>
        <v>143.00743410200002</v>
      </c>
      <c r="F55" s="1908"/>
      <c r="G55" s="1908">
        <f t="shared" si="4"/>
        <v>119.59312800000001</v>
      </c>
      <c r="H55" s="1908">
        <f t="shared" si="5"/>
        <v>99.859499999999997</v>
      </c>
      <c r="I55" s="1847">
        <f t="shared" si="6"/>
        <v>94.873047779999993</v>
      </c>
      <c r="J55" s="1908">
        <f t="shared" si="7"/>
        <v>100.23073836449998</v>
      </c>
      <c r="K55" s="1908">
        <f t="shared" si="8"/>
        <v>113.46081389999998</v>
      </c>
      <c r="L55" s="1908">
        <f t="shared" si="9"/>
        <v>94.0539858275</v>
      </c>
      <c r="N55" s="1852">
        <v>25</v>
      </c>
      <c r="O55" s="1905">
        <f t="shared" si="10"/>
        <v>140.97502399999996</v>
      </c>
      <c r="P55" s="1905">
        <f t="shared" si="14"/>
        <v>121.5</v>
      </c>
      <c r="R55" s="1906">
        <v>6.4999999999999902</v>
      </c>
      <c r="S55" s="1905">
        <f t="shared" si="12"/>
        <v>150</v>
      </c>
      <c r="T55" s="1905">
        <f t="shared" si="13"/>
        <v>182.5</v>
      </c>
    </row>
    <row r="56" spans="1:20">
      <c r="A56" s="1907">
        <v>46</v>
      </c>
      <c r="B56" s="1908">
        <f t="shared" si="1"/>
        <v>123.50557557650001</v>
      </c>
      <c r="C56" s="1908"/>
      <c r="D56" s="1908">
        <f t="shared" si="2"/>
        <v>134.00375639450002</v>
      </c>
      <c r="E56" s="1908">
        <f t="shared" si="3"/>
        <v>145.00743410200002</v>
      </c>
      <c r="F56" s="1908"/>
      <c r="G56" s="1908">
        <f t="shared" si="4"/>
        <v>121.09312800000001</v>
      </c>
      <c r="H56" s="1908">
        <f t="shared" si="5"/>
        <v>101.3595</v>
      </c>
      <c r="I56" s="1847">
        <f t="shared" si="6"/>
        <v>96.373047779999993</v>
      </c>
      <c r="J56" s="1908">
        <f t="shared" si="7"/>
        <v>101.73073836449998</v>
      </c>
      <c r="K56" s="1908">
        <f t="shared" si="8"/>
        <v>114.96081389999998</v>
      </c>
      <c r="L56" s="1908">
        <f t="shared" si="9"/>
        <v>95.5539858275</v>
      </c>
      <c r="N56" s="1852">
        <v>26</v>
      </c>
      <c r="O56" s="1905">
        <f t="shared" si="10"/>
        <v>142.97502399999996</v>
      </c>
      <c r="P56" s="1905">
        <f t="shared" si="14"/>
        <v>123</v>
      </c>
      <c r="R56" s="1852">
        <v>6.5999999999999899</v>
      </c>
      <c r="S56" s="1905">
        <f t="shared" si="12"/>
        <v>152</v>
      </c>
      <c r="T56" s="1905">
        <f t="shared" si="13"/>
        <v>185</v>
      </c>
    </row>
    <row r="57" spans="1:20">
      <c r="A57" s="1907">
        <v>47</v>
      </c>
      <c r="B57" s="1908">
        <f t="shared" si="1"/>
        <v>125.00557557650001</v>
      </c>
      <c r="C57" s="1908"/>
      <c r="D57" s="1908">
        <f t="shared" si="2"/>
        <v>135.50375639450002</v>
      </c>
      <c r="E57" s="1908">
        <f t="shared" si="3"/>
        <v>147.00743410200002</v>
      </c>
      <c r="F57" s="1908"/>
      <c r="G57" s="1908">
        <f t="shared" si="4"/>
        <v>122.59312800000001</v>
      </c>
      <c r="H57" s="1908">
        <f t="shared" si="5"/>
        <v>102.8595</v>
      </c>
      <c r="I57" s="1847">
        <f t="shared" si="6"/>
        <v>97.873047779999993</v>
      </c>
      <c r="J57" s="1908">
        <f t="shared" si="7"/>
        <v>103.23073836449998</v>
      </c>
      <c r="K57" s="1908">
        <f t="shared" si="8"/>
        <v>116.46081389999998</v>
      </c>
      <c r="L57" s="1908">
        <f t="shared" si="9"/>
        <v>97.0539858275</v>
      </c>
      <c r="N57" s="1852">
        <v>27</v>
      </c>
      <c r="O57" s="1905">
        <f t="shared" si="10"/>
        <v>144.97502399999996</v>
      </c>
      <c r="P57" s="1905">
        <f t="shared" si="14"/>
        <v>124.5</v>
      </c>
      <c r="R57" s="1906">
        <v>6.6999999999999904</v>
      </c>
      <c r="S57" s="1905">
        <f t="shared" si="12"/>
        <v>154</v>
      </c>
      <c r="T57" s="1905">
        <f t="shared" si="13"/>
        <v>187.5</v>
      </c>
    </row>
    <row r="58" spans="1:20">
      <c r="A58" s="1907">
        <v>48</v>
      </c>
      <c r="B58" s="1908">
        <f t="shared" si="1"/>
        <v>126.50557557650001</v>
      </c>
      <c r="C58" s="1908"/>
      <c r="D58" s="1908">
        <f t="shared" si="2"/>
        <v>137.00375639450002</v>
      </c>
      <c r="E58" s="1908">
        <f t="shared" si="3"/>
        <v>149.00743410200002</v>
      </c>
      <c r="F58" s="1908"/>
      <c r="G58" s="1908">
        <f t="shared" si="4"/>
        <v>124.09312800000001</v>
      </c>
      <c r="H58" s="1908">
        <f t="shared" si="5"/>
        <v>104.3595</v>
      </c>
      <c r="I58" s="1847">
        <f t="shared" si="6"/>
        <v>99.373047779999993</v>
      </c>
      <c r="J58" s="1908">
        <f t="shared" si="7"/>
        <v>104.73073836449998</v>
      </c>
      <c r="K58" s="1908">
        <f t="shared" si="8"/>
        <v>117.96081389999998</v>
      </c>
      <c r="L58" s="1908">
        <f t="shared" si="9"/>
        <v>98.5539858275</v>
      </c>
      <c r="N58" s="1852">
        <v>28</v>
      </c>
      <c r="O58" s="1905">
        <f t="shared" si="10"/>
        <v>146.97502399999996</v>
      </c>
      <c r="P58" s="1905">
        <f t="shared" si="14"/>
        <v>126</v>
      </c>
      <c r="R58" s="1906">
        <v>6.7999999999999901</v>
      </c>
      <c r="S58" s="1905">
        <f t="shared" si="12"/>
        <v>156</v>
      </c>
      <c r="T58" s="1905">
        <f>T59-N$33/10</f>
        <v>190</v>
      </c>
    </row>
    <row r="59" spans="1:20">
      <c r="A59" s="1907">
        <v>49</v>
      </c>
      <c r="B59" s="1908">
        <f t="shared" si="1"/>
        <v>128.00557557650001</v>
      </c>
      <c r="C59" s="1908"/>
      <c r="D59" s="1908">
        <f t="shared" si="2"/>
        <v>138.50375639450002</v>
      </c>
      <c r="E59" s="1908">
        <f t="shared" si="3"/>
        <v>151.00743410200002</v>
      </c>
      <c r="F59" s="1908"/>
      <c r="G59" s="1908">
        <f t="shared" si="4"/>
        <v>125.59312800000001</v>
      </c>
      <c r="H59" s="1908">
        <f t="shared" si="5"/>
        <v>105.8595</v>
      </c>
      <c r="I59" s="1847">
        <f t="shared" si="6"/>
        <v>100.87304777999999</v>
      </c>
      <c r="J59" s="1908">
        <f t="shared" si="7"/>
        <v>106.23073836449998</v>
      </c>
      <c r="K59" s="1908">
        <f t="shared" si="8"/>
        <v>119.46081389999998</v>
      </c>
      <c r="L59" s="1908">
        <f t="shared" si="9"/>
        <v>100.0539858275</v>
      </c>
      <c r="N59" s="1852">
        <v>29</v>
      </c>
      <c r="O59" s="1905">
        <f>O60-M$26</f>
        <v>148.97502399999996</v>
      </c>
      <c r="P59" s="1905">
        <f t="shared" si="14"/>
        <v>127.5</v>
      </c>
      <c r="R59" s="1852">
        <v>6.8999999999999897</v>
      </c>
      <c r="S59" s="1905">
        <f>S60-M$31/10</f>
        <v>158</v>
      </c>
      <c r="T59" s="1905">
        <f>T60-N$33/10</f>
        <v>192.5</v>
      </c>
    </row>
    <row r="60" spans="1:20">
      <c r="A60" s="1907">
        <v>50</v>
      </c>
      <c r="B60" s="1908">
        <f t="shared" si="1"/>
        <v>129.50557557650001</v>
      </c>
      <c r="C60" s="1908"/>
      <c r="D60" s="1908">
        <f t="shared" si="2"/>
        <v>140.00375639450002</v>
      </c>
      <c r="E60" s="1908">
        <f t="shared" si="3"/>
        <v>153.00743410200002</v>
      </c>
      <c r="F60" s="1908"/>
      <c r="G60" s="1911">
        <f t="shared" si="4"/>
        <v>127.09312800000001</v>
      </c>
      <c r="H60" s="1908">
        <f t="shared" si="5"/>
        <v>107.3595</v>
      </c>
      <c r="I60" s="1847">
        <f t="shared" si="6"/>
        <v>102.37304777999999</v>
      </c>
      <c r="J60" s="1908">
        <f t="shared" si="7"/>
        <v>107.73073836449998</v>
      </c>
      <c r="K60" s="1911">
        <f t="shared" si="8"/>
        <v>120.96081389999998</v>
      </c>
      <c r="L60" s="1908">
        <f t="shared" si="9"/>
        <v>101.5539858275</v>
      </c>
      <c r="N60" s="1909">
        <v>30</v>
      </c>
      <c r="O60" s="1912">
        <f>L26</f>
        <v>150.97502399999996</v>
      </c>
      <c r="P60" s="1905">
        <f t="shared" si="14"/>
        <v>129</v>
      </c>
      <c r="R60" s="1913">
        <v>6.9999999999999902</v>
      </c>
      <c r="S60" s="1912">
        <f>L31</f>
        <v>160</v>
      </c>
      <c r="T60" s="1912">
        <f>L33</f>
        <v>195</v>
      </c>
    </row>
    <row r="61" spans="1:20">
      <c r="A61" s="1907">
        <v>51</v>
      </c>
      <c r="B61" s="1908">
        <f t="shared" si="1"/>
        <v>131.00557557650001</v>
      </c>
      <c r="C61" s="1908"/>
      <c r="D61" s="1908">
        <f t="shared" si="2"/>
        <v>141.50375639450002</v>
      </c>
      <c r="E61" s="1908">
        <f t="shared" si="3"/>
        <v>155.00743410200002</v>
      </c>
      <c r="F61" s="1908"/>
      <c r="G61" s="1908">
        <f t="shared" si="4"/>
        <v>128.59312800000001</v>
      </c>
      <c r="H61" s="1908">
        <f t="shared" si="5"/>
        <v>108.8595</v>
      </c>
      <c r="I61" s="1847">
        <f t="shared" si="6"/>
        <v>103.87304777999999</v>
      </c>
      <c r="J61" s="1908">
        <f t="shared" si="7"/>
        <v>109.23073836449998</v>
      </c>
      <c r="K61" s="1908">
        <f t="shared" si="8"/>
        <v>122.46081389999998</v>
      </c>
      <c r="L61" s="1908">
        <f t="shared" si="9"/>
        <v>103.0539858275</v>
      </c>
      <c r="N61" s="1852">
        <v>31</v>
      </c>
      <c r="O61" s="1905">
        <f>O60+N$26</f>
        <v>152.47502399999996</v>
      </c>
      <c r="P61" s="1905">
        <f t="shared" si="14"/>
        <v>130.5</v>
      </c>
      <c r="R61" s="1852">
        <v>7.0999999999999899</v>
      </c>
      <c r="S61" s="1905">
        <f>S60+N$31/10</f>
        <v>162</v>
      </c>
      <c r="T61" s="1905">
        <f t="shared" ref="T61:T69" si="15">T60+N$33/10</f>
        <v>197.5</v>
      </c>
    </row>
    <row r="62" spans="1:20">
      <c r="A62" s="1907">
        <v>52</v>
      </c>
      <c r="B62" s="1908">
        <f t="shared" si="1"/>
        <v>132.50557557650001</v>
      </c>
      <c r="C62" s="1908"/>
      <c r="D62" s="1908">
        <f t="shared" si="2"/>
        <v>143.00375639450002</v>
      </c>
      <c r="E62" s="1908">
        <f t="shared" si="3"/>
        <v>157.00743410200002</v>
      </c>
      <c r="F62" s="1908"/>
      <c r="G62" s="1908">
        <f t="shared" si="4"/>
        <v>130.09312800000001</v>
      </c>
      <c r="H62" s="1908">
        <f t="shared" si="5"/>
        <v>110.3595</v>
      </c>
      <c r="I62" s="1847">
        <f t="shared" si="6"/>
        <v>105.37304777999999</v>
      </c>
      <c r="J62" s="1908">
        <f t="shared" si="7"/>
        <v>110.73073836449998</v>
      </c>
      <c r="K62" s="1908">
        <f t="shared" si="8"/>
        <v>123.96081389999998</v>
      </c>
      <c r="L62" s="1908">
        <f t="shared" si="9"/>
        <v>104.5539858275</v>
      </c>
      <c r="N62" s="1852">
        <v>32</v>
      </c>
      <c r="O62" s="1905">
        <f t="shared" ref="O62:O90" si="16">O61+N$26</f>
        <v>153.97502399999996</v>
      </c>
      <c r="P62" s="1905">
        <f t="shared" si="14"/>
        <v>132</v>
      </c>
      <c r="R62" s="1906">
        <v>7.1999999999999904</v>
      </c>
      <c r="S62" s="1905">
        <f t="shared" ref="S62:S110" si="17">S61+N$31/10</f>
        <v>164</v>
      </c>
      <c r="T62" s="1905">
        <f t="shared" si="15"/>
        <v>200</v>
      </c>
    </row>
    <row r="63" spans="1:20">
      <c r="A63" s="1907">
        <v>53</v>
      </c>
      <c r="B63" s="1908">
        <f t="shared" si="1"/>
        <v>134.00557557650001</v>
      </c>
      <c r="C63" s="1908"/>
      <c r="D63" s="1908">
        <f t="shared" si="2"/>
        <v>144.50375639450002</v>
      </c>
      <c r="E63" s="1908">
        <f t="shared" si="3"/>
        <v>159.00743410200002</v>
      </c>
      <c r="F63" s="1908"/>
      <c r="G63" s="1908">
        <f t="shared" si="4"/>
        <v>131.59312800000001</v>
      </c>
      <c r="H63" s="1908">
        <f t="shared" si="5"/>
        <v>111.8595</v>
      </c>
      <c r="I63" s="1847">
        <f t="shared" si="6"/>
        <v>106.87304777999999</v>
      </c>
      <c r="J63" s="1908">
        <f t="shared" si="7"/>
        <v>112.23073836449998</v>
      </c>
      <c r="K63" s="1908">
        <f t="shared" si="8"/>
        <v>125.46081389999998</v>
      </c>
      <c r="L63" s="1908">
        <f t="shared" si="9"/>
        <v>106.0539858275</v>
      </c>
      <c r="N63" s="1852">
        <v>33</v>
      </c>
      <c r="O63" s="1905">
        <f t="shared" si="16"/>
        <v>155.47502399999996</v>
      </c>
      <c r="P63" s="1905">
        <f t="shared" si="14"/>
        <v>133.5</v>
      </c>
      <c r="R63" s="1852">
        <v>7.2999999999999901</v>
      </c>
      <c r="S63" s="1905">
        <f t="shared" si="17"/>
        <v>166</v>
      </c>
      <c r="T63" s="1905">
        <f t="shared" si="15"/>
        <v>202.5</v>
      </c>
    </row>
    <row r="64" spans="1:20">
      <c r="A64" s="1907">
        <v>54</v>
      </c>
      <c r="B64" s="1908">
        <f t="shared" si="1"/>
        <v>135.50557557650001</v>
      </c>
      <c r="C64" s="1908"/>
      <c r="D64" s="1908">
        <f t="shared" si="2"/>
        <v>146.00375639450002</v>
      </c>
      <c r="E64" s="1908">
        <f t="shared" si="3"/>
        <v>161.00743410200002</v>
      </c>
      <c r="F64" s="1908"/>
      <c r="G64" s="1908">
        <f t="shared" si="4"/>
        <v>133.09312800000001</v>
      </c>
      <c r="H64" s="1908">
        <f t="shared" si="5"/>
        <v>113.3595</v>
      </c>
      <c r="I64" s="1847">
        <f t="shared" si="6"/>
        <v>108.37304777999999</v>
      </c>
      <c r="J64" s="1908">
        <f t="shared" si="7"/>
        <v>113.73073836449998</v>
      </c>
      <c r="K64" s="1908">
        <f t="shared" si="8"/>
        <v>126.96081389999998</v>
      </c>
      <c r="L64" s="1908">
        <f t="shared" si="9"/>
        <v>107.5539858275</v>
      </c>
      <c r="N64" s="1852">
        <v>34</v>
      </c>
      <c r="O64" s="1905">
        <f t="shared" si="16"/>
        <v>156.97502399999996</v>
      </c>
      <c r="P64" s="1905">
        <f t="shared" si="14"/>
        <v>135</v>
      </c>
      <c r="R64" s="1906">
        <v>7.3999999999999897</v>
      </c>
      <c r="S64" s="1905">
        <f t="shared" si="17"/>
        <v>168</v>
      </c>
      <c r="T64" s="1905">
        <f t="shared" si="15"/>
        <v>205</v>
      </c>
    </row>
    <row r="65" spans="1:24">
      <c r="A65" s="1907">
        <v>55</v>
      </c>
      <c r="B65" s="1908">
        <f t="shared" si="1"/>
        <v>137.00557557650001</v>
      </c>
      <c r="C65" s="1908"/>
      <c r="D65" s="1908">
        <f t="shared" si="2"/>
        <v>147.50375639450002</v>
      </c>
      <c r="E65" s="1908">
        <f t="shared" si="3"/>
        <v>163.00743410200002</v>
      </c>
      <c r="F65" s="1908"/>
      <c r="G65" s="1908">
        <f t="shared" si="4"/>
        <v>134.59312800000001</v>
      </c>
      <c r="H65" s="1908">
        <f t="shared" si="5"/>
        <v>114.8595</v>
      </c>
      <c r="I65" s="1847">
        <f t="shared" si="6"/>
        <v>109.87304777999999</v>
      </c>
      <c r="J65" s="1908">
        <f t="shared" si="7"/>
        <v>115.23073836449998</v>
      </c>
      <c r="K65" s="1908">
        <f t="shared" si="8"/>
        <v>128.46081389999998</v>
      </c>
      <c r="L65" s="1908">
        <f t="shared" si="9"/>
        <v>109.0539858275</v>
      </c>
      <c r="N65" s="1852">
        <v>35</v>
      </c>
      <c r="O65" s="1905">
        <f t="shared" si="16"/>
        <v>158.47502399999996</v>
      </c>
      <c r="P65" s="1905">
        <f t="shared" si="14"/>
        <v>136.5</v>
      </c>
      <c r="R65" s="1852">
        <v>7.4999999999999902</v>
      </c>
      <c r="S65" s="1905">
        <f t="shared" si="17"/>
        <v>170</v>
      </c>
      <c r="T65" s="1905">
        <f t="shared" si="15"/>
        <v>207.5</v>
      </c>
    </row>
    <row r="66" spans="1:24">
      <c r="A66" s="1907">
        <v>56</v>
      </c>
      <c r="B66" s="1908">
        <f t="shared" si="1"/>
        <v>138.50557557650001</v>
      </c>
      <c r="C66" s="1908"/>
      <c r="D66" s="1908">
        <f t="shared" si="2"/>
        <v>149.00375639450002</v>
      </c>
      <c r="E66" s="1908">
        <f t="shared" si="3"/>
        <v>165.00743410200002</v>
      </c>
      <c r="F66" s="1908"/>
      <c r="G66" s="1908">
        <f t="shared" si="4"/>
        <v>136.09312800000001</v>
      </c>
      <c r="H66" s="1908">
        <f t="shared" si="5"/>
        <v>116.3595</v>
      </c>
      <c r="I66" s="1847">
        <f t="shared" si="6"/>
        <v>111.37304777999999</v>
      </c>
      <c r="J66" s="1908">
        <f t="shared" si="7"/>
        <v>116.73073836449998</v>
      </c>
      <c r="K66" s="1908">
        <f t="shared" si="8"/>
        <v>129.96081389999998</v>
      </c>
      <c r="L66" s="1908">
        <f t="shared" si="9"/>
        <v>110.5539858275</v>
      </c>
      <c r="N66" s="1852">
        <v>36</v>
      </c>
      <c r="O66" s="1905">
        <f t="shared" si="16"/>
        <v>159.97502399999996</v>
      </c>
      <c r="P66" s="1905">
        <f t="shared" si="14"/>
        <v>138</v>
      </c>
      <c r="R66" s="1906">
        <v>7.5999999999999899</v>
      </c>
      <c r="S66" s="1905">
        <f t="shared" si="17"/>
        <v>172</v>
      </c>
      <c r="T66" s="1905">
        <f t="shared" si="15"/>
        <v>210</v>
      </c>
    </row>
    <row r="67" spans="1:24">
      <c r="A67" s="1907">
        <v>57</v>
      </c>
      <c r="B67" s="1908">
        <f t="shared" si="1"/>
        <v>140.00557557650001</v>
      </c>
      <c r="C67" s="1908"/>
      <c r="D67" s="1908">
        <f t="shared" si="2"/>
        <v>150.50375639450002</v>
      </c>
      <c r="E67" s="1908">
        <f t="shared" si="3"/>
        <v>167.00743410200002</v>
      </c>
      <c r="F67" s="1908"/>
      <c r="G67" s="1908">
        <f t="shared" si="4"/>
        <v>137.59312800000001</v>
      </c>
      <c r="H67" s="1908">
        <f t="shared" si="5"/>
        <v>117.8595</v>
      </c>
      <c r="I67" s="1847">
        <f t="shared" si="6"/>
        <v>112.87304777999999</v>
      </c>
      <c r="J67" s="1908">
        <f t="shared" si="7"/>
        <v>118.23073836449998</v>
      </c>
      <c r="K67" s="1908">
        <f t="shared" si="8"/>
        <v>131.46081389999998</v>
      </c>
      <c r="L67" s="1908">
        <f t="shared" si="9"/>
        <v>112.0539858275</v>
      </c>
      <c r="N67" s="1852">
        <v>37</v>
      </c>
      <c r="O67" s="1905">
        <f t="shared" si="16"/>
        <v>161.47502399999996</v>
      </c>
      <c r="P67" s="1905">
        <f t="shared" si="14"/>
        <v>139.5</v>
      </c>
      <c r="R67" s="1906">
        <v>7.6999999999999904</v>
      </c>
      <c r="S67" s="1905">
        <f t="shared" si="17"/>
        <v>174</v>
      </c>
      <c r="T67" s="1905">
        <f t="shared" si="15"/>
        <v>212.5</v>
      </c>
    </row>
    <row r="68" spans="1:24">
      <c r="A68" s="1907">
        <v>58</v>
      </c>
      <c r="B68" s="1908">
        <f t="shared" si="1"/>
        <v>141.50557557650001</v>
      </c>
      <c r="C68" s="1908"/>
      <c r="D68" s="1908">
        <f t="shared" si="2"/>
        <v>152.00375639450002</v>
      </c>
      <c r="E68" s="1908">
        <f t="shared" si="3"/>
        <v>169.00743410200002</v>
      </c>
      <c r="F68" s="1908"/>
      <c r="G68" s="1908">
        <f t="shared" si="4"/>
        <v>139.09312800000001</v>
      </c>
      <c r="H68" s="1908">
        <f t="shared" si="5"/>
        <v>119.3595</v>
      </c>
      <c r="I68" s="1847">
        <f t="shared" si="6"/>
        <v>114.37304777999999</v>
      </c>
      <c r="J68" s="1908">
        <f t="shared" si="7"/>
        <v>119.73073836449998</v>
      </c>
      <c r="K68" s="1908">
        <f t="shared" si="8"/>
        <v>132.96081389999998</v>
      </c>
      <c r="L68" s="1908">
        <f t="shared" si="9"/>
        <v>113.5539858275</v>
      </c>
      <c r="N68" s="1852">
        <v>38</v>
      </c>
      <c r="O68" s="1905">
        <f t="shared" si="16"/>
        <v>162.97502399999996</v>
      </c>
      <c r="P68" s="1905">
        <f t="shared" si="14"/>
        <v>141</v>
      </c>
      <c r="R68" s="1852">
        <v>7.7999999999999901</v>
      </c>
      <c r="S68" s="1905">
        <f t="shared" si="17"/>
        <v>176</v>
      </c>
      <c r="T68" s="1905">
        <f t="shared" si="15"/>
        <v>215</v>
      </c>
    </row>
    <row r="69" spans="1:24">
      <c r="A69" s="1907">
        <v>59</v>
      </c>
      <c r="B69" s="1908">
        <f t="shared" si="1"/>
        <v>143.00557557650001</v>
      </c>
      <c r="C69" s="1908"/>
      <c r="D69" s="1908">
        <f t="shared" si="2"/>
        <v>153.50375639450002</v>
      </c>
      <c r="E69" s="1908">
        <f t="shared" si="3"/>
        <v>171.00743410200002</v>
      </c>
      <c r="F69" s="1908"/>
      <c r="G69" s="1908">
        <f t="shared" si="4"/>
        <v>140.59312800000001</v>
      </c>
      <c r="H69" s="1908">
        <f t="shared" si="5"/>
        <v>120.8595</v>
      </c>
      <c r="I69" s="1847">
        <f t="shared" si="6"/>
        <v>115.87304777999999</v>
      </c>
      <c r="J69" s="1908">
        <f t="shared" si="7"/>
        <v>121.23073836449998</v>
      </c>
      <c r="K69" s="1908">
        <f t="shared" si="8"/>
        <v>134.46081389999998</v>
      </c>
      <c r="L69" s="1908">
        <f t="shared" si="9"/>
        <v>115.0539858275</v>
      </c>
      <c r="N69" s="1852">
        <v>39</v>
      </c>
      <c r="O69" s="1905">
        <f t="shared" si="16"/>
        <v>164.47502399999996</v>
      </c>
      <c r="P69" s="1905">
        <f t="shared" si="14"/>
        <v>142.5</v>
      </c>
      <c r="R69" s="1906">
        <v>7.8999999999999897</v>
      </c>
      <c r="S69" s="1905">
        <f t="shared" si="17"/>
        <v>178</v>
      </c>
      <c r="T69" s="1905">
        <f t="shared" si="15"/>
        <v>217.5</v>
      </c>
    </row>
    <row r="70" spans="1:24">
      <c r="A70" s="1907">
        <v>60</v>
      </c>
      <c r="B70" s="1908">
        <f t="shared" si="1"/>
        <v>144.50557557650001</v>
      </c>
      <c r="C70" s="1908"/>
      <c r="D70" s="1908">
        <f t="shared" si="2"/>
        <v>155.00375639450002</v>
      </c>
      <c r="E70" s="1912">
        <f>L12</f>
        <v>173.00743410200002</v>
      </c>
      <c r="F70" s="1912"/>
      <c r="G70" s="1908">
        <f t="shared" si="4"/>
        <v>142.09312800000001</v>
      </c>
      <c r="H70" s="1912">
        <f>L16</f>
        <v>122.3595</v>
      </c>
      <c r="I70" s="1914">
        <f>L18</f>
        <v>117.37304777999999</v>
      </c>
      <c r="J70" s="1912">
        <f>L20</f>
        <v>122.73073836449998</v>
      </c>
      <c r="K70" s="1908">
        <f t="shared" si="8"/>
        <v>135.96081389999998</v>
      </c>
      <c r="L70" s="1912">
        <f>L24</f>
        <v>116.5539858275</v>
      </c>
      <c r="N70" s="1852">
        <v>40</v>
      </c>
      <c r="O70" s="1905">
        <f t="shared" si="16"/>
        <v>165.97502399999996</v>
      </c>
      <c r="P70" s="1905">
        <f t="shared" si="14"/>
        <v>144</v>
      </c>
      <c r="R70" s="1906">
        <v>7.9999999999999902</v>
      </c>
      <c r="S70" s="1905">
        <f t="shared" si="17"/>
        <v>180</v>
      </c>
      <c r="T70" s="1905">
        <f t="shared" ref="T70:T80" si="18">T69+V$71/10</f>
        <v>219.5</v>
      </c>
      <c r="U70" s="1831" t="s">
        <v>1184</v>
      </c>
      <c r="V70" s="1832"/>
      <c r="W70" s="1832"/>
      <c r="X70" s="1833"/>
    </row>
    <row r="71" spans="1:24">
      <c r="A71" s="1907">
        <v>61</v>
      </c>
      <c r="B71" s="1908">
        <f t="shared" si="1"/>
        <v>146.00557557650001</v>
      </c>
      <c r="C71" s="1908"/>
      <c r="D71" s="1908">
        <f t="shared" si="2"/>
        <v>156.50375639450002</v>
      </c>
      <c r="E71" s="1908">
        <f t="shared" ref="E71:E130" si="19">E70+N$12</f>
        <v>175.00743410200002</v>
      </c>
      <c r="F71" s="1908"/>
      <c r="G71" s="1908">
        <f t="shared" si="4"/>
        <v>143.59312800000001</v>
      </c>
      <c r="H71" s="1908">
        <f t="shared" ref="H71:H130" si="20">H70+N$16</f>
        <v>123.8595</v>
      </c>
      <c r="I71" s="1847">
        <f t="shared" ref="I71:I130" si="21">I70+N$18</f>
        <v>118.87304777999999</v>
      </c>
      <c r="J71" s="1908">
        <f t="shared" ref="J71:J130" si="22">J70+N$20</f>
        <v>122.93073836449999</v>
      </c>
      <c r="K71" s="1908">
        <f t="shared" si="8"/>
        <v>137.46081389999998</v>
      </c>
      <c r="L71" s="1908">
        <f t="shared" ref="L71:L130" si="23">L70+N$24</f>
        <v>118.0539858275</v>
      </c>
      <c r="N71" s="1852">
        <v>41</v>
      </c>
      <c r="O71" s="1905">
        <f t="shared" si="16"/>
        <v>167.47502399999996</v>
      </c>
      <c r="P71" s="1905">
        <f t="shared" si="14"/>
        <v>145.5</v>
      </c>
      <c r="R71" s="1906">
        <v>8.0999999999999908</v>
      </c>
      <c r="S71" s="1905">
        <f t="shared" si="17"/>
        <v>182</v>
      </c>
      <c r="T71" s="1905">
        <f t="shared" si="18"/>
        <v>221.5</v>
      </c>
      <c r="U71" s="1834" t="s">
        <v>1185</v>
      </c>
      <c r="V71" s="1915">
        <v>20</v>
      </c>
      <c r="W71" s="1835" t="s">
        <v>761</v>
      </c>
      <c r="X71" s="1836"/>
    </row>
    <row r="72" spans="1:24">
      <c r="A72" s="1907">
        <v>62</v>
      </c>
      <c r="B72" s="1908">
        <f t="shared" si="1"/>
        <v>147.50557557650001</v>
      </c>
      <c r="C72" s="1908"/>
      <c r="D72" s="1908">
        <f t="shared" si="2"/>
        <v>158.00375639450002</v>
      </c>
      <c r="E72" s="1908">
        <f t="shared" si="19"/>
        <v>177.00743410200002</v>
      </c>
      <c r="F72" s="1908"/>
      <c r="G72" s="1908">
        <f t="shared" si="4"/>
        <v>145.09312800000001</v>
      </c>
      <c r="H72" s="1908">
        <f t="shared" si="20"/>
        <v>125.3595</v>
      </c>
      <c r="I72" s="1847">
        <f t="shared" si="21"/>
        <v>120.37304777999999</v>
      </c>
      <c r="J72" s="1908">
        <f t="shared" si="22"/>
        <v>123.13073836449999</v>
      </c>
      <c r="K72" s="1908">
        <f t="shared" si="8"/>
        <v>138.96081389999998</v>
      </c>
      <c r="L72" s="1908">
        <f t="shared" si="23"/>
        <v>119.5539858275</v>
      </c>
      <c r="N72" s="1852">
        <v>42</v>
      </c>
      <c r="O72" s="1905">
        <f t="shared" si="16"/>
        <v>168.97502399999996</v>
      </c>
      <c r="P72" s="1905">
        <f t="shared" si="14"/>
        <v>147</v>
      </c>
      <c r="R72" s="1852">
        <v>8.1999999999999904</v>
      </c>
      <c r="S72" s="1905">
        <f t="shared" si="17"/>
        <v>184</v>
      </c>
      <c r="T72" s="1905">
        <f t="shared" si="18"/>
        <v>223.5</v>
      </c>
      <c r="U72" s="1834" t="s">
        <v>1186</v>
      </c>
      <c r="V72" s="1915">
        <v>15</v>
      </c>
      <c r="W72" s="1835" t="s">
        <v>761</v>
      </c>
      <c r="X72" s="1836"/>
    </row>
    <row r="73" spans="1:24">
      <c r="A73" s="1907">
        <v>63</v>
      </c>
      <c r="B73" s="1908">
        <f t="shared" si="1"/>
        <v>149.00557557650001</v>
      </c>
      <c r="C73" s="1908"/>
      <c r="D73" s="1908">
        <f t="shared" si="2"/>
        <v>159.50375639450002</v>
      </c>
      <c r="E73" s="1908">
        <f t="shared" si="19"/>
        <v>179.00743410200002</v>
      </c>
      <c r="F73" s="1908"/>
      <c r="G73" s="1908">
        <f t="shared" si="4"/>
        <v>146.59312800000001</v>
      </c>
      <c r="H73" s="1908">
        <f t="shared" si="20"/>
        <v>126.8595</v>
      </c>
      <c r="I73" s="1847">
        <f t="shared" si="21"/>
        <v>121.87304777999999</v>
      </c>
      <c r="J73" s="1908">
        <f t="shared" si="22"/>
        <v>123.33073836449999</v>
      </c>
      <c r="K73" s="1908">
        <f t="shared" si="8"/>
        <v>140.46081389999998</v>
      </c>
      <c r="L73" s="1908">
        <f t="shared" si="23"/>
        <v>121.0539858275</v>
      </c>
      <c r="N73" s="1852">
        <v>43</v>
      </c>
      <c r="O73" s="1905">
        <f t="shared" si="16"/>
        <v>170.47502399999996</v>
      </c>
      <c r="P73" s="1905">
        <f t="shared" si="14"/>
        <v>148.5</v>
      </c>
      <c r="R73" s="1906">
        <v>8.2999999999999901</v>
      </c>
      <c r="S73" s="1905">
        <f t="shared" si="17"/>
        <v>186</v>
      </c>
      <c r="T73" s="1905">
        <f t="shared" si="18"/>
        <v>225.5</v>
      </c>
      <c r="U73" s="1844" t="s">
        <v>1187</v>
      </c>
      <c r="V73" s="1916">
        <v>10</v>
      </c>
      <c r="W73" s="1845" t="s">
        <v>761</v>
      </c>
      <c r="X73" s="1846"/>
    </row>
    <row r="74" spans="1:24">
      <c r="A74" s="1907">
        <v>64</v>
      </c>
      <c r="B74" s="1908">
        <f t="shared" si="1"/>
        <v>150.50557557650001</v>
      </c>
      <c r="C74" s="1908"/>
      <c r="D74" s="1908">
        <f t="shared" si="2"/>
        <v>161.00375639450002</v>
      </c>
      <c r="E74" s="1908">
        <f t="shared" si="19"/>
        <v>181.00743410200002</v>
      </c>
      <c r="F74" s="1908"/>
      <c r="G74" s="1908">
        <f t="shared" si="4"/>
        <v>148.09312800000001</v>
      </c>
      <c r="H74" s="1908">
        <f t="shared" si="20"/>
        <v>128.3595</v>
      </c>
      <c r="I74" s="1847">
        <f t="shared" si="21"/>
        <v>123.37304777999999</v>
      </c>
      <c r="J74" s="1908">
        <f t="shared" si="22"/>
        <v>123.5307383645</v>
      </c>
      <c r="K74" s="1908">
        <f t="shared" si="8"/>
        <v>141.96081389999998</v>
      </c>
      <c r="L74" s="1908">
        <f t="shared" si="23"/>
        <v>122.5539858275</v>
      </c>
      <c r="N74" s="1852">
        <v>44</v>
      </c>
      <c r="O74" s="1905">
        <f t="shared" si="16"/>
        <v>171.97502399999996</v>
      </c>
      <c r="P74" s="1905">
        <f t="shared" si="14"/>
        <v>150</v>
      </c>
      <c r="R74" s="1852">
        <v>8.3999999999999897</v>
      </c>
      <c r="S74" s="1905">
        <f t="shared" si="17"/>
        <v>188</v>
      </c>
      <c r="T74" s="1905">
        <f t="shared" si="18"/>
        <v>227.5</v>
      </c>
    </row>
    <row r="75" spans="1:24">
      <c r="A75" s="1907">
        <v>65</v>
      </c>
      <c r="B75" s="1908">
        <f t="shared" si="1"/>
        <v>152.00557557650001</v>
      </c>
      <c r="C75" s="1908"/>
      <c r="D75" s="1908">
        <f t="shared" si="2"/>
        <v>162.50375639450002</v>
      </c>
      <c r="E75" s="1908">
        <f t="shared" si="19"/>
        <v>183.00743410200002</v>
      </c>
      <c r="F75" s="1908"/>
      <c r="G75" s="1908">
        <f t="shared" si="4"/>
        <v>149.59312800000001</v>
      </c>
      <c r="H75" s="1908">
        <f t="shared" si="20"/>
        <v>129.8595</v>
      </c>
      <c r="I75" s="1847">
        <f t="shared" si="21"/>
        <v>124.87304777999999</v>
      </c>
      <c r="J75" s="1908">
        <f t="shared" si="22"/>
        <v>123.7307383645</v>
      </c>
      <c r="K75" s="1908">
        <f t="shared" si="8"/>
        <v>143.46081389999998</v>
      </c>
      <c r="L75" s="1908">
        <f t="shared" si="23"/>
        <v>124.0539858275</v>
      </c>
      <c r="N75" s="1852">
        <v>45</v>
      </c>
      <c r="O75" s="1905">
        <f t="shared" si="16"/>
        <v>173.47502399999996</v>
      </c>
      <c r="P75" s="1905">
        <f t="shared" si="14"/>
        <v>151.5</v>
      </c>
      <c r="R75" s="1906">
        <v>8.4999999999999893</v>
      </c>
      <c r="S75" s="1905">
        <f t="shared" si="17"/>
        <v>190</v>
      </c>
      <c r="T75" s="1905">
        <f t="shared" si="18"/>
        <v>229.5</v>
      </c>
    </row>
    <row r="76" spans="1:24">
      <c r="A76" s="1907">
        <v>66</v>
      </c>
      <c r="B76" s="1908">
        <f t="shared" si="1"/>
        <v>153.50557557650001</v>
      </c>
      <c r="C76" s="1908"/>
      <c r="D76" s="1908">
        <f t="shared" si="2"/>
        <v>164.00375639450002</v>
      </c>
      <c r="E76" s="1908">
        <f t="shared" si="19"/>
        <v>185.00743410200002</v>
      </c>
      <c r="F76" s="1908"/>
      <c r="G76" s="1908">
        <f t="shared" si="4"/>
        <v>151.09312800000001</v>
      </c>
      <c r="H76" s="1908">
        <f t="shared" si="20"/>
        <v>131.3595</v>
      </c>
      <c r="I76" s="1847">
        <f t="shared" si="21"/>
        <v>126.37304777999999</v>
      </c>
      <c r="J76" s="1908">
        <f t="shared" si="22"/>
        <v>123.9307383645</v>
      </c>
      <c r="K76" s="1908">
        <f t="shared" si="8"/>
        <v>144.96081389999998</v>
      </c>
      <c r="L76" s="1908">
        <f t="shared" si="23"/>
        <v>125.5539858275</v>
      </c>
      <c r="N76" s="1852">
        <v>46</v>
      </c>
      <c r="O76" s="1905">
        <f t="shared" si="16"/>
        <v>174.97502399999996</v>
      </c>
      <c r="P76" s="1905">
        <f t="shared" si="14"/>
        <v>153</v>
      </c>
      <c r="R76" s="1906">
        <v>8.5999999999999908</v>
      </c>
      <c r="S76" s="1905">
        <f t="shared" si="17"/>
        <v>192</v>
      </c>
      <c r="T76" s="1905">
        <f t="shared" si="18"/>
        <v>231.5</v>
      </c>
    </row>
    <row r="77" spans="1:24">
      <c r="A77" s="1907">
        <v>67</v>
      </c>
      <c r="B77" s="1908">
        <f t="shared" si="1"/>
        <v>155.00557557650001</v>
      </c>
      <c r="C77" s="1908"/>
      <c r="D77" s="1908">
        <f t="shared" si="2"/>
        <v>165.50375639450002</v>
      </c>
      <c r="E77" s="1908">
        <f t="shared" si="19"/>
        <v>187.00743410200002</v>
      </c>
      <c r="F77" s="1908"/>
      <c r="G77" s="1908">
        <f t="shared" si="4"/>
        <v>152.59312800000001</v>
      </c>
      <c r="H77" s="1908">
        <f t="shared" si="20"/>
        <v>132.8595</v>
      </c>
      <c r="I77" s="1847">
        <f t="shared" si="21"/>
        <v>127.87304777999999</v>
      </c>
      <c r="J77" s="1908">
        <f t="shared" si="22"/>
        <v>124.1307383645</v>
      </c>
      <c r="K77" s="1908">
        <f t="shared" si="8"/>
        <v>146.46081389999998</v>
      </c>
      <c r="L77" s="1908">
        <f t="shared" si="23"/>
        <v>127.0539858275</v>
      </c>
      <c r="N77" s="1852">
        <v>47</v>
      </c>
      <c r="O77" s="1905">
        <f t="shared" si="16"/>
        <v>176.47502399999996</v>
      </c>
      <c r="P77" s="1905">
        <f t="shared" si="14"/>
        <v>154.5</v>
      </c>
      <c r="R77" s="1852">
        <v>8.6999999999999904</v>
      </c>
      <c r="S77" s="1905">
        <f t="shared" si="17"/>
        <v>194</v>
      </c>
      <c r="T77" s="1905">
        <f t="shared" si="18"/>
        <v>233.5</v>
      </c>
    </row>
    <row r="78" spans="1:24">
      <c r="A78" s="1907">
        <v>68</v>
      </c>
      <c r="B78" s="1908">
        <f t="shared" si="1"/>
        <v>156.50557557650001</v>
      </c>
      <c r="C78" s="1908"/>
      <c r="D78" s="1908">
        <f t="shared" si="2"/>
        <v>167.00375639450002</v>
      </c>
      <c r="E78" s="1908">
        <f t="shared" si="19"/>
        <v>189.00743410200002</v>
      </c>
      <c r="F78" s="1908"/>
      <c r="G78" s="1908">
        <f t="shared" si="4"/>
        <v>154.09312800000001</v>
      </c>
      <c r="H78" s="1908">
        <f t="shared" si="20"/>
        <v>134.3595</v>
      </c>
      <c r="I78" s="1847">
        <f t="shared" si="21"/>
        <v>129.37304777999998</v>
      </c>
      <c r="J78" s="1908">
        <f t="shared" si="22"/>
        <v>124.33073836450001</v>
      </c>
      <c r="K78" s="1908">
        <f t="shared" si="8"/>
        <v>147.96081389999998</v>
      </c>
      <c r="L78" s="1908">
        <f t="shared" si="23"/>
        <v>128.55398582750001</v>
      </c>
      <c r="N78" s="1852">
        <v>48</v>
      </c>
      <c r="O78" s="1905">
        <f t="shared" si="16"/>
        <v>177.97502399999996</v>
      </c>
      <c r="P78" s="1905">
        <f t="shared" si="14"/>
        <v>156</v>
      </c>
      <c r="R78" s="1906">
        <v>8.7999999999999901</v>
      </c>
      <c r="S78" s="1905">
        <f t="shared" si="17"/>
        <v>196</v>
      </c>
      <c r="T78" s="1905">
        <f t="shared" si="18"/>
        <v>235.5</v>
      </c>
    </row>
    <row r="79" spans="1:24">
      <c r="A79" s="1907">
        <v>69</v>
      </c>
      <c r="B79" s="1908">
        <f t="shared" si="1"/>
        <v>158.00557557650001</v>
      </c>
      <c r="C79" s="1908"/>
      <c r="D79" s="1908">
        <f t="shared" si="2"/>
        <v>168.50375639450002</v>
      </c>
      <c r="E79" s="1908">
        <f t="shared" si="19"/>
        <v>191.00743410200002</v>
      </c>
      <c r="F79" s="1908"/>
      <c r="G79" s="1908">
        <f t="shared" si="4"/>
        <v>155.59312800000001</v>
      </c>
      <c r="H79" s="1908">
        <f t="shared" si="20"/>
        <v>135.8595</v>
      </c>
      <c r="I79" s="1847">
        <f t="shared" si="21"/>
        <v>130.87304777999998</v>
      </c>
      <c r="J79" s="1908">
        <f t="shared" si="22"/>
        <v>124.53073836450001</v>
      </c>
      <c r="K79" s="1908">
        <f t="shared" si="8"/>
        <v>149.46081389999998</v>
      </c>
      <c r="L79" s="1908">
        <f t="shared" si="23"/>
        <v>130.05398582750001</v>
      </c>
      <c r="N79" s="1852">
        <v>49</v>
      </c>
      <c r="O79" s="1905">
        <f t="shared" si="16"/>
        <v>179.47502399999996</v>
      </c>
      <c r="P79" s="1905">
        <f t="shared" si="14"/>
        <v>157.5</v>
      </c>
      <c r="R79" s="1852">
        <v>8.8999999999999897</v>
      </c>
      <c r="S79" s="1905">
        <f t="shared" si="17"/>
        <v>198</v>
      </c>
      <c r="T79" s="1905">
        <f t="shared" si="18"/>
        <v>237.5</v>
      </c>
    </row>
    <row r="80" spans="1:24">
      <c r="A80" s="1907">
        <v>70</v>
      </c>
      <c r="B80" s="1908">
        <f t="shared" si="1"/>
        <v>159.50557557650001</v>
      </c>
      <c r="C80" s="1908"/>
      <c r="D80" s="1908">
        <f t="shared" si="2"/>
        <v>170.00375639450002</v>
      </c>
      <c r="E80" s="1908">
        <f t="shared" si="19"/>
        <v>193.00743410200002</v>
      </c>
      <c r="F80" s="1908"/>
      <c r="G80" s="1912">
        <f>L14</f>
        <v>157.09312800000001</v>
      </c>
      <c r="H80" s="1908">
        <f t="shared" si="20"/>
        <v>137.3595</v>
      </c>
      <c r="I80" s="1847">
        <f t="shared" si="21"/>
        <v>132.37304777999998</v>
      </c>
      <c r="J80" s="1908">
        <f t="shared" si="22"/>
        <v>124.73073836450001</v>
      </c>
      <c r="K80" s="1912">
        <f>L22</f>
        <v>150.96081389999998</v>
      </c>
      <c r="L80" s="1908">
        <f t="shared" si="23"/>
        <v>131.55398582750001</v>
      </c>
      <c r="N80" s="1852">
        <v>50</v>
      </c>
      <c r="O80" s="1905">
        <f t="shared" si="16"/>
        <v>180.97502399999996</v>
      </c>
      <c r="P80" s="1905">
        <f t="shared" si="14"/>
        <v>159</v>
      </c>
      <c r="R80" s="1906">
        <v>8.9999999999999893</v>
      </c>
      <c r="S80" s="1905">
        <f t="shared" si="17"/>
        <v>200</v>
      </c>
      <c r="T80" s="1905">
        <f t="shared" si="18"/>
        <v>239.5</v>
      </c>
    </row>
    <row r="81" spans="1:20">
      <c r="A81" s="1907">
        <v>71</v>
      </c>
      <c r="B81" s="1908">
        <f t="shared" si="1"/>
        <v>161.00557557650001</v>
      </c>
      <c r="C81" s="1908"/>
      <c r="D81" s="1908">
        <f t="shared" si="2"/>
        <v>171.50375639450002</v>
      </c>
      <c r="E81" s="1908">
        <f t="shared" si="19"/>
        <v>195.00743410200002</v>
      </c>
      <c r="F81" s="1908"/>
      <c r="G81" s="1908">
        <f t="shared" ref="G81:G130" si="24">G80+N$14</f>
        <v>158.59312800000001</v>
      </c>
      <c r="H81" s="1908">
        <f t="shared" si="20"/>
        <v>138.8595</v>
      </c>
      <c r="I81" s="1847">
        <f t="shared" si="21"/>
        <v>133.87304777999998</v>
      </c>
      <c r="J81" s="1908">
        <f t="shared" si="22"/>
        <v>124.93073836450002</v>
      </c>
      <c r="K81" s="1908">
        <f t="shared" ref="K81:K130" si="25">K80+N$22</f>
        <v>152.46081389999998</v>
      </c>
      <c r="L81" s="1908">
        <f t="shared" si="23"/>
        <v>133.05398582750001</v>
      </c>
      <c r="N81" s="1852">
        <v>51</v>
      </c>
      <c r="O81" s="1905">
        <f t="shared" si="16"/>
        <v>182.47502399999996</v>
      </c>
      <c r="P81" s="1905">
        <f t="shared" si="14"/>
        <v>160.5</v>
      </c>
      <c r="R81" s="1852">
        <v>9.0999999999999908</v>
      </c>
      <c r="S81" s="1905">
        <f t="shared" si="17"/>
        <v>202</v>
      </c>
      <c r="T81" s="1905">
        <f t="shared" ref="T81:T90" si="26">T80+V$72/10</f>
        <v>241</v>
      </c>
    </row>
    <row r="82" spans="1:20">
      <c r="A82" s="1907">
        <v>72</v>
      </c>
      <c r="B82" s="1908">
        <f t="shared" si="1"/>
        <v>162.50557557650001</v>
      </c>
      <c r="C82" s="1908"/>
      <c r="D82" s="1908">
        <f t="shared" si="2"/>
        <v>173.00375639450002</v>
      </c>
      <c r="E82" s="1908">
        <f t="shared" si="19"/>
        <v>197.00743410200002</v>
      </c>
      <c r="F82" s="1908"/>
      <c r="G82" s="1908">
        <f t="shared" si="24"/>
        <v>160.09312800000001</v>
      </c>
      <c r="H82" s="1908">
        <f t="shared" si="20"/>
        <v>140.3595</v>
      </c>
      <c r="I82" s="1847">
        <f t="shared" si="21"/>
        <v>135.37304777999998</v>
      </c>
      <c r="J82" s="1908">
        <f t="shared" si="22"/>
        <v>125.13073836450002</v>
      </c>
      <c r="K82" s="1908">
        <f t="shared" si="25"/>
        <v>153.96081389999998</v>
      </c>
      <c r="L82" s="1908">
        <f t="shared" si="23"/>
        <v>134.55398582750001</v>
      </c>
      <c r="N82" s="1852">
        <v>52</v>
      </c>
      <c r="O82" s="1905">
        <f t="shared" si="16"/>
        <v>183.97502399999996</v>
      </c>
      <c r="P82" s="1905">
        <f t="shared" si="14"/>
        <v>162</v>
      </c>
      <c r="R82" s="1906">
        <v>9.1999999999999904</v>
      </c>
      <c r="S82" s="1905">
        <f t="shared" si="17"/>
        <v>204</v>
      </c>
      <c r="T82" s="1905">
        <f t="shared" si="26"/>
        <v>242.5</v>
      </c>
    </row>
    <row r="83" spans="1:20">
      <c r="A83" s="1907">
        <v>73</v>
      </c>
      <c r="B83" s="1908">
        <f t="shared" si="1"/>
        <v>164.00557557650001</v>
      </c>
      <c r="C83" s="1908"/>
      <c r="D83" s="1908">
        <f t="shared" si="2"/>
        <v>174.50375639450002</v>
      </c>
      <c r="E83" s="1908">
        <f t="shared" si="19"/>
        <v>199.00743410200002</v>
      </c>
      <c r="F83" s="1908"/>
      <c r="G83" s="1908">
        <f t="shared" si="24"/>
        <v>161.59312800000001</v>
      </c>
      <c r="H83" s="1908">
        <f t="shared" si="20"/>
        <v>141.8595</v>
      </c>
      <c r="I83" s="1847">
        <f t="shared" si="21"/>
        <v>136.87304777999998</v>
      </c>
      <c r="J83" s="1908">
        <f t="shared" si="22"/>
        <v>125.33073836450002</v>
      </c>
      <c r="K83" s="1908">
        <f t="shared" si="25"/>
        <v>155.46081389999998</v>
      </c>
      <c r="L83" s="1908">
        <f t="shared" si="23"/>
        <v>136.05398582750001</v>
      </c>
      <c r="N83" s="1852">
        <v>53</v>
      </c>
      <c r="O83" s="1905">
        <f t="shared" si="16"/>
        <v>185.47502399999996</v>
      </c>
      <c r="P83" s="1905">
        <f t="shared" si="14"/>
        <v>163.5</v>
      </c>
      <c r="R83" s="1852">
        <v>9.2999999999999794</v>
      </c>
      <c r="S83" s="1905">
        <f t="shared" si="17"/>
        <v>206</v>
      </c>
      <c r="T83" s="1905">
        <f t="shared" si="26"/>
        <v>244</v>
      </c>
    </row>
    <row r="84" spans="1:20">
      <c r="A84" s="1907">
        <v>74</v>
      </c>
      <c r="B84" s="1908">
        <f t="shared" si="1"/>
        <v>165.50557557650001</v>
      </c>
      <c r="C84" s="1908"/>
      <c r="D84" s="1908">
        <f t="shared" si="2"/>
        <v>176.00375639450002</v>
      </c>
      <c r="E84" s="1908">
        <f t="shared" si="19"/>
        <v>201.00743410200002</v>
      </c>
      <c r="F84" s="1908"/>
      <c r="G84" s="1908">
        <f t="shared" si="24"/>
        <v>163.09312800000001</v>
      </c>
      <c r="H84" s="1908">
        <f t="shared" si="20"/>
        <v>143.3595</v>
      </c>
      <c r="I84" s="1847">
        <f t="shared" si="21"/>
        <v>138.37304777999998</v>
      </c>
      <c r="J84" s="1908">
        <f t="shared" si="22"/>
        <v>125.53073836450002</v>
      </c>
      <c r="K84" s="1908">
        <f t="shared" si="25"/>
        <v>156.96081389999998</v>
      </c>
      <c r="L84" s="1908">
        <f t="shared" si="23"/>
        <v>137.55398582750001</v>
      </c>
      <c r="N84" s="1852">
        <v>54</v>
      </c>
      <c r="O84" s="1905">
        <f t="shared" si="16"/>
        <v>186.97502399999996</v>
      </c>
      <c r="P84" s="1905">
        <f t="shared" si="14"/>
        <v>165</v>
      </c>
      <c r="R84" s="1906">
        <v>9.3999999999999808</v>
      </c>
      <c r="S84" s="1905">
        <f t="shared" si="17"/>
        <v>208</v>
      </c>
      <c r="T84" s="1905">
        <f t="shared" si="26"/>
        <v>245.5</v>
      </c>
    </row>
    <row r="85" spans="1:20">
      <c r="A85" s="1907">
        <v>75</v>
      </c>
      <c r="B85" s="1908">
        <f t="shared" si="1"/>
        <v>167.00557557650001</v>
      </c>
      <c r="C85" s="1908"/>
      <c r="D85" s="1908">
        <f t="shared" si="2"/>
        <v>177.50375639450002</v>
      </c>
      <c r="E85" s="1908">
        <f t="shared" si="19"/>
        <v>203.00743410200002</v>
      </c>
      <c r="F85" s="1908"/>
      <c r="G85" s="1908">
        <f t="shared" si="24"/>
        <v>164.59312800000001</v>
      </c>
      <c r="H85" s="1908">
        <f t="shared" si="20"/>
        <v>144.8595</v>
      </c>
      <c r="I85" s="1847">
        <f t="shared" si="21"/>
        <v>139.87304777999998</v>
      </c>
      <c r="J85" s="1908">
        <f t="shared" si="22"/>
        <v>125.73073836450003</v>
      </c>
      <c r="K85" s="1908">
        <f t="shared" si="25"/>
        <v>158.46081389999998</v>
      </c>
      <c r="L85" s="1908">
        <f t="shared" si="23"/>
        <v>139.05398582750001</v>
      </c>
      <c r="N85" s="1852">
        <v>55</v>
      </c>
      <c r="O85" s="1905">
        <f t="shared" si="16"/>
        <v>188.47502399999996</v>
      </c>
      <c r="P85" s="1905">
        <f t="shared" si="14"/>
        <v>166.5</v>
      </c>
      <c r="R85" s="1906">
        <v>9.4999999999999805</v>
      </c>
      <c r="S85" s="1905">
        <f t="shared" si="17"/>
        <v>210</v>
      </c>
      <c r="T85" s="1905">
        <f t="shared" si="26"/>
        <v>247</v>
      </c>
    </row>
    <row r="86" spans="1:20">
      <c r="A86" s="1907">
        <v>76</v>
      </c>
      <c r="B86" s="1908">
        <f t="shared" si="1"/>
        <v>168.50557557650001</v>
      </c>
      <c r="C86" s="1908"/>
      <c r="D86" s="1908">
        <f t="shared" si="2"/>
        <v>179.00375639450002</v>
      </c>
      <c r="E86" s="1908">
        <f t="shared" si="19"/>
        <v>205.00743410200002</v>
      </c>
      <c r="F86" s="1908"/>
      <c r="G86" s="1908">
        <f t="shared" si="24"/>
        <v>166.09312800000001</v>
      </c>
      <c r="H86" s="1908">
        <f t="shared" si="20"/>
        <v>146.3595</v>
      </c>
      <c r="I86" s="1847">
        <f t="shared" si="21"/>
        <v>141.37304777999998</v>
      </c>
      <c r="J86" s="1908">
        <f t="shared" si="22"/>
        <v>125.93073836450003</v>
      </c>
      <c r="K86" s="1908">
        <f t="shared" si="25"/>
        <v>159.96081389999998</v>
      </c>
      <c r="L86" s="1908">
        <f t="shared" si="23"/>
        <v>140.55398582750001</v>
      </c>
      <c r="N86" s="1852">
        <v>56</v>
      </c>
      <c r="O86" s="1905">
        <f t="shared" si="16"/>
        <v>189.97502399999996</v>
      </c>
      <c r="P86" s="1905">
        <f t="shared" si="14"/>
        <v>168</v>
      </c>
      <c r="R86" s="1852">
        <v>9.5999999999999801</v>
      </c>
      <c r="S86" s="1905">
        <f t="shared" si="17"/>
        <v>212</v>
      </c>
      <c r="T86" s="1905">
        <f t="shared" si="26"/>
        <v>248.5</v>
      </c>
    </row>
    <row r="87" spans="1:20">
      <c r="A87" s="1907">
        <v>77</v>
      </c>
      <c r="B87" s="1908">
        <f t="shared" si="1"/>
        <v>170.00557557650001</v>
      </c>
      <c r="C87" s="1908"/>
      <c r="D87" s="1908">
        <f t="shared" si="2"/>
        <v>180.50375639450002</v>
      </c>
      <c r="E87" s="1908">
        <f t="shared" si="19"/>
        <v>207.00743410200002</v>
      </c>
      <c r="F87" s="1908"/>
      <c r="G87" s="1908">
        <f t="shared" si="24"/>
        <v>167.59312800000001</v>
      </c>
      <c r="H87" s="1908">
        <f t="shared" si="20"/>
        <v>147.8595</v>
      </c>
      <c r="I87" s="1847">
        <f t="shared" si="21"/>
        <v>142.87304777999998</v>
      </c>
      <c r="J87" s="1908">
        <f t="shared" si="22"/>
        <v>126.13073836450003</v>
      </c>
      <c r="K87" s="1908">
        <f t="shared" si="25"/>
        <v>161.46081389999998</v>
      </c>
      <c r="L87" s="1908">
        <f t="shared" si="23"/>
        <v>142.05398582750001</v>
      </c>
      <c r="N87" s="1852">
        <v>57</v>
      </c>
      <c r="O87" s="1905">
        <f t="shared" si="16"/>
        <v>191.47502399999996</v>
      </c>
      <c r="P87" s="1905">
        <f t="shared" si="14"/>
        <v>169.5</v>
      </c>
      <c r="R87" s="1906">
        <v>9.6999999999999797</v>
      </c>
      <c r="S87" s="1905">
        <f t="shared" si="17"/>
        <v>214</v>
      </c>
      <c r="T87" s="1905">
        <f t="shared" si="26"/>
        <v>250</v>
      </c>
    </row>
    <row r="88" spans="1:20">
      <c r="A88" s="1907">
        <v>78</v>
      </c>
      <c r="B88" s="1908">
        <f t="shared" si="1"/>
        <v>171.50557557650001</v>
      </c>
      <c r="C88" s="1908"/>
      <c r="D88" s="1908">
        <f t="shared" si="2"/>
        <v>182.00375639450002</v>
      </c>
      <c r="E88" s="1908">
        <f t="shared" si="19"/>
        <v>209.00743410200002</v>
      </c>
      <c r="F88" s="1908"/>
      <c r="G88" s="1908">
        <f t="shared" si="24"/>
        <v>169.09312800000001</v>
      </c>
      <c r="H88" s="1908">
        <f t="shared" si="20"/>
        <v>149.3595</v>
      </c>
      <c r="I88" s="1847">
        <f t="shared" si="21"/>
        <v>144.37304777999998</v>
      </c>
      <c r="J88" s="1908">
        <f t="shared" si="22"/>
        <v>126.33073836450004</v>
      </c>
      <c r="K88" s="1908">
        <f t="shared" si="25"/>
        <v>162.96081389999998</v>
      </c>
      <c r="L88" s="1908">
        <f t="shared" si="23"/>
        <v>143.55398582750001</v>
      </c>
      <c r="N88" s="1852">
        <v>58</v>
      </c>
      <c r="O88" s="1905">
        <f t="shared" si="16"/>
        <v>192.97502399999996</v>
      </c>
      <c r="P88" s="1905">
        <f t="shared" si="14"/>
        <v>171</v>
      </c>
      <c r="R88" s="1852">
        <v>9.7999999999999794</v>
      </c>
      <c r="S88" s="1905">
        <f t="shared" si="17"/>
        <v>216</v>
      </c>
      <c r="T88" s="1905">
        <f t="shared" si="26"/>
        <v>251.5</v>
      </c>
    </row>
    <row r="89" spans="1:20">
      <c r="A89" s="1907">
        <v>79</v>
      </c>
      <c r="B89" s="1908">
        <f t="shared" si="1"/>
        <v>173.00557557650001</v>
      </c>
      <c r="C89" s="1908"/>
      <c r="D89" s="1908">
        <f t="shared" si="2"/>
        <v>183.50375639450002</v>
      </c>
      <c r="E89" s="1908">
        <f t="shared" si="19"/>
        <v>211.00743410200002</v>
      </c>
      <c r="F89" s="1908"/>
      <c r="G89" s="1908">
        <f t="shared" si="24"/>
        <v>170.59312800000001</v>
      </c>
      <c r="H89" s="1908">
        <f t="shared" si="20"/>
        <v>150.8595</v>
      </c>
      <c r="I89" s="1847">
        <f t="shared" si="21"/>
        <v>145.87304777999998</v>
      </c>
      <c r="J89" s="1908">
        <f t="shared" si="22"/>
        <v>126.53073836450004</v>
      </c>
      <c r="K89" s="1908">
        <f t="shared" si="25"/>
        <v>164.46081389999998</v>
      </c>
      <c r="L89" s="1908">
        <f t="shared" si="23"/>
        <v>145.05398582750001</v>
      </c>
      <c r="N89" s="1852">
        <v>59</v>
      </c>
      <c r="O89" s="1905">
        <f t="shared" si="16"/>
        <v>194.47502399999996</v>
      </c>
      <c r="P89" s="1905">
        <f t="shared" si="14"/>
        <v>172.5</v>
      </c>
      <c r="R89" s="1906">
        <v>9.8999999999999808</v>
      </c>
      <c r="S89" s="1905">
        <f t="shared" si="17"/>
        <v>218</v>
      </c>
      <c r="T89" s="1905">
        <f t="shared" si="26"/>
        <v>253</v>
      </c>
    </row>
    <row r="90" spans="1:20">
      <c r="A90" s="1910">
        <v>80</v>
      </c>
      <c r="B90" s="1912">
        <f>L8</f>
        <v>174.50557557650001</v>
      </c>
      <c r="C90" s="1912"/>
      <c r="D90" s="1912">
        <f>L10</f>
        <v>185.00375639450002</v>
      </c>
      <c r="E90" s="1908">
        <f t="shared" si="19"/>
        <v>213.00743410200002</v>
      </c>
      <c r="F90" s="1908"/>
      <c r="G90" s="1908">
        <f t="shared" si="24"/>
        <v>172.09312800000001</v>
      </c>
      <c r="H90" s="1908">
        <f t="shared" si="20"/>
        <v>152.3595</v>
      </c>
      <c r="I90" s="1847">
        <f t="shared" si="21"/>
        <v>147.37304777999998</v>
      </c>
      <c r="J90" s="1908">
        <f t="shared" si="22"/>
        <v>126.73073836450004</v>
      </c>
      <c r="K90" s="1908">
        <f t="shared" si="25"/>
        <v>165.96081389999998</v>
      </c>
      <c r="L90" s="1908">
        <f t="shared" si="23"/>
        <v>146.55398582750001</v>
      </c>
      <c r="N90" s="1852">
        <v>60</v>
      </c>
      <c r="O90" s="1905">
        <f t="shared" si="16"/>
        <v>195.97502399999996</v>
      </c>
      <c r="P90" s="1905">
        <f t="shared" si="14"/>
        <v>174</v>
      </c>
      <c r="R90" s="1906">
        <v>9.9999999999999805</v>
      </c>
      <c r="S90" s="1905">
        <f t="shared" si="17"/>
        <v>220</v>
      </c>
      <c r="T90" s="1905">
        <f t="shared" si="26"/>
        <v>254.5</v>
      </c>
    </row>
    <row r="91" spans="1:20">
      <c r="A91" s="1907">
        <v>81</v>
      </c>
      <c r="B91" s="1908">
        <f t="shared" ref="B91:B130" si="27">B90+N$8</f>
        <v>176.00557557650001</v>
      </c>
      <c r="C91" s="1908"/>
      <c r="D91" s="1908">
        <f t="shared" ref="D91:D130" si="28">D90+N$10</f>
        <v>186.50375639450002</v>
      </c>
      <c r="E91" s="1908">
        <f t="shared" si="19"/>
        <v>215.00743410200002</v>
      </c>
      <c r="F91" s="1908"/>
      <c r="G91" s="1908">
        <f t="shared" si="24"/>
        <v>173.59312800000001</v>
      </c>
      <c r="H91" s="1908">
        <f t="shared" si="20"/>
        <v>153.8595</v>
      </c>
      <c r="I91" s="1847">
        <f t="shared" si="21"/>
        <v>148.87304777999998</v>
      </c>
      <c r="J91" s="1908">
        <f t="shared" si="22"/>
        <v>126.93073836450004</v>
      </c>
      <c r="K91" s="1908">
        <f t="shared" si="25"/>
        <v>167.46081389999998</v>
      </c>
      <c r="L91" s="1908">
        <f t="shared" si="23"/>
        <v>148.05398582750001</v>
      </c>
      <c r="R91" s="1906">
        <v>10.1</v>
      </c>
      <c r="S91" s="1905">
        <f t="shared" si="17"/>
        <v>222</v>
      </c>
      <c r="T91" s="1905">
        <f t="shared" ref="T91:T110" si="29">T90+V$73/10</f>
        <v>255.5</v>
      </c>
    </row>
    <row r="92" spans="1:20">
      <c r="A92" s="1907">
        <v>82</v>
      </c>
      <c r="B92" s="1908">
        <f t="shared" si="27"/>
        <v>177.50557557650001</v>
      </c>
      <c r="C92" s="1908"/>
      <c r="D92" s="1908">
        <f t="shared" si="28"/>
        <v>188.00375639450002</v>
      </c>
      <c r="E92" s="1908">
        <f t="shared" si="19"/>
        <v>217.00743410200002</v>
      </c>
      <c r="F92" s="1908"/>
      <c r="G92" s="1908">
        <f t="shared" si="24"/>
        <v>175.09312800000001</v>
      </c>
      <c r="H92" s="1908">
        <f t="shared" si="20"/>
        <v>155.3595</v>
      </c>
      <c r="I92" s="1847">
        <f t="shared" si="21"/>
        <v>150.37304777999998</v>
      </c>
      <c r="J92" s="1908">
        <f t="shared" si="22"/>
        <v>127.13073836450005</v>
      </c>
      <c r="K92" s="1908">
        <f t="shared" si="25"/>
        <v>168.96081389999998</v>
      </c>
      <c r="L92" s="1908">
        <f t="shared" si="23"/>
        <v>149.55398582750001</v>
      </c>
      <c r="R92" s="1852">
        <v>10.199999999999999</v>
      </c>
      <c r="S92" s="1905">
        <f t="shared" si="17"/>
        <v>224</v>
      </c>
      <c r="T92" s="1905">
        <f t="shared" si="29"/>
        <v>256.5</v>
      </c>
    </row>
    <row r="93" spans="1:20">
      <c r="A93" s="1907">
        <v>83</v>
      </c>
      <c r="B93" s="1908">
        <f t="shared" si="27"/>
        <v>179.00557557650001</v>
      </c>
      <c r="C93" s="1908"/>
      <c r="D93" s="1908">
        <f t="shared" si="28"/>
        <v>189.50375639450002</v>
      </c>
      <c r="E93" s="1908">
        <f t="shared" si="19"/>
        <v>219.00743410200002</v>
      </c>
      <c r="F93" s="1908"/>
      <c r="G93" s="1908">
        <f t="shared" si="24"/>
        <v>176.59312800000001</v>
      </c>
      <c r="H93" s="1908">
        <f t="shared" si="20"/>
        <v>156.8595</v>
      </c>
      <c r="I93" s="1847">
        <f t="shared" si="21"/>
        <v>151.87304777999998</v>
      </c>
      <c r="J93" s="1908">
        <f t="shared" si="22"/>
        <v>127.33073836450005</v>
      </c>
      <c r="K93" s="1908">
        <f t="shared" si="25"/>
        <v>170.46081389999998</v>
      </c>
      <c r="L93" s="1908">
        <f t="shared" si="23"/>
        <v>151.05398582750001</v>
      </c>
      <c r="R93" s="1906">
        <v>10.3</v>
      </c>
      <c r="S93" s="1905">
        <f t="shared" si="17"/>
        <v>226</v>
      </c>
      <c r="T93" s="1905">
        <f t="shared" si="29"/>
        <v>257.5</v>
      </c>
    </row>
    <row r="94" spans="1:20">
      <c r="A94" s="1907">
        <v>84</v>
      </c>
      <c r="B94" s="1908">
        <f t="shared" si="27"/>
        <v>180.50557557650001</v>
      </c>
      <c r="C94" s="1908"/>
      <c r="D94" s="1908">
        <f t="shared" si="28"/>
        <v>191.00375639450002</v>
      </c>
      <c r="E94" s="1908">
        <f t="shared" si="19"/>
        <v>221.00743410200002</v>
      </c>
      <c r="F94" s="1908"/>
      <c r="G94" s="1908">
        <f t="shared" si="24"/>
        <v>178.09312800000001</v>
      </c>
      <c r="H94" s="1908">
        <f t="shared" si="20"/>
        <v>158.3595</v>
      </c>
      <c r="I94" s="1847">
        <f t="shared" si="21"/>
        <v>153.37304777999998</v>
      </c>
      <c r="J94" s="1908">
        <f t="shared" si="22"/>
        <v>127.53073836450005</v>
      </c>
      <c r="K94" s="1908">
        <f t="shared" si="25"/>
        <v>171.96081389999998</v>
      </c>
      <c r="L94" s="1908">
        <f t="shared" si="23"/>
        <v>152.55398582750001</v>
      </c>
      <c r="R94" s="1906">
        <v>10.4</v>
      </c>
      <c r="S94" s="1905">
        <f t="shared" si="17"/>
        <v>228</v>
      </c>
      <c r="T94" s="1905">
        <f t="shared" si="29"/>
        <v>258.5</v>
      </c>
    </row>
    <row r="95" spans="1:20">
      <c r="A95" s="1907">
        <v>85</v>
      </c>
      <c r="B95" s="1908">
        <f t="shared" si="27"/>
        <v>182.00557557650001</v>
      </c>
      <c r="C95" s="1908"/>
      <c r="D95" s="1908">
        <f t="shared" si="28"/>
        <v>192.50375639450002</v>
      </c>
      <c r="E95" s="1908">
        <f t="shared" si="19"/>
        <v>223.00743410200002</v>
      </c>
      <c r="F95" s="1908"/>
      <c r="G95" s="1908">
        <f t="shared" si="24"/>
        <v>179.59312800000001</v>
      </c>
      <c r="H95" s="1908">
        <f t="shared" si="20"/>
        <v>159.8595</v>
      </c>
      <c r="I95" s="1847">
        <f t="shared" si="21"/>
        <v>154.87304777999998</v>
      </c>
      <c r="J95" s="1908">
        <f t="shared" si="22"/>
        <v>127.73073836450006</v>
      </c>
      <c r="K95" s="1908">
        <f t="shared" si="25"/>
        <v>173.46081389999998</v>
      </c>
      <c r="L95" s="1908">
        <f t="shared" si="23"/>
        <v>154.05398582750001</v>
      </c>
      <c r="R95" s="1852">
        <v>10.5</v>
      </c>
      <c r="S95" s="1905">
        <f t="shared" si="17"/>
        <v>230</v>
      </c>
      <c r="T95" s="1905">
        <f t="shared" si="29"/>
        <v>259.5</v>
      </c>
    </row>
    <row r="96" spans="1:20">
      <c r="A96" s="1907">
        <v>86</v>
      </c>
      <c r="B96" s="1908">
        <f t="shared" si="27"/>
        <v>183.50557557650001</v>
      </c>
      <c r="C96" s="1908"/>
      <c r="D96" s="1908">
        <f t="shared" si="28"/>
        <v>194.00375639450002</v>
      </c>
      <c r="E96" s="1908">
        <f t="shared" si="19"/>
        <v>225.00743410200002</v>
      </c>
      <c r="F96" s="1908"/>
      <c r="G96" s="1908">
        <f t="shared" si="24"/>
        <v>181.09312800000001</v>
      </c>
      <c r="H96" s="1908">
        <f t="shared" si="20"/>
        <v>161.3595</v>
      </c>
      <c r="I96" s="1847">
        <f t="shared" si="21"/>
        <v>156.37304777999998</v>
      </c>
      <c r="J96" s="1908">
        <f t="shared" si="22"/>
        <v>127.93073836450006</v>
      </c>
      <c r="K96" s="1908">
        <f t="shared" si="25"/>
        <v>174.96081389999998</v>
      </c>
      <c r="L96" s="1908">
        <f t="shared" si="23"/>
        <v>155.55398582750001</v>
      </c>
      <c r="R96" s="1906">
        <v>10.6</v>
      </c>
      <c r="S96" s="1905">
        <f t="shared" si="17"/>
        <v>232</v>
      </c>
      <c r="T96" s="1905">
        <f t="shared" si="29"/>
        <v>260.5</v>
      </c>
    </row>
    <row r="97" spans="1:20">
      <c r="A97" s="1907">
        <v>87</v>
      </c>
      <c r="B97" s="1908">
        <f t="shared" si="27"/>
        <v>185.00557557650001</v>
      </c>
      <c r="C97" s="1908"/>
      <c r="D97" s="1908">
        <f t="shared" si="28"/>
        <v>195.50375639450002</v>
      </c>
      <c r="E97" s="1908">
        <f t="shared" si="19"/>
        <v>227.00743410200002</v>
      </c>
      <c r="F97" s="1908"/>
      <c r="G97" s="1908">
        <f t="shared" si="24"/>
        <v>182.59312800000001</v>
      </c>
      <c r="H97" s="1908">
        <f t="shared" si="20"/>
        <v>162.8595</v>
      </c>
      <c r="I97" s="1847">
        <f t="shared" si="21"/>
        <v>157.87304777999998</v>
      </c>
      <c r="J97" s="1908">
        <f t="shared" si="22"/>
        <v>128.13073836450005</v>
      </c>
      <c r="K97" s="1908">
        <f t="shared" si="25"/>
        <v>176.46081389999998</v>
      </c>
      <c r="L97" s="1908">
        <f t="shared" si="23"/>
        <v>157.05398582750001</v>
      </c>
      <c r="R97" s="1852">
        <v>10.7</v>
      </c>
      <c r="S97" s="1905">
        <f t="shared" si="17"/>
        <v>234</v>
      </c>
      <c r="T97" s="1905">
        <f t="shared" si="29"/>
        <v>261.5</v>
      </c>
    </row>
    <row r="98" spans="1:20">
      <c r="A98" s="1907">
        <v>88</v>
      </c>
      <c r="B98" s="1908">
        <f t="shared" si="27"/>
        <v>186.50557557650001</v>
      </c>
      <c r="C98" s="1908"/>
      <c r="D98" s="1908">
        <f t="shared" si="28"/>
        <v>197.00375639450002</v>
      </c>
      <c r="E98" s="1908">
        <f t="shared" si="19"/>
        <v>229.00743410200002</v>
      </c>
      <c r="F98" s="1908"/>
      <c r="G98" s="1908">
        <f t="shared" si="24"/>
        <v>184.09312800000001</v>
      </c>
      <c r="H98" s="1908">
        <f t="shared" si="20"/>
        <v>164.3595</v>
      </c>
      <c r="I98" s="1847">
        <f t="shared" si="21"/>
        <v>159.37304777999998</v>
      </c>
      <c r="J98" s="1908">
        <f t="shared" si="22"/>
        <v>128.33073836450004</v>
      </c>
      <c r="K98" s="1908">
        <f t="shared" si="25"/>
        <v>177.96081389999998</v>
      </c>
      <c r="L98" s="1908">
        <f t="shared" si="23"/>
        <v>158.55398582750001</v>
      </c>
      <c r="R98" s="1906">
        <v>10.8</v>
      </c>
      <c r="S98" s="1905">
        <f t="shared" si="17"/>
        <v>236</v>
      </c>
      <c r="T98" s="1905">
        <f t="shared" si="29"/>
        <v>262.5</v>
      </c>
    </row>
    <row r="99" spans="1:20">
      <c r="A99" s="1907">
        <v>89</v>
      </c>
      <c r="B99" s="1908">
        <f t="shared" si="27"/>
        <v>188.00557557650001</v>
      </c>
      <c r="C99" s="1908"/>
      <c r="D99" s="1908">
        <f t="shared" si="28"/>
        <v>198.50375639450002</v>
      </c>
      <c r="E99" s="1908">
        <f t="shared" si="19"/>
        <v>231.00743410200002</v>
      </c>
      <c r="F99" s="1908"/>
      <c r="G99" s="1908">
        <f t="shared" si="24"/>
        <v>185.59312800000001</v>
      </c>
      <c r="H99" s="1908">
        <f t="shared" si="20"/>
        <v>165.8595</v>
      </c>
      <c r="I99" s="1847">
        <f t="shared" si="21"/>
        <v>160.87304777999998</v>
      </c>
      <c r="J99" s="1908">
        <f t="shared" si="22"/>
        <v>128.53073836450002</v>
      </c>
      <c r="K99" s="1908">
        <f t="shared" si="25"/>
        <v>179.46081389999998</v>
      </c>
      <c r="L99" s="1908">
        <f t="shared" si="23"/>
        <v>160.05398582750001</v>
      </c>
      <c r="R99" s="1852">
        <v>10.9</v>
      </c>
      <c r="S99" s="1905">
        <f t="shared" si="17"/>
        <v>238</v>
      </c>
      <c r="T99" s="1905">
        <f t="shared" si="29"/>
        <v>263.5</v>
      </c>
    </row>
    <row r="100" spans="1:20">
      <c r="A100" s="1917">
        <v>90</v>
      </c>
      <c r="B100" s="1908">
        <f t="shared" si="27"/>
        <v>189.50557557650001</v>
      </c>
      <c r="C100" s="1908"/>
      <c r="D100" s="1908">
        <f t="shared" si="28"/>
        <v>200.00375639450002</v>
      </c>
      <c r="E100" s="1908">
        <f t="shared" si="19"/>
        <v>233.00743410200002</v>
      </c>
      <c r="F100" s="1908"/>
      <c r="G100" s="1908">
        <f t="shared" si="24"/>
        <v>187.09312800000001</v>
      </c>
      <c r="H100" s="1908">
        <f t="shared" si="20"/>
        <v>167.3595</v>
      </c>
      <c r="I100" s="1847">
        <f t="shared" si="21"/>
        <v>162.37304777999998</v>
      </c>
      <c r="J100" s="1908">
        <f t="shared" si="22"/>
        <v>128.73073836450001</v>
      </c>
      <c r="K100" s="1908">
        <f t="shared" si="25"/>
        <v>180.96081389999998</v>
      </c>
      <c r="L100" s="1908">
        <f t="shared" si="23"/>
        <v>161.55398582750001</v>
      </c>
      <c r="R100" s="1906">
        <v>11</v>
      </c>
      <c r="S100" s="1905">
        <f t="shared" si="17"/>
        <v>240</v>
      </c>
      <c r="T100" s="1905">
        <f t="shared" si="29"/>
        <v>264.5</v>
      </c>
    </row>
    <row r="101" spans="1:20">
      <c r="A101" s="1907">
        <v>91</v>
      </c>
      <c r="B101" s="1908">
        <f t="shared" si="27"/>
        <v>191.00557557650001</v>
      </c>
      <c r="C101" s="1908"/>
      <c r="D101" s="1908">
        <f t="shared" si="28"/>
        <v>201.50375639450002</v>
      </c>
      <c r="E101" s="1908">
        <f t="shared" si="19"/>
        <v>235.00743410200002</v>
      </c>
      <c r="F101" s="1908"/>
      <c r="G101" s="1908">
        <f t="shared" si="24"/>
        <v>188.59312800000001</v>
      </c>
      <c r="H101" s="1908">
        <f t="shared" si="20"/>
        <v>168.8595</v>
      </c>
      <c r="I101" s="1847">
        <f t="shared" si="21"/>
        <v>163.87304777999998</v>
      </c>
      <c r="J101" s="1908">
        <f t="shared" si="22"/>
        <v>128.9307383645</v>
      </c>
      <c r="K101" s="1908">
        <f t="shared" si="25"/>
        <v>182.46081389999998</v>
      </c>
      <c r="L101" s="1908">
        <f t="shared" si="23"/>
        <v>163.05398582750001</v>
      </c>
      <c r="R101" s="1852">
        <v>11.1</v>
      </c>
      <c r="S101" s="1905">
        <f t="shared" si="17"/>
        <v>242</v>
      </c>
      <c r="T101" s="1905">
        <f t="shared" si="29"/>
        <v>265.5</v>
      </c>
    </row>
    <row r="102" spans="1:20">
      <c r="A102" s="1907">
        <v>92</v>
      </c>
      <c r="B102" s="1908">
        <f t="shared" si="27"/>
        <v>192.50557557650001</v>
      </c>
      <c r="C102" s="1908"/>
      <c r="D102" s="1908">
        <f t="shared" si="28"/>
        <v>203.00375639450002</v>
      </c>
      <c r="E102" s="1908">
        <f t="shared" si="19"/>
        <v>237.00743410200002</v>
      </c>
      <c r="F102" s="1908"/>
      <c r="G102" s="1908">
        <f t="shared" si="24"/>
        <v>190.09312800000001</v>
      </c>
      <c r="H102" s="1908">
        <f t="shared" si="20"/>
        <v>170.3595</v>
      </c>
      <c r="I102" s="1847">
        <f t="shared" si="21"/>
        <v>165.37304777999998</v>
      </c>
      <c r="J102" s="1908">
        <f t="shared" si="22"/>
        <v>129.13073836449999</v>
      </c>
      <c r="K102" s="1908">
        <f t="shared" si="25"/>
        <v>183.96081389999998</v>
      </c>
      <c r="L102" s="1908">
        <f t="shared" si="23"/>
        <v>164.55398582750001</v>
      </c>
      <c r="R102" s="1906">
        <v>11.2</v>
      </c>
      <c r="S102" s="1905">
        <f t="shared" si="17"/>
        <v>244</v>
      </c>
      <c r="T102" s="1905">
        <f t="shared" si="29"/>
        <v>266.5</v>
      </c>
    </row>
    <row r="103" spans="1:20">
      <c r="A103" s="1907">
        <v>93</v>
      </c>
      <c r="B103" s="1908">
        <f t="shared" si="27"/>
        <v>194.00557557650001</v>
      </c>
      <c r="C103" s="1908"/>
      <c r="D103" s="1908">
        <f t="shared" si="28"/>
        <v>204.50375639450002</v>
      </c>
      <c r="E103" s="1908">
        <f t="shared" si="19"/>
        <v>239.00743410200002</v>
      </c>
      <c r="F103" s="1908"/>
      <c r="G103" s="1908">
        <f t="shared" si="24"/>
        <v>191.59312800000001</v>
      </c>
      <c r="H103" s="1908">
        <f t="shared" si="20"/>
        <v>171.8595</v>
      </c>
      <c r="I103" s="1847">
        <f t="shared" si="21"/>
        <v>166.87304777999998</v>
      </c>
      <c r="J103" s="1908">
        <f t="shared" si="22"/>
        <v>129.33073836449998</v>
      </c>
      <c r="K103" s="1908">
        <f t="shared" si="25"/>
        <v>185.46081389999998</v>
      </c>
      <c r="L103" s="1908">
        <f t="shared" si="23"/>
        <v>166.05398582750001</v>
      </c>
      <c r="R103" s="1906">
        <v>11.3</v>
      </c>
      <c r="S103" s="1905">
        <f t="shared" si="17"/>
        <v>246</v>
      </c>
      <c r="T103" s="1905">
        <f t="shared" si="29"/>
        <v>267.5</v>
      </c>
    </row>
    <row r="104" spans="1:20">
      <c r="A104" s="1907">
        <v>94</v>
      </c>
      <c r="B104" s="1908">
        <f t="shared" si="27"/>
        <v>195.50557557650001</v>
      </c>
      <c r="C104" s="1908"/>
      <c r="D104" s="1908">
        <f t="shared" si="28"/>
        <v>206.00375639450002</v>
      </c>
      <c r="E104" s="1908">
        <f t="shared" si="19"/>
        <v>241.00743410200002</v>
      </c>
      <c r="F104" s="1908"/>
      <c r="G104" s="1908">
        <f t="shared" si="24"/>
        <v>193.09312800000001</v>
      </c>
      <c r="H104" s="1908">
        <f t="shared" si="20"/>
        <v>173.3595</v>
      </c>
      <c r="I104" s="1847">
        <f t="shared" si="21"/>
        <v>168.37304777999998</v>
      </c>
      <c r="J104" s="1908">
        <f t="shared" si="22"/>
        <v>129.53073836449997</v>
      </c>
      <c r="K104" s="1908">
        <f t="shared" si="25"/>
        <v>186.96081389999998</v>
      </c>
      <c r="L104" s="1908">
        <f t="shared" si="23"/>
        <v>167.55398582750001</v>
      </c>
      <c r="R104" s="1852">
        <v>11.4</v>
      </c>
      <c r="S104" s="1905">
        <f t="shared" si="17"/>
        <v>248</v>
      </c>
      <c r="T104" s="1905">
        <f t="shared" si="29"/>
        <v>268.5</v>
      </c>
    </row>
    <row r="105" spans="1:20">
      <c r="A105" s="1907">
        <v>95</v>
      </c>
      <c r="B105" s="1908">
        <f t="shared" si="27"/>
        <v>197.00557557650001</v>
      </c>
      <c r="C105" s="1908"/>
      <c r="D105" s="1908">
        <f t="shared" si="28"/>
        <v>207.50375639450002</v>
      </c>
      <c r="E105" s="1908">
        <f t="shared" si="19"/>
        <v>243.00743410200002</v>
      </c>
      <c r="F105" s="1908"/>
      <c r="G105" s="1908">
        <f t="shared" si="24"/>
        <v>194.59312800000001</v>
      </c>
      <c r="H105" s="1908">
        <f t="shared" si="20"/>
        <v>174.8595</v>
      </c>
      <c r="I105" s="1847">
        <f t="shared" si="21"/>
        <v>169.87304777999998</v>
      </c>
      <c r="J105" s="1908">
        <f t="shared" si="22"/>
        <v>129.73073836449996</v>
      </c>
      <c r="K105" s="1908">
        <f t="shared" si="25"/>
        <v>188.46081389999998</v>
      </c>
      <c r="L105" s="1908">
        <f t="shared" si="23"/>
        <v>169.05398582750001</v>
      </c>
      <c r="R105" s="1906">
        <v>11.5</v>
      </c>
      <c r="S105" s="1905">
        <f t="shared" si="17"/>
        <v>250</v>
      </c>
      <c r="T105" s="1905">
        <f t="shared" si="29"/>
        <v>269.5</v>
      </c>
    </row>
    <row r="106" spans="1:20">
      <c r="A106" s="1907">
        <v>96</v>
      </c>
      <c r="B106" s="1908">
        <f t="shared" si="27"/>
        <v>198.50557557650001</v>
      </c>
      <c r="C106" s="1908"/>
      <c r="D106" s="1908">
        <f t="shared" si="28"/>
        <v>209.00375639450002</v>
      </c>
      <c r="E106" s="1908">
        <f t="shared" si="19"/>
        <v>245.00743410200002</v>
      </c>
      <c r="F106" s="1908"/>
      <c r="G106" s="1908">
        <f t="shared" si="24"/>
        <v>196.09312800000001</v>
      </c>
      <c r="H106" s="1908">
        <f t="shared" si="20"/>
        <v>176.3595</v>
      </c>
      <c r="I106" s="1847">
        <f t="shared" si="21"/>
        <v>171.37304777999998</v>
      </c>
      <c r="J106" s="1908">
        <f t="shared" si="22"/>
        <v>129.93073836449994</v>
      </c>
      <c r="K106" s="1908">
        <f t="shared" si="25"/>
        <v>189.96081389999998</v>
      </c>
      <c r="L106" s="1908">
        <f t="shared" si="23"/>
        <v>170.55398582750001</v>
      </c>
      <c r="R106" s="1852">
        <v>11.6</v>
      </c>
      <c r="S106" s="1905">
        <f t="shared" si="17"/>
        <v>252</v>
      </c>
      <c r="T106" s="1905">
        <f t="shared" si="29"/>
        <v>270.5</v>
      </c>
    </row>
    <row r="107" spans="1:20">
      <c r="A107" s="1907">
        <v>97</v>
      </c>
      <c r="B107" s="1908">
        <f t="shared" si="27"/>
        <v>200.00557557650001</v>
      </c>
      <c r="C107" s="1908"/>
      <c r="D107" s="1908">
        <f t="shared" si="28"/>
        <v>210.50375639450002</v>
      </c>
      <c r="E107" s="1908">
        <f t="shared" si="19"/>
        <v>247.00743410200002</v>
      </c>
      <c r="F107" s="1908"/>
      <c r="G107" s="1908">
        <f t="shared" si="24"/>
        <v>197.59312800000001</v>
      </c>
      <c r="H107" s="1908">
        <f t="shared" si="20"/>
        <v>177.8595</v>
      </c>
      <c r="I107" s="1847">
        <f t="shared" si="21"/>
        <v>172.87304777999998</v>
      </c>
      <c r="J107" s="1908">
        <f t="shared" si="22"/>
        <v>130.13073836449993</v>
      </c>
      <c r="K107" s="1908">
        <f t="shared" si="25"/>
        <v>191.46081389999998</v>
      </c>
      <c r="L107" s="1908">
        <f t="shared" si="23"/>
        <v>172.05398582750001</v>
      </c>
      <c r="R107" s="1906">
        <v>11.7</v>
      </c>
      <c r="S107" s="1905">
        <f t="shared" si="17"/>
        <v>254</v>
      </c>
      <c r="T107" s="1905">
        <f t="shared" si="29"/>
        <v>271.5</v>
      </c>
    </row>
    <row r="108" spans="1:20">
      <c r="A108" s="1907">
        <v>98</v>
      </c>
      <c r="B108" s="1908">
        <f t="shared" si="27"/>
        <v>201.50557557650001</v>
      </c>
      <c r="C108" s="1908"/>
      <c r="D108" s="1908">
        <f t="shared" si="28"/>
        <v>212.00375639450002</v>
      </c>
      <c r="E108" s="1908">
        <f t="shared" si="19"/>
        <v>249.00743410200002</v>
      </c>
      <c r="F108" s="1908"/>
      <c r="G108" s="1908">
        <f t="shared" si="24"/>
        <v>199.09312800000001</v>
      </c>
      <c r="H108" s="1908">
        <f t="shared" si="20"/>
        <v>179.3595</v>
      </c>
      <c r="I108" s="1847">
        <f t="shared" si="21"/>
        <v>174.37304777999998</v>
      </c>
      <c r="J108" s="1908">
        <f t="shared" si="22"/>
        <v>130.33073836449992</v>
      </c>
      <c r="K108" s="1908">
        <f t="shared" si="25"/>
        <v>192.96081389999998</v>
      </c>
      <c r="L108" s="1908">
        <f t="shared" si="23"/>
        <v>173.55398582750001</v>
      </c>
      <c r="R108" s="1906">
        <v>11.8</v>
      </c>
      <c r="S108" s="1905">
        <f t="shared" si="17"/>
        <v>256</v>
      </c>
      <c r="T108" s="1905">
        <f t="shared" si="29"/>
        <v>272.5</v>
      </c>
    </row>
    <row r="109" spans="1:20">
      <c r="A109" s="1907">
        <v>99</v>
      </c>
      <c r="B109" s="1908">
        <f t="shared" si="27"/>
        <v>203.00557557650001</v>
      </c>
      <c r="C109" s="1908"/>
      <c r="D109" s="1908">
        <f t="shared" si="28"/>
        <v>213.50375639450002</v>
      </c>
      <c r="E109" s="1908">
        <f t="shared" si="19"/>
        <v>251.00743410200002</v>
      </c>
      <c r="F109" s="1908"/>
      <c r="G109" s="1908">
        <f t="shared" si="24"/>
        <v>200.59312800000001</v>
      </c>
      <c r="H109" s="1908">
        <f t="shared" si="20"/>
        <v>180.8595</v>
      </c>
      <c r="I109" s="1847">
        <f t="shared" si="21"/>
        <v>175.87304777999998</v>
      </c>
      <c r="J109" s="1908">
        <f t="shared" si="22"/>
        <v>130.53073836449991</v>
      </c>
      <c r="K109" s="1908">
        <f t="shared" si="25"/>
        <v>194.46081389999998</v>
      </c>
      <c r="L109" s="1908">
        <f t="shared" si="23"/>
        <v>175.05398582750001</v>
      </c>
      <c r="R109" s="1852">
        <v>11.9</v>
      </c>
      <c r="S109" s="1905">
        <f t="shared" si="17"/>
        <v>258</v>
      </c>
      <c r="T109" s="1905">
        <f t="shared" si="29"/>
        <v>273.5</v>
      </c>
    </row>
    <row r="110" spans="1:20">
      <c r="A110" s="1907">
        <v>100</v>
      </c>
      <c r="B110" s="1908">
        <f t="shared" si="27"/>
        <v>204.50557557650001</v>
      </c>
      <c r="C110" s="1908"/>
      <c r="D110" s="1908">
        <f t="shared" si="28"/>
        <v>215.00375639450002</v>
      </c>
      <c r="E110" s="1908">
        <f t="shared" si="19"/>
        <v>253.00743410200002</v>
      </c>
      <c r="F110" s="1908"/>
      <c r="G110" s="1908">
        <f t="shared" si="24"/>
        <v>202.09312800000001</v>
      </c>
      <c r="H110" s="1908">
        <f t="shared" si="20"/>
        <v>182.3595</v>
      </c>
      <c r="I110" s="1847">
        <f t="shared" si="21"/>
        <v>177.37304777999998</v>
      </c>
      <c r="J110" s="1908">
        <f t="shared" si="22"/>
        <v>130.7307383644999</v>
      </c>
      <c r="K110" s="1908">
        <f t="shared" si="25"/>
        <v>195.96081389999998</v>
      </c>
      <c r="L110" s="1908">
        <f t="shared" si="23"/>
        <v>176.55398582750001</v>
      </c>
      <c r="R110" s="1906">
        <v>12</v>
      </c>
      <c r="S110" s="1905">
        <f t="shared" si="17"/>
        <v>260</v>
      </c>
      <c r="T110" s="1905">
        <f t="shared" si="29"/>
        <v>274.5</v>
      </c>
    </row>
    <row r="111" spans="1:20">
      <c r="A111" s="1907">
        <v>101</v>
      </c>
      <c r="B111" s="1908">
        <f t="shared" si="27"/>
        <v>206.00557557650001</v>
      </c>
      <c r="C111" s="1908"/>
      <c r="D111" s="1908">
        <f t="shared" si="28"/>
        <v>216.50375639450002</v>
      </c>
      <c r="E111" s="1908">
        <f t="shared" si="19"/>
        <v>255.00743410200002</v>
      </c>
      <c r="F111" s="1908"/>
      <c r="G111" s="1908">
        <f t="shared" si="24"/>
        <v>203.59312800000001</v>
      </c>
      <c r="H111" s="1908">
        <f t="shared" si="20"/>
        <v>183.8595</v>
      </c>
      <c r="I111" s="1847">
        <f t="shared" si="21"/>
        <v>178.87304777999998</v>
      </c>
      <c r="J111" s="1908">
        <f t="shared" si="22"/>
        <v>130.93073836449989</v>
      </c>
      <c r="K111" s="1908">
        <f t="shared" si="25"/>
        <v>197.46081389999998</v>
      </c>
      <c r="L111" s="1908">
        <f t="shared" si="23"/>
        <v>178.05398582750001</v>
      </c>
      <c r="R111" s="1852"/>
      <c r="S111" s="1853"/>
      <c r="T111" s="1905"/>
    </row>
    <row r="112" spans="1:20">
      <c r="A112" s="1907">
        <v>102</v>
      </c>
      <c r="B112" s="1908">
        <f t="shared" si="27"/>
        <v>207.50557557650001</v>
      </c>
      <c r="C112" s="1908"/>
      <c r="D112" s="1908">
        <f t="shared" si="28"/>
        <v>218.00375639450002</v>
      </c>
      <c r="E112" s="1908">
        <f t="shared" si="19"/>
        <v>257.00743410200005</v>
      </c>
      <c r="F112" s="1908"/>
      <c r="G112" s="1908">
        <f t="shared" si="24"/>
        <v>205.09312800000001</v>
      </c>
      <c r="H112" s="1908">
        <f t="shared" si="20"/>
        <v>185.3595</v>
      </c>
      <c r="I112" s="1847">
        <f t="shared" si="21"/>
        <v>180.37304777999998</v>
      </c>
      <c r="J112" s="1908">
        <f t="shared" si="22"/>
        <v>131.13073836449988</v>
      </c>
      <c r="K112" s="1908">
        <f t="shared" si="25"/>
        <v>198.96081389999998</v>
      </c>
      <c r="L112" s="1908">
        <f t="shared" si="23"/>
        <v>179.55398582750001</v>
      </c>
    </row>
    <row r="113" spans="1:12">
      <c r="A113" s="1907">
        <v>103</v>
      </c>
      <c r="B113" s="1908">
        <f t="shared" si="27"/>
        <v>209.00557557650001</v>
      </c>
      <c r="C113" s="1908"/>
      <c r="D113" s="1908">
        <f t="shared" si="28"/>
        <v>219.50375639450002</v>
      </c>
      <c r="E113" s="1908">
        <f t="shared" si="19"/>
        <v>259.00743410200005</v>
      </c>
      <c r="F113" s="1908"/>
      <c r="G113" s="1908">
        <f t="shared" si="24"/>
        <v>206.59312800000001</v>
      </c>
      <c r="H113" s="1908">
        <f t="shared" si="20"/>
        <v>186.8595</v>
      </c>
      <c r="I113" s="1847">
        <f t="shared" si="21"/>
        <v>181.87304777999998</v>
      </c>
      <c r="J113" s="1908">
        <f t="shared" si="22"/>
        <v>131.33073836449987</v>
      </c>
      <c r="K113" s="1908">
        <f t="shared" si="25"/>
        <v>200.46081389999998</v>
      </c>
      <c r="L113" s="1908">
        <f t="shared" si="23"/>
        <v>181.05398582750001</v>
      </c>
    </row>
    <row r="114" spans="1:12">
      <c r="A114" s="1907">
        <v>104</v>
      </c>
      <c r="B114" s="1908">
        <f t="shared" si="27"/>
        <v>210.50557557650001</v>
      </c>
      <c r="C114" s="1908"/>
      <c r="D114" s="1908">
        <f t="shared" si="28"/>
        <v>221.00375639450002</v>
      </c>
      <c r="E114" s="1908">
        <f t="shared" si="19"/>
        <v>261.00743410200005</v>
      </c>
      <c r="F114" s="1908"/>
      <c r="G114" s="1908">
        <f t="shared" si="24"/>
        <v>208.09312800000001</v>
      </c>
      <c r="H114" s="1908">
        <f t="shared" si="20"/>
        <v>188.3595</v>
      </c>
      <c r="I114" s="1847">
        <f t="shared" si="21"/>
        <v>183.37304777999998</v>
      </c>
      <c r="J114" s="1908">
        <f t="shared" si="22"/>
        <v>131.53073836449985</v>
      </c>
      <c r="K114" s="1908">
        <f t="shared" si="25"/>
        <v>201.96081389999998</v>
      </c>
      <c r="L114" s="1908">
        <f t="shared" si="23"/>
        <v>182.55398582750001</v>
      </c>
    </row>
    <row r="115" spans="1:12">
      <c r="A115" s="1907">
        <v>105</v>
      </c>
      <c r="B115" s="1908">
        <f t="shared" si="27"/>
        <v>212.00557557650001</v>
      </c>
      <c r="C115" s="1908"/>
      <c r="D115" s="1908">
        <f t="shared" si="28"/>
        <v>222.50375639450002</v>
      </c>
      <c r="E115" s="1908">
        <f t="shared" si="19"/>
        <v>263.00743410200005</v>
      </c>
      <c r="F115" s="1908"/>
      <c r="G115" s="1908">
        <f t="shared" si="24"/>
        <v>209.59312800000001</v>
      </c>
      <c r="H115" s="1908">
        <f t="shared" si="20"/>
        <v>189.8595</v>
      </c>
      <c r="I115" s="1847">
        <f t="shared" si="21"/>
        <v>184.87304777999998</v>
      </c>
      <c r="J115" s="1908">
        <f t="shared" si="22"/>
        <v>131.73073836449984</v>
      </c>
      <c r="K115" s="1908">
        <f t="shared" si="25"/>
        <v>203.46081389999998</v>
      </c>
      <c r="L115" s="1908">
        <f t="shared" si="23"/>
        <v>184.05398582750001</v>
      </c>
    </row>
    <row r="116" spans="1:12">
      <c r="A116" s="1907">
        <v>106</v>
      </c>
      <c r="B116" s="1908">
        <f t="shared" si="27"/>
        <v>213.50557557650001</v>
      </c>
      <c r="C116" s="1908"/>
      <c r="D116" s="1908">
        <f t="shared" si="28"/>
        <v>224.00375639450002</v>
      </c>
      <c r="E116" s="1908">
        <f t="shared" si="19"/>
        <v>265.00743410200005</v>
      </c>
      <c r="F116" s="1908"/>
      <c r="G116" s="1908">
        <f t="shared" si="24"/>
        <v>211.09312800000001</v>
      </c>
      <c r="H116" s="1908">
        <f t="shared" si="20"/>
        <v>191.3595</v>
      </c>
      <c r="I116" s="1847">
        <f t="shared" si="21"/>
        <v>186.37304777999998</v>
      </c>
      <c r="J116" s="1908">
        <f t="shared" si="22"/>
        <v>131.93073836449983</v>
      </c>
      <c r="K116" s="1908">
        <f t="shared" si="25"/>
        <v>204.96081389999998</v>
      </c>
      <c r="L116" s="1908">
        <f t="shared" si="23"/>
        <v>185.55398582750001</v>
      </c>
    </row>
    <row r="117" spans="1:12">
      <c r="A117" s="1907">
        <v>107</v>
      </c>
      <c r="B117" s="1908">
        <f t="shared" si="27"/>
        <v>215.00557557650001</v>
      </c>
      <c r="C117" s="1908"/>
      <c r="D117" s="1908">
        <f t="shared" si="28"/>
        <v>225.50375639450002</v>
      </c>
      <c r="E117" s="1908">
        <f t="shared" si="19"/>
        <v>267.00743410200005</v>
      </c>
      <c r="F117" s="1908"/>
      <c r="G117" s="1908">
        <f t="shared" si="24"/>
        <v>212.59312800000001</v>
      </c>
      <c r="H117" s="1908">
        <f t="shared" si="20"/>
        <v>192.8595</v>
      </c>
      <c r="I117" s="1847">
        <f t="shared" si="21"/>
        <v>187.87304777999998</v>
      </c>
      <c r="J117" s="1908">
        <f t="shared" si="22"/>
        <v>132.13073836449982</v>
      </c>
      <c r="K117" s="1908">
        <f t="shared" si="25"/>
        <v>206.46081389999998</v>
      </c>
      <c r="L117" s="1908">
        <f t="shared" si="23"/>
        <v>187.05398582750001</v>
      </c>
    </row>
    <row r="118" spans="1:12">
      <c r="A118" s="1907">
        <v>108</v>
      </c>
      <c r="B118" s="1908">
        <f t="shared" si="27"/>
        <v>216.50557557650001</v>
      </c>
      <c r="C118" s="1908"/>
      <c r="D118" s="1908">
        <f t="shared" si="28"/>
        <v>227.00375639450002</v>
      </c>
      <c r="E118" s="1908">
        <f t="shared" si="19"/>
        <v>269.00743410200005</v>
      </c>
      <c r="F118" s="1908"/>
      <c r="G118" s="1908">
        <f t="shared" si="24"/>
        <v>214.09312800000001</v>
      </c>
      <c r="H118" s="1908">
        <f t="shared" si="20"/>
        <v>194.3595</v>
      </c>
      <c r="I118" s="1847">
        <f t="shared" si="21"/>
        <v>189.37304777999998</v>
      </c>
      <c r="J118" s="1908">
        <f t="shared" si="22"/>
        <v>132.33073836449981</v>
      </c>
      <c r="K118" s="1908">
        <f t="shared" si="25"/>
        <v>207.96081389999998</v>
      </c>
      <c r="L118" s="1908">
        <f t="shared" si="23"/>
        <v>188.55398582750001</v>
      </c>
    </row>
    <row r="119" spans="1:12">
      <c r="A119" s="1907">
        <v>109</v>
      </c>
      <c r="B119" s="1908">
        <f t="shared" si="27"/>
        <v>218.00557557650001</v>
      </c>
      <c r="C119" s="1908"/>
      <c r="D119" s="1908">
        <f t="shared" si="28"/>
        <v>228.50375639450002</v>
      </c>
      <c r="E119" s="1908">
        <f t="shared" si="19"/>
        <v>271.00743410200005</v>
      </c>
      <c r="F119" s="1908"/>
      <c r="G119" s="1908">
        <f t="shared" si="24"/>
        <v>215.59312800000001</v>
      </c>
      <c r="H119" s="1908">
        <f t="shared" si="20"/>
        <v>195.8595</v>
      </c>
      <c r="I119" s="1847">
        <f t="shared" si="21"/>
        <v>190.87304777999998</v>
      </c>
      <c r="J119" s="1908">
        <f t="shared" si="22"/>
        <v>132.5307383644998</v>
      </c>
      <c r="K119" s="1908">
        <f t="shared" si="25"/>
        <v>209.46081389999998</v>
      </c>
      <c r="L119" s="1908">
        <f t="shared" si="23"/>
        <v>190.05398582750001</v>
      </c>
    </row>
    <row r="120" spans="1:12">
      <c r="A120" s="1907">
        <v>110</v>
      </c>
      <c r="B120" s="1908">
        <f t="shared" si="27"/>
        <v>219.50557557650001</v>
      </c>
      <c r="C120" s="1908"/>
      <c r="D120" s="1908">
        <f t="shared" si="28"/>
        <v>230.00375639450002</v>
      </c>
      <c r="E120" s="1908">
        <f t="shared" si="19"/>
        <v>273.00743410200005</v>
      </c>
      <c r="F120" s="1908"/>
      <c r="G120" s="1908">
        <f t="shared" si="24"/>
        <v>217.09312800000001</v>
      </c>
      <c r="H120" s="1908">
        <f t="shared" si="20"/>
        <v>197.3595</v>
      </c>
      <c r="I120" s="1847">
        <f t="shared" si="21"/>
        <v>192.37304777999998</v>
      </c>
      <c r="J120" s="1908">
        <f t="shared" si="22"/>
        <v>132.73073836449979</v>
      </c>
      <c r="K120" s="1908">
        <f t="shared" si="25"/>
        <v>210.96081389999998</v>
      </c>
      <c r="L120" s="1908">
        <f t="shared" si="23"/>
        <v>191.55398582750001</v>
      </c>
    </row>
    <row r="121" spans="1:12">
      <c r="A121" s="1907">
        <v>111</v>
      </c>
      <c r="B121" s="1908">
        <f t="shared" si="27"/>
        <v>221.00557557650001</v>
      </c>
      <c r="C121" s="1908"/>
      <c r="D121" s="1908">
        <f t="shared" si="28"/>
        <v>231.50375639450002</v>
      </c>
      <c r="E121" s="1908">
        <f t="shared" si="19"/>
        <v>275.00743410200005</v>
      </c>
      <c r="F121" s="1908"/>
      <c r="G121" s="1908">
        <f t="shared" si="24"/>
        <v>218.59312800000001</v>
      </c>
      <c r="H121" s="1908">
        <f t="shared" si="20"/>
        <v>198.8595</v>
      </c>
      <c r="I121" s="1847">
        <f t="shared" si="21"/>
        <v>193.87304777999998</v>
      </c>
      <c r="J121" s="1908">
        <f t="shared" si="22"/>
        <v>132.93073836449977</v>
      </c>
      <c r="K121" s="1908">
        <f t="shared" si="25"/>
        <v>212.46081389999998</v>
      </c>
      <c r="L121" s="1908">
        <f t="shared" si="23"/>
        <v>193.05398582750001</v>
      </c>
    </row>
    <row r="122" spans="1:12">
      <c r="A122" s="1907">
        <v>112</v>
      </c>
      <c r="B122" s="1908">
        <f t="shared" si="27"/>
        <v>222.50557557650001</v>
      </c>
      <c r="C122" s="1908"/>
      <c r="D122" s="1908">
        <f t="shared" si="28"/>
        <v>233.00375639450002</v>
      </c>
      <c r="E122" s="1908">
        <f t="shared" si="19"/>
        <v>277.00743410200005</v>
      </c>
      <c r="F122" s="1908"/>
      <c r="G122" s="1908">
        <f t="shared" si="24"/>
        <v>220.09312800000001</v>
      </c>
      <c r="H122" s="1908">
        <f t="shared" si="20"/>
        <v>200.3595</v>
      </c>
      <c r="I122" s="1847">
        <f t="shared" si="21"/>
        <v>195.37304777999998</v>
      </c>
      <c r="J122" s="1908">
        <f t="shared" si="22"/>
        <v>133.13073836449976</v>
      </c>
      <c r="K122" s="1908">
        <f t="shared" si="25"/>
        <v>213.96081389999998</v>
      </c>
      <c r="L122" s="1908">
        <f t="shared" si="23"/>
        <v>194.55398582750001</v>
      </c>
    </row>
    <row r="123" spans="1:12">
      <c r="A123" s="1907">
        <v>113</v>
      </c>
      <c r="B123" s="1908">
        <f t="shared" si="27"/>
        <v>224.00557557650001</v>
      </c>
      <c r="C123" s="1908"/>
      <c r="D123" s="1908">
        <f t="shared" si="28"/>
        <v>234.50375639450002</v>
      </c>
      <c r="E123" s="1908">
        <f t="shared" si="19"/>
        <v>279.00743410200005</v>
      </c>
      <c r="F123" s="1908"/>
      <c r="G123" s="1908">
        <f t="shared" si="24"/>
        <v>221.59312800000001</v>
      </c>
      <c r="H123" s="1908">
        <f t="shared" si="20"/>
        <v>201.8595</v>
      </c>
      <c r="I123" s="1847">
        <f t="shared" si="21"/>
        <v>196.87304777999998</v>
      </c>
      <c r="J123" s="1908">
        <f t="shared" si="22"/>
        <v>133.33073836449975</v>
      </c>
      <c r="K123" s="1908">
        <f t="shared" si="25"/>
        <v>215.46081389999998</v>
      </c>
      <c r="L123" s="1908">
        <f t="shared" si="23"/>
        <v>196.05398582750001</v>
      </c>
    </row>
    <row r="124" spans="1:12">
      <c r="A124" s="1907">
        <v>114</v>
      </c>
      <c r="B124" s="1908">
        <f t="shared" si="27"/>
        <v>225.50557557650001</v>
      </c>
      <c r="C124" s="1908"/>
      <c r="D124" s="1908">
        <f t="shared" si="28"/>
        <v>236.00375639450002</v>
      </c>
      <c r="E124" s="1908">
        <f t="shared" si="19"/>
        <v>281.00743410200005</v>
      </c>
      <c r="F124" s="1908"/>
      <c r="G124" s="1908">
        <f t="shared" si="24"/>
        <v>223.09312800000001</v>
      </c>
      <c r="H124" s="1908">
        <f t="shared" si="20"/>
        <v>203.3595</v>
      </c>
      <c r="I124" s="1847">
        <f t="shared" si="21"/>
        <v>198.37304777999998</v>
      </c>
      <c r="J124" s="1908">
        <f t="shared" si="22"/>
        <v>133.53073836449974</v>
      </c>
      <c r="K124" s="1908">
        <f t="shared" si="25"/>
        <v>216.96081389999998</v>
      </c>
      <c r="L124" s="1908">
        <f t="shared" si="23"/>
        <v>197.55398582750001</v>
      </c>
    </row>
    <row r="125" spans="1:12">
      <c r="A125" s="1907">
        <v>115</v>
      </c>
      <c r="B125" s="1908">
        <f t="shared" si="27"/>
        <v>227.00557557650001</v>
      </c>
      <c r="C125" s="1908"/>
      <c r="D125" s="1908">
        <f t="shared" si="28"/>
        <v>237.50375639450002</v>
      </c>
      <c r="E125" s="1908">
        <f t="shared" si="19"/>
        <v>283.00743410200005</v>
      </c>
      <c r="F125" s="1908"/>
      <c r="G125" s="1908">
        <f t="shared" si="24"/>
        <v>224.59312800000001</v>
      </c>
      <c r="H125" s="1908">
        <f t="shared" si="20"/>
        <v>204.8595</v>
      </c>
      <c r="I125" s="1847">
        <f t="shared" si="21"/>
        <v>199.87304777999998</v>
      </c>
      <c r="J125" s="1908">
        <f t="shared" si="22"/>
        <v>133.73073836449973</v>
      </c>
      <c r="K125" s="1908">
        <f t="shared" si="25"/>
        <v>218.46081389999998</v>
      </c>
      <c r="L125" s="1908">
        <f t="shared" si="23"/>
        <v>199.05398582750001</v>
      </c>
    </row>
    <row r="126" spans="1:12">
      <c r="A126" s="1907">
        <v>116</v>
      </c>
      <c r="B126" s="1908">
        <f t="shared" si="27"/>
        <v>228.50557557650001</v>
      </c>
      <c r="C126" s="1908"/>
      <c r="D126" s="1908">
        <f t="shared" si="28"/>
        <v>239.00375639450002</v>
      </c>
      <c r="E126" s="1908">
        <f t="shared" si="19"/>
        <v>285.00743410200005</v>
      </c>
      <c r="F126" s="1908"/>
      <c r="G126" s="1908">
        <f t="shared" si="24"/>
        <v>226.09312800000001</v>
      </c>
      <c r="H126" s="1908">
        <f t="shared" si="20"/>
        <v>206.3595</v>
      </c>
      <c r="I126" s="1847">
        <f t="shared" si="21"/>
        <v>201.37304777999998</v>
      </c>
      <c r="J126" s="1908">
        <f t="shared" si="22"/>
        <v>133.93073836449972</v>
      </c>
      <c r="K126" s="1908">
        <f t="shared" si="25"/>
        <v>219.96081389999998</v>
      </c>
      <c r="L126" s="1908">
        <f t="shared" si="23"/>
        <v>200.55398582750001</v>
      </c>
    </row>
    <row r="127" spans="1:12">
      <c r="A127" s="1907">
        <v>117</v>
      </c>
      <c r="B127" s="1908">
        <f t="shared" si="27"/>
        <v>230.00557557650001</v>
      </c>
      <c r="C127" s="1908"/>
      <c r="D127" s="1908">
        <f t="shared" si="28"/>
        <v>240.50375639450002</v>
      </c>
      <c r="E127" s="1908">
        <f t="shared" si="19"/>
        <v>287.00743410200005</v>
      </c>
      <c r="F127" s="1908"/>
      <c r="G127" s="1908">
        <f t="shared" si="24"/>
        <v>227.59312800000001</v>
      </c>
      <c r="H127" s="1908">
        <f t="shared" si="20"/>
        <v>207.8595</v>
      </c>
      <c r="I127" s="1847">
        <f t="shared" si="21"/>
        <v>202.87304777999998</v>
      </c>
      <c r="J127" s="1908">
        <f t="shared" si="22"/>
        <v>134.13073836449971</v>
      </c>
      <c r="K127" s="1908">
        <f t="shared" si="25"/>
        <v>221.46081389999998</v>
      </c>
      <c r="L127" s="1908">
        <f t="shared" si="23"/>
        <v>202.05398582750001</v>
      </c>
    </row>
    <row r="128" spans="1:12">
      <c r="A128" s="1907">
        <v>118</v>
      </c>
      <c r="B128" s="1908">
        <f t="shared" si="27"/>
        <v>231.50557557650001</v>
      </c>
      <c r="C128" s="1908"/>
      <c r="D128" s="1908">
        <f t="shared" si="28"/>
        <v>242.00375639450002</v>
      </c>
      <c r="E128" s="1908">
        <f t="shared" si="19"/>
        <v>289.00743410200005</v>
      </c>
      <c r="F128" s="1908"/>
      <c r="G128" s="1908">
        <f t="shared" si="24"/>
        <v>229.09312800000001</v>
      </c>
      <c r="H128" s="1908">
        <f t="shared" si="20"/>
        <v>209.3595</v>
      </c>
      <c r="I128" s="1847">
        <f t="shared" si="21"/>
        <v>204.37304777999998</v>
      </c>
      <c r="J128" s="1908">
        <f t="shared" si="22"/>
        <v>134.33073836449969</v>
      </c>
      <c r="K128" s="1908">
        <f t="shared" si="25"/>
        <v>222.96081389999998</v>
      </c>
      <c r="L128" s="1908">
        <f t="shared" si="23"/>
        <v>203.55398582750001</v>
      </c>
    </row>
    <row r="129" spans="1:12">
      <c r="A129" s="1907">
        <v>119</v>
      </c>
      <c r="B129" s="1908">
        <f t="shared" si="27"/>
        <v>233.00557557650001</v>
      </c>
      <c r="C129" s="1908"/>
      <c r="D129" s="1908">
        <f t="shared" si="28"/>
        <v>243.50375639450002</v>
      </c>
      <c r="E129" s="1908">
        <f t="shared" si="19"/>
        <v>291.00743410200005</v>
      </c>
      <c r="F129" s="1908"/>
      <c r="G129" s="1908">
        <f t="shared" si="24"/>
        <v>230.59312800000001</v>
      </c>
      <c r="H129" s="1908">
        <f t="shared" si="20"/>
        <v>210.8595</v>
      </c>
      <c r="I129" s="1847">
        <f t="shared" si="21"/>
        <v>205.87304777999998</v>
      </c>
      <c r="J129" s="1908">
        <f t="shared" si="22"/>
        <v>134.53073836449968</v>
      </c>
      <c r="K129" s="1908">
        <f t="shared" si="25"/>
        <v>224.46081389999998</v>
      </c>
      <c r="L129" s="1908">
        <f t="shared" si="23"/>
        <v>205.05398582750001</v>
      </c>
    </row>
    <row r="130" spans="1:12">
      <c r="A130" s="1907">
        <v>120</v>
      </c>
      <c r="B130" s="1908">
        <f t="shared" si="27"/>
        <v>234.50557557650001</v>
      </c>
      <c r="C130" s="1908"/>
      <c r="D130" s="1908">
        <f t="shared" si="28"/>
        <v>245.00375639450002</v>
      </c>
      <c r="E130" s="1908">
        <f t="shared" si="19"/>
        <v>293.00743410200005</v>
      </c>
      <c r="F130" s="1908"/>
      <c r="G130" s="1908">
        <f t="shared" si="24"/>
        <v>232.09312800000001</v>
      </c>
      <c r="H130" s="1908">
        <f t="shared" si="20"/>
        <v>212.3595</v>
      </c>
      <c r="I130" s="1847">
        <f t="shared" si="21"/>
        <v>207.37304777999998</v>
      </c>
      <c r="J130" s="1908">
        <f t="shared" si="22"/>
        <v>134.73073836449967</v>
      </c>
      <c r="K130" s="1908">
        <f t="shared" si="25"/>
        <v>225.96081389999998</v>
      </c>
      <c r="L130" s="1908">
        <f t="shared" si="23"/>
        <v>206.55398582750001</v>
      </c>
    </row>
  </sheetData>
  <protectedRanges>
    <protectedRange sqref="M8:N34 K8:K34" name="Område1"/>
  </protectedRanges>
  <mergeCells count="2">
    <mergeCell ref="I4:J4"/>
    <mergeCell ref="M4:N4"/>
  </mergeCells>
  <pageMargins left="0.75" right="0.75" top="1" bottom="1" header="0.5" footer="0.5"/>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2"/>
  <dimension ref="A1:DD335"/>
  <sheetViews>
    <sheetView topLeftCell="BV1" zoomScale="70" zoomScaleNormal="7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1.140625" customWidth="1"/>
    <col min="13" max="13" width="20.28515625" customWidth="1"/>
    <col min="14" max="14" width="11.7109375" customWidth="1"/>
    <col min="15" max="15" width="12.28515625" bestFit="1" customWidth="1"/>
    <col min="17" max="17" width="10.28515625" customWidth="1"/>
    <col min="18" max="18" width="12.7109375" customWidth="1"/>
    <col min="25" max="25" width="20.28515625" customWidth="1"/>
    <col min="26" max="26" width="11.7109375" customWidth="1"/>
    <col min="27" max="27" width="12.28515625" bestFit="1" customWidth="1"/>
    <col min="29" max="29" width="10.28515625" customWidth="1"/>
    <col min="30" max="30" width="12.7109375" customWidth="1"/>
    <col min="37" max="37" width="20.28515625" customWidth="1"/>
    <col min="38" max="38" width="11.7109375" customWidth="1"/>
    <col min="39" max="39" width="12.28515625" bestFit="1" customWidth="1"/>
    <col min="41" max="41" width="10.28515625" customWidth="1"/>
    <col min="42" max="42" width="12.7109375" customWidth="1"/>
    <col min="49" max="49" width="20.28515625" customWidth="1"/>
    <col min="50" max="50" width="11.7109375" customWidth="1"/>
    <col min="51" max="51" width="12.28515625" bestFit="1" customWidth="1"/>
    <col min="53" max="53" width="10.28515625" customWidth="1"/>
    <col min="54" max="54" width="12.7109375" customWidth="1"/>
    <col min="61" max="61" width="20.28515625" customWidth="1"/>
    <col min="62" max="62" width="11.7109375" customWidth="1"/>
    <col min="63" max="63" width="12.28515625" bestFit="1" customWidth="1"/>
    <col min="65" max="65" width="10.28515625" customWidth="1"/>
    <col min="66" max="66" width="12.7109375" customWidth="1"/>
    <col min="73" max="73" width="20.28515625" customWidth="1"/>
    <col min="74" max="74" width="11.7109375" customWidth="1"/>
    <col min="75" max="75" width="12.28515625" bestFit="1" customWidth="1"/>
    <col min="77" max="77" width="10.28515625" customWidth="1"/>
    <col min="78" max="78" width="12.7109375" customWidth="1"/>
    <col min="85" max="85" width="20.28515625" customWidth="1"/>
    <col min="86" max="86" width="11.7109375" customWidth="1"/>
    <col min="87" max="87" width="12.28515625" bestFit="1" customWidth="1"/>
    <col min="89" max="89" width="10.28515625" customWidth="1"/>
    <col min="90" max="90" width="12.7109375" customWidth="1"/>
    <col min="97" max="97" width="20.28515625" customWidth="1"/>
    <col min="98" max="98" width="11.7109375" customWidth="1"/>
    <col min="99" max="99" width="12.28515625" bestFit="1" customWidth="1"/>
    <col min="101" max="101" width="10.28515625" customWidth="1"/>
    <col min="102" max="102" width="12.7109375" customWidth="1"/>
  </cols>
  <sheetData>
    <row r="1" spans="1:108" ht="25.5">
      <c r="A1" s="2182" t="s">
        <v>1188</v>
      </c>
      <c r="B1" s="263"/>
      <c r="C1" s="263"/>
      <c r="D1" s="263"/>
      <c r="E1" s="263"/>
      <c r="F1" s="263"/>
      <c r="G1" s="263"/>
      <c r="H1" s="263"/>
      <c r="I1" s="263"/>
      <c r="J1" s="263"/>
      <c r="K1" s="263"/>
      <c r="L1" s="263"/>
      <c r="M1" s="2182" t="s">
        <v>1189</v>
      </c>
      <c r="N1" s="263"/>
      <c r="O1" s="263"/>
      <c r="P1" s="263"/>
      <c r="Q1" s="263"/>
      <c r="R1" s="263"/>
      <c r="S1" s="263"/>
      <c r="T1" s="263"/>
      <c r="U1" s="263"/>
      <c r="V1" s="263"/>
      <c r="W1" s="263"/>
      <c r="X1" s="263"/>
      <c r="Y1" s="2182" t="s">
        <v>1190</v>
      </c>
      <c r="Z1" s="263"/>
      <c r="AA1" s="263"/>
      <c r="AB1" s="263"/>
      <c r="AC1" s="263"/>
      <c r="AD1" s="263"/>
      <c r="AE1" s="263"/>
      <c r="AF1" s="263"/>
      <c r="AG1" s="263"/>
      <c r="AH1" s="263"/>
      <c r="AI1" s="263"/>
      <c r="AJ1" s="263"/>
      <c r="AK1" s="2182" t="s">
        <v>1191</v>
      </c>
      <c r="AL1" s="263"/>
      <c r="AM1" s="263"/>
      <c r="AN1" s="263"/>
      <c r="AO1" s="263"/>
      <c r="AP1" s="263"/>
      <c r="AQ1" s="263"/>
      <c r="AR1" s="263"/>
      <c r="AS1" s="263"/>
      <c r="AT1" s="263"/>
      <c r="AU1" s="263"/>
      <c r="AV1" s="263"/>
      <c r="AW1" s="2182" t="s">
        <v>1192</v>
      </c>
      <c r="AX1" s="263"/>
      <c r="AY1" s="263"/>
      <c r="AZ1" s="263"/>
      <c r="BA1" s="263"/>
      <c r="BB1" s="263"/>
      <c r="BC1" s="263"/>
      <c r="BD1" s="263"/>
      <c r="BE1" s="263"/>
      <c r="BF1" s="263"/>
      <c r="BG1" s="263"/>
      <c r="BH1" s="263"/>
      <c r="BI1" s="2182" t="s">
        <v>1193</v>
      </c>
      <c r="BJ1" s="263"/>
      <c r="BK1" s="263"/>
      <c r="BL1" s="263"/>
      <c r="BM1" s="263"/>
      <c r="BN1" s="263"/>
      <c r="BO1" s="263"/>
      <c r="BP1" s="263"/>
      <c r="BQ1" s="263"/>
      <c r="BR1" s="263"/>
      <c r="BS1" s="263"/>
      <c r="BT1" s="263"/>
      <c r="BU1" s="2182" t="s">
        <v>1194</v>
      </c>
      <c r="BV1" s="263"/>
      <c r="BW1" s="263"/>
      <c r="BX1" s="263"/>
      <c r="BY1" s="263"/>
      <c r="BZ1" s="263"/>
      <c r="CA1" s="263"/>
      <c r="CB1" s="263"/>
      <c r="CC1" s="263"/>
      <c r="CD1" s="263"/>
      <c r="CE1" s="263"/>
      <c r="CF1" s="263"/>
      <c r="CG1" s="2182" t="s">
        <v>1195</v>
      </c>
      <c r="CH1" s="263"/>
      <c r="CI1" s="263"/>
      <c r="CJ1" s="263"/>
      <c r="CK1" s="263"/>
      <c r="CL1" s="263"/>
      <c r="CM1" s="263"/>
      <c r="CN1" s="263"/>
      <c r="CO1" s="263"/>
      <c r="CP1" s="263"/>
      <c r="CQ1" s="263"/>
      <c r="CR1" s="263"/>
      <c r="CS1" s="2182" t="s">
        <v>1196</v>
      </c>
      <c r="CT1" s="263"/>
      <c r="CU1" s="263"/>
      <c r="CV1" s="263"/>
      <c r="CW1" s="263"/>
      <c r="CX1" s="263"/>
      <c r="CY1" s="263"/>
      <c r="CZ1" s="263"/>
      <c r="DA1" s="263"/>
      <c r="DB1" s="263"/>
      <c r="DC1" s="263"/>
      <c r="DD1" s="263"/>
    </row>
    <row r="2" spans="1:108">
      <c r="A2" s="263"/>
      <c r="B2" s="263"/>
      <c r="C2" s="263"/>
      <c r="D2" s="263"/>
      <c r="E2" s="263"/>
      <c r="F2" s="263"/>
      <c r="G2" s="263"/>
      <c r="H2" s="263"/>
      <c r="I2" s="263"/>
      <c r="J2" s="263"/>
      <c r="K2" s="263"/>
      <c r="L2" s="263"/>
      <c r="M2" s="263"/>
      <c r="N2" s="263"/>
      <c r="O2" s="263"/>
      <c r="P2" s="263"/>
      <c r="Q2" s="263"/>
      <c r="R2" s="263"/>
      <c r="S2" s="263"/>
      <c r="T2" s="263"/>
      <c r="U2" s="263"/>
      <c r="V2" s="263"/>
      <c r="W2" s="263"/>
      <c r="X2" s="263"/>
      <c r="Y2" s="263"/>
      <c r="Z2" s="263"/>
      <c r="AA2" s="263"/>
      <c r="AB2" s="263"/>
      <c r="AC2" s="263"/>
      <c r="AD2" s="263"/>
      <c r="AE2" s="263"/>
      <c r="AF2" s="263"/>
      <c r="AG2" s="263"/>
      <c r="AH2" s="263"/>
      <c r="AI2" s="263"/>
      <c r="AJ2" s="263"/>
      <c r="AK2" s="263"/>
      <c r="AL2" s="263"/>
      <c r="AM2" s="263"/>
      <c r="AN2" s="263"/>
      <c r="AO2" s="263"/>
      <c r="AP2" s="263"/>
      <c r="AQ2" s="263"/>
      <c r="AR2" s="263"/>
      <c r="AS2" s="263"/>
      <c r="AT2" s="263"/>
      <c r="AU2" s="263"/>
      <c r="AV2" s="263"/>
      <c r="AW2" s="263"/>
      <c r="AX2" s="263"/>
      <c r="AY2" s="263"/>
      <c r="AZ2" s="263"/>
      <c r="BA2" s="263"/>
      <c r="BB2" s="263"/>
      <c r="BC2" s="263"/>
      <c r="BD2" s="263"/>
      <c r="BE2" s="263"/>
      <c r="BF2" s="263"/>
      <c r="BG2" s="263"/>
      <c r="BH2" s="263"/>
      <c r="BI2" s="263"/>
      <c r="BJ2" s="263"/>
      <c r="BK2" s="263"/>
      <c r="BL2" s="263"/>
      <c r="BM2" s="263"/>
      <c r="BN2" s="263"/>
      <c r="BO2" s="263"/>
      <c r="BP2" s="263"/>
      <c r="BQ2" s="263"/>
      <c r="BR2" s="263"/>
      <c r="BS2" s="263"/>
      <c r="BT2" s="263"/>
      <c r="BU2" s="263"/>
      <c r="BV2" s="263"/>
      <c r="BW2" s="263"/>
      <c r="BX2" s="263"/>
      <c r="BY2" s="263"/>
      <c r="BZ2" s="263"/>
      <c r="CA2" s="263"/>
      <c r="CB2" s="263"/>
      <c r="CC2" s="263"/>
      <c r="CD2" s="263"/>
      <c r="CE2" s="263"/>
      <c r="CF2" s="263"/>
      <c r="CG2" s="263"/>
      <c r="CH2" s="263"/>
      <c r="CI2" s="263"/>
      <c r="CJ2" s="263"/>
      <c r="CK2" s="263"/>
      <c r="CL2" s="263"/>
      <c r="CM2" s="263"/>
      <c r="CN2" s="263"/>
      <c r="CO2" s="263"/>
      <c r="CP2" s="263"/>
      <c r="CQ2" s="263"/>
      <c r="CR2" s="263"/>
      <c r="CS2" s="263"/>
      <c r="CT2" s="263"/>
      <c r="CU2" s="263"/>
      <c r="CV2" s="263"/>
      <c r="CW2" s="263"/>
      <c r="CX2" s="263"/>
      <c r="CY2" s="263"/>
      <c r="CZ2" s="263"/>
      <c r="DA2" s="263"/>
      <c r="DB2" s="263"/>
      <c r="DC2" s="263"/>
      <c r="DD2" s="263"/>
    </row>
    <row r="3" spans="1:108">
      <c r="A3" s="263"/>
      <c r="B3" s="263"/>
      <c r="C3" s="263"/>
      <c r="D3" s="263"/>
      <c r="E3" s="263"/>
      <c r="F3" s="263"/>
      <c r="G3" s="263"/>
      <c r="H3" s="263"/>
      <c r="I3" s="263"/>
      <c r="J3" s="263"/>
      <c r="K3" s="263"/>
      <c r="L3" s="263"/>
      <c r="M3" s="263"/>
      <c r="N3" s="263"/>
      <c r="O3" s="263"/>
      <c r="P3" s="263"/>
      <c r="Q3" s="263"/>
      <c r="R3" s="263"/>
      <c r="S3" s="263"/>
      <c r="T3" s="263"/>
      <c r="U3" s="263"/>
      <c r="V3" s="263"/>
      <c r="W3" s="263"/>
      <c r="X3" s="263"/>
      <c r="Y3" s="263"/>
      <c r="Z3" s="263"/>
      <c r="AA3" s="263"/>
      <c r="AB3" s="263"/>
      <c r="AC3" s="263"/>
      <c r="AD3" s="263"/>
      <c r="AE3" s="263"/>
      <c r="AF3" s="263"/>
      <c r="AG3" s="263"/>
      <c r="AH3" s="263"/>
      <c r="AI3" s="263"/>
      <c r="AJ3" s="263"/>
      <c r="AK3" s="263"/>
      <c r="AL3" s="263"/>
      <c r="AM3" s="263"/>
      <c r="AN3" s="263"/>
      <c r="AO3" s="263"/>
      <c r="AP3" s="263"/>
      <c r="AQ3" s="263"/>
      <c r="AR3" s="263"/>
      <c r="AS3" s="263"/>
      <c r="AT3" s="263"/>
      <c r="AU3" s="263"/>
      <c r="AV3" s="263"/>
      <c r="AW3" s="263"/>
      <c r="AX3" s="263"/>
      <c r="AY3" s="263"/>
      <c r="AZ3" s="263"/>
      <c r="BA3" s="263"/>
      <c r="BB3" s="263"/>
      <c r="BC3" s="263"/>
      <c r="BD3" s="263"/>
      <c r="BE3" s="263"/>
      <c r="BF3" s="263"/>
      <c r="BG3" s="263"/>
      <c r="BH3" s="263"/>
      <c r="BI3" s="263"/>
      <c r="BJ3" s="263"/>
      <c r="BK3" s="263"/>
      <c r="BL3" s="263"/>
      <c r="BM3" s="263"/>
      <c r="BN3" s="263"/>
      <c r="BO3" s="263"/>
      <c r="BP3" s="263"/>
      <c r="BQ3" s="263"/>
      <c r="BR3" s="263"/>
      <c r="BS3" s="263"/>
      <c r="BT3" s="263"/>
      <c r="BU3" s="263"/>
      <c r="BV3" s="263"/>
      <c r="BW3" s="263"/>
      <c r="BX3" s="263"/>
      <c r="BY3" s="263"/>
      <c r="BZ3" s="263"/>
      <c r="CA3" s="263"/>
      <c r="CB3" s="263"/>
      <c r="CC3" s="263"/>
      <c r="CD3" s="263"/>
      <c r="CE3" s="263"/>
      <c r="CF3" s="263"/>
      <c r="CG3" s="263"/>
      <c r="CH3" s="263"/>
      <c r="CI3" s="263"/>
      <c r="CJ3" s="263"/>
      <c r="CK3" s="263"/>
      <c r="CL3" s="263"/>
      <c r="CM3" s="263"/>
      <c r="CN3" s="263"/>
      <c r="CO3" s="263"/>
      <c r="CP3" s="263"/>
      <c r="CQ3" s="263"/>
      <c r="CR3" s="263"/>
      <c r="CS3" s="263"/>
      <c r="CT3" s="263"/>
      <c r="CU3" s="263"/>
      <c r="CV3" s="263"/>
      <c r="CW3" s="263"/>
      <c r="CX3" s="263"/>
      <c r="CY3" s="263"/>
      <c r="CZ3" s="263"/>
      <c r="DA3" s="263"/>
      <c r="DB3" s="263"/>
      <c r="DC3" s="263"/>
      <c r="DD3" s="263"/>
    </row>
    <row r="4" spans="1:108">
      <c r="A4" s="2183"/>
      <c r="B4" s="267"/>
      <c r="C4" s="267"/>
      <c r="D4" s="267"/>
      <c r="E4" s="263"/>
      <c r="F4" s="263"/>
      <c r="G4" s="263"/>
      <c r="H4" s="263"/>
      <c r="I4" s="263"/>
      <c r="J4" s="263"/>
      <c r="K4" s="263"/>
      <c r="L4" s="263"/>
      <c r="M4" s="267"/>
      <c r="N4" s="267"/>
      <c r="O4" s="267"/>
      <c r="P4" s="267"/>
      <c r="Q4" s="263"/>
      <c r="R4" s="263"/>
      <c r="S4" s="263"/>
      <c r="T4" s="263"/>
      <c r="U4" s="263"/>
      <c r="V4" s="263"/>
      <c r="W4" s="263"/>
      <c r="X4" s="263"/>
      <c r="Y4" s="267"/>
      <c r="Z4" s="267"/>
      <c r="AA4" s="267"/>
      <c r="AB4" s="267"/>
      <c r="AC4" s="263"/>
      <c r="AD4" s="263"/>
      <c r="AE4" s="263"/>
      <c r="AF4" s="263"/>
      <c r="AG4" s="263"/>
      <c r="AH4" s="263"/>
      <c r="AI4" s="263"/>
      <c r="AJ4" s="263"/>
      <c r="AK4" s="2184"/>
      <c r="AL4" s="267"/>
      <c r="AM4" s="267"/>
      <c r="AN4" s="267"/>
      <c r="AO4" s="263"/>
      <c r="AP4" s="263"/>
      <c r="AQ4" s="263"/>
      <c r="AR4" s="263"/>
      <c r="AS4" s="263"/>
      <c r="AT4" s="263"/>
      <c r="AU4" s="263"/>
      <c r="AV4" s="263"/>
      <c r="AW4" s="263"/>
      <c r="AX4" s="263"/>
      <c r="AY4" s="263"/>
      <c r="AZ4" s="263"/>
      <c r="BA4" s="263"/>
      <c r="BB4" s="263"/>
      <c r="BC4" s="263"/>
      <c r="BD4" s="263"/>
      <c r="BE4" s="263"/>
      <c r="BF4" s="263"/>
      <c r="BG4" s="263"/>
      <c r="BH4" s="263"/>
      <c r="BI4" s="263"/>
      <c r="BJ4" s="263"/>
      <c r="BK4" s="263"/>
      <c r="BL4" s="263"/>
      <c r="BM4" s="263"/>
      <c r="BN4" s="263"/>
      <c r="BO4" s="263"/>
      <c r="BP4" s="263"/>
      <c r="BQ4" s="263"/>
      <c r="BR4" s="263"/>
      <c r="BS4" s="263"/>
      <c r="BT4" s="263"/>
      <c r="BU4" s="2184"/>
      <c r="BV4" s="267"/>
      <c r="BW4" s="267"/>
      <c r="BX4" s="267"/>
      <c r="BY4" s="263"/>
      <c r="BZ4" s="263"/>
      <c r="CA4" s="263"/>
      <c r="CB4" s="263"/>
      <c r="CC4" s="263"/>
      <c r="CD4" s="263"/>
      <c r="CE4" s="263"/>
      <c r="CF4" s="263"/>
      <c r="CG4" s="2184"/>
      <c r="CH4" s="267"/>
      <c r="CI4" s="267"/>
      <c r="CJ4" s="267"/>
      <c r="CK4" s="263"/>
      <c r="CL4" s="263"/>
      <c r="CM4" s="263"/>
      <c r="CN4" s="263"/>
      <c r="CO4" s="263"/>
      <c r="CP4" s="263"/>
      <c r="CQ4" s="263"/>
      <c r="CR4" s="263"/>
      <c r="CS4" s="263"/>
      <c r="CT4" s="263"/>
      <c r="CU4" s="263"/>
      <c r="CV4" s="263"/>
      <c r="CW4" s="263"/>
      <c r="CX4" s="263"/>
      <c r="CY4" s="263"/>
      <c r="CZ4" s="263"/>
      <c r="DA4" s="263"/>
      <c r="DB4" s="263"/>
      <c r="DC4" s="263"/>
      <c r="DD4" s="263"/>
    </row>
    <row r="5" spans="1:108">
      <c r="A5" s="2185"/>
      <c r="B5" s="1469"/>
      <c r="C5" s="2186"/>
      <c r="D5" s="319"/>
      <c r="E5" s="320"/>
      <c r="F5" s="320"/>
      <c r="G5" s="320"/>
      <c r="H5" s="2187"/>
      <c r="I5" s="267"/>
      <c r="J5" s="267"/>
      <c r="K5" s="267"/>
      <c r="L5" s="267"/>
      <c r="M5" s="2185"/>
      <c r="N5" s="1469"/>
      <c r="O5" s="2186"/>
      <c r="P5" s="319"/>
      <c r="Q5" s="320"/>
      <c r="R5" s="320"/>
      <c r="S5" s="320"/>
      <c r="T5" s="2187"/>
      <c r="U5" s="267"/>
      <c r="V5" s="267"/>
      <c r="W5" s="267"/>
      <c r="X5" s="267"/>
      <c r="Y5" s="2185"/>
      <c r="Z5" s="1469"/>
      <c r="AA5" s="2186"/>
      <c r="AB5" s="319"/>
      <c r="AC5" s="320"/>
      <c r="AD5" s="320"/>
      <c r="AE5" s="320"/>
      <c r="AF5" s="2187"/>
      <c r="AG5" s="267"/>
      <c r="AH5" s="267"/>
      <c r="AI5" s="267"/>
      <c r="AJ5" s="267"/>
      <c r="AK5" s="2188"/>
      <c r="AL5" s="1469"/>
      <c r="AM5" s="2186"/>
      <c r="AN5" s="319"/>
      <c r="AO5" s="320"/>
      <c r="AP5" s="320"/>
      <c r="AQ5" s="320"/>
      <c r="AR5" s="2187"/>
      <c r="AS5" s="267"/>
      <c r="AT5" s="267"/>
      <c r="AU5" s="267"/>
      <c r="AV5" s="267"/>
      <c r="AW5" s="2185"/>
      <c r="AX5" s="1469"/>
      <c r="AY5" s="2186"/>
      <c r="AZ5" s="319"/>
      <c r="BA5" s="320"/>
      <c r="BB5" s="320"/>
      <c r="BC5" s="320"/>
      <c r="BD5" s="2187"/>
      <c r="BE5" s="267"/>
      <c r="BF5" s="267"/>
      <c r="BG5" s="267"/>
      <c r="BH5" s="263"/>
      <c r="BI5" s="2185"/>
      <c r="BJ5" s="1469"/>
      <c r="BK5" s="2186"/>
      <c r="BL5" s="319"/>
      <c r="BM5" s="320"/>
      <c r="BN5" s="320"/>
      <c r="BO5" s="320"/>
      <c r="BP5" s="2187"/>
      <c r="BQ5" s="267"/>
      <c r="BR5" s="267"/>
      <c r="BS5" s="267"/>
      <c r="BT5" s="263"/>
      <c r="BU5" s="2188"/>
      <c r="BV5" s="1469"/>
      <c r="BW5" s="2186"/>
      <c r="BX5" s="319"/>
      <c r="BY5" s="320"/>
      <c r="BZ5" s="320"/>
      <c r="CA5" s="320"/>
      <c r="CB5" s="2187"/>
      <c r="CC5" s="267"/>
      <c r="CD5" s="267"/>
      <c r="CE5" s="267"/>
      <c r="CF5" s="263"/>
      <c r="CG5" s="2188"/>
      <c r="CH5" s="1469"/>
      <c r="CI5" s="2186"/>
      <c r="CJ5" s="319"/>
      <c r="CK5" s="320"/>
      <c r="CL5" s="320"/>
      <c r="CM5" s="320"/>
      <c r="CN5" s="2187"/>
      <c r="CO5" s="267"/>
      <c r="CP5" s="267"/>
      <c r="CQ5" s="267"/>
      <c r="CR5" s="263"/>
      <c r="CS5" s="2185"/>
      <c r="CT5" s="1469"/>
      <c r="CU5" s="2186"/>
      <c r="CV5" s="319"/>
      <c r="CW5" s="320"/>
      <c r="CX5" s="320"/>
      <c r="CY5" s="320"/>
      <c r="CZ5" s="2187"/>
      <c r="DA5" s="267"/>
      <c r="DB5" s="267"/>
      <c r="DC5" s="267"/>
      <c r="DD5" s="263"/>
    </row>
    <row r="6" spans="1:108">
      <c r="A6" s="2188"/>
      <c r="B6" s="357"/>
      <c r="C6" s="2189"/>
      <c r="D6" s="323"/>
      <c r="E6" s="331" t="s">
        <v>1121</v>
      </c>
      <c r="F6" s="326"/>
      <c r="G6" s="326"/>
      <c r="H6" s="2190"/>
      <c r="I6" s="267"/>
      <c r="J6" s="267"/>
      <c r="K6" s="267"/>
      <c r="L6" s="267"/>
      <c r="M6" s="2188"/>
      <c r="N6" s="357"/>
      <c r="O6" s="2189"/>
      <c r="P6" s="323"/>
      <c r="Q6" s="331" t="s">
        <v>1121</v>
      </c>
      <c r="R6" s="326"/>
      <c r="S6" s="326"/>
      <c r="T6" s="2190"/>
      <c r="U6" s="267"/>
      <c r="V6" s="267"/>
      <c r="W6" s="267"/>
      <c r="X6" s="267"/>
      <c r="Y6" s="2188"/>
      <c r="Z6" s="357"/>
      <c r="AA6" s="2189"/>
      <c r="AB6" s="323"/>
      <c r="AC6" s="331" t="s">
        <v>1121</v>
      </c>
      <c r="AD6" s="326"/>
      <c r="AE6" s="326"/>
      <c r="AF6" s="2190"/>
      <c r="AG6" s="267"/>
      <c r="AH6" s="267"/>
      <c r="AI6" s="267"/>
      <c r="AJ6" s="267"/>
      <c r="AK6" s="2188"/>
      <c r="AL6" s="357"/>
      <c r="AM6" s="2189"/>
      <c r="AN6" s="323"/>
      <c r="AO6" s="331" t="s">
        <v>1121</v>
      </c>
      <c r="AP6" s="326"/>
      <c r="AQ6" s="326"/>
      <c r="AR6" s="2190"/>
      <c r="AS6" s="267"/>
      <c r="AT6" s="267"/>
      <c r="AU6" s="267"/>
      <c r="AV6" s="267"/>
      <c r="AW6" s="2188"/>
      <c r="AX6" s="357"/>
      <c r="AY6" s="2189"/>
      <c r="AZ6" s="323"/>
      <c r="BA6" s="331" t="s">
        <v>1122</v>
      </c>
      <c r="BB6" s="326"/>
      <c r="BC6" s="326"/>
      <c r="BD6" s="2190"/>
      <c r="BE6" s="267"/>
      <c r="BF6" s="267"/>
      <c r="BG6" s="267"/>
      <c r="BH6" s="263"/>
      <c r="BI6" s="2188"/>
      <c r="BJ6" s="357"/>
      <c r="BK6" s="2189"/>
      <c r="BL6" s="323"/>
      <c r="BM6" s="331" t="s">
        <v>1122</v>
      </c>
      <c r="BN6" s="326"/>
      <c r="BO6" s="326"/>
      <c r="BP6" s="2190"/>
      <c r="BQ6" s="267"/>
      <c r="BR6" s="267"/>
      <c r="BS6" s="267"/>
      <c r="BT6" s="263"/>
      <c r="BU6" s="2188"/>
      <c r="BV6" s="357"/>
      <c r="BW6" s="2189"/>
      <c r="BX6" s="323"/>
      <c r="BY6" s="331" t="s">
        <v>1121</v>
      </c>
      <c r="BZ6" s="326"/>
      <c r="CA6" s="326"/>
      <c r="CB6" s="2190"/>
      <c r="CC6" s="267"/>
      <c r="CD6" s="267"/>
      <c r="CE6" s="267"/>
      <c r="CF6" s="263"/>
      <c r="CG6" s="2188"/>
      <c r="CH6" s="357"/>
      <c r="CI6" s="2189"/>
      <c r="CJ6" s="323"/>
      <c r="CK6" s="331" t="s">
        <v>1121</v>
      </c>
      <c r="CL6" s="326"/>
      <c r="CM6" s="326"/>
      <c r="CN6" s="2190"/>
      <c r="CO6" s="267"/>
      <c r="CP6" s="267"/>
      <c r="CQ6" s="267"/>
      <c r="CR6" s="263"/>
      <c r="CS6" s="2188"/>
      <c r="CT6" s="357"/>
      <c r="CU6" s="2189"/>
      <c r="CV6" s="323"/>
      <c r="CW6" s="331" t="s">
        <v>1122</v>
      </c>
      <c r="CX6" s="326"/>
      <c r="CY6" s="326"/>
      <c r="CZ6" s="2190"/>
      <c r="DA6" s="267"/>
      <c r="DB6" s="267"/>
      <c r="DC6" s="267"/>
      <c r="DD6" s="263"/>
    </row>
    <row r="7" spans="1:108">
      <c r="A7" s="2188" t="s">
        <v>1123</v>
      </c>
      <c r="B7" s="2191">
        <f>'"Kvävesimulator"'!U20</f>
        <v>1.4</v>
      </c>
      <c r="C7" s="2189" t="s">
        <v>103</v>
      </c>
      <c r="D7" s="323"/>
      <c r="E7" s="2192" t="s">
        <v>1124</v>
      </c>
      <c r="F7" s="2192" t="s">
        <v>727</v>
      </c>
      <c r="G7" s="308"/>
      <c r="H7" s="2190"/>
      <c r="I7" s="267"/>
      <c r="J7" s="267"/>
      <c r="K7" s="267"/>
      <c r="L7" s="267"/>
      <c r="M7" s="2188" t="s">
        <v>1123</v>
      </c>
      <c r="N7" s="2191">
        <f>'"Kvävesimulator"'!U22</f>
        <v>1.47</v>
      </c>
      <c r="O7" s="2189" t="s">
        <v>103</v>
      </c>
      <c r="P7" s="323"/>
      <c r="Q7" s="2192" t="s">
        <v>1124</v>
      </c>
      <c r="R7" s="2192" t="s">
        <v>727</v>
      </c>
      <c r="S7" s="308"/>
      <c r="T7" s="2190"/>
      <c r="U7" s="267"/>
      <c r="V7" s="267"/>
      <c r="W7" s="267"/>
      <c r="X7" s="267"/>
      <c r="Y7" s="2188" t="s">
        <v>1123</v>
      </c>
      <c r="Z7" s="2191">
        <f>'"Kvävesimulator"'!U24</f>
        <v>1.56</v>
      </c>
      <c r="AA7" s="2189" t="s">
        <v>103</v>
      </c>
      <c r="AB7" s="323"/>
      <c r="AC7" s="2192" t="s">
        <v>1124</v>
      </c>
      <c r="AD7" s="2192" t="s">
        <v>727</v>
      </c>
      <c r="AE7" s="308"/>
      <c r="AF7" s="2190"/>
      <c r="AG7" s="267"/>
      <c r="AH7" s="267"/>
      <c r="AI7" s="267"/>
      <c r="AJ7" s="267"/>
      <c r="AK7" s="2188" t="s">
        <v>1123</v>
      </c>
      <c r="AL7" s="2191">
        <f>'"Kvävesimulator"'!U26</f>
        <v>1.1299999999999999</v>
      </c>
      <c r="AM7" s="2189" t="s">
        <v>103</v>
      </c>
      <c r="AN7" s="323"/>
      <c r="AO7" s="2192" t="s">
        <v>1124</v>
      </c>
      <c r="AP7" s="2192" t="s">
        <v>727</v>
      </c>
      <c r="AQ7" s="308"/>
      <c r="AR7" s="2190"/>
      <c r="AS7" s="267"/>
      <c r="AT7" s="267"/>
      <c r="AU7" s="267"/>
      <c r="AV7" s="267"/>
      <c r="AW7" s="2188" t="s">
        <v>1123</v>
      </c>
      <c r="AX7" s="2191">
        <f>'"Kvävesimulator"'!U28</f>
        <v>1.31</v>
      </c>
      <c r="AY7" s="2189" t="s">
        <v>103</v>
      </c>
      <c r="AZ7" s="323"/>
      <c r="BA7" s="2192" t="s">
        <v>1124</v>
      </c>
      <c r="BB7" s="2192" t="s">
        <v>727</v>
      </c>
      <c r="BC7" s="308"/>
      <c r="BD7" s="2190"/>
      <c r="BE7" s="267"/>
      <c r="BF7" s="267"/>
      <c r="BG7" s="267"/>
      <c r="BH7" s="263"/>
      <c r="BI7" s="2188" t="s">
        <v>1123</v>
      </c>
      <c r="BJ7" s="2191">
        <f>'"Kvävesimulator"'!U30</f>
        <v>1.62</v>
      </c>
      <c r="BK7" s="2189" t="s">
        <v>103</v>
      </c>
      <c r="BL7" s="323"/>
      <c r="BM7" s="2192" t="s">
        <v>1124</v>
      </c>
      <c r="BN7" s="2192" t="s">
        <v>727</v>
      </c>
      <c r="BO7" s="308"/>
      <c r="BP7" s="2190"/>
      <c r="BQ7" s="267"/>
      <c r="BR7" s="267"/>
      <c r="BS7" s="267"/>
      <c r="BT7" s="263"/>
      <c r="BU7" s="2188" t="s">
        <v>1123</v>
      </c>
      <c r="BV7" s="2191">
        <f>'"Kvävesimulator"'!U32</f>
        <v>1.1299999999999999</v>
      </c>
      <c r="BW7" s="2189" t="s">
        <v>103</v>
      </c>
      <c r="BX7" s="323"/>
      <c r="BY7" s="2192" t="s">
        <v>1124</v>
      </c>
      <c r="BZ7" s="2192" t="s">
        <v>727</v>
      </c>
      <c r="CA7" s="308"/>
      <c r="CB7" s="2190"/>
      <c r="CC7" s="267"/>
      <c r="CD7" s="267"/>
      <c r="CE7" s="267"/>
      <c r="CF7" s="263"/>
      <c r="CG7" s="2188" t="s">
        <v>1123</v>
      </c>
      <c r="CH7" s="2191">
        <f>'"Kvävesimulator"'!U34</f>
        <v>1.25</v>
      </c>
      <c r="CI7" s="2189" t="s">
        <v>103</v>
      </c>
      <c r="CJ7" s="323"/>
      <c r="CK7" s="2192" t="s">
        <v>1124</v>
      </c>
      <c r="CL7" s="2192" t="s">
        <v>727</v>
      </c>
      <c r="CM7" s="308"/>
      <c r="CN7" s="2190"/>
      <c r="CO7" s="267"/>
      <c r="CP7" s="267"/>
      <c r="CQ7" s="267"/>
      <c r="CR7" s="263"/>
      <c r="CS7" s="2188" t="s">
        <v>1123</v>
      </c>
      <c r="CT7" s="2191">
        <f>'"Kvävesimulator"'!U36</f>
        <v>1.6</v>
      </c>
      <c r="CU7" s="2189" t="s">
        <v>103</v>
      </c>
      <c r="CV7" s="323"/>
      <c r="CW7" s="2192" t="s">
        <v>1124</v>
      </c>
      <c r="CX7" s="2192" t="s">
        <v>727</v>
      </c>
      <c r="CY7" s="308"/>
      <c r="CZ7" s="2190"/>
      <c r="DA7" s="267"/>
      <c r="DB7" s="267"/>
      <c r="DC7" s="267"/>
      <c r="DD7" s="263"/>
    </row>
    <row r="8" spans="1:108">
      <c r="A8" s="2188" t="s">
        <v>1125</v>
      </c>
      <c r="B8" s="2191">
        <f>'"Kvävesimulator"'!S8</f>
        <v>11.3</v>
      </c>
      <c r="C8" s="2189" t="s">
        <v>103</v>
      </c>
      <c r="D8" s="323"/>
      <c r="E8" s="310">
        <v>30</v>
      </c>
      <c r="F8" s="2194">
        <f t="shared" ref="F8:F16" si="0">$B$12+(E8-$B$14/100)*$B$16</f>
        <v>86.122109559554502</v>
      </c>
      <c r="G8" s="308"/>
      <c r="H8" s="2190"/>
      <c r="I8" s="267"/>
      <c r="J8" s="267"/>
      <c r="K8" s="267"/>
      <c r="L8" s="267"/>
      <c r="M8" s="2188" t="s">
        <v>1125</v>
      </c>
      <c r="N8" s="2191">
        <f>'"Kvävesimulator"'!S8</f>
        <v>11.3</v>
      </c>
      <c r="O8" s="2189" t="s">
        <v>103</v>
      </c>
      <c r="P8" s="323"/>
      <c r="Q8" s="310">
        <v>30</v>
      </c>
      <c r="R8" s="2194">
        <f t="shared" ref="R8:R16" si="1">$N$12+(Q8-$N$14/100)*$N$16</f>
        <v>90.402874782418564</v>
      </c>
      <c r="S8" s="308"/>
      <c r="T8" s="2190"/>
      <c r="U8" s="267"/>
      <c r="V8" s="267"/>
      <c r="W8" s="267"/>
      <c r="X8" s="267"/>
      <c r="Y8" s="2188" t="s">
        <v>1125</v>
      </c>
      <c r="Z8" s="2191">
        <f>'"Kvävesimulator"'!S8</f>
        <v>11.3</v>
      </c>
      <c r="AA8" s="2189" t="s">
        <v>103</v>
      </c>
      <c r="AB8" s="323"/>
      <c r="AC8" s="310">
        <v>30</v>
      </c>
      <c r="AD8" s="2194">
        <f t="shared" ref="AD8:AD16" si="2">$Z$12+(AC8-$B$14/100)*$Z$16</f>
        <v>89.496146079406003</v>
      </c>
      <c r="AE8" s="308"/>
      <c r="AF8" s="2190"/>
      <c r="AG8" s="267"/>
      <c r="AH8" s="267"/>
      <c r="AI8" s="267"/>
      <c r="AJ8" s="267"/>
      <c r="AK8" s="2188" t="s">
        <v>1125</v>
      </c>
      <c r="AL8" s="2191">
        <f>'"Kvävesimulator"'!S8</f>
        <v>11.3</v>
      </c>
      <c r="AM8" s="2189" t="s">
        <v>103</v>
      </c>
      <c r="AN8" s="323"/>
      <c r="AO8" s="310">
        <v>30</v>
      </c>
      <c r="AP8" s="2194">
        <f t="shared" ref="AP8:AP16" si="3">$AL$12+(AO8-$AL$14/100)*$AL$16</f>
        <v>75.284260073725335</v>
      </c>
      <c r="AQ8" s="308"/>
      <c r="AR8" s="2190"/>
      <c r="AS8" s="267"/>
      <c r="AT8" s="267"/>
      <c r="AU8" s="267"/>
      <c r="AV8" s="267"/>
      <c r="AW8" s="2188" t="s">
        <v>1125</v>
      </c>
      <c r="AX8" s="2191">
        <f>'"Kvävesimulator"'!S8</f>
        <v>11.3</v>
      </c>
      <c r="AY8" s="2189" t="s">
        <v>103</v>
      </c>
      <c r="AZ8" s="323"/>
      <c r="BA8" s="310">
        <v>30</v>
      </c>
      <c r="BB8" s="2194">
        <f t="shared" ref="BB8:BB14" si="4">$AX$12+(BA8-$AX$14/100)*$AX$16</f>
        <v>64.064463197898505</v>
      </c>
      <c r="BC8" s="308"/>
      <c r="BD8" s="2190"/>
      <c r="BE8" s="267"/>
      <c r="BF8" s="267"/>
      <c r="BG8" s="267"/>
      <c r="BH8" s="263"/>
      <c r="BI8" s="2188" t="s">
        <v>1125</v>
      </c>
      <c r="BJ8" s="2191">
        <f>'"Kvävesimulator"'!S8</f>
        <v>11.3</v>
      </c>
      <c r="BK8" s="2189" t="s">
        <v>103</v>
      </c>
      <c r="BL8" s="323"/>
      <c r="BM8" s="310">
        <v>30</v>
      </c>
      <c r="BN8" s="2194">
        <f t="shared" ref="BN8:BN14" si="5">$BJ$12+(BM8-$BJ$14/100)*$BJ$16</f>
        <v>65.733491176217186</v>
      </c>
      <c r="BO8" s="308"/>
      <c r="BP8" s="2190"/>
      <c r="BQ8" s="267"/>
      <c r="BR8" s="267"/>
      <c r="BS8" s="267"/>
      <c r="BT8" s="263"/>
      <c r="BU8" s="2188" t="s">
        <v>1125</v>
      </c>
      <c r="BV8" s="2191">
        <f>'"Kvävesimulator"'!S8</f>
        <v>11.3</v>
      </c>
      <c r="BW8" s="2189" t="s">
        <v>103</v>
      </c>
      <c r="BX8" s="323"/>
      <c r="BY8" s="310">
        <v>30</v>
      </c>
      <c r="BZ8" s="2194">
        <f t="shared" ref="BZ8:BZ16" si="6">$BV$12+(BY8-$BV$14/100)*$BV$16</f>
        <v>65.673586785202531</v>
      </c>
      <c r="CA8" s="308"/>
      <c r="CB8" s="2190"/>
      <c r="CC8" s="267"/>
      <c r="CD8" s="267"/>
      <c r="CE8" s="267"/>
      <c r="CF8" s="263"/>
      <c r="CG8" s="2188" t="s">
        <v>1125</v>
      </c>
      <c r="CH8" s="2191">
        <f>'"Kvävesimulator"'!S8</f>
        <v>11.3</v>
      </c>
      <c r="CI8" s="2189" t="s">
        <v>103</v>
      </c>
      <c r="CJ8" s="323"/>
      <c r="CK8" s="310">
        <v>30</v>
      </c>
      <c r="CL8" s="2194">
        <f t="shared" ref="CL8:CL16" si="7">$CH$12+(CK8-$CH$14/100)*$CH$16</f>
        <v>79.401629957829201</v>
      </c>
      <c r="CM8" s="308"/>
      <c r="CN8" s="2190"/>
      <c r="CO8" s="267"/>
      <c r="CP8" s="267"/>
      <c r="CQ8" s="267"/>
      <c r="CR8" s="263"/>
      <c r="CS8" s="2188" t="s">
        <v>1125</v>
      </c>
      <c r="CT8" s="2191">
        <f>'"Kvävesimulator"'!S8</f>
        <v>11.3</v>
      </c>
      <c r="CU8" s="2189" t="s">
        <v>103</v>
      </c>
      <c r="CV8" s="323"/>
      <c r="CW8" s="310">
        <v>30</v>
      </c>
      <c r="CX8" s="2194">
        <f t="shared" ref="CX8:CX14" si="8">$CT$12+(CW8-$CT$14/100)*$CT$16</f>
        <v>71.725094293042645</v>
      </c>
      <c r="CY8" s="308"/>
      <c r="CZ8" s="2190"/>
      <c r="DA8" s="267"/>
      <c r="DB8" s="267"/>
      <c r="DC8" s="267"/>
      <c r="DD8" s="263"/>
    </row>
    <row r="9" spans="1:108">
      <c r="A9" s="2188" t="s">
        <v>1126</v>
      </c>
      <c r="B9" s="2191">
        <f>'"Kvävesimulator"'!W20</f>
        <v>0.25</v>
      </c>
      <c r="C9" s="2189" t="s">
        <v>103</v>
      </c>
      <c r="D9" s="323"/>
      <c r="E9" s="310">
        <v>40</v>
      </c>
      <c r="F9" s="2194">
        <f t="shared" si="0"/>
        <v>101.1221095595545</v>
      </c>
      <c r="G9" s="308"/>
      <c r="H9" s="2190"/>
      <c r="I9" s="267"/>
      <c r="J9" s="267"/>
      <c r="K9" s="267"/>
      <c r="L9" s="267"/>
      <c r="M9" s="2188" t="s">
        <v>1126</v>
      </c>
      <c r="N9" s="2191">
        <f>'"Kvävesimulator"'!W22</f>
        <v>0.25</v>
      </c>
      <c r="O9" s="2189" t="s">
        <v>103</v>
      </c>
      <c r="P9" s="323"/>
      <c r="Q9" s="310">
        <v>40</v>
      </c>
      <c r="R9" s="2194">
        <f t="shared" si="1"/>
        <v>105.40287478241856</v>
      </c>
      <c r="S9" s="308"/>
      <c r="T9" s="2190"/>
      <c r="U9" s="267"/>
      <c r="V9" s="267"/>
      <c r="W9" s="267"/>
      <c r="X9" s="267"/>
      <c r="Y9" s="2188" t="s">
        <v>1126</v>
      </c>
      <c r="Z9" s="2191">
        <f>'"Kvävesimulator"'!W24</f>
        <v>0.25</v>
      </c>
      <c r="AA9" s="2189" t="s">
        <v>103</v>
      </c>
      <c r="AB9" s="323"/>
      <c r="AC9" s="310">
        <v>40</v>
      </c>
      <c r="AD9" s="2194">
        <f t="shared" si="2"/>
        <v>109.496146079406</v>
      </c>
      <c r="AE9" s="308"/>
      <c r="AF9" s="2190"/>
      <c r="AG9" s="267"/>
      <c r="AH9" s="267"/>
      <c r="AI9" s="267"/>
      <c r="AJ9" s="267"/>
      <c r="AK9" s="2188" t="s">
        <v>1126</v>
      </c>
      <c r="AL9" s="2191">
        <f>'"Kvävesimulator"'!W26</f>
        <v>0.25</v>
      </c>
      <c r="AM9" s="2189" t="s">
        <v>103</v>
      </c>
      <c r="AN9" s="323"/>
      <c r="AO9" s="310">
        <v>40</v>
      </c>
      <c r="AP9" s="2194">
        <f t="shared" si="3"/>
        <v>90.284260073725335</v>
      </c>
      <c r="AQ9" s="308"/>
      <c r="AR9" s="2190"/>
      <c r="AS9" s="267"/>
      <c r="AT9" s="267"/>
      <c r="AU9" s="267"/>
      <c r="AV9" s="267"/>
      <c r="AW9" s="2188" t="s">
        <v>1126</v>
      </c>
      <c r="AX9" s="2191">
        <f>'"Kvävesimulator"'!W28</f>
        <v>0.25</v>
      </c>
      <c r="AY9" s="2189" t="s">
        <v>103</v>
      </c>
      <c r="AZ9" s="323"/>
      <c r="BA9" s="310">
        <v>40</v>
      </c>
      <c r="BB9" s="2194">
        <f t="shared" si="4"/>
        <v>79.064463197898505</v>
      </c>
      <c r="BC9" s="308"/>
      <c r="BD9" s="2190"/>
      <c r="BE9" s="267"/>
      <c r="BF9" s="267"/>
      <c r="BG9" s="267"/>
      <c r="BH9" s="263"/>
      <c r="BI9" s="2188" t="s">
        <v>1126</v>
      </c>
      <c r="BJ9" s="2191">
        <f>'"Kvävesimulator"'!W30</f>
        <v>0.25</v>
      </c>
      <c r="BK9" s="2189" t="s">
        <v>103</v>
      </c>
      <c r="BL9" s="323"/>
      <c r="BM9" s="310">
        <v>40</v>
      </c>
      <c r="BN9" s="2194">
        <f t="shared" si="5"/>
        <v>80.733491176217186</v>
      </c>
      <c r="BO9" s="308"/>
      <c r="BP9" s="2190"/>
      <c r="BQ9" s="267"/>
      <c r="BR9" s="267"/>
      <c r="BS9" s="267"/>
      <c r="BT9" s="263"/>
      <c r="BU9" s="2188" t="s">
        <v>1126</v>
      </c>
      <c r="BV9" s="2191">
        <f>'"Kvävesimulator"'!W32</f>
        <v>0.25</v>
      </c>
      <c r="BW9" s="2189" t="s">
        <v>103</v>
      </c>
      <c r="BX9" s="323"/>
      <c r="BY9" s="310">
        <v>40</v>
      </c>
      <c r="BZ9" s="2194">
        <f t="shared" si="6"/>
        <v>80.673586785202531</v>
      </c>
      <c r="CA9" s="308"/>
      <c r="CB9" s="2190"/>
      <c r="CC9" s="267"/>
      <c r="CD9" s="267"/>
      <c r="CE9" s="267"/>
      <c r="CF9" s="263"/>
      <c r="CG9" s="2188" t="s">
        <v>1126</v>
      </c>
      <c r="CH9" s="2191">
        <f>'"Kvävesimulator"'!W34</f>
        <v>0.25</v>
      </c>
      <c r="CI9" s="2189" t="s">
        <v>103</v>
      </c>
      <c r="CJ9" s="323"/>
      <c r="CK9" s="310">
        <v>40</v>
      </c>
      <c r="CL9" s="2194">
        <f t="shared" si="7"/>
        <v>94.401629957829201</v>
      </c>
      <c r="CM9" s="308"/>
      <c r="CN9" s="2190"/>
      <c r="CO9" s="267"/>
      <c r="CP9" s="267"/>
      <c r="CQ9" s="267"/>
      <c r="CR9" s="263"/>
      <c r="CS9" s="2188" t="s">
        <v>1126</v>
      </c>
      <c r="CT9" s="2191">
        <f>'"Kvävesimulator"'!W36</f>
        <v>0.25</v>
      </c>
      <c r="CU9" s="2189" t="s">
        <v>103</v>
      </c>
      <c r="CV9" s="323"/>
      <c r="CW9" s="310">
        <v>40</v>
      </c>
      <c r="CX9" s="2194">
        <f t="shared" si="8"/>
        <v>86.725094293042645</v>
      </c>
      <c r="CY9" s="308"/>
      <c r="CZ9" s="2190"/>
      <c r="DA9" s="267"/>
      <c r="DB9" s="267"/>
      <c r="DC9" s="267"/>
      <c r="DD9" s="263"/>
    </row>
    <row r="10" spans="1:108">
      <c r="A10" s="2188" t="s">
        <v>1127</v>
      </c>
      <c r="B10" s="2195">
        <f>B8/(B7-B9)</f>
        <v>9.8260869565217401</v>
      </c>
      <c r="C10" s="2189"/>
      <c r="D10" s="323"/>
      <c r="E10" s="310">
        <v>50</v>
      </c>
      <c r="F10" s="2194">
        <f t="shared" si="0"/>
        <v>116.1221095595545</v>
      </c>
      <c r="G10" s="308"/>
      <c r="H10" s="2190"/>
      <c r="I10" s="267"/>
      <c r="J10" s="267"/>
      <c r="K10" s="267"/>
      <c r="L10" s="267"/>
      <c r="M10" s="2188" t="s">
        <v>1127</v>
      </c>
      <c r="N10" s="2195">
        <f>N8/(N7-N9)</f>
        <v>9.2622950819672134</v>
      </c>
      <c r="O10" s="2189"/>
      <c r="P10" s="323"/>
      <c r="Q10" s="310">
        <v>50</v>
      </c>
      <c r="R10" s="2194">
        <f t="shared" si="1"/>
        <v>120.40287478241856</v>
      </c>
      <c r="S10" s="308"/>
      <c r="T10" s="2190"/>
      <c r="U10" s="267"/>
      <c r="V10" s="267"/>
      <c r="W10" s="267"/>
      <c r="X10" s="267"/>
      <c r="Y10" s="2188" t="s">
        <v>1127</v>
      </c>
      <c r="Z10" s="2195">
        <f>Z8/(Z7-Z9)</f>
        <v>8.6259541984732824</v>
      </c>
      <c r="AA10" s="2189"/>
      <c r="AB10" s="323"/>
      <c r="AC10" s="310">
        <v>50</v>
      </c>
      <c r="AD10" s="2194">
        <f t="shared" si="2"/>
        <v>129.496146079406</v>
      </c>
      <c r="AE10" s="308"/>
      <c r="AF10" s="2190"/>
      <c r="AG10" s="267"/>
      <c r="AH10" s="267"/>
      <c r="AI10" s="267"/>
      <c r="AJ10" s="267"/>
      <c r="AK10" s="2188" t="s">
        <v>1127</v>
      </c>
      <c r="AL10" s="2195">
        <f>AL8/(AL7-AL9)</f>
        <v>12.840909090909093</v>
      </c>
      <c r="AM10" s="2189"/>
      <c r="AN10" s="323"/>
      <c r="AO10" s="310">
        <v>50</v>
      </c>
      <c r="AP10" s="2194">
        <f t="shared" si="3"/>
        <v>105.28426007372533</v>
      </c>
      <c r="AQ10" s="308"/>
      <c r="AR10" s="2190"/>
      <c r="AS10" s="267"/>
      <c r="AT10" s="267"/>
      <c r="AU10" s="267"/>
      <c r="AV10" s="267"/>
      <c r="AW10" s="2188" t="s">
        <v>1127</v>
      </c>
      <c r="AX10" s="2195">
        <f>AX8/(AX7-AX9)</f>
        <v>10.660377358490566</v>
      </c>
      <c r="AY10" s="2189"/>
      <c r="AZ10" s="323"/>
      <c r="BA10" s="310">
        <v>50</v>
      </c>
      <c r="BB10" s="2194">
        <f t="shared" si="4"/>
        <v>94.064463197898505</v>
      </c>
      <c r="BC10" s="308"/>
      <c r="BD10" s="2190"/>
      <c r="BE10" s="267"/>
      <c r="BF10" s="267"/>
      <c r="BG10" s="267"/>
      <c r="BH10" s="263"/>
      <c r="BI10" s="2188" t="s">
        <v>1127</v>
      </c>
      <c r="BJ10" s="2195">
        <f>BJ8/(BJ7-BJ9)</f>
        <v>8.2481751824817522</v>
      </c>
      <c r="BK10" s="2189"/>
      <c r="BL10" s="323"/>
      <c r="BM10" s="310">
        <v>50</v>
      </c>
      <c r="BN10" s="2194">
        <f t="shared" si="5"/>
        <v>95.733491176217186</v>
      </c>
      <c r="BO10" s="308"/>
      <c r="BP10" s="2190"/>
      <c r="BQ10" s="267"/>
      <c r="BR10" s="267"/>
      <c r="BS10" s="267"/>
      <c r="BT10" s="263"/>
      <c r="BU10" s="2188" t="s">
        <v>1127</v>
      </c>
      <c r="BV10" s="2195">
        <f>BV8/(BV7-BV9)</f>
        <v>12.840909090909093</v>
      </c>
      <c r="BW10" s="2189"/>
      <c r="BX10" s="323"/>
      <c r="BY10" s="310">
        <v>50</v>
      </c>
      <c r="BZ10" s="2194">
        <f t="shared" si="6"/>
        <v>95.673586785202531</v>
      </c>
      <c r="CA10" s="308"/>
      <c r="CB10" s="2190"/>
      <c r="CC10" s="267"/>
      <c r="CD10" s="267"/>
      <c r="CE10" s="267"/>
      <c r="CF10" s="263"/>
      <c r="CG10" s="2188" t="s">
        <v>1127</v>
      </c>
      <c r="CH10" s="2195">
        <f>CH8/(CH7-CH9)</f>
        <v>11.3</v>
      </c>
      <c r="CI10" s="2189"/>
      <c r="CJ10" s="323"/>
      <c r="CK10" s="310">
        <v>50</v>
      </c>
      <c r="CL10" s="2194">
        <f t="shared" si="7"/>
        <v>109.4016299578292</v>
      </c>
      <c r="CM10" s="308"/>
      <c r="CN10" s="2190"/>
      <c r="CO10" s="267"/>
      <c r="CP10" s="267"/>
      <c r="CQ10" s="267"/>
      <c r="CR10" s="263"/>
      <c r="CS10" s="2188" t="s">
        <v>1127</v>
      </c>
      <c r="CT10" s="2195">
        <f>CT8/(CT7-CT9)</f>
        <v>8.3703703703703702</v>
      </c>
      <c r="CU10" s="2189"/>
      <c r="CV10" s="323"/>
      <c r="CW10" s="310">
        <v>50</v>
      </c>
      <c r="CX10" s="2194">
        <f t="shared" si="8"/>
        <v>101.72509429304264</v>
      </c>
      <c r="CY10" s="308"/>
      <c r="CZ10" s="2190"/>
      <c r="DA10" s="267"/>
      <c r="DB10" s="267"/>
      <c r="DC10" s="267"/>
      <c r="DD10" s="263"/>
    </row>
    <row r="11" spans="1:108">
      <c r="A11" s="2188"/>
      <c r="B11" s="357"/>
      <c r="C11" s="2189"/>
      <c r="D11" s="323"/>
      <c r="E11" s="310">
        <v>60</v>
      </c>
      <c r="F11" s="2194">
        <f t="shared" si="0"/>
        <v>131.1221095595545</v>
      </c>
      <c r="G11" s="308"/>
      <c r="H11" s="2190"/>
      <c r="I11" s="267"/>
      <c r="J11" s="267"/>
      <c r="K11" s="267"/>
      <c r="L11" s="267"/>
      <c r="M11" s="2188"/>
      <c r="N11" s="357"/>
      <c r="O11" s="2189"/>
      <c r="P11" s="323"/>
      <c r="Q11" s="310">
        <v>60</v>
      </c>
      <c r="R11" s="2194">
        <f t="shared" si="1"/>
        <v>135.40287478241856</v>
      </c>
      <c r="S11" s="308"/>
      <c r="T11" s="2190"/>
      <c r="U11" s="267"/>
      <c r="V11" s="267"/>
      <c r="W11" s="267"/>
      <c r="X11" s="267"/>
      <c r="Y11" s="2188"/>
      <c r="Z11" s="357"/>
      <c r="AA11" s="2189"/>
      <c r="AB11" s="323"/>
      <c r="AC11" s="310">
        <v>60</v>
      </c>
      <c r="AD11" s="2194">
        <f t="shared" si="2"/>
        <v>149.496146079406</v>
      </c>
      <c r="AE11" s="308"/>
      <c r="AF11" s="2190"/>
      <c r="AG11" s="267"/>
      <c r="AH11" s="267"/>
      <c r="AI11" s="267"/>
      <c r="AJ11" s="267"/>
      <c r="AK11" s="2188"/>
      <c r="AL11" s="357"/>
      <c r="AM11" s="2189"/>
      <c r="AN11" s="323"/>
      <c r="AO11" s="310">
        <v>60</v>
      </c>
      <c r="AP11" s="2194">
        <f t="shared" si="3"/>
        <v>120.28426007372533</v>
      </c>
      <c r="AQ11" s="308"/>
      <c r="AR11" s="2190"/>
      <c r="AS11" s="267"/>
      <c r="AT11" s="267"/>
      <c r="AU11" s="267"/>
      <c r="AV11" s="267"/>
      <c r="AW11" s="2188"/>
      <c r="AX11" s="357"/>
      <c r="AY11" s="2189"/>
      <c r="AZ11" s="323"/>
      <c r="BA11" s="310">
        <v>60</v>
      </c>
      <c r="BB11" s="2194">
        <f t="shared" si="4"/>
        <v>109.0644631978985</v>
      </c>
      <c r="BC11" s="308"/>
      <c r="BD11" s="2190"/>
      <c r="BE11" s="267"/>
      <c r="BF11" s="267"/>
      <c r="BG11" s="267"/>
      <c r="BH11" s="263"/>
      <c r="BI11" s="2188"/>
      <c r="BJ11" s="357"/>
      <c r="BK11" s="2189"/>
      <c r="BL11" s="323"/>
      <c r="BM11" s="310">
        <v>60</v>
      </c>
      <c r="BN11" s="2194">
        <f t="shared" si="5"/>
        <v>110.73349117621719</v>
      </c>
      <c r="BO11" s="308"/>
      <c r="BP11" s="2190"/>
      <c r="BQ11" s="267"/>
      <c r="BR11" s="267"/>
      <c r="BS11" s="267"/>
      <c r="BT11" s="263"/>
      <c r="BU11" s="2188"/>
      <c r="BV11" s="357"/>
      <c r="BW11" s="2189"/>
      <c r="BX11" s="323"/>
      <c r="BY11" s="310">
        <v>60</v>
      </c>
      <c r="BZ11" s="2194">
        <f t="shared" si="6"/>
        <v>110.67358678520253</v>
      </c>
      <c r="CA11" s="308"/>
      <c r="CB11" s="2190"/>
      <c r="CC11" s="267"/>
      <c r="CD11" s="267"/>
      <c r="CE11" s="267"/>
      <c r="CF11" s="263"/>
      <c r="CG11" s="2188"/>
      <c r="CH11" s="357"/>
      <c r="CI11" s="2189"/>
      <c r="CJ11" s="323"/>
      <c r="CK11" s="310">
        <v>60</v>
      </c>
      <c r="CL11" s="2194">
        <f t="shared" si="7"/>
        <v>124.4016299578292</v>
      </c>
      <c r="CM11" s="308"/>
      <c r="CN11" s="2190"/>
      <c r="CO11" s="267"/>
      <c r="CP11" s="267"/>
      <c r="CQ11" s="267"/>
      <c r="CR11" s="263"/>
      <c r="CS11" s="2188"/>
      <c r="CT11" s="357"/>
      <c r="CU11" s="2189"/>
      <c r="CV11" s="323"/>
      <c r="CW11" s="310">
        <v>60</v>
      </c>
      <c r="CX11" s="2194">
        <f t="shared" si="8"/>
        <v>116.72509429304264</v>
      </c>
      <c r="CY11" s="308"/>
      <c r="CZ11" s="2190"/>
      <c r="DA11" s="267"/>
      <c r="DB11" s="267"/>
      <c r="DC11" s="267"/>
      <c r="DD11" s="263"/>
    </row>
    <row r="12" spans="1:108">
      <c r="A12" s="2188" t="s">
        <v>1128</v>
      </c>
      <c r="B12" s="2193">
        <f>VLOOKUP(B30,Fodervete_M,4)+B13</f>
        <v>166</v>
      </c>
      <c r="C12" s="2189" t="s">
        <v>1129</v>
      </c>
      <c r="D12" s="323"/>
      <c r="E12" s="310">
        <v>70</v>
      </c>
      <c r="F12" s="2194">
        <f t="shared" si="0"/>
        <v>146.1221095595545</v>
      </c>
      <c r="G12" s="308"/>
      <c r="H12" s="2190"/>
      <c r="I12" s="267"/>
      <c r="J12" s="267"/>
      <c r="K12" s="267"/>
      <c r="L12" s="267"/>
      <c r="M12" s="2188" t="s">
        <v>1128</v>
      </c>
      <c r="N12" s="2193">
        <f>VLOOKUP(N30,Kvarnvete_M,4)+N13</f>
        <v>171</v>
      </c>
      <c r="O12" s="2189" t="s">
        <v>1129</v>
      </c>
      <c r="P12" s="323"/>
      <c r="Q12" s="310">
        <v>70</v>
      </c>
      <c r="R12" s="2194">
        <f t="shared" si="1"/>
        <v>150.40287478241856</v>
      </c>
      <c r="S12" s="308"/>
      <c r="T12" s="2190"/>
      <c r="U12" s="267"/>
      <c r="V12" s="267"/>
      <c r="W12" s="267"/>
      <c r="X12" s="267"/>
      <c r="Y12" s="2188" t="s">
        <v>1128</v>
      </c>
      <c r="Z12" s="2193">
        <f>VLOOKUP(Z30,Vårvete_M,4)+Z13</f>
        <v>196</v>
      </c>
      <c r="AA12" s="2189" t="s">
        <v>1129</v>
      </c>
      <c r="AB12" s="323"/>
      <c r="AC12" s="310">
        <v>70</v>
      </c>
      <c r="AD12" s="2194">
        <f t="shared" si="2"/>
        <v>169.496146079406</v>
      </c>
      <c r="AE12" s="308"/>
      <c r="AF12" s="2190"/>
      <c r="AG12" s="267"/>
      <c r="AH12" s="267"/>
      <c r="AI12" s="267"/>
      <c r="AJ12" s="267"/>
      <c r="AK12" s="2188" t="s">
        <v>1128</v>
      </c>
      <c r="AL12" s="2193">
        <f>VLOOKUP(AL30,Höstkorn_M,4)+AL13</f>
        <v>153</v>
      </c>
      <c r="AM12" s="2189" t="s">
        <v>1129</v>
      </c>
      <c r="AN12" s="323"/>
      <c r="AO12" s="310">
        <v>70</v>
      </c>
      <c r="AP12" s="2194">
        <f t="shared" si="3"/>
        <v>135.28426007372533</v>
      </c>
      <c r="AQ12" s="308"/>
      <c r="AR12" s="2190"/>
      <c r="AS12" s="267"/>
      <c r="AT12" s="267"/>
      <c r="AU12" s="267"/>
      <c r="AV12" s="267"/>
      <c r="AW12" s="2188" t="s">
        <v>1128</v>
      </c>
      <c r="AX12" s="2193">
        <f>VLOOKUP(AX30,Vårkorn_M,4)+AX13</f>
        <v>112</v>
      </c>
      <c r="AY12" s="2189" t="s">
        <v>1129</v>
      </c>
      <c r="AZ12" s="323"/>
      <c r="BA12" s="310">
        <v>70</v>
      </c>
      <c r="BB12" s="2194">
        <f t="shared" si="4"/>
        <v>124.0644631978985</v>
      </c>
      <c r="BC12" s="308"/>
      <c r="BD12" s="2190"/>
      <c r="BE12" s="267"/>
      <c r="BF12" s="267"/>
      <c r="BG12" s="267"/>
      <c r="BH12" s="263"/>
      <c r="BI12" s="2188" t="s">
        <v>1128</v>
      </c>
      <c r="BJ12" s="2193">
        <f>VLOOKUP(BJ30,Maltkorn_M,4)+BJ13</f>
        <v>114</v>
      </c>
      <c r="BK12" s="2189" t="s">
        <v>1129</v>
      </c>
      <c r="BL12" s="323"/>
      <c r="BM12" s="310">
        <v>70</v>
      </c>
      <c r="BN12" s="2194">
        <f t="shared" si="5"/>
        <v>125.73349117621719</v>
      </c>
      <c r="BO12" s="308"/>
      <c r="BP12" s="2190"/>
      <c r="BQ12" s="267"/>
      <c r="BR12" s="267"/>
      <c r="BS12" s="267"/>
      <c r="BT12" s="263"/>
      <c r="BU12" s="2188" t="s">
        <v>1128</v>
      </c>
      <c r="BV12" s="2193">
        <f>VLOOKUP(BV30,Råg_M,4)+BV13</f>
        <v>141</v>
      </c>
      <c r="BW12" s="2189" t="s">
        <v>1129</v>
      </c>
      <c r="BX12" s="323"/>
      <c r="BY12" s="310">
        <v>70</v>
      </c>
      <c r="BZ12" s="2194">
        <f t="shared" si="6"/>
        <v>125.67358678520253</v>
      </c>
      <c r="CA12" s="308"/>
      <c r="CB12" s="2190"/>
      <c r="CC12" s="267"/>
      <c r="CD12" s="267"/>
      <c r="CE12" s="267"/>
      <c r="CF12" s="263"/>
      <c r="CG12" s="2188" t="s">
        <v>1128</v>
      </c>
      <c r="CH12" s="2193">
        <f>VLOOKUP(CH30,Rågvete_M,4)+CH13</f>
        <v>158</v>
      </c>
      <c r="CI12" s="2189" t="s">
        <v>1129</v>
      </c>
      <c r="CJ12" s="323"/>
      <c r="CK12" s="310">
        <v>70</v>
      </c>
      <c r="CL12" s="2194">
        <f t="shared" si="7"/>
        <v>139.40162995782919</v>
      </c>
      <c r="CM12" s="308"/>
      <c r="CN12" s="2190"/>
      <c r="CO12" s="267"/>
      <c r="CP12" s="267"/>
      <c r="CQ12" s="267"/>
      <c r="CR12" s="263"/>
      <c r="CS12" s="2188" t="s">
        <v>1128</v>
      </c>
      <c r="CT12" s="2193">
        <f>VLOOKUP(CT30,Havre_M,4)+CT13</f>
        <v>121</v>
      </c>
      <c r="CU12" s="2189" t="s">
        <v>1129</v>
      </c>
      <c r="CV12" s="323"/>
      <c r="CW12" s="310">
        <v>70</v>
      </c>
      <c r="CX12" s="2194">
        <f t="shared" si="8"/>
        <v>131.72509429304264</v>
      </c>
      <c r="CY12" s="308"/>
      <c r="CZ12" s="2190"/>
      <c r="DA12" s="267"/>
      <c r="DB12" s="267"/>
      <c r="DC12" s="267"/>
      <c r="DD12" s="263"/>
    </row>
    <row r="13" spans="1:108">
      <c r="A13" s="2188" t="s">
        <v>149</v>
      </c>
      <c r="B13" s="2196">
        <v>3</v>
      </c>
      <c r="C13" s="2189" t="s">
        <v>317</v>
      </c>
      <c r="D13" s="323"/>
      <c r="E13" s="310">
        <v>80</v>
      </c>
      <c r="F13" s="2194">
        <f t="shared" si="0"/>
        <v>161.1221095595545</v>
      </c>
      <c r="G13" s="308"/>
      <c r="H13" s="2190"/>
      <c r="I13" s="267"/>
      <c r="J13" s="267"/>
      <c r="K13" s="267"/>
      <c r="L13" s="267"/>
      <c r="M13" s="2188" t="s">
        <v>149</v>
      </c>
      <c r="N13" s="2196">
        <v>5</v>
      </c>
      <c r="O13" s="2189" t="s">
        <v>317</v>
      </c>
      <c r="P13" s="323"/>
      <c r="Q13" s="310">
        <v>80</v>
      </c>
      <c r="R13" s="2194">
        <f t="shared" si="1"/>
        <v>165.40287478241856</v>
      </c>
      <c r="S13" s="308"/>
      <c r="T13" s="2190"/>
      <c r="U13" s="267"/>
      <c r="V13" s="267"/>
      <c r="W13" s="267"/>
      <c r="X13" s="267"/>
      <c r="Y13" s="2188" t="s">
        <v>149</v>
      </c>
      <c r="Z13" s="2196">
        <v>26</v>
      </c>
      <c r="AA13" s="2189" t="s">
        <v>317</v>
      </c>
      <c r="AB13" s="323"/>
      <c r="AC13" s="310">
        <v>80</v>
      </c>
      <c r="AD13" s="2194">
        <f t="shared" si="2"/>
        <v>189.496146079406</v>
      </c>
      <c r="AE13" s="308"/>
      <c r="AF13" s="2190"/>
      <c r="AG13" s="267"/>
      <c r="AH13" s="267"/>
      <c r="AI13" s="267"/>
      <c r="AJ13" s="267"/>
      <c r="AK13" s="2188" t="s">
        <v>149</v>
      </c>
      <c r="AL13" s="2196">
        <v>5</v>
      </c>
      <c r="AM13" s="2189" t="s">
        <v>317</v>
      </c>
      <c r="AN13" s="323"/>
      <c r="AO13" s="310">
        <v>80</v>
      </c>
      <c r="AP13" s="2194">
        <f t="shared" si="3"/>
        <v>150.28426007372533</v>
      </c>
      <c r="AQ13" s="308"/>
      <c r="AR13" s="2190"/>
      <c r="AS13" s="267"/>
      <c r="AT13" s="267"/>
      <c r="AU13" s="267"/>
      <c r="AV13" s="267"/>
      <c r="AW13" s="2188" t="s">
        <v>149</v>
      </c>
      <c r="AX13" s="2196">
        <v>10</v>
      </c>
      <c r="AY13" s="2189" t="s">
        <v>317</v>
      </c>
      <c r="AZ13" s="323"/>
      <c r="BA13" s="310">
        <v>80</v>
      </c>
      <c r="BB13" s="2194">
        <f t="shared" si="4"/>
        <v>139.0644631978985</v>
      </c>
      <c r="BC13" s="308"/>
      <c r="BD13" s="2190"/>
      <c r="BE13" s="267"/>
      <c r="BF13" s="267"/>
      <c r="BG13" s="267"/>
      <c r="BH13" s="263"/>
      <c r="BI13" s="2188" t="s">
        <v>149</v>
      </c>
      <c r="BJ13" s="2196">
        <v>-8</v>
      </c>
      <c r="BK13" s="2189" t="s">
        <v>317</v>
      </c>
      <c r="BL13" s="323"/>
      <c r="BM13" s="310">
        <v>80</v>
      </c>
      <c r="BN13" s="2194">
        <f t="shared" si="5"/>
        <v>140.73349117621717</v>
      </c>
      <c r="BO13" s="308"/>
      <c r="BP13" s="2190"/>
      <c r="BQ13" s="267"/>
      <c r="BR13" s="267"/>
      <c r="BS13" s="267"/>
      <c r="BT13" s="263"/>
      <c r="BU13" s="2188" t="s">
        <v>149</v>
      </c>
      <c r="BV13" s="2196">
        <v>-7</v>
      </c>
      <c r="BW13" s="2189" t="s">
        <v>317</v>
      </c>
      <c r="BX13" s="323"/>
      <c r="BY13" s="310">
        <v>80</v>
      </c>
      <c r="BZ13" s="2194">
        <f t="shared" si="6"/>
        <v>140.67358678520253</v>
      </c>
      <c r="CA13" s="308"/>
      <c r="CB13" s="2190"/>
      <c r="CC13" s="267"/>
      <c r="CD13" s="267"/>
      <c r="CE13" s="267"/>
      <c r="CF13" s="263"/>
      <c r="CG13" s="2188" t="s">
        <v>149</v>
      </c>
      <c r="CH13" s="2196">
        <v>2</v>
      </c>
      <c r="CI13" s="2189" t="s">
        <v>317</v>
      </c>
      <c r="CJ13" s="323"/>
      <c r="CK13" s="310">
        <v>80</v>
      </c>
      <c r="CL13" s="2194">
        <f t="shared" si="7"/>
        <v>154.40162995782919</v>
      </c>
      <c r="CM13" s="308"/>
      <c r="CN13" s="2190"/>
      <c r="CO13" s="267"/>
      <c r="CP13" s="267"/>
      <c r="CQ13" s="267"/>
      <c r="CR13" s="263"/>
      <c r="CS13" s="2188" t="s">
        <v>149</v>
      </c>
      <c r="CT13" s="2196">
        <v>1</v>
      </c>
      <c r="CU13" s="2189" t="s">
        <v>317</v>
      </c>
      <c r="CV13" s="323"/>
      <c r="CW13" s="310">
        <v>80</v>
      </c>
      <c r="CX13" s="2194">
        <f t="shared" si="8"/>
        <v>146.72509429304264</v>
      </c>
      <c r="CY13" s="308"/>
      <c r="CZ13" s="2190"/>
      <c r="DA13" s="267"/>
      <c r="DB13" s="267"/>
      <c r="DC13" s="267"/>
      <c r="DD13" s="263"/>
    </row>
    <row r="14" spans="1:108">
      <c r="A14" s="2188" t="s">
        <v>1130</v>
      </c>
      <c r="B14" s="2197">
        <f>B$27+(B$26*B12)-(B$25*(B12^2))+(B$24*(B12^3))</f>
        <v>8325.1926960297005</v>
      </c>
      <c r="C14" s="2189" t="s">
        <v>317</v>
      </c>
      <c r="D14" s="323"/>
      <c r="E14" s="310">
        <v>90</v>
      </c>
      <c r="F14" s="2194">
        <f t="shared" si="0"/>
        <v>176.1221095595545</v>
      </c>
      <c r="G14" s="308"/>
      <c r="H14" s="2190"/>
      <c r="I14" s="267"/>
      <c r="J14" s="267"/>
      <c r="K14" s="267"/>
      <c r="L14" s="267"/>
      <c r="M14" s="2188" t="s">
        <v>1130</v>
      </c>
      <c r="N14" s="2197">
        <f>N$27+(N$26*N12)-(N$25*(N12^2))+(N$24*(N12^3))</f>
        <v>8373.1416811720956</v>
      </c>
      <c r="O14" s="2189" t="s">
        <v>317</v>
      </c>
      <c r="P14" s="323"/>
      <c r="Q14" s="310">
        <v>90</v>
      </c>
      <c r="R14" s="2194">
        <f t="shared" si="1"/>
        <v>180.40287478241856</v>
      </c>
      <c r="S14" s="308"/>
      <c r="T14" s="2190"/>
      <c r="U14" s="267"/>
      <c r="V14" s="267"/>
      <c r="W14" s="267"/>
      <c r="X14" s="267"/>
      <c r="Y14" s="2188" t="s">
        <v>1130</v>
      </c>
      <c r="Z14" s="2197">
        <f>Z$27+(Z$26*Z12)-(Z$25*(Z12^2))+(Z$24*(Z12^3))</f>
        <v>8554.9920994065196</v>
      </c>
      <c r="AA14" s="2189" t="s">
        <v>317</v>
      </c>
      <c r="AB14" s="323"/>
      <c r="AC14" s="310">
        <v>90</v>
      </c>
      <c r="AD14" s="2194">
        <f t="shared" si="2"/>
        <v>209.496146079406</v>
      </c>
      <c r="AE14" s="308"/>
      <c r="AF14" s="2190"/>
      <c r="AG14" s="267"/>
      <c r="AH14" s="267"/>
      <c r="AI14" s="267"/>
      <c r="AJ14" s="267"/>
      <c r="AK14" s="2188" t="s">
        <v>1130</v>
      </c>
      <c r="AL14" s="2197">
        <f>AL$27+(AL$26*AL12)-(AL$25*(AL12^2))+(AL$24*(AL12^3))</f>
        <v>8181.0493284183112</v>
      </c>
      <c r="AM14" s="2189" t="s">
        <v>317</v>
      </c>
      <c r="AN14" s="323"/>
      <c r="AO14" s="310">
        <v>90</v>
      </c>
      <c r="AP14" s="2194">
        <f t="shared" si="3"/>
        <v>165.28426007372533</v>
      </c>
      <c r="AQ14" s="308"/>
      <c r="AR14" s="2190"/>
      <c r="AS14" s="267"/>
      <c r="AT14" s="267"/>
      <c r="AU14" s="267"/>
      <c r="AV14" s="267"/>
      <c r="AW14" s="2188" t="s">
        <v>1130</v>
      </c>
      <c r="AX14" s="2197">
        <f>$AX$27+$AX$26*AX12-($AX$25*(AX12^2))+$AX$24*(AX12^3)</f>
        <v>6195.7024534734328</v>
      </c>
      <c r="AY14" s="2189" t="s">
        <v>317</v>
      </c>
      <c r="AZ14" s="323"/>
      <c r="BA14" s="310">
        <v>90</v>
      </c>
      <c r="BB14" s="2194">
        <f t="shared" si="4"/>
        <v>154.0644631978985</v>
      </c>
      <c r="BC14" s="308"/>
      <c r="BD14" s="2190"/>
      <c r="BE14" s="267"/>
      <c r="BF14" s="267"/>
      <c r="BG14" s="267"/>
      <c r="BH14" s="263"/>
      <c r="BI14" s="2188" t="s">
        <v>1130</v>
      </c>
      <c r="BJ14" s="2197">
        <f>$BJ$27+$BJ$26*BJ12-($BJ$25*(BJ12^2))+$BJ$24*(BJ12^3)</f>
        <v>6217.7672549188546</v>
      </c>
      <c r="BK14" s="2189" t="s">
        <v>317</v>
      </c>
      <c r="BL14" s="323"/>
      <c r="BM14" s="310">
        <v>90</v>
      </c>
      <c r="BN14" s="2194">
        <f t="shared" si="5"/>
        <v>155.73349117621717</v>
      </c>
      <c r="BO14" s="308"/>
      <c r="BP14" s="2190"/>
      <c r="BQ14" s="267"/>
      <c r="BR14" s="267"/>
      <c r="BS14" s="267"/>
      <c r="BT14" s="263"/>
      <c r="BU14" s="2188" t="s">
        <v>1130</v>
      </c>
      <c r="BV14" s="2197">
        <f>BV$27+(BV$26*BV12)-(BV$25*(BV12^2))+(BV$24*(BV12^3))</f>
        <v>8021.7608809864987</v>
      </c>
      <c r="BW14" s="2189" t="s">
        <v>317</v>
      </c>
      <c r="BX14" s="323"/>
      <c r="BY14" s="310">
        <v>90</v>
      </c>
      <c r="BZ14" s="2194">
        <f t="shared" si="6"/>
        <v>155.67358678520253</v>
      </c>
      <c r="CA14" s="308"/>
      <c r="CB14" s="2190"/>
      <c r="CC14" s="267"/>
      <c r="CD14" s="267"/>
      <c r="CE14" s="267"/>
      <c r="CF14" s="263"/>
      <c r="CG14" s="2188" t="s">
        <v>1130</v>
      </c>
      <c r="CH14" s="2197">
        <f>CH$27+(CH$26*CH12)-(CH$25*(CH12^2))+(CH$24*(CH12^3))</f>
        <v>8239.8913361447194</v>
      </c>
      <c r="CI14" s="2189" t="s">
        <v>317</v>
      </c>
      <c r="CJ14" s="323"/>
      <c r="CK14" s="310">
        <v>90</v>
      </c>
      <c r="CL14" s="2194">
        <f t="shared" si="7"/>
        <v>169.40162995782919</v>
      </c>
      <c r="CM14" s="308"/>
      <c r="CN14" s="2190"/>
      <c r="CO14" s="267"/>
      <c r="CP14" s="267"/>
      <c r="CQ14" s="267"/>
      <c r="CR14" s="263"/>
      <c r="CS14" s="2188" t="s">
        <v>1130</v>
      </c>
      <c r="CT14" s="2197">
        <f>$CT$27+$CT$26*CT12-$CT$25*(CT12^2)+$CT$24*(CT12^3)</f>
        <v>6284.9937137971565</v>
      </c>
      <c r="CU14" s="2189" t="s">
        <v>317</v>
      </c>
      <c r="CV14" s="323"/>
      <c r="CW14" s="310">
        <v>90</v>
      </c>
      <c r="CX14" s="2194">
        <f t="shared" si="8"/>
        <v>161.72509429304264</v>
      </c>
      <c r="CY14" s="308"/>
      <c r="CZ14" s="2190"/>
      <c r="DA14" s="267"/>
      <c r="DB14" s="267"/>
      <c r="DC14" s="267"/>
      <c r="DD14" s="263"/>
    </row>
    <row r="15" spans="1:108">
      <c r="A15" s="2188"/>
      <c r="B15" s="357"/>
      <c r="C15" s="2189"/>
      <c r="D15" s="323"/>
      <c r="E15" s="310">
        <v>100</v>
      </c>
      <c r="F15" s="2194">
        <f t="shared" si="0"/>
        <v>191.1221095595545</v>
      </c>
      <c r="G15" s="308"/>
      <c r="H15" s="2190"/>
      <c r="I15" s="267"/>
      <c r="J15" s="267"/>
      <c r="K15" s="267"/>
      <c r="L15" s="267"/>
      <c r="M15" s="2188"/>
      <c r="N15" s="357"/>
      <c r="O15" s="2189"/>
      <c r="P15" s="323"/>
      <c r="Q15" s="310">
        <v>100</v>
      </c>
      <c r="R15" s="2194">
        <f t="shared" si="1"/>
        <v>195.40287478241856</v>
      </c>
      <c r="S15" s="308"/>
      <c r="T15" s="2190"/>
      <c r="U15" s="267"/>
      <c r="V15" s="267"/>
      <c r="W15" s="267"/>
      <c r="X15" s="267"/>
      <c r="Y15" s="2188"/>
      <c r="Z15" s="357"/>
      <c r="AA15" s="2189"/>
      <c r="AB15" s="323"/>
      <c r="AC15" s="310">
        <v>100</v>
      </c>
      <c r="AD15" s="2194">
        <f t="shared" si="2"/>
        <v>229.496146079406</v>
      </c>
      <c r="AE15" s="308"/>
      <c r="AF15" s="2190"/>
      <c r="AG15" s="267"/>
      <c r="AH15" s="267"/>
      <c r="AI15" s="267"/>
      <c r="AJ15" s="267"/>
      <c r="AK15" s="2188"/>
      <c r="AL15" s="357"/>
      <c r="AM15" s="2189"/>
      <c r="AN15" s="323"/>
      <c r="AO15" s="310">
        <v>100</v>
      </c>
      <c r="AP15" s="2194">
        <f t="shared" si="3"/>
        <v>180.28426007372533</v>
      </c>
      <c r="AQ15" s="308"/>
      <c r="AR15" s="2190"/>
      <c r="AS15" s="267"/>
      <c r="AT15" s="267"/>
      <c r="AU15" s="267"/>
      <c r="AV15" s="267"/>
      <c r="AW15" s="2188"/>
      <c r="AX15" s="357"/>
      <c r="AY15" s="2189"/>
      <c r="AZ15" s="323"/>
      <c r="BA15" s="308"/>
      <c r="BB15" s="308"/>
      <c r="BC15" s="308"/>
      <c r="BD15" s="2190"/>
      <c r="BE15" s="267"/>
      <c r="BF15" s="267"/>
      <c r="BG15" s="267"/>
      <c r="BH15" s="263"/>
      <c r="BI15" s="2188"/>
      <c r="BJ15" s="357"/>
      <c r="BK15" s="2189"/>
      <c r="BL15" s="323"/>
      <c r="BM15" s="308"/>
      <c r="BN15" s="308"/>
      <c r="BO15" s="308"/>
      <c r="BP15" s="2190"/>
      <c r="BQ15" s="267"/>
      <c r="BR15" s="267"/>
      <c r="BS15" s="267"/>
      <c r="BT15" s="263"/>
      <c r="BU15" s="2188"/>
      <c r="BV15" s="357"/>
      <c r="BW15" s="2189"/>
      <c r="BX15" s="323"/>
      <c r="BY15" s="310">
        <v>100</v>
      </c>
      <c r="BZ15" s="2194">
        <f t="shared" si="6"/>
        <v>170.67358678520253</v>
      </c>
      <c r="CA15" s="308"/>
      <c r="CB15" s="2190"/>
      <c r="CC15" s="267"/>
      <c r="CD15" s="267"/>
      <c r="CE15" s="267"/>
      <c r="CF15" s="263"/>
      <c r="CG15" s="2188"/>
      <c r="CH15" s="357"/>
      <c r="CI15" s="2189"/>
      <c r="CJ15" s="323"/>
      <c r="CK15" s="310">
        <v>100</v>
      </c>
      <c r="CL15" s="2194">
        <f t="shared" si="7"/>
        <v>184.40162995782919</v>
      </c>
      <c r="CM15" s="308"/>
      <c r="CN15" s="2190"/>
      <c r="CO15" s="267"/>
      <c r="CP15" s="267"/>
      <c r="CQ15" s="267"/>
      <c r="CR15" s="263"/>
      <c r="CS15" s="2188"/>
      <c r="CT15" s="357"/>
      <c r="CU15" s="2189"/>
      <c r="CV15" s="323"/>
      <c r="CW15" s="308"/>
      <c r="CX15" s="308"/>
      <c r="CY15" s="308"/>
      <c r="CZ15" s="2190"/>
      <c r="DA15" s="267"/>
      <c r="DB15" s="267"/>
      <c r="DC15" s="267"/>
      <c r="DD15" s="263"/>
    </row>
    <row r="16" spans="1:108">
      <c r="A16" s="2188" t="s">
        <v>1131</v>
      </c>
      <c r="B16" s="2196">
        <v>1.5</v>
      </c>
      <c r="C16" s="2189" t="s">
        <v>1132</v>
      </c>
      <c r="D16" s="323"/>
      <c r="E16" s="310">
        <v>110</v>
      </c>
      <c r="F16" s="2194">
        <f t="shared" si="0"/>
        <v>206.1221095595545</v>
      </c>
      <c r="G16" s="308"/>
      <c r="H16" s="2190"/>
      <c r="I16" s="267"/>
      <c r="J16" s="267"/>
      <c r="K16" s="267"/>
      <c r="L16" s="267"/>
      <c r="M16" s="2188" t="s">
        <v>1131</v>
      </c>
      <c r="N16" s="2196">
        <v>1.5</v>
      </c>
      <c r="O16" s="2189" t="s">
        <v>1132</v>
      </c>
      <c r="P16" s="323"/>
      <c r="Q16" s="310">
        <v>110</v>
      </c>
      <c r="R16" s="2194">
        <f t="shared" si="1"/>
        <v>210.40287478241856</v>
      </c>
      <c r="S16" s="308"/>
      <c r="T16" s="2190"/>
      <c r="U16" s="267"/>
      <c r="V16" s="267"/>
      <c r="W16" s="267"/>
      <c r="X16" s="267"/>
      <c r="Y16" s="2188" t="s">
        <v>1131</v>
      </c>
      <c r="Z16" s="2196">
        <v>2</v>
      </c>
      <c r="AA16" s="2189" t="s">
        <v>1132</v>
      </c>
      <c r="AB16" s="323"/>
      <c r="AC16" s="310">
        <v>110</v>
      </c>
      <c r="AD16" s="2194">
        <f t="shared" si="2"/>
        <v>249.496146079406</v>
      </c>
      <c r="AE16" s="308"/>
      <c r="AF16" s="2190"/>
      <c r="AG16" s="267"/>
      <c r="AH16" s="267"/>
      <c r="AI16" s="267"/>
      <c r="AJ16" s="267"/>
      <c r="AK16" s="2188" t="s">
        <v>1131</v>
      </c>
      <c r="AL16" s="2196">
        <v>1.5</v>
      </c>
      <c r="AM16" s="2189" t="s">
        <v>1132</v>
      </c>
      <c r="AN16" s="323"/>
      <c r="AO16" s="310">
        <v>110</v>
      </c>
      <c r="AP16" s="2194">
        <f t="shared" si="3"/>
        <v>195.28426007372533</v>
      </c>
      <c r="AQ16" s="308"/>
      <c r="AR16" s="2190"/>
      <c r="AS16" s="267"/>
      <c r="AT16" s="267"/>
      <c r="AU16" s="267"/>
      <c r="AV16" s="267"/>
      <c r="AW16" s="2188" t="s">
        <v>1131</v>
      </c>
      <c r="AX16" s="2196">
        <v>1.5</v>
      </c>
      <c r="AY16" s="2189" t="s">
        <v>1132</v>
      </c>
      <c r="AZ16" s="323"/>
      <c r="BA16" s="326"/>
      <c r="BB16" s="326"/>
      <c r="BC16" s="326"/>
      <c r="BD16" s="2190"/>
      <c r="BE16" s="267"/>
      <c r="BF16" s="267"/>
      <c r="BG16" s="267"/>
      <c r="BH16" s="263"/>
      <c r="BI16" s="2188" t="s">
        <v>1131</v>
      </c>
      <c r="BJ16" s="2196">
        <v>1.5</v>
      </c>
      <c r="BK16" s="2189" t="s">
        <v>1132</v>
      </c>
      <c r="BL16" s="323"/>
      <c r="BM16" s="326"/>
      <c r="BN16" s="326"/>
      <c r="BO16" s="326"/>
      <c r="BP16" s="2190"/>
      <c r="BQ16" s="267"/>
      <c r="BR16" s="267"/>
      <c r="BS16" s="267"/>
      <c r="BT16" s="263"/>
      <c r="BU16" s="2188" t="s">
        <v>1131</v>
      </c>
      <c r="BV16" s="2196">
        <v>1.5</v>
      </c>
      <c r="BW16" s="2189" t="s">
        <v>1132</v>
      </c>
      <c r="BX16" s="323"/>
      <c r="BY16" s="310">
        <v>110</v>
      </c>
      <c r="BZ16" s="2194">
        <f t="shared" si="6"/>
        <v>185.67358678520253</v>
      </c>
      <c r="CA16" s="308"/>
      <c r="CB16" s="2190"/>
      <c r="CC16" s="267"/>
      <c r="CD16" s="267"/>
      <c r="CE16" s="267"/>
      <c r="CF16" s="263"/>
      <c r="CG16" s="2188" t="s">
        <v>1131</v>
      </c>
      <c r="CH16" s="2196">
        <v>1.5</v>
      </c>
      <c r="CI16" s="2189" t="s">
        <v>1132</v>
      </c>
      <c r="CJ16" s="323"/>
      <c r="CK16" s="310">
        <v>110</v>
      </c>
      <c r="CL16" s="2194">
        <f t="shared" si="7"/>
        <v>199.40162995782919</v>
      </c>
      <c r="CM16" s="308"/>
      <c r="CN16" s="2190"/>
      <c r="CO16" s="267"/>
      <c r="CP16" s="267"/>
      <c r="CQ16" s="267"/>
      <c r="CR16" s="263"/>
      <c r="CS16" s="2188" t="s">
        <v>1131</v>
      </c>
      <c r="CT16" s="2196">
        <v>1.5</v>
      </c>
      <c r="CU16" s="2189" t="s">
        <v>1132</v>
      </c>
      <c r="CV16" s="323"/>
      <c r="CW16" s="326"/>
      <c r="CX16" s="326"/>
      <c r="CY16" s="326"/>
      <c r="CZ16" s="2190"/>
      <c r="DA16" s="267"/>
      <c r="DB16" s="267"/>
      <c r="DC16" s="267"/>
      <c r="DD16" s="263"/>
    </row>
    <row r="17" spans="1:108">
      <c r="A17" s="2188"/>
      <c r="B17" s="2198"/>
      <c r="C17" s="2189"/>
      <c r="D17" s="323"/>
      <c r="E17" s="308"/>
      <c r="F17" s="308"/>
      <c r="G17" s="308"/>
      <c r="H17" s="2190"/>
      <c r="I17" s="267"/>
      <c r="J17" s="267"/>
      <c r="K17" s="267"/>
      <c r="L17" s="267"/>
      <c r="M17" s="2188"/>
      <c r="N17" s="2198"/>
      <c r="O17" s="2189"/>
      <c r="P17" s="323"/>
      <c r="Q17" s="308"/>
      <c r="R17" s="308"/>
      <c r="S17" s="308"/>
      <c r="T17" s="2190"/>
      <c r="U17" s="267"/>
      <c r="V17" s="267"/>
      <c r="W17" s="267"/>
      <c r="X17" s="267"/>
      <c r="Y17" s="2188"/>
      <c r="Z17" s="2198"/>
      <c r="AA17" s="2189"/>
      <c r="AB17" s="323"/>
      <c r="AC17" s="308"/>
      <c r="AD17" s="308"/>
      <c r="AE17" s="308"/>
      <c r="AF17" s="2190"/>
      <c r="AG17" s="267"/>
      <c r="AH17" s="267"/>
      <c r="AI17" s="267"/>
      <c r="AJ17" s="267"/>
      <c r="AK17" s="2188"/>
      <c r="AL17" s="2198"/>
      <c r="AM17" s="2189"/>
      <c r="AN17" s="323"/>
      <c r="AO17" s="308"/>
      <c r="AP17" s="308"/>
      <c r="AQ17" s="308"/>
      <c r="AR17" s="2190"/>
      <c r="AS17" s="267"/>
      <c r="AT17" s="267"/>
      <c r="AU17" s="267"/>
      <c r="AV17" s="267"/>
      <c r="AW17" s="2188"/>
      <c r="AX17" s="2198"/>
      <c r="AY17" s="2189"/>
      <c r="AZ17" s="323"/>
      <c r="BA17" s="326"/>
      <c r="BB17" s="326"/>
      <c r="BC17" s="326"/>
      <c r="BD17" s="2190"/>
      <c r="BE17" s="267"/>
      <c r="BF17" s="267"/>
      <c r="BG17" s="267"/>
      <c r="BH17" s="263"/>
      <c r="BI17" s="2188"/>
      <c r="BJ17" s="2198"/>
      <c r="BK17" s="2189"/>
      <c r="BL17" s="323"/>
      <c r="BM17" s="326"/>
      <c r="BN17" s="326"/>
      <c r="BO17" s="326"/>
      <c r="BP17" s="2190"/>
      <c r="BQ17" s="267"/>
      <c r="BR17" s="267"/>
      <c r="BS17" s="267"/>
      <c r="BT17" s="263"/>
      <c r="BU17" s="2188"/>
      <c r="BV17" s="2198"/>
      <c r="BW17" s="2189"/>
      <c r="BX17" s="323"/>
      <c r="BY17" s="308"/>
      <c r="BZ17" s="308"/>
      <c r="CA17" s="308"/>
      <c r="CB17" s="2190"/>
      <c r="CC17" s="267"/>
      <c r="CD17" s="267"/>
      <c r="CE17" s="267"/>
      <c r="CF17" s="263"/>
      <c r="CG17" s="2188"/>
      <c r="CH17" s="2198"/>
      <c r="CI17" s="2189"/>
      <c r="CJ17" s="323"/>
      <c r="CK17" s="308"/>
      <c r="CL17" s="308"/>
      <c r="CM17" s="308"/>
      <c r="CN17" s="2190"/>
      <c r="CO17" s="267"/>
      <c r="CP17" s="267"/>
      <c r="CQ17" s="267"/>
      <c r="CR17" s="263"/>
      <c r="CS17" s="2188"/>
      <c r="CT17" s="2198"/>
      <c r="CU17" s="2189"/>
      <c r="CV17" s="323"/>
      <c r="CW17" s="326"/>
      <c r="CX17" s="326"/>
      <c r="CY17" s="326"/>
      <c r="CZ17" s="2190"/>
      <c r="DA17" s="267"/>
      <c r="DB17" s="267"/>
      <c r="DC17" s="267"/>
      <c r="DD17" s="263"/>
    </row>
    <row r="18" spans="1:108">
      <c r="A18" s="2188"/>
      <c r="B18" s="2198"/>
      <c r="C18" s="2189"/>
      <c r="D18" s="323"/>
      <c r="E18" s="326"/>
      <c r="F18" s="326"/>
      <c r="G18" s="326"/>
      <c r="H18" s="2190"/>
      <c r="I18" s="267"/>
      <c r="J18" s="267"/>
      <c r="K18" s="267"/>
      <c r="L18" s="267"/>
      <c r="M18" s="2188"/>
      <c r="N18" s="2198"/>
      <c r="O18" s="2189"/>
      <c r="P18" s="323"/>
      <c r="Q18" s="326"/>
      <c r="R18" s="326"/>
      <c r="S18" s="326"/>
      <c r="T18" s="2190"/>
      <c r="U18" s="267"/>
      <c r="V18" s="267"/>
      <c r="W18" s="267"/>
      <c r="X18" s="267"/>
      <c r="Y18" s="2188"/>
      <c r="Z18" s="2198"/>
      <c r="AA18" s="2189"/>
      <c r="AB18" s="323"/>
      <c r="AC18" s="326"/>
      <c r="AD18" s="326"/>
      <c r="AE18" s="326"/>
      <c r="AF18" s="2190"/>
      <c r="AG18" s="267"/>
      <c r="AH18" s="267"/>
      <c r="AI18" s="267"/>
      <c r="AJ18" s="267"/>
      <c r="AK18" s="2188"/>
      <c r="AL18" s="2198"/>
      <c r="AM18" s="2189"/>
      <c r="AN18" s="323"/>
      <c r="AO18" s="326"/>
      <c r="AP18" s="326"/>
      <c r="AQ18" s="326"/>
      <c r="AR18" s="2190"/>
      <c r="AS18" s="267"/>
      <c r="AT18" s="267"/>
      <c r="AU18" s="267"/>
      <c r="AV18" s="267"/>
      <c r="AW18" s="2188"/>
      <c r="AX18" s="2198"/>
      <c r="AY18" s="2189"/>
      <c r="AZ18" s="323"/>
      <c r="BA18" s="326"/>
      <c r="BB18" s="326"/>
      <c r="BC18" s="326"/>
      <c r="BD18" s="2190"/>
      <c r="BE18" s="267"/>
      <c r="BF18" s="267"/>
      <c r="BG18" s="267"/>
      <c r="BH18" s="263"/>
      <c r="BI18" s="2188"/>
      <c r="BJ18" s="2198"/>
      <c r="BK18" s="2189"/>
      <c r="BL18" s="323"/>
      <c r="BM18" s="326"/>
      <c r="BN18" s="326"/>
      <c r="BO18" s="326"/>
      <c r="BP18" s="2190"/>
      <c r="BQ18" s="267"/>
      <c r="BR18" s="267"/>
      <c r="BS18" s="267"/>
      <c r="BT18" s="263"/>
      <c r="BU18" s="2188"/>
      <c r="BV18" s="2198"/>
      <c r="BW18" s="2189"/>
      <c r="BX18" s="323"/>
      <c r="BY18" s="326"/>
      <c r="BZ18" s="326"/>
      <c r="CA18" s="326"/>
      <c r="CB18" s="2190"/>
      <c r="CC18" s="267"/>
      <c r="CD18" s="267"/>
      <c r="CE18" s="267"/>
      <c r="CF18" s="263"/>
      <c r="CG18" s="2188"/>
      <c r="CH18" s="2198"/>
      <c r="CI18" s="2189"/>
      <c r="CJ18" s="323"/>
      <c r="CK18" s="326"/>
      <c r="CL18" s="326"/>
      <c r="CM18" s="326"/>
      <c r="CN18" s="2190"/>
      <c r="CO18" s="267"/>
      <c r="CP18" s="267"/>
      <c r="CQ18" s="267"/>
      <c r="CR18" s="263"/>
      <c r="CS18" s="2188"/>
      <c r="CT18" s="2198"/>
      <c r="CU18" s="2189"/>
      <c r="CV18" s="323"/>
      <c r="CW18" s="326"/>
      <c r="CX18" s="326"/>
      <c r="CY18" s="326"/>
      <c r="CZ18" s="2190"/>
      <c r="DA18" s="267"/>
      <c r="DB18" s="267"/>
      <c r="DC18" s="267"/>
      <c r="DD18" s="263"/>
    </row>
    <row r="19" spans="1:108">
      <c r="A19" s="2199"/>
      <c r="B19" s="2200"/>
      <c r="C19" s="2201"/>
      <c r="D19" s="327"/>
      <c r="E19" s="328"/>
      <c r="F19" s="328"/>
      <c r="G19" s="328"/>
      <c r="H19" s="2202"/>
      <c r="I19" s="267"/>
      <c r="J19" s="267"/>
      <c r="K19" s="267"/>
      <c r="L19" s="267"/>
      <c r="M19" s="2199"/>
      <c r="N19" s="2200"/>
      <c r="O19" s="2201"/>
      <c r="P19" s="327"/>
      <c r="Q19" s="328"/>
      <c r="R19" s="328"/>
      <c r="S19" s="328"/>
      <c r="T19" s="2202"/>
      <c r="U19" s="267"/>
      <c r="V19" s="267"/>
      <c r="W19" s="267"/>
      <c r="X19" s="267"/>
      <c r="Y19" s="2199"/>
      <c r="Z19" s="2200"/>
      <c r="AA19" s="2201"/>
      <c r="AB19" s="327"/>
      <c r="AC19" s="328"/>
      <c r="AD19" s="328"/>
      <c r="AE19" s="328"/>
      <c r="AF19" s="2202"/>
      <c r="AG19" s="267"/>
      <c r="AH19" s="267"/>
      <c r="AI19" s="267"/>
      <c r="AJ19" s="267"/>
      <c r="AK19" s="2199"/>
      <c r="AL19" s="2200"/>
      <c r="AM19" s="2201"/>
      <c r="AN19" s="327"/>
      <c r="AO19" s="328"/>
      <c r="AP19" s="328"/>
      <c r="AQ19" s="328"/>
      <c r="AR19" s="2202"/>
      <c r="AS19" s="267"/>
      <c r="AT19" s="267"/>
      <c r="AU19" s="267"/>
      <c r="AV19" s="267"/>
      <c r="AW19" s="2199"/>
      <c r="AX19" s="2200"/>
      <c r="AY19" s="2201"/>
      <c r="AZ19" s="327"/>
      <c r="BA19" s="328"/>
      <c r="BB19" s="328"/>
      <c r="BC19" s="328"/>
      <c r="BD19" s="2202"/>
      <c r="BE19" s="267"/>
      <c r="BF19" s="267"/>
      <c r="BG19" s="267"/>
      <c r="BH19" s="263"/>
      <c r="BI19" s="2199"/>
      <c r="BJ19" s="2200"/>
      <c r="BK19" s="2201"/>
      <c r="BL19" s="327"/>
      <c r="BM19" s="328"/>
      <c r="BN19" s="328"/>
      <c r="BO19" s="328"/>
      <c r="BP19" s="2202"/>
      <c r="BQ19" s="267"/>
      <c r="BR19" s="267"/>
      <c r="BS19" s="267"/>
      <c r="BT19" s="263"/>
      <c r="BU19" s="2199"/>
      <c r="BV19" s="2200"/>
      <c r="BW19" s="2201"/>
      <c r="BX19" s="327"/>
      <c r="BY19" s="328"/>
      <c r="BZ19" s="328"/>
      <c r="CA19" s="328"/>
      <c r="CB19" s="2202"/>
      <c r="CC19" s="267"/>
      <c r="CD19" s="267"/>
      <c r="CE19" s="267"/>
      <c r="CF19" s="263"/>
      <c r="CG19" s="2199"/>
      <c r="CH19" s="2200"/>
      <c r="CI19" s="2201"/>
      <c r="CJ19" s="327"/>
      <c r="CK19" s="328"/>
      <c r="CL19" s="328"/>
      <c r="CM19" s="328"/>
      <c r="CN19" s="2202"/>
      <c r="CO19" s="267"/>
      <c r="CP19" s="267"/>
      <c r="CQ19" s="267"/>
      <c r="CR19" s="263"/>
      <c r="CS19" s="2199"/>
      <c r="CT19" s="2200"/>
      <c r="CU19" s="2201"/>
      <c r="CV19" s="327"/>
      <c r="CW19" s="328"/>
      <c r="CX19" s="328"/>
      <c r="CY19" s="328"/>
      <c r="CZ19" s="2202"/>
      <c r="DA19" s="267"/>
      <c r="DB19" s="267"/>
      <c r="DC19" s="267"/>
      <c r="DD19" s="263"/>
    </row>
    <row r="20" spans="1:108">
      <c r="A20" s="319"/>
      <c r="B20" s="2203" t="s">
        <v>1133</v>
      </c>
      <c r="C20" s="2187"/>
      <c r="D20" s="263"/>
      <c r="E20" s="263"/>
      <c r="F20" s="263"/>
      <c r="G20" s="263"/>
      <c r="H20" s="263"/>
      <c r="I20" s="263"/>
      <c r="J20" s="263"/>
      <c r="K20" s="263"/>
      <c r="L20" s="263"/>
      <c r="M20" s="319"/>
      <c r="N20" s="2203" t="s">
        <v>1133</v>
      </c>
      <c r="O20" s="2187"/>
      <c r="P20" s="263"/>
      <c r="Q20" s="263"/>
      <c r="R20" s="263"/>
      <c r="S20" s="263"/>
      <c r="T20" s="263"/>
      <c r="U20" s="263"/>
      <c r="V20" s="263"/>
      <c r="W20" s="263"/>
      <c r="X20" s="263"/>
      <c r="Y20" s="319"/>
      <c r="Z20" s="2203" t="s">
        <v>1133</v>
      </c>
      <c r="AA20" s="2187"/>
      <c r="AB20" s="263"/>
      <c r="AC20" s="263"/>
      <c r="AD20" s="263"/>
      <c r="AE20" s="263"/>
      <c r="AF20" s="263"/>
      <c r="AG20" s="263"/>
      <c r="AH20" s="263"/>
      <c r="AI20" s="263"/>
      <c r="AJ20" s="263"/>
      <c r="AK20" s="319"/>
      <c r="AL20" s="2203" t="s">
        <v>1133</v>
      </c>
      <c r="AM20" s="2187"/>
      <c r="AN20" s="263"/>
      <c r="AO20" s="263"/>
      <c r="AP20" s="263"/>
      <c r="AQ20" s="263"/>
      <c r="AR20" s="263"/>
      <c r="AS20" s="263"/>
      <c r="AT20" s="263"/>
      <c r="AU20" s="263"/>
      <c r="AV20" s="263"/>
      <c r="AW20" s="319"/>
      <c r="AX20" s="2203" t="s">
        <v>1133</v>
      </c>
      <c r="AY20" s="2187"/>
      <c r="AZ20" s="263"/>
      <c r="BA20" s="263"/>
      <c r="BB20" s="263"/>
      <c r="BC20" s="263"/>
      <c r="BD20" s="263"/>
      <c r="BE20" s="263"/>
      <c r="BF20" s="263"/>
      <c r="BG20" s="263"/>
      <c r="BH20" s="263"/>
      <c r="BI20" s="319"/>
      <c r="BJ20" s="2203" t="s">
        <v>1133</v>
      </c>
      <c r="BK20" s="2187"/>
      <c r="BL20" s="263"/>
      <c r="BM20" s="263"/>
      <c r="BN20" s="263"/>
      <c r="BO20" s="263"/>
      <c r="BP20" s="263"/>
      <c r="BQ20" s="263"/>
      <c r="BR20" s="263"/>
      <c r="BS20" s="263"/>
      <c r="BT20" s="263"/>
      <c r="BU20" s="319"/>
      <c r="BV20" s="2203" t="s">
        <v>1133</v>
      </c>
      <c r="BW20" s="2187"/>
      <c r="BX20" s="263"/>
      <c r="BY20" s="263"/>
      <c r="BZ20" s="263"/>
      <c r="CA20" s="263"/>
      <c r="CB20" s="263"/>
      <c r="CC20" s="263"/>
      <c r="CD20" s="263"/>
      <c r="CE20" s="263"/>
      <c r="CF20" s="263"/>
      <c r="CG20" s="319"/>
      <c r="CH20" s="2203" t="s">
        <v>1133</v>
      </c>
      <c r="CI20" s="2187"/>
      <c r="CJ20" s="263"/>
      <c r="CK20" s="263"/>
      <c r="CL20" s="263"/>
      <c r="CM20" s="263"/>
      <c r="CN20" s="263"/>
      <c r="CO20" s="263"/>
      <c r="CP20" s="263"/>
      <c r="CQ20" s="263"/>
      <c r="CR20" s="263"/>
      <c r="CS20" s="319"/>
      <c r="CT20" s="2203" t="s">
        <v>1133</v>
      </c>
      <c r="CU20" s="2187"/>
      <c r="CV20" s="263"/>
      <c r="CW20" s="263"/>
      <c r="CX20" s="263"/>
      <c r="CY20" s="263"/>
      <c r="CZ20" s="263"/>
      <c r="DA20" s="263"/>
      <c r="DB20" s="263"/>
      <c r="DC20" s="263"/>
      <c r="DD20" s="263"/>
    </row>
    <row r="21" spans="1:108" ht="14.25">
      <c r="A21" s="323"/>
      <c r="B21" s="326" t="s">
        <v>1313</v>
      </c>
      <c r="C21" s="2190"/>
      <c r="D21" s="263"/>
      <c r="E21" s="263"/>
      <c r="F21" s="263"/>
      <c r="G21" s="263"/>
      <c r="H21" s="263"/>
      <c r="I21" s="263"/>
      <c r="J21" s="263"/>
      <c r="K21" s="263"/>
      <c r="L21" s="263"/>
      <c r="M21" s="323"/>
      <c r="N21" s="326" t="s">
        <v>1313</v>
      </c>
      <c r="O21" s="2190"/>
      <c r="P21" s="263"/>
      <c r="Q21" s="263"/>
      <c r="R21" s="263"/>
      <c r="S21" s="263"/>
      <c r="T21" s="263"/>
      <c r="U21" s="263"/>
      <c r="V21" s="263"/>
      <c r="W21" s="263"/>
      <c r="X21" s="263"/>
      <c r="Y21" s="323"/>
      <c r="Z21" s="326" t="s">
        <v>1313</v>
      </c>
      <c r="AA21" s="2190"/>
      <c r="AB21" s="263"/>
      <c r="AC21" s="263"/>
      <c r="AD21" s="263"/>
      <c r="AE21" s="263"/>
      <c r="AF21" s="263"/>
      <c r="AG21" s="263"/>
      <c r="AH21" s="263"/>
      <c r="AI21" s="263"/>
      <c r="AJ21" s="263"/>
      <c r="AK21" s="323"/>
      <c r="AL21" s="326" t="s">
        <v>1313</v>
      </c>
      <c r="AM21" s="2190"/>
      <c r="AN21" s="263"/>
      <c r="AO21" s="263"/>
      <c r="AP21" s="263"/>
      <c r="AQ21" s="263"/>
      <c r="AR21" s="263"/>
      <c r="AS21" s="263"/>
      <c r="AT21" s="263"/>
      <c r="AU21" s="263"/>
      <c r="AV21" s="263"/>
      <c r="AW21" s="323"/>
      <c r="AX21" s="326" t="s">
        <v>1313</v>
      </c>
      <c r="AY21" s="2190"/>
      <c r="AZ21" s="263"/>
      <c r="BA21" s="263"/>
      <c r="BB21" s="263"/>
      <c r="BC21" s="263"/>
      <c r="BD21" s="263"/>
      <c r="BE21" s="263"/>
      <c r="BF21" s="263"/>
      <c r="BG21" s="263"/>
      <c r="BH21" s="263"/>
      <c r="BI21" s="323"/>
      <c r="BJ21" s="326" t="s">
        <v>1313</v>
      </c>
      <c r="BK21" s="2190"/>
      <c r="BL21" s="263"/>
      <c r="BM21" s="263"/>
      <c r="BN21" s="263"/>
      <c r="BO21" s="263"/>
      <c r="BP21" s="263"/>
      <c r="BQ21" s="263"/>
      <c r="BR21" s="263"/>
      <c r="BS21" s="263"/>
      <c r="BT21" s="263"/>
      <c r="BU21" s="323"/>
      <c r="BV21" s="326" t="s">
        <v>1313</v>
      </c>
      <c r="BW21" s="2190"/>
      <c r="BX21" s="263"/>
      <c r="BY21" s="263"/>
      <c r="BZ21" s="263"/>
      <c r="CA21" s="263"/>
      <c r="CB21" s="263"/>
      <c r="CC21" s="263"/>
      <c r="CD21" s="263"/>
      <c r="CE21" s="263"/>
      <c r="CF21" s="263"/>
      <c r="CG21" s="323"/>
      <c r="CH21" s="326" t="s">
        <v>1313</v>
      </c>
      <c r="CI21" s="2190"/>
      <c r="CJ21" s="263"/>
      <c r="CK21" s="263"/>
      <c r="CL21" s="263"/>
      <c r="CM21" s="263"/>
      <c r="CN21" s="263"/>
      <c r="CO21" s="263"/>
      <c r="CP21" s="263"/>
      <c r="CQ21" s="263"/>
      <c r="CR21" s="263"/>
      <c r="CS21" s="323"/>
      <c r="CT21" s="326" t="s">
        <v>1313</v>
      </c>
      <c r="CU21" s="2190"/>
      <c r="CV21" s="263"/>
      <c r="CW21" s="263"/>
      <c r="CX21" s="263"/>
      <c r="CY21" s="263"/>
      <c r="CZ21" s="263"/>
      <c r="DA21" s="263"/>
      <c r="DB21" s="263"/>
      <c r="DC21" s="263"/>
      <c r="DD21" s="263"/>
    </row>
    <row r="22" spans="1:108">
      <c r="A22" s="323"/>
      <c r="B22" s="326"/>
      <c r="C22" s="2190"/>
      <c r="D22" s="263"/>
      <c r="E22" s="319" t="s">
        <v>1134</v>
      </c>
      <c r="F22" s="320"/>
      <c r="G22" s="2187"/>
      <c r="H22" s="263"/>
      <c r="I22" s="263"/>
      <c r="J22" s="263"/>
      <c r="K22" s="263"/>
      <c r="L22" s="263"/>
      <c r="M22" s="323"/>
      <c r="N22" s="326"/>
      <c r="O22" s="2190"/>
      <c r="P22" s="263"/>
      <c r="Q22" s="319" t="s">
        <v>1134</v>
      </c>
      <c r="R22" s="320"/>
      <c r="S22" s="2187"/>
      <c r="T22" s="263"/>
      <c r="U22" s="263"/>
      <c r="V22" s="263"/>
      <c r="W22" s="263"/>
      <c r="X22" s="263"/>
      <c r="Y22" s="323"/>
      <c r="Z22" s="326"/>
      <c r="AA22" s="2190"/>
      <c r="AB22" s="263"/>
      <c r="AC22" s="319" t="s">
        <v>1134</v>
      </c>
      <c r="AD22" s="320"/>
      <c r="AE22" s="2187"/>
      <c r="AF22" s="263"/>
      <c r="AG22" s="263"/>
      <c r="AH22" s="263"/>
      <c r="AI22" s="263"/>
      <c r="AJ22" s="263"/>
      <c r="AK22" s="323"/>
      <c r="AL22" s="326"/>
      <c r="AM22" s="2190"/>
      <c r="AN22" s="263"/>
      <c r="AO22" s="319" t="s">
        <v>1134</v>
      </c>
      <c r="AP22" s="320"/>
      <c r="AQ22" s="2187"/>
      <c r="AR22" s="263"/>
      <c r="AS22" s="263"/>
      <c r="AT22" s="263"/>
      <c r="AU22" s="263"/>
      <c r="AV22" s="263"/>
      <c r="AW22" s="323"/>
      <c r="AX22" s="326"/>
      <c r="AY22" s="2190"/>
      <c r="AZ22" s="263"/>
      <c r="BA22" s="319" t="s">
        <v>1134</v>
      </c>
      <c r="BB22" s="320"/>
      <c r="BC22" s="2187"/>
      <c r="BD22" s="263"/>
      <c r="BE22" s="263"/>
      <c r="BF22" s="263"/>
      <c r="BG22" s="263"/>
      <c r="BH22" s="263"/>
      <c r="BI22" s="323"/>
      <c r="BJ22" s="326"/>
      <c r="BK22" s="2190"/>
      <c r="BL22" s="263"/>
      <c r="BM22" s="319" t="s">
        <v>1134</v>
      </c>
      <c r="BN22" s="320"/>
      <c r="BO22" s="2187"/>
      <c r="BP22" s="263"/>
      <c r="BQ22" s="263"/>
      <c r="BR22" s="263"/>
      <c r="BS22" s="263"/>
      <c r="BT22" s="263"/>
      <c r="BU22" s="323"/>
      <c r="BV22" s="326"/>
      <c r="BW22" s="2190"/>
      <c r="BX22" s="263"/>
      <c r="BY22" s="319" t="s">
        <v>1134</v>
      </c>
      <c r="BZ22" s="320"/>
      <c r="CA22" s="2187"/>
      <c r="CB22" s="263"/>
      <c r="CC22" s="263"/>
      <c r="CD22" s="263"/>
      <c r="CE22" s="263"/>
      <c r="CF22" s="263"/>
      <c r="CG22" s="323"/>
      <c r="CH22" s="326"/>
      <c r="CI22" s="2190"/>
      <c r="CJ22" s="263"/>
      <c r="CK22" s="319" t="s">
        <v>1134</v>
      </c>
      <c r="CL22" s="320"/>
      <c r="CM22" s="2187"/>
      <c r="CN22" s="263"/>
      <c r="CO22" s="263"/>
      <c r="CP22" s="263"/>
      <c r="CQ22" s="263"/>
      <c r="CR22" s="263"/>
      <c r="CS22" s="323"/>
      <c r="CT22" s="326"/>
      <c r="CU22" s="2190"/>
      <c r="CV22" s="263"/>
      <c r="CW22" s="319" t="s">
        <v>1134</v>
      </c>
      <c r="CX22" s="320"/>
      <c r="CY22" s="2187"/>
      <c r="CZ22" s="263"/>
      <c r="DA22" s="263"/>
      <c r="DB22" s="263"/>
      <c r="DC22" s="263"/>
      <c r="DD22" s="263"/>
    </row>
    <row r="23" spans="1:108">
      <c r="A23" s="323"/>
      <c r="B23" s="310" t="s">
        <v>1135</v>
      </c>
      <c r="C23" s="2204"/>
      <c r="D23" s="263"/>
      <c r="E23" s="327" t="s">
        <v>1197</v>
      </c>
      <c r="F23" s="328"/>
      <c r="G23" s="2202"/>
      <c r="H23" s="263"/>
      <c r="I23" s="263"/>
      <c r="J23" s="263"/>
      <c r="K23" s="263"/>
      <c r="L23" s="263"/>
      <c r="M23" s="323"/>
      <c r="N23" s="310" t="s">
        <v>1135</v>
      </c>
      <c r="O23" s="2204"/>
      <c r="P23" s="263"/>
      <c r="Q23" s="327" t="s">
        <v>1197</v>
      </c>
      <c r="R23" s="328"/>
      <c r="S23" s="2202"/>
      <c r="T23" s="263"/>
      <c r="U23" s="263"/>
      <c r="V23" s="263"/>
      <c r="W23" s="263"/>
      <c r="X23" s="263"/>
      <c r="Y23" s="323"/>
      <c r="Z23" s="310" t="s">
        <v>1135</v>
      </c>
      <c r="AA23" s="2204"/>
      <c r="AB23" s="263"/>
      <c r="AC23" s="327" t="s">
        <v>1197</v>
      </c>
      <c r="AD23" s="328"/>
      <c r="AE23" s="2202"/>
      <c r="AF23" s="263"/>
      <c r="AG23" s="263"/>
      <c r="AH23" s="263"/>
      <c r="AI23" s="263"/>
      <c r="AJ23" s="263"/>
      <c r="AK23" s="323"/>
      <c r="AL23" s="310" t="s">
        <v>1135</v>
      </c>
      <c r="AM23" s="2204"/>
      <c r="AN23" s="263"/>
      <c r="AO23" s="327" t="s">
        <v>1197</v>
      </c>
      <c r="AP23" s="328"/>
      <c r="AQ23" s="2202"/>
      <c r="AR23" s="263"/>
      <c r="AS23" s="263"/>
      <c r="AT23" s="263"/>
      <c r="AU23" s="263"/>
      <c r="AV23" s="263"/>
      <c r="AW23" s="323"/>
      <c r="AX23" s="310" t="s">
        <v>1135</v>
      </c>
      <c r="AY23" s="2204"/>
      <c r="AZ23" s="263"/>
      <c r="BA23" s="327" t="s">
        <v>1198</v>
      </c>
      <c r="BB23" s="328"/>
      <c r="BC23" s="2202"/>
      <c r="BD23" s="263"/>
      <c r="BE23" s="263"/>
      <c r="BF23" s="263"/>
      <c r="BG23" s="263"/>
      <c r="BH23" s="263"/>
      <c r="BI23" s="323"/>
      <c r="BJ23" s="310" t="s">
        <v>1135</v>
      </c>
      <c r="BK23" s="2204"/>
      <c r="BL23" s="263"/>
      <c r="BM23" s="327" t="s">
        <v>1198</v>
      </c>
      <c r="BN23" s="328"/>
      <c r="BO23" s="2202"/>
      <c r="BP23" s="263"/>
      <c r="BQ23" s="263"/>
      <c r="BR23" s="263"/>
      <c r="BS23" s="263"/>
      <c r="BT23" s="263"/>
      <c r="BU23" s="323"/>
      <c r="BV23" s="310" t="s">
        <v>1135</v>
      </c>
      <c r="BW23" s="2204"/>
      <c r="BX23" s="263"/>
      <c r="BY23" s="327" t="s">
        <v>1197</v>
      </c>
      <c r="BZ23" s="328"/>
      <c r="CA23" s="2202"/>
      <c r="CB23" s="263"/>
      <c r="CC23" s="263"/>
      <c r="CD23" s="263"/>
      <c r="CE23" s="263"/>
      <c r="CF23" s="263"/>
      <c r="CG23" s="323"/>
      <c r="CH23" s="310" t="s">
        <v>1135</v>
      </c>
      <c r="CI23" s="2204"/>
      <c r="CJ23" s="263"/>
      <c r="CK23" s="327" t="s">
        <v>1197</v>
      </c>
      <c r="CL23" s="328"/>
      <c r="CM23" s="2202"/>
      <c r="CN23" s="263"/>
      <c r="CO23" s="263"/>
      <c r="CP23" s="263"/>
      <c r="CQ23" s="263"/>
      <c r="CR23" s="263"/>
      <c r="CS23" s="323"/>
      <c r="CT23" s="310" t="s">
        <v>1135</v>
      </c>
      <c r="CU23" s="2204"/>
      <c r="CV23" s="263"/>
      <c r="CW23" s="327" t="s">
        <v>1198</v>
      </c>
      <c r="CX23" s="328"/>
      <c r="CY23" s="2202"/>
      <c r="CZ23" s="263"/>
      <c r="DA23" s="263"/>
      <c r="DB23" s="263"/>
      <c r="DC23" s="263"/>
      <c r="DD23" s="263"/>
    </row>
    <row r="24" spans="1:108">
      <c r="A24" s="2205" t="s">
        <v>672</v>
      </c>
      <c r="B24" s="2196">
        <v>1.4042137827051496E-4</v>
      </c>
      <c r="C24" s="2207"/>
      <c r="D24" s="263"/>
      <c r="E24" s="263"/>
      <c r="F24" s="263"/>
      <c r="G24" s="263"/>
      <c r="H24" s="263"/>
      <c r="I24" s="267"/>
      <c r="J24" s="267"/>
      <c r="K24" s="267"/>
      <c r="L24" s="267"/>
      <c r="M24" s="2205" t="s">
        <v>672</v>
      </c>
      <c r="N24" s="2196">
        <v>1.4042137827051496E-4</v>
      </c>
      <c r="O24" s="2207"/>
      <c r="P24" s="263"/>
      <c r="Q24" s="263"/>
      <c r="R24" s="263"/>
      <c r="S24" s="263"/>
      <c r="T24" s="263"/>
      <c r="U24" s="267"/>
      <c r="V24" s="267"/>
      <c r="W24" s="267"/>
      <c r="X24" s="267"/>
      <c r="Y24" s="2205" t="s">
        <v>672</v>
      </c>
      <c r="Z24" s="2196">
        <v>1.4042137827051496E-4</v>
      </c>
      <c r="AA24" s="2207"/>
      <c r="AB24" s="263"/>
      <c r="AC24" s="263"/>
      <c r="AD24" s="263"/>
      <c r="AE24" s="263"/>
      <c r="AF24" s="263"/>
      <c r="AG24" s="267"/>
      <c r="AH24" s="267"/>
      <c r="AI24" s="267"/>
      <c r="AJ24" s="267"/>
      <c r="AK24" s="2205" t="s">
        <v>672</v>
      </c>
      <c r="AL24" s="2196">
        <v>1.4042137827051496E-4</v>
      </c>
      <c r="AM24" s="2207"/>
      <c r="AN24" s="263"/>
      <c r="AO24" s="263"/>
      <c r="AP24" s="263"/>
      <c r="AQ24" s="263"/>
      <c r="AR24" s="263"/>
      <c r="AS24" s="267"/>
      <c r="AT24" s="267"/>
      <c r="AU24" s="267"/>
      <c r="AV24" s="267"/>
      <c r="AW24" s="2205" t="s">
        <v>672</v>
      </c>
      <c r="AX24" s="2196">
        <v>-2.5987416750062727E-5</v>
      </c>
      <c r="AY24" s="2207"/>
      <c r="AZ24" s="263"/>
      <c r="BA24" s="263"/>
      <c r="BB24" s="263"/>
      <c r="BC24" s="263"/>
      <c r="BD24" s="263"/>
      <c r="BE24" s="267"/>
      <c r="BF24" s="267"/>
      <c r="BG24" s="267"/>
      <c r="BH24" s="263"/>
      <c r="BI24" s="2205" t="s">
        <v>672</v>
      </c>
      <c r="BJ24" s="2196">
        <v>-2.5987416750062727E-5</v>
      </c>
      <c r="BK24" s="2207"/>
      <c r="BL24" s="263"/>
      <c r="BM24" s="263"/>
      <c r="BN24" s="263"/>
      <c r="BO24" s="263"/>
      <c r="BP24" s="263"/>
      <c r="BQ24" s="267"/>
      <c r="BR24" s="267"/>
      <c r="BS24" s="267"/>
      <c r="BT24" s="263"/>
      <c r="BU24" s="2205" t="s">
        <v>672</v>
      </c>
      <c r="BV24" s="2196">
        <v>1.4042137827051496E-4</v>
      </c>
      <c r="BW24" s="2207"/>
      <c r="BX24" s="263"/>
      <c r="BY24" s="263"/>
      <c r="BZ24" s="263"/>
      <c r="CA24" s="263"/>
      <c r="CB24" s="263"/>
      <c r="CC24" s="267"/>
      <c r="CD24" s="267"/>
      <c r="CE24" s="267"/>
      <c r="CF24" s="263"/>
      <c r="CG24" s="2205" t="s">
        <v>672</v>
      </c>
      <c r="CH24" s="2196">
        <v>1.4042137827051496E-4</v>
      </c>
      <c r="CI24" s="2207"/>
      <c r="CJ24" s="263"/>
      <c r="CK24" s="263"/>
      <c r="CL24" s="263"/>
      <c r="CM24" s="263"/>
      <c r="CN24" s="263"/>
      <c r="CO24" s="267"/>
      <c r="CP24" s="267"/>
      <c r="CQ24" s="267"/>
      <c r="CR24" s="263"/>
      <c r="CS24" s="2205" t="s">
        <v>672</v>
      </c>
      <c r="CT24" s="2196">
        <v>-2.5987416750062727E-5</v>
      </c>
      <c r="CU24" s="2207"/>
      <c r="CV24" s="263"/>
      <c r="CW24" s="263"/>
      <c r="CX24" s="263"/>
      <c r="CY24" s="263"/>
      <c r="CZ24" s="263"/>
      <c r="DA24" s="267"/>
      <c r="DB24" s="267"/>
      <c r="DC24" s="267"/>
      <c r="DD24" s="263"/>
    </row>
    <row r="25" spans="1:108">
      <c r="A25" s="2205" t="s">
        <v>1138</v>
      </c>
      <c r="B25" s="2196">
        <v>0.15203727125493</v>
      </c>
      <c r="C25" s="2207"/>
      <c r="D25" s="263"/>
      <c r="E25" s="263"/>
      <c r="F25" s="263"/>
      <c r="G25" s="263"/>
      <c r="H25" s="263"/>
      <c r="I25" s="267"/>
      <c r="J25" s="267"/>
      <c r="K25" s="267"/>
      <c r="L25" s="267"/>
      <c r="M25" s="2205" t="s">
        <v>1138</v>
      </c>
      <c r="N25" s="2196">
        <v>0.15203727125493</v>
      </c>
      <c r="O25" s="2207"/>
      <c r="P25" s="263"/>
      <c r="Q25" s="263"/>
      <c r="R25" s="263"/>
      <c r="S25" s="263"/>
      <c r="T25" s="263"/>
      <c r="U25" s="267"/>
      <c r="V25" s="267"/>
      <c r="W25" s="267"/>
      <c r="X25" s="267"/>
      <c r="Y25" s="2205" t="s">
        <v>1138</v>
      </c>
      <c r="Z25" s="2196">
        <v>0.15203727125493</v>
      </c>
      <c r="AA25" s="2207"/>
      <c r="AB25" s="263"/>
      <c r="AC25" s="263"/>
      <c r="AD25" s="263"/>
      <c r="AE25" s="263"/>
      <c r="AF25" s="263"/>
      <c r="AG25" s="267"/>
      <c r="AH25" s="267"/>
      <c r="AI25" s="267"/>
      <c r="AJ25" s="267"/>
      <c r="AK25" s="2205" t="s">
        <v>1138</v>
      </c>
      <c r="AL25" s="2196">
        <v>0.15203727125493</v>
      </c>
      <c r="AM25" s="2207"/>
      <c r="AN25" s="263"/>
      <c r="AO25" s="263"/>
      <c r="AP25" s="263"/>
      <c r="AQ25" s="263"/>
      <c r="AR25" s="263"/>
      <c r="AS25" s="267"/>
      <c r="AT25" s="267"/>
      <c r="AU25" s="267"/>
      <c r="AV25" s="267"/>
      <c r="AW25" s="2205" t="s">
        <v>1138</v>
      </c>
      <c r="AX25" s="2196">
        <v>0.14971802004925</v>
      </c>
      <c r="AY25" s="2207"/>
      <c r="AZ25" s="263"/>
      <c r="BA25" s="263"/>
      <c r="BB25" s="263"/>
      <c r="BC25" s="263"/>
      <c r="BD25" s="263"/>
      <c r="BE25" s="267"/>
      <c r="BF25" s="267"/>
      <c r="BG25" s="267"/>
      <c r="BH25" s="263"/>
      <c r="BI25" s="2205" t="s">
        <v>1138</v>
      </c>
      <c r="BJ25" s="2196">
        <v>0.14971802004925</v>
      </c>
      <c r="BK25" s="2207"/>
      <c r="BL25" s="263"/>
      <c r="BM25" s="263"/>
      <c r="BN25" s="263"/>
      <c r="BO25" s="263"/>
      <c r="BP25" s="263"/>
      <c r="BQ25" s="267"/>
      <c r="BR25" s="267"/>
      <c r="BS25" s="267"/>
      <c r="BT25" s="263"/>
      <c r="BU25" s="2205" t="s">
        <v>1138</v>
      </c>
      <c r="BV25" s="2196">
        <v>0.15203727125493</v>
      </c>
      <c r="BW25" s="2207"/>
      <c r="BX25" s="263"/>
      <c r="BY25" s="263"/>
      <c r="BZ25" s="263"/>
      <c r="CA25" s="263"/>
      <c r="CB25" s="263"/>
      <c r="CC25" s="267"/>
      <c r="CD25" s="267"/>
      <c r="CE25" s="267"/>
      <c r="CF25" s="263"/>
      <c r="CG25" s="2205" t="s">
        <v>1138</v>
      </c>
      <c r="CH25" s="2196">
        <v>0.15203727125493</v>
      </c>
      <c r="CI25" s="2207"/>
      <c r="CJ25" s="263"/>
      <c r="CK25" s="263"/>
      <c r="CL25" s="263"/>
      <c r="CM25" s="263"/>
      <c r="CN25" s="263"/>
      <c r="CO25" s="267"/>
      <c r="CP25" s="267"/>
      <c r="CQ25" s="267"/>
      <c r="CR25" s="263"/>
      <c r="CS25" s="2205" t="s">
        <v>1138</v>
      </c>
      <c r="CT25" s="2196">
        <v>0.14971802004925</v>
      </c>
      <c r="CU25" s="2207"/>
      <c r="CV25" s="263"/>
      <c r="CW25" s="263"/>
      <c r="CX25" s="263"/>
      <c r="CY25" s="263"/>
      <c r="CZ25" s="263"/>
      <c r="DA25" s="267"/>
      <c r="DB25" s="267"/>
      <c r="DC25" s="267"/>
      <c r="DD25" s="263"/>
    </row>
    <row r="26" spans="1:108">
      <c r="A26" s="2205" t="s">
        <v>1139</v>
      </c>
      <c r="B26" s="2196">
        <v>48.864843176173451</v>
      </c>
      <c r="C26" s="2207"/>
      <c r="D26" s="263"/>
      <c r="E26" s="263"/>
      <c r="F26" s="263"/>
      <c r="G26" s="263"/>
      <c r="H26" s="2209"/>
      <c r="I26" s="2209"/>
      <c r="J26" s="2209"/>
      <c r="K26" s="2209"/>
      <c r="L26" s="2209"/>
      <c r="M26" s="2205" t="s">
        <v>1139</v>
      </c>
      <c r="N26" s="2196">
        <v>48.864843176173451</v>
      </c>
      <c r="O26" s="2207"/>
      <c r="P26" s="263"/>
      <c r="Q26" s="263"/>
      <c r="R26" s="263"/>
      <c r="S26" s="263"/>
      <c r="T26" s="2209"/>
      <c r="U26" s="2209"/>
      <c r="V26" s="2209"/>
      <c r="W26" s="2209"/>
      <c r="X26" s="2209"/>
      <c r="Y26" s="2205" t="s">
        <v>1139</v>
      </c>
      <c r="Z26" s="2196">
        <v>48.864843176173451</v>
      </c>
      <c r="AA26" s="2207"/>
      <c r="AB26" s="263"/>
      <c r="AC26" s="263"/>
      <c r="AD26" s="263"/>
      <c r="AE26" s="263"/>
      <c r="AF26" s="2209"/>
      <c r="AG26" s="2209"/>
      <c r="AH26" s="2209"/>
      <c r="AI26" s="2209"/>
      <c r="AJ26" s="2209"/>
      <c r="AK26" s="2205" t="s">
        <v>1139</v>
      </c>
      <c r="AL26" s="2196">
        <v>48.864843176173451</v>
      </c>
      <c r="AM26" s="2207"/>
      <c r="AN26" s="263"/>
      <c r="AO26" s="263"/>
      <c r="AP26" s="263"/>
      <c r="AQ26" s="263"/>
      <c r="AR26" s="2209"/>
      <c r="AS26" s="2209"/>
      <c r="AT26" s="2209"/>
      <c r="AU26" s="2209"/>
      <c r="AV26" s="2209"/>
      <c r="AW26" s="2205" t="s">
        <v>1139</v>
      </c>
      <c r="AX26" s="2196">
        <v>45.864199214703021</v>
      </c>
      <c r="AY26" s="2207"/>
      <c r="AZ26" s="263"/>
      <c r="BA26" s="263"/>
      <c r="BB26" s="263"/>
      <c r="BC26" s="263"/>
      <c r="BD26" s="2209"/>
      <c r="BE26" s="2209"/>
      <c r="BF26" s="2209"/>
      <c r="BG26" s="2209"/>
      <c r="BH26" s="263"/>
      <c r="BI26" s="2205" t="s">
        <v>1139</v>
      </c>
      <c r="BJ26" s="2196">
        <v>45.864199214703021</v>
      </c>
      <c r="BK26" s="2207"/>
      <c r="BL26" s="263"/>
      <c r="BM26" s="263"/>
      <c r="BN26" s="263"/>
      <c r="BO26" s="263"/>
      <c r="BP26" s="2209"/>
      <c r="BQ26" s="2209"/>
      <c r="BR26" s="2209"/>
      <c r="BS26" s="2209"/>
      <c r="BT26" s="263"/>
      <c r="BU26" s="2205" t="s">
        <v>1139</v>
      </c>
      <c r="BV26" s="2196">
        <v>48.864843176173451</v>
      </c>
      <c r="BW26" s="2207"/>
      <c r="BX26" s="263"/>
      <c r="BY26" s="263"/>
      <c r="BZ26" s="263"/>
      <c r="CA26" s="263"/>
      <c r="CB26" s="2209"/>
      <c r="CC26" s="2209"/>
      <c r="CD26" s="2209"/>
      <c r="CE26" s="2209"/>
      <c r="CF26" s="263"/>
      <c r="CG26" s="2205" t="s">
        <v>1139</v>
      </c>
      <c r="CH26" s="2196">
        <v>48.864843176173451</v>
      </c>
      <c r="CI26" s="2207"/>
      <c r="CJ26" s="263"/>
      <c r="CK26" s="263"/>
      <c r="CL26" s="263"/>
      <c r="CM26" s="263"/>
      <c r="CN26" s="2209"/>
      <c r="CO26" s="2209"/>
      <c r="CP26" s="2209"/>
      <c r="CQ26" s="2209"/>
      <c r="CR26" s="263"/>
      <c r="CS26" s="2205" t="s">
        <v>1139</v>
      </c>
      <c r="CT26" s="2196">
        <v>45.864199214703021</v>
      </c>
      <c r="CU26" s="2207"/>
      <c r="CV26" s="263"/>
      <c r="CW26" s="263"/>
      <c r="CX26" s="263"/>
      <c r="CY26" s="263"/>
      <c r="CZ26" s="2209"/>
      <c r="DA26" s="2209"/>
      <c r="DB26" s="2209"/>
      <c r="DC26" s="2209"/>
      <c r="DD26" s="263"/>
    </row>
    <row r="27" spans="1:108">
      <c r="A27" s="2205" t="s">
        <v>1140</v>
      </c>
      <c r="B27" s="2196">
        <v>3760.8388265484537</v>
      </c>
      <c r="C27" s="2207"/>
      <c r="D27" s="263"/>
      <c r="E27" s="263"/>
      <c r="F27" s="263"/>
      <c r="G27" s="263"/>
      <c r="H27" s="263"/>
      <c r="I27" s="263"/>
      <c r="J27" s="263"/>
      <c r="K27" s="263"/>
      <c r="L27" s="263"/>
      <c r="M27" s="2205" t="s">
        <v>1140</v>
      </c>
      <c r="N27" s="2196">
        <v>3760.8388265484537</v>
      </c>
      <c r="O27" s="2207"/>
      <c r="P27" s="263"/>
      <c r="Q27" s="263"/>
      <c r="R27" s="263"/>
      <c r="S27" s="263"/>
      <c r="T27" s="263"/>
      <c r="U27" s="263"/>
      <c r="V27" s="263"/>
      <c r="W27" s="263"/>
      <c r="X27" s="263"/>
      <c r="Y27" s="2205" t="s">
        <v>1140</v>
      </c>
      <c r="Z27" s="2196">
        <v>3760.8388265484537</v>
      </c>
      <c r="AA27" s="2207"/>
      <c r="AB27" s="263"/>
      <c r="AC27" s="263"/>
      <c r="AD27" s="263"/>
      <c r="AE27" s="263"/>
      <c r="AF27" s="263"/>
      <c r="AG27" s="263"/>
      <c r="AH27" s="263"/>
      <c r="AI27" s="263"/>
      <c r="AJ27" s="263"/>
      <c r="AK27" s="2205" t="s">
        <v>1140</v>
      </c>
      <c r="AL27" s="2196">
        <v>3760.8388265484537</v>
      </c>
      <c r="AM27" s="2207"/>
      <c r="AN27" s="263"/>
      <c r="AO27" s="263"/>
      <c r="AP27" s="263"/>
      <c r="AQ27" s="263"/>
      <c r="AR27" s="263"/>
      <c r="AS27" s="263"/>
      <c r="AT27" s="263"/>
      <c r="AU27" s="263"/>
      <c r="AV27" s="263"/>
      <c r="AW27" s="2205" t="s">
        <v>1140</v>
      </c>
      <c r="AX27" s="2196">
        <v>2973.4854343643187</v>
      </c>
      <c r="AY27" s="2207"/>
      <c r="AZ27" s="263"/>
      <c r="BA27" s="263"/>
      <c r="BB27" s="263"/>
      <c r="BC27" s="263"/>
      <c r="BD27" s="2209"/>
      <c r="BE27" s="2209"/>
      <c r="BF27" s="2209"/>
      <c r="BG27" s="2209"/>
      <c r="BH27" s="263"/>
      <c r="BI27" s="2205" t="s">
        <v>1140</v>
      </c>
      <c r="BJ27" s="2196">
        <v>2973.4854343643187</v>
      </c>
      <c r="BK27" s="2207"/>
      <c r="BL27" s="263"/>
      <c r="BM27" s="263"/>
      <c r="BN27" s="263"/>
      <c r="BO27" s="263"/>
      <c r="BP27" s="2209"/>
      <c r="BQ27" s="2209"/>
      <c r="BR27" s="2209"/>
      <c r="BS27" s="2209"/>
      <c r="BT27" s="263"/>
      <c r="BU27" s="2205" t="s">
        <v>1140</v>
      </c>
      <c r="BV27" s="2196">
        <v>3760.8388265484537</v>
      </c>
      <c r="BW27" s="2207"/>
      <c r="BX27" s="263"/>
      <c r="BY27" s="263"/>
      <c r="BZ27" s="263"/>
      <c r="CA27" s="263"/>
      <c r="CB27" s="263"/>
      <c r="CC27" s="263"/>
      <c r="CD27" s="263"/>
      <c r="CE27" s="263"/>
      <c r="CF27" s="263"/>
      <c r="CG27" s="2205" t="s">
        <v>1140</v>
      </c>
      <c r="CH27" s="2196">
        <v>3760.8388265484537</v>
      </c>
      <c r="CI27" s="2207"/>
      <c r="CJ27" s="263"/>
      <c r="CK27" s="263"/>
      <c r="CL27" s="263"/>
      <c r="CM27" s="263"/>
      <c r="CN27" s="263"/>
      <c r="CO27" s="263"/>
      <c r="CP27" s="263"/>
      <c r="CQ27" s="263"/>
      <c r="CR27" s="263"/>
      <c r="CS27" s="2205" t="s">
        <v>1140</v>
      </c>
      <c r="CT27" s="2196">
        <v>2973.4854343643187</v>
      </c>
      <c r="CU27" s="2207"/>
      <c r="CV27" s="263"/>
      <c r="CW27" s="263"/>
      <c r="CX27" s="263"/>
      <c r="CY27" s="263"/>
      <c r="CZ27" s="2209"/>
      <c r="DA27" s="2209"/>
      <c r="DB27" s="2209"/>
      <c r="DC27" s="2209"/>
      <c r="DD27" s="263"/>
    </row>
    <row r="28" spans="1:108">
      <c r="A28" s="327"/>
      <c r="B28" s="328"/>
      <c r="C28" s="2202"/>
      <c r="D28" s="263"/>
      <c r="E28" s="263"/>
      <c r="F28" s="263"/>
      <c r="G28" s="263"/>
      <c r="H28" s="263"/>
      <c r="I28" s="263"/>
      <c r="J28" s="263"/>
      <c r="K28" s="263"/>
      <c r="L28" s="263"/>
      <c r="M28" s="327"/>
      <c r="N28" s="328"/>
      <c r="O28" s="2202"/>
      <c r="P28" s="263"/>
      <c r="Q28" s="263"/>
      <c r="R28" s="263"/>
      <c r="S28" s="263"/>
      <c r="T28" s="263"/>
      <c r="U28" s="263"/>
      <c r="V28" s="263"/>
      <c r="W28" s="263"/>
      <c r="X28" s="263"/>
      <c r="Y28" s="327"/>
      <c r="Z28" s="328"/>
      <c r="AA28" s="2202"/>
      <c r="AB28" s="263"/>
      <c r="AC28" s="263"/>
      <c r="AD28" s="263"/>
      <c r="AE28" s="263"/>
      <c r="AF28" s="263"/>
      <c r="AG28" s="263"/>
      <c r="AH28" s="263"/>
      <c r="AI28" s="263"/>
      <c r="AJ28" s="263"/>
      <c r="AK28" s="327"/>
      <c r="AL28" s="328"/>
      <c r="AM28" s="2202"/>
      <c r="AN28" s="263"/>
      <c r="AO28" s="263"/>
      <c r="AP28" s="263"/>
      <c r="AQ28" s="263"/>
      <c r="AR28" s="263"/>
      <c r="AS28" s="263"/>
      <c r="AT28" s="263"/>
      <c r="AU28" s="263"/>
      <c r="AV28" s="263"/>
      <c r="AW28" s="327"/>
      <c r="AX28" s="328"/>
      <c r="AY28" s="2202"/>
      <c r="AZ28" s="263"/>
      <c r="BA28" s="263"/>
      <c r="BB28" s="263"/>
      <c r="BC28" s="263"/>
      <c r="BD28" s="263"/>
      <c r="BE28" s="263"/>
      <c r="BF28" s="263"/>
      <c r="BG28" s="263"/>
      <c r="BH28" s="263"/>
      <c r="BI28" s="327"/>
      <c r="BJ28" s="328"/>
      <c r="BK28" s="2202"/>
      <c r="BL28" s="263"/>
      <c r="BM28" s="263"/>
      <c r="BN28" s="263"/>
      <c r="BO28" s="263"/>
      <c r="BP28" s="263"/>
      <c r="BQ28" s="263"/>
      <c r="BR28" s="263"/>
      <c r="BS28" s="263"/>
      <c r="BT28" s="263"/>
      <c r="BU28" s="327"/>
      <c r="BV28" s="328"/>
      <c r="BW28" s="2202"/>
      <c r="BX28" s="263"/>
      <c r="BY28" s="263"/>
      <c r="BZ28" s="263"/>
      <c r="CA28" s="263"/>
      <c r="CB28" s="263"/>
      <c r="CC28" s="263"/>
      <c r="CD28" s="263"/>
      <c r="CE28" s="263"/>
      <c r="CF28" s="263"/>
      <c r="CG28" s="327"/>
      <c r="CH28" s="328"/>
      <c r="CI28" s="2202"/>
      <c r="CJ28" s="263"/>
      <c r="CK28" s="263"/>
      <c r="CL28" s="263"/>
      <c r="CM28" s="263"/>
      <c r="CN28" s="263"/>
      <c r="CO28" s="263"/>
      <c r="CP28" s="263"/>
      <c r="CQ28" s="263"/>
      <c r="CR28" s="263"/>
      <c r="CS28" s="327"/>
      <c r="CT28" s="328"/>
      <c r="CU28" s="2202"/>
      <c r="CV28" s="263"/>
      <c r="CW28" s="263"/>
      <c r="CX28" s="263"/>
      <c r="CY28" s="263"/>
      <c r="CZ28" s="263"/>
      <c r="DA28" s="263"/>
      <c r="DB28" s="263"/>
      <c r="DC28" s="263"/>
      <c r="DD28" s="263"/>
    </row>
    <row r="29" spans="1:108">
      <c r="A29" s="263"/>
      <c r="B29" s="263"/>
      <c r="C29" s="263"/>
      <c r="D29" s="263"/>
      <c r="E29" s="263"/>
      <c r="F29" s="263"/>
      <c r="G29" s="263"/>
      <c r="H29" s="263"/>
      <c r="I29" s="263"/>
      <c r="J29" s="263"/>
      <c r="K29" s="263"/>
      <c r="L29" s="263"/>
      <c r="M29" s="263"/>
      <c r="N29" s="263"/>
      <c r="O29" s="263"/>
      <c r="P29" s="263"/>
      <c r="Q29" s="263"/>
      <c r="R29" s="263"/>
      <c r="S29" s="263"/>
      <c r="T29" s="263"/>
      <c r="U29" s="263"/>
      <c r="V29" s="263"/>
      <c r="W29" s="263"/>
      <c r="X29" s="263"/>
      <c r="Y29" s="263"/>
      <c r="Z29" s="263"/>
      <c r="AA29" s="263"/>
      <c r="AB29" s="263"/>
      <c r="AC29" s="263"/>
      <c r="AD29" s="263"/>
      <c r="AE29" s="263"/>
      <c r="AF29" s="263"/>
      <c r="AG29" s="263"/>
      <c r="AH29" s="263"/>
      <c r="AI29" s="263"/>
      <c r="AJ29" s="263"/>
      <c r="AK29" s="263"/>
      <c r="AL29" s="263"/>
      <c r="AM29" s="263"/>
      <c r="AN29" s="263"/>
      <c r="AO29" s="263"/>
      <c r="AP29" s="263"/>
      <c r="AQ29" s="263"/>
      <c r="AR29" s="263"/>
      <c r="AS29" s="263"/>
      <c r="AT29" s="263"/>
      <c r="AU29" s="263"/>
      <c r="AV29" s="263"/>
      <c r="AW29" s="263"/>
      <c r="AX29" s="263"/>
      <c r="AY29" s="263"/>
      <c r="AZ29" s="263"/>
      <c r="BA29" s="263"/>
      <c r="BB29" s="263"/>
      <c r="BC29" s="263"/>
      <c r="BD29" s="263"/>
      <c r="BE29" s="263"/>
      <c r="BF29" s="263"/>
      <c r="BG29" s="263"/>
      <c r="BH29" s="263"/>
      <c r="BI29" s="263"/>
      <c r="BJ29" s="263"/>
      <c r="BK29" s="263"/>
      <c r="BL29" s="263"/>
      <c r="BM29" s="263"/>
      <c r="BN29" s="263"/>
      <c r="BO29" s="263"/>
      <c r="BP29" s="263"/>
      <c r="BQ29" s="263"/>
      <c r="BR29" s="263"/>
      <c r="BS29" s="263"/>
      <c r="BT29" s="263"/>
      <c r="BU29" s="263"/>
      <c r="BV29" s="263"/>
      <c r="BW29" s="263"/>
      <c r="BX29" s="263"/>
      <c r="BY29" s="263"/>
      <c r="BZ29" s="263"/>
      <c r="CA29" s="263"/>
      <c r="CB29" s="263"/>
      <c r="CC29" s="263"/>
      <c r="CD29" s="263"/>
      <c r="CE29" s="263"/>
      <c r="CF29" s="263"/>
      <c r="CG29" s="263"/>
      <c r="CH29" s="263"/>
      <c r="CI29" s="263"/>
      <c r="CJ29" s="263"/>
      <c r="CK29" s="263"/>
      <c r="CL29" s="263"/>
      <c r="CM29" s="263"/>
      <c r="CN29" s="263"/>
      <c r="CO29" s="263"/>
      <c r="CP29" s="263"/>
      <c r="CQ29" s="263"/>
      <c r="CR29" s="263"/>
      <c r="CS29" s="263"/>
      <c r="CT29" s="263"/>
      <c r="CU29" s="263"/>
      <c r="CV29" s="263"/>
      <c r="CW29" s="263"/>
      <c r="CX29" s="263"/>
      <c r="CY29" s="263"/>
      <c r="CZ29" s="263"/>
      <c r="DA29" s="263"/>
      <c r="DB29" s="263"/>
      <c r="DC29" s="263"/>
      <c r="DD29" s="263"/>
    </row>
    <row r="30" spans="1:108">
      <c r="A30" s="2211" t="s">
        <v>1141</v>
      </c>
      <c r="B30" s="2196">
        <v>0</v>
      </c>
      <c r="C30" s="263" t="s">
        <v>1142</v>
      </c>
      <c r="D30" s="263"/>
      <c r="E30" s="263"/>
      <c r="F30" s="263"/>
      <c r="G30" s="263"/>
      <c r="H30" s="263"/>
      <c r="I30" s="263"/>
      <c r="J30" s="263"/>
      <c r="K30" s="263"/>
      <c r="L30" s="263"/>
      <c r="M30" s="2211" t="s">
        <v>1141</v>
      </c>
      <c r="N30" s="2196">
        <v>0</v>
      </c>
      <c r="O30" s="263" t="s">
        <v>1142</v>
      </c>
      <c r="P30" s="263"/>
      <c r="Q30" s="263"/>
      <c r="R30" s="263"/>
      <c r="S30" s="263"/>
      <c r="T30" s="263"/>
      <c r="U30" s="263"/>
      <c r="V30" s="263"/>
      <c r="W30" s="263"/>
      <c r="X30" s="263"/>
      <c r="Y30" s="2211" t="s">
        <v>1141</v>
      </c>
      <c r="Z30" s="2196">
        <v>0</v>
      </c>
      <c r="AA30" s="263" t="s">
        <v>1142</v>
      </c>
      <c r="AB30" s="263"/>
      <c r="AC30" s="263"/>
      <c r="AD30" s="263"/>
      <c r="AE30" s="263"/>
      <c r="AF30" s="263"/>
      <c r="AG30" s="263"/>
      <c r="AH30" s="263"/>
      <c r="AI30" s="263"/>
      <c r="AJ30" s="263"/>
      <c r="AK30" s="2211" t="s">
        <v>1141</v>
      </c>
      <c r="AL30" s="2196">
        <v>0</v>
      </c>
      <c r="AM30" s="263" t="s">
        <v>1142</v>
      </c>
      <c r="AN30" s="263"/>
      <c r="AO30" s="263"/>
      <c r="AP30" s="263"/>
      <c r="AQ30" s="263"/>
      <c r="AR30" s="263"/>
      <c r="AS30" s="263"/>
      <c r="AT30" s="263"/>
      <c r="AU30" s="263"/>
      <c r="AV30" s="263"/>
      <c r="AW30" s="2211" t="s">
        <v>1141</v>
      </c>
      <c r="AX30" s="2196">
        <v>0</v>
      </c>
      <c r="AY30" s="263" t="s">
        <v>1142</v>
      </c>
      <c r="AZ30" s="263"/>
      <c r="BA30" s="263"/>
      <c r="BB30" s="263"/>
      <c r="BC30" s="263"/>
      <c r="BD30" s="263"/>
      <c r="BE30" s="263"/>
      <c r="BF30" s="263"/>
      <c r="BG30" s="263"/>
      <c r="BH30" s="263"/>
      <c r="BI30" s="2211" t="s">
        <v>1141</v>
      </c>
      <c r="BJ30" s="2196">
        <v>0</v>
      </c>
      <c r="BK30" s="263" t="s">
        <v>1142</v>
      </c>
      <c r="BL30" s="263"/>
      <c r="BM30" s="263"/>
      <c r="BN30" s="263"/>
      <c r="BO30" s="263"/>
      <c r="BP30" s="263"/>
      <c r="BQ30" s="263"/>
      <c r="BR30" s="263"/>
      <c r="BS30" s="263"/>
      <c r="BT30" s="263"/>
      <c r="BU30" s="2211" t="s">
        <v>1141</v>
      </c>
      <c r="BV30" s="2196">
        <v>0</v>
      </c>
      <c r="BW30" s="263" t="s">
        <v>1142</v>
      </c>
      <c r="BX30" s="263"/>
      <c r="BY30" s="263"/>
      <c r="BZ30" s="263"/>
      <c r="CA30" s="263"/>
      <c r="CB30" s="263"/>
      <c r="CC30" s="263"/>
      <c r="CD30" s="263"/>
      <c r="CE30" s="263"/>
      <c r="CF30" s="263"/>
      <c r="CG30" s="2211" t="s">
        <v>1141</v>
      </c>
      <c r="CH30" s="2196">
        <v>0</v>
      </c>
      <c r="CI30" s="263" t="s">
        <v>1142</v>
      </c>
      <c r="CJ30" s="263"/>
      <c r="CK30" s="263"/>
      <c r="CL30" s="263"/>
      <c r="CM30" s="263"/>
      <c r="CN30" s="263"/>
      <c r="CO30" s="263"/>
      <c r="CP30" s="263"/>
      <c r="CQ30" s="263"/>
      <c r="CR30" s="263"/>
      <c r="CS30" s="2211" t="s">
        <v>1141</v>
      </c>
      <c r="CT30" s="2196">
        <v>0</v>
      </c>
      <c r="CU30" s="263" t="s">
        <v>1142</v>
      </c>
      <c r="CV30" s="263"/>
      <c r="CW30" s="263"/>
      <c r="CX30" s="263"/>
      <c r="CY30" s="263"/>
      <c r="CZ30" s="263"/>
      <c r="DA30" s="263"/>
      <c r="DB30" s="263"/>
      <c r="DC30" s="263"/>
      <c r="DD30" s="263"/>
    </row>
    <row r="31" spans="1:108">
      <c r="A31" s="263"/>
      <c r="B31" s="263"/>
      <c r="C31" s="263"/>
      <c r="D31" s="263"/>
      <c r="E31" s="263"/>
      <c r="F31" s="263"/>
      <c r="G31" s="263"/>
      <c r="H31" s="263"/>
      <c r="I31" s="263"/>
      <c r="J31" s="263"/>
      <c r="K31" s="263"/>
      <c r="L31" s="263"/>
      <c r="M31" s="263"/>
      <c r="N31" s="263"/>
      <c r="O31" s="263"/>
      <c r="P31" s="263"/>
      <c r="Q31" s="263"/>
      <c r="R31" s="263"/>
      <c r="S31" s="263"/>
      <c r="T31" s="263"/>
      <c r="U31" s="263"/>
      <c r="V31" s="263"/>
      <c r="W31" s="263"/>
      <c r="X31" s="263"/>
      <c r="Y31" s="263"/>
      <c r="Z31" s="263"/>
      <c r="AA31" s="263"/>
      <c r="AB31" s="263"/>
      <c r="AC31" s="263"/>
      <c r="AD31" s="263"/>
      <c r="AE31" s="263"/>
      <c r="AF31" s="263"/>
      <c r="AG31" s="263"/>
      <c r="AH31" s="263"/>
      <c r="AI31" s="263"/>
      <c r="AJ31" s="263"/>
      <c r="AK31" s="263"/>
      <c r="AL31" s="263"/>
      <c r="AM31" s="263"/>
      <c r="AN31" s="263"/>
      <c r="AO31" s="263"/>
      <c r="AP31" s="263"/>
      <c r="AQ31" s="263"/>
      <c r="AR31" s="263"/>
      <c r="AS31" s="263"/>
      <c r="AT31" s="263"/>
      <c r="AU31" s="263"/>
      <c r="AV31" s="263"/>
      <c r="AW31" s="263"/>
      <c r="AX31" s="263"/>
      <c r="AY31" s="263"/>
      <c r="AZ31" s="263"/>
      <c r="BA31" s="263"/>
      <c r="BB31" s="263"/>
      <c r="BC31" s="263"/>
      <c r="BD31" s="263"/>
      <c r="BE31" s="263"/>
      <c r="BF31" s="263"/>
      <c r="BG31" s="263"/>
      <c r="BH31" s="263"/>
      <c r="BI31" s="263"/>
      <c r="BJ31" s="263"/>
      <c r="BK31" s="263"/>
      <c r="BL31" s="263"/>
      <c r="BM31" s="263"/>
      <c r="BN31" s="263"/>
      <c r="BO31" s="263"/>
      <c r="BP31" s="263"/>
      <c r="BQ31" s="263"/>
      <c r="BR31" s="263"/>
      <c r="BS31" s="263"/>
      <c r="BT31" s="263"/>
      <c r="BU31" s="263"/>
      <c r="BV31" s="263"/>
      <c r="BW31" s="263"/>
      <c r="BX31" s="263"/>
      <c r="BY31" s="263"/>
      <c r="BZ31" s="263"/>
      <c r="CA31" s="263"/>
      <c r="CB31" s="263"/>
      <c r="CC31" s="263"/>
      <c r="CD31" s="263"/>
      <c r="CE31" s="263"/>
      <c r="CF31" s="263"/>
      <c r="CG31" s="263"/>
      <c r="CH31" s="263"/>
      <c r="CI31" s="263"/>
      <c r="CJ31" s="263"/>
      <c r="CK31" s="263"/>
      <c r="CL31" s="263"/>
      <c r="CM31" s="263"/>
      <c r="CN31" s="263"/>
      <c r="CO31" s="263"/>
      <c r="CP31" s="263"/>
      <c r="CQ31" s="263"/>
      <c r="CR31" s="263"/>
      <c r="CS31" s="263"/>
      <c r="CT31" s="263"/>
      <c r="CU31" s="263"/>
      <c r="CV31" s="263"/>
      <c r="CW31" s="263"/>
      <c r="CX31" s="263"/>
      <c r="CY31" s="263"/>
      <c r="CZ31" s="263"/>
      <c r="DA31" s="263"/>
      <c r="DB31" s="263"/>
      <c r="DC31" s="263"/>
      <c r="DD31" s="263"/>
    </row>
    <row r="32" spans="1:108">
      <c r="A32" s="263"/>
      <c r="B32" s="263"/>
      <c r="C32" s="263"/>
      <c r="D32" s="263"/>
      <c r="E32" s="263"/>
      <c r="F32" s="263"/>
      <c r="G32" s="263"/>
      <c r="H32" s="263"/>
      <c r="I32" s="263"/>
      <c r="J32" s="263"/>
      <c r="K32" s="263"/>
      <c r="L32" s="263"/>
      <c r="M32" s="263"/>
      <c r="N32" s="263"/>
      <c r="O32" s="263"/>
      <c r="P32" s="263"/>
      <c r="Q32" s="263"/>
      <c r="R32" s="263"/>
      <c r="S32" s="263"/>
      <c r="T32" s="263"/>
      <c r="U32" s="263"/>
      <c r="V32" s="263"/>
      <c r="W32" s="263"/>
      <c r="X32" s="263"/>
      <c r="Y32" s="263"/>
      <c r="Z32" s="263"/>
      <c r="AA32" s="263"/>
      <c r="AB32" s="263"/>
      <c r="AC32" s="263"/>
      <c r="AD32" s="263"/>
      <c r="AE32" s="263"/>
      <c r="AF32" s="263"/>
      <c r="AG32" s="263"/>
      <c r="AH32" s="263"/>
      <c r="AI32" s="263"/>
      <c r="AJ32" s="263"/>
      <c r="AK32" s="263"/>
      <c r="AL32" s="263"/>
      <c r="AM32" s="263"/>
      <c r="AN32" s="263"/>
      <c r="AO32" s="263"/>
      <c r="AP32" s="263"/>
      <c r="AQ32" s="263"/>
      <c r="AR32" s="263"/>
      <c r="AS32" s="263"/>
      <c r="AT32" s="263"/>
      <c r="AU32" s="263"/>
      <c r="AV32" s="263"/>
      <c r="AW32" s="263"/>
      <c r="AX32" s="263"/>
      <c r="AY32" s="263"/>
      <c r="AZ32" s="263"/>
      <c r="BA32" s="263"/>
      <c r="BB32" s="263"/>
      <c r="BC32" s="263"/>
      <c r="BD32" s="263"/>
      <c r="BE32" s="263"/>
      <c r="BF32" s="263"/>
      <c r="BG32" s="263"/>
      <c r="BH32" s="263"/>
      <c r="BI32" s="263"/>
      <c r="BJ32" s="263"/>
      <c r="BK32" s="263"/>
      <c r="BL32" s="263"/>
      <c r="BM32" s="263"/>
      <c r="BN32" s="263"/>
      <c r="BO32" s="263"/>
      <c r="BP32" s="263"/>
      <c r="BQ32" s="263"/>
      <c r="BR32" s="263"/>
      <c r="BS32" s="263"/>
      <c r="BT32" s="263"/>
      <c r="BU32" s="263"/>
      <c r="BV32" s="263"/>
      <c r="BW32" s="263"/>
      <c r="BX32" s="263"/>
      <c r="BY32" s="263"/>
      <c r="BZ32" s="263"/>
      <c r="CA32" s="263"/>
      <c r="CB32" s="263"/>
      <c r="CC32" s="263"/>
      <c r="CD32" s="263"/>
      <c r="CE32" s="263"/>
      <c r="CF32" s="263"/>
      <c r="CG32" s="263"/>
      <c r="CH32" s="263"/>
      <c r="CI32" s="263"/>
      <c r="CJ32" s="263"/>
      <c r="CK32" s="263"/>
      <c r="CL32" s="263"/>
      <c r="CM32" s="263"/>
      <c r="CN32" s="263"/>
      <c r="CO32" s="263"/>
      <c r="CP32" s="263"/>
      <c r="CQ32" s="263"/>
      <c r="CR32" s="263"/>
      <c r="CS32" s="263"/>
      <c r="CT32" s="263"/>
      <c r="CU32" s="263"/>
      <c r="CV32" s="263"/>
      <c r="CW32" s="263"/>
      <c r="CX32" s="263"/>
      <c r="CY32" s="263"/>
      <c r="CZ32" s="263"/>
      <c r="DA32" s="263"/>
      <c r="DB32" s="263"/>
      <c r="DC32" s="263"/>
      <c r="DD32" s="263"/>
    </row>
    <row r="33" spans="1:108">
      <c r="A33" s="263"/>
      <c r="B33" s="263" t="s">
        <v>1143</v>
      </c>
      <c r="C33" s="263"/>
      <c r="D33" s="263"/>
      <c r="E33" s="263"/>
      <c r="F33" s="263"/>
      <c r="G33" s="263"/>
      <c r="H33" s="263"/>
      <c r="I33" s="263"/>
      <c r="J33" s="263"/>
      <c r="K33" s="263"/>
      <c r="L33" s="263"/>
      <c r="M33" s="263"/>
      <c r="N33" s="263" t="s">
        <v>1143</v>
      </c>
      <c r="O33" s="263"/>
      <c r="P33" s="263"/>
      <c r="Q33" s="263"/>
      <c r="R33" s="263"/>
      <c r="S33" s="263"/>
      <c r="T33" s="263"/>
      <c r="U33" s="263"/>
      <c r="V33" s="263"/>
      <c r="W33" s="263"/>
      <c r="X33" s="263"/>
      <c r="Y33" s="263"/>
      <c r="Z33" s="263" t="s">
        <v>1143</v>
      </c>
      <c r="AA33" s="263"/>
      <c r="AB33" s="263"/>
      <c r="AC33" s="263"/>
      <c r="AD33" s="263"/>
      <c r="AE33" s="263"/>
      <c r="AF33" s="263"/>
      <c r="AG33" s="263"/>
      <c r="AH33" s="263"/>
      <c r="AI33" s="263"/>
      <c r="AJ33" s="263"/>
      <c r="AK33" s="263"/>
      <c r="AL33" s="263" t="s">
        <v>1143</v>
      </c>
      <c r="AM33" s="263"/>
      <c r="AN33" s="263"/>
      <c r="AO33" s="263"/>
      <c r="AP33" s="263"/>
      <c r="AQ33" s="263"/>
      <c r="AR33" s="263"/>
      <c r="AS33" s="263"/>
      <c r="AT33" s="263"/>
      <c r="AU33" s="263"/>
      <c r="AV33" s="263"/>
      <c r="AW33" s="263"/>
      <c r="AX33" s="263" t="s">
        <v>1143</v>
      </c>
      <c r="AY33" s="263"/>
      <c r="AZ33" s="263"/>
      <c r="BA33" s="263"/>
      <c r="BB33" s="263"/>
      <c r="BC33" s="263"/>
      <c r="BD33" s="263"/>
      <c r="BE33" s="263"/>
      <c r="BF33" s="263"/>
      <c r="BG33" s="263"/>
      <c r="BH33" s="263"/>
      <c r="BI33" s="263"/>
      <c r="BJ33" s="263" t="s">
        <v>1143</v>
      </c>
      <c r="BK33" s="263"/>
      <c r="BL33" s="263"/>
      <c r="BM33" s="263"/>
      <c r="BN33" s="263"/>
      <c r="BO33" s="263"/>
      <c r="BP33" s="263"/>
      <c r="BQ33" s="263"/>
      <c r="BR33" s="263"/>
      <c r="BS33" s="263"/>
      <c r="BT33" s="263"/>
      <c r="BU33" s="263"/>
      <c r="BV33" s="263" t="s">
        <v>1143</v>
      </c>
      <c r="BW33" s="263"/>
      <c r="BX33" s="263"/>
      <c r="BY33" s="263"/>
      <c r="BZ33" s="263"/>
      <c r="CA33" s="263"/>
      <c r="CB33" s="263"/>
      <c r="CC33" s="263"/>
      <c r="CD33" s="263"/>
      <c r="CE33" s="263"/>
      <c r="CF33" s="263"/>
      <c r="CG33" s="263"/>
      <c r="CH33" s="263" t="s">
        <v>1143</v>
      </c>
      <c r="CI33" s="263"/>
      <c r="CJ33" s="263"/>
      <c r="CK33" s="263"/>
      <c r="CL33" s="263"/>
      <c r="CM33" s="263"/>
      <c r="CN33" s="263"/>
      <c r="CO33" s="263"/>
      <c r="CP33" s="263"/>
      <c r="CQ33" s="263"/>
      <c r="CR33" s="263"/>
      <c r="CS33" s="263"/>
      <c r="CT33" s="263" t="s">
        <v>1143</v>
      </c>
      <c r="CU33" s="263"/>
      <c r="CV33" s="263"/>
      <c r="CW33" s="263"/>
      <c r="CX33" s="263"/>
      <c r="CY33" s="263"/>
      <c r="CZ33" s="263"/>
      <c r="DA33" s="263"/>
      <c r="DB33" s="263"/>
      <c r="DC33" s="263"/>
      <c r="DD33" s="263"/>
    </row>
    <row r="34" spans="1:108">
      <c r="A34" s="2212" t="s">
        <v>135</v>
      </c>
      <c r="B34" s="2212" t="s">
        <v>139</v>
      </c>
      <c r="C34" s="2212" t="s">
        <v>1144</v>
      </c>
      <c r="D34" s="2212" t="s">
        <v>74</v>
      </c>
      <c r="E34" s="2213"/>
      <c r="F34" s="2213"/>
      <c r="G34" s="2213"/>
      <c r="H34" s="2213"/>
      <c r="I34" s="2213"/>
      <c r="J34" s="2214" t="s">
        <v>1145</v>
      </c>
      <c r="K34" s="2213"/>
      <c r="L34" s="2213"/>
      <c r="M34" s="2212" t="s">
        <v>135</v>
      </c>
      <c r="N34" s="2212" t="s">
        <v>139</v>
      </c>
      <c r="O34" s="2212" t="s">
        <v>1144</v>
      </c>
      <c r="P34" s="2212" t="s">
        <v>74</v>
      </c>
      <c r="Q34" s="2213"/>
      <c r="R34" s="2213"/>
      <c r="S34" s="2213"/>
      <c r="T34" s="2213"/>
      <c r="U34" s="2213"/>
      <c r="V34" s="2214" t="s">
        <v>1145</v>
      </c>
      <c r="W34" s="2213"/>
      <c r="X34" s="2213"/>
      <c r="Y34" s="2212" t="s">
        <v>135</v>
      </c>
      <c r="Z34" s="2212" t="s">
        <v>139</v>
      </c>
      <c r="AA34" s="2212" t="s">
        <v>1144</v>
      </c>
      <c r="AB34" s="2212" t="s">
        <v>74</v>
      </c>
      <c r="AC34" s="2213"/>
      <c r="AD34" s="2213"/>
      <c r="AE34" s="2213"/>
      <c r="AF34" s="2213"/>
      <c r="AG34" s="2213"/>
      <c r="AH34" s="2214" t="s">
        <v>1145</v>
      </c>
      <c r="AI34" s="2213"/>
      <c r="AJ34" s="2213"/>
      <c r="AK34" s="2212" t="s">
        <v>135</v>
      </c>
      <c r="AL34" s="2212" t="s">
        <v>139</v>
      </c>
      <c r="AM34" s="2212" t="s">
        <v>1144</v>
      </c>
      <c r="AN34" s="2212" t="s">
        <v>74</v>
      </c>
      <c r="AO34" s="2213"/>
      <c r="AP34" s="2213"/>
      <c r="AQ34" s="2213"/>
      <c r="AR34" s="2213"/>
      <c r="AS34" s="2213"/>
      <c r="AT34" s="2214" t="s">
        <v>1145</v>
      </c>
      <c r="AU34" s="2213"/>
      <c r="AV34" s="263"/>
      <c r="AW34" s="2212" t="s">
        <v>135</v>
      </c>
      <c r="AX34" s="2212" t="s">
        <v>139</v>
      </c>
      <c r="AY34" s="2212" t="s">
        <v>1144</v>
      </c>
      <c r="AZ34" s="2212" t="s">
        <v>74</v>
      </c>
      <c r="BA34" s="263"/>
      <c r="BB34" s="2213"/>
      <c r="BC34" s="2213"/>
      <c r="BD34" s="2213"/>
      <c r="BE34" s="2213"/>
      <c r="BF34" s="2214" t="s">
        <v>1145</v>
      </c>
      <c r="BG34" s="2213"/>
      <c r="BH34" s="263"/>
      <c r="BI34" s="2212" t="s">
        <v>135</v>
      </c>
      <c r="BJ34" s="2212" t="s">
        <v>139</v>
      </c>
      <c r="BK34" s="2212" t="s">
        <v>1144</v>
      </c>
      <c r="BL34" s="2212" t="s">
        <v>74</v>
      </c>
      <c r="BM34" s="263"/>
      <c r="BN34" s="2213"/>
      <c r="BO34" s="2213"/>
      <c r="BP34" s="2213"/>
      <c r="BQ34" s="2213"/>
      <c r="BR34" s="2214" t="s">
        <v>1145</v>
      </c>
      <c r="BS34" s="2213"/>
      <c r="BT34" s="263"/>
      <c r="BU34" s="2212" t="s">
        <v>135</v>
      </c>
      <c r="BV34" s="2212" t="s">
        <v>139</v>
      </c>
      <c r="BW34" s="2212" t="s">
        <v>1144</v>
      </c>
      <c r="BX34" s="2212" t="s">
        <v>74</v>
      </c>
      <c r="BY34" s="2213"/>
      <c r="BZ34" s="2213"/>
      <c r="CA34" s="2213"/>
      <c r="CB34" s="2213"/>
      <c r="CC34" s="2213"/>
      <c r="CD34" s="2214" t="s">
        <v>1145</v>
      </c>
      <c r="CE34" s="2213"/>
      <c r="CF34" s="263"/>
      <c r="CG34" s="2212" t="s">
        <v>135</v>
      </c>
      <c r="CH34" s="2212" t="s">
        <v>139</v>
      </c>
      <c r="CI34" s="2212" t="s">
        <v>1144</v>
      </c>
      <c r="CJ34" s="2212" t="s">
        <v>74</v>
      </c>
      <c r="CK34" s="2213"/>
      <c r="CL34" s="2213"/>
      <c r="CM34" s="2213"/>
      <c r="CN34" s="2213"/>
      <c r="CO34" s="2213"/>
      <c r="CP34" s="2214" t="s">
        <v>1145</v>
      </c>
      <c r="CQ34" s="2213"/>
      <c r="CR34" s="263"/>
      <c r="CS34" s="2212" t="s">
        <v>135</v>
      </c>
      <c r="CT34" s="2212" t="s">
        <v>139</v>
      </c>
      <c r="CU34" s="2212" t="s">
        <v>1144</v>
      </c>
      <c r="CV34" s="2212" t="s">
        <v>74</v>
      </c>
      <c r="CW34" s="263"/>
      <c r="CX34" s="2213"/>
      <c r="CY34" s="2213"/>
      <c r="CZ34" s="2213"/>
      <c r="DA34" s="2213"/>
      <c r="DB34" s="2214" t="s">
        <v>1145</v>
      </c>
      <c r="DC34" s="2213"/>
      <c r="DD34" s="263"/>
    </row>
    <row r="35" spans="1:108">
      <c r="A35" s="2212">
        <v>-22</v>
      </c>
      <c r="B35" s="2217">
        <f t="shared" ref="B35:B98" si="9">B$27+(B$26*D35)-(B$25*(D35^2))+(B$24*(D35^3))</f>
        <v>8528.314579760694</v>
      </c>
      <c r="C35" s="2217">
        <f>C36</f>
        <v>-4.3657904016636166</v>
      </c>
      <c r="D35" s="2212">
        <v>300</v>
      </c>
      <c r="E35" s="2213"/>
      <c r="F35" s="2215" t="s">
        <v>1146</v>
      </c>
      <c r="G35" s="2217">
        <v>17</v>
      </c>
      <c r="H35" s="2218" t="s">
        <v>1147</v>
      </c>
      <c r="I35" s="2218"/>
      <c r="J35" s="901">
        <v>70</v>
      </c>
      <c r="K35" s="2218"/>
      <c r="L35" s="2213"/>
      <c r="M35" s="2212">
        <v>-22</v>
      </c>
      <c r="N35" s="2217">
        <f t="shared" ref="N35:N98" si="10">N$27+(N$26*P35)-(N$25*(P35^2))+(N$24*(P35^3))</f>
        <v>8528.314579760694</v>
      </c>
      <c r="O35" s="2217">
        <f>O36</f>
        <v>-4.3657904016636166</v>
      </c>
      <c r="P35" s="2212">
        <v>300</v>
      </c>
      <c r="Q35" s="2213"/>
      <c r="R35" s="2215" t="s">
        <v>1146</v>
      </c>
      <c r="S35" s="2217">
        <v>14</v>
      </c>
      <c r="T35" s="2218" t="s">
        <v>1147</v>
      </c>
      <c r="U35" s="2218"/>
      <c r="V35" s="901">
        <v>70</v>
      </c>
      <c r="W35" s="2218"/>
      <c r="X35" s="2213"/>
      <c r="Y35" s="2212">
        <v>-22</v>
      </c>
      <c r="Z35" s="2217">
        <f>Z$27+(Z$26*AB35)-(Z$25*(AB35^2))+(Z$24*(AB35^3))</f>
        <v>8528.314579760694</v>
      </c>
      <c r="AA35" s="2217">
        <f>AA36</f>
        <v>-4.3657904016636166</v>
      </c>
      <c r="AB35" s="2212">
        <v>300</v>
      </c>
      <c r="AC35" s="2213"/>
      <c r="AD35" s="2215" t="s">
        <v>1146</v>
      </c>
      <c r="AE35" s="2217">
        <v>12</v>
      </c>
      <c r="AF35" s="2218" t="s">
        <v>1147</v>
      </c>
      <c r="AG35" s="2218"/>
      <c r="AH35" s="901">
        <v>60</v>
      </c>
      <c r="AI35" s="2218"/>
      <c r="AJ35" s="2213"/>
      <c r="AK35" s="2212">
        <v>-22</v>
      </c>
      <c r="AL35" s="2217">
        <f t="shared" ref="AL35:AL98" si="11">AL$27+(AL$26*AN35)-(AL$25*(AN35^2))+(AL$24*(AN35^3))</f>
        <v>8528.314579760694</v>
      </c>
      <c r="AM35" s="2217">
        <f>AM36</f>
        <v>-4.3657904016636166</v>
      </c>
      <c r="AN35" s="2212">
        <v>300</v>
      </c>
      <c r="AO35" s="2213"/>
      <c r="AP35" s="2215" t="s">
        <v>1146</v>
      </c>
      <c r="AQ35" s="2217">
        <v>14</v>
      </c>
      <c r="AR35" s="2218" t="s">
        <v>1147</v>
      </c>
      <c r="AS35" s="2218"/>
      <c r="AT35" s="2217">
        <v>70</v>
      </c>
      <c r="AU35" s="2218"/>
      <c r="AV35" s="2208"/>
      <c r="AW35" s="2217">
        <f>AW36</f>
        <v>-64.791921793744265</v>
      </c>
      <c r="AX35" s="2217">
        <f>AX$27+(AX$26*AZ35)-(AX$25*(AZ35^2))+(AX$24*(AZ35^3))</f>
        <v>2556.4631420910314</v>
      </c>
      <c r="AY35" s="2217">
        <f t="shared" ref="AY35:AY98" si="12">AX35-AX36</f>
        <v>-50.810134629656659</v>
      </c>
      <c r="AZ35" s="2212">
        <v>300</v>
      </c>
      <c r="BA35" s="263"/>
      <c r="BB35" s="2215" t="s">
        <v>1146</v>
      </c>
      <c r="BC35" s="2217">
        <v>14</v>
      </c>
      <c r="BD35" s="2218" t="s">
        <v>1147</v>
      </c>
      <c r="BE35" s="2218"/>
      <c r="BF35" s="901">
        <v>60</v>
      </c>
      <c r="BG35" s="2218"/>
      <c r="BH35" s="2208"/>
      <c r="BI35" s="2217">
        <f>BI36</f>
        <v>-80.43578571455626</v>
      </c>
      <c r="BJ35" s="2217">
        <f>BJ$27+(BJ$26*BL35)-(BJ$25*(BL35^2))+(BJ$24*(BL35^3))</f>
        <v>2556.4631420910314</v>
      </c>
      <c r="BK35" s="2217">
        <f t="shared" ref="BK35:BK98" si="13">BJ35-BJ36</f>
        <v>-50.810134629656659</v>
      </c>
      <c r="BL35" s="2212">
        <v>300</v>
      </c>
      <c r="BM35" s="263"/>
      <c r="BN35" s="2215" t="s">
        <v>1146</v>
      </c>
      <c r="BO35" s="2217">
        <v>14</v>
      </c>
      <c r="BP35" s="2218" t="s">
        <v>1147</v>
      </c>
      <c r="BQ35" s="2218"/>
      <c r="BR35" s="901">
        <v>60</v>
      </c>
      <c r="BS35" s="2218"/>
      <c r="BT35" s="2208"/>
      <c r="BU35" s="2212">
        <v>-22</v>
      </c>
      <c r="BV35" s="2217">
        <f t="shared" ref="BV35:BV98" si="14">BV$27+(BV$26*BX35)-(BV$25*(BX35^2))+(BV$24*(BX35^3))</f>
        <v>8528.314579760694</v>
      </c>
      <c r="BW35" s="2217">
        <f>BW36</f>
        <v>-4.3657904016636166</v>
      </c>
      <c r="BX35" s="2212">
        <v>300</v>
      </c>
      <c r="BY35" s="2213"/>
      <c r="BZ35" s="2215" t="s">
        <v>1146</v>
      </c>
      <c r="CA35" s="2217">
        <v>14</v>
      </c>
      <c r="CB35" s="2218" t="s">
        <v>1147</v>
      </c>
      <c r="CC35" s="2218"/>
      <c r="CD35" s="2217">
        <v>60</v>
      </c>
      <c r="CE35" s="2218"/>
      <c r="CF35" s="2208"/>
      <c r="CG35" s="2212">
        <v>-22</v>
      </c>
      <c r="CH35" s="2217">
        <f t="shared" ref="CH35:CH98" si="15">CH$27+(CH$26*CJ35)-(CH$25*(CJ35^2))+(CH$24*(CJ35^3))</f>
        <v>8528.314579760694</v>
      </c>
      <c r="CI35" s="2217">
        <f>CI36</f>
        <v>-4.3657904016636166</v>
      </c>
      <c r="CJ35" s="2212">
        <v>300</v>
      </c>
      <c r="CK35" s="2213"/>
      <c r="CL35" s="2215" t="s">
        <v>1146</v>
      </c>
      <c r="CM35" s="2217">
        <v>14</v>
      </c>
      <c r="CN35" s="2218" t="s">
        <v>1147</v>
      </c>
      <c r="CO35" s="2218"/>
      <c r="CP35" s="2217">
        <v>70</v>
      </c>
      <c r="CQ35" s="2218"/>
      <c r="CR35" s="2208"/>
      <c r="CS35" s="2217">
        <f>CS36</f>
        <v>-79.426504171278069</v>
      </c>
      <c r="CT35" s="2217">
        <f>CT$27+(CT$26*CV35)-(CT$25*(CV35^2))+(CT$24*(CV35^3))</f>
        <v>2556.4631420910314</v>
      </c>
      <c r="CU35" s="2217">
        <f t="shared" ref="CU35:CU98" si="16">CT35-CT36</f>
        <v>-50.810134629656659</v>
      </c>
      <c r="CV35" s="2212">
        <v>300</v>
      </c>
      <c r="CW35" s="263"/>
      <c r="CX35" s="2215" t="s">
        <v>1146</v>
      </c>
      <c r="CY35" s="2217">
        <v>14</v>
      </c>
      <c r="CZ35" s="2218" t="s">
        <v>1147</v>
      </c>
      <c r="DA35" s="2218"/>
      <c r="DB35" s="901">
        <v>60</v>
      </c>
      <c r="DC35" s="2218"/>
      <c r="DD35" s="2208"/>
    </row>
    <row r="36" spans="1:108">
      <c r="A36" s="2217">
        <f>(C36*(B$7-B$9))-B$8</f>
        <v>-16.320658961913161</v>
      </c>
      <c r="B36" s="2217">
        <f t="shared" si="9"/>
        <v>8532.7325287522472</v>
      </c>
      <c r="C36" s="2217">
        <f t="shared" ref="C36:C99" si="17">B36-B37</f>
        <v>-4.3657904016636166</v>
      </c>
      <c r="D36" s="2212">
        <v>299</v>
      </c>
      <c r="E36" s="2219"/>
      <c r="F36" s="2213" t="s">
        <v>1144</v>
      </c>
      <c r="G36" s="1848">
        <v>0.01</v>
      </c>
      <c r="H36" s="2218" t="s">
        <v>1148</v>
      </c>
      <c r="I36" s="2218"/>
      <c r="J36" s="2218"/>
      <c r="K36" s="2218"/>
      <c r="L36" s="2213"/>
      <c r="M36" s="2217">
        <f>(O36*(N$7-N$9))-N$8</f>
        <v>-16.626264290029614</v>
      </c>
      <c r="N36" s="2217">
        <f t="shared" si="10"/>
        <v>8532.7325287522472</v>
      </c>
      <c r="O36" s="2217">
        <f t="shared" ref="O36:O99" si="18">N36-N37</f>
        <v>-4.3657904016636166</v>
      </c>
      <c r="P36" s="2212">
        <v>299</v>
      </c>
      <c r="Q36" s="2219"/>
      <c r="R36" s="2213" t="s">
        <v>1144</v>
      </c>
      <c r="S36" s="1848">
        <v>5.0000000000000001E-3</v>
      </c>
      <c r="T36" s="2218" t="s">
        <v>1148</v>
      </c>
      <c r="U36" s="2218"/>
      <c r="V36" s="2218"/>
      <c r="W36" s="2218"/>
      <c r="X36" s="2213"/>
      <c r="Y36" s="2217">
        <f>(AA36*(Z$7-Z$9))-Z$8</f>
        <v>-17.019185426179341</v>
      </c>
      <c r="Z36" s="2217">
        <f t="shared" ref="Z36:Z99" si="19">Z$27+(Z$26*AB36)-(Z$25*(AB36^2))+(Z$24*(AB36^3))</f>
        <v>8532.7325287522472</v>
      </c>
      <c r="AA36" s="2217">
        <f t="shared" ref="AA36:AA99" si="20">Z36-Z37</f>
        <v>-4.3657904016636166</v>
      </c>
      <c r="AB36" s="2212">
        <v>299</v>
      </c>
      <c r="AC36" s="2219"/>
      <c r="AD36" s="2213" t="s">
        <v>1144</v>
      </c>
      <c r="AE36" s="1848">
        <v>5.0000000000000001E-3</v>
      </c>
      <c r="AF36" s="2218" t="s">
        <v>1148</v>
      </c>
      <c r="AG36" s="2218"/>
      <c r="AH36" s="2218"/>
      <c r="AI36" s="2218"/>
      <c r="AJ36" s="2213"/>
      <c r="AK36" s="2217">
        <f>(AM36*(AL$7-AL$9))-AL$8</f>
        <v>-15.141895553463982</v>
      </c>
      <c r="AL36" s="2217">
        <f t="shared" si="11"/>
        <v>8532.7325287522472</v>
      </c>
      <c r="AM36" s="2217">
        <f t="shared" ref="AM36:AM99" si="21">AL36-AL37</f>
        <v>-4.3657904016636166</v>
      </c>
      <c r="AN36" s="2212">
        <v>299</v>
      </c>
      <c r="AO36" s="2219"/>
      <c r="AP36" s="2213" t="s">
        <v>1144</v>
      </c>
      <c r="AQ36" s="1848">
        <v>0.01</v>
      </c>
      <c r="AR36" s="2218" t="s">
        <v>1148</v>
      </c>
      <c r="AS36" s="2218"/>
      <c r="AT36" s="2218"/>
      <c r="AU36" s="2218"/>
      <c r="AV36" s="2208"/>
      <c r="AW36" s="2217">
        <f>AY36*(AX$7-AX$9)-AX$8</f>
        <v>-64.791921793744265</v>
      </c>
      <c r="AX36" s="2217">
        <f t="shared" ref="AX36:AX99" si="22">AX$27+(AX$26*AZ36)-(AX$25*(AZ36^2))+(AX$24*(AZ36^3))</f>
        <v>2607.273276720688</v>
      </c>
      <c r="AY36" s="2217">
        <f t="shared" si="12"/>
        <v>-50.464077163909678</v>
      </c>
      <c r="AZ36" s="2212">
        <v>299</v>
      </c>
      <c r="BA36" s="2208"/>
      <c r="BB36" s="2213" t="s">
        <v>1144</v>
      </c>
      <c r="BC36" s="1848">
        <v>1.4999999999999999E-2</v>
      </c>
      <c r="BD36" s="2218" t="s">
        <v>1148</v>
      </c>
      <c r="BE36" s="2218"/>
      <c r="BF36" s="2218"/>
      <c r="BG36" s="2218"/>
      <c r="BH36" s="2208"/>
      <c r="BI36" s="2217">
        <f>BK36*(BJ$7-BJ$9)-BJ$8</f>
        <v>-80.43578571455626</v>
      </c>
      <c r="BJ36" s="2217">
        <f t="shared" ref="BJ36:BJ99" si="23">BJ$27+(BJ$26*BL36)-(BJ$25*(BL36^2))+(BJ$24*(BL36^3))</f>
        <v>2607.273276720688</v>
      </c>
      <c r="BK36" s="2217">
        <f t="shared" si="13"/>
        <v>-50.464077163909678</v>
      </c>
      <c r="BL36" s="2212">
        <v>299</v>
      </c>
      <c r="BM36" s="2208"/>
      <c r="BN36" s="2213" t="s">
        <v>1144</v>
      </c>
      <c r="BO36" s="1848">
        <v>1.4999999999999999E-2</v>
      </c>
      <c r="BP36" s="2218" t="s">
        <v>1148</v>
      </c>
      <c r="BQ36" s="2218"/>
      <c r="BR36" s="2218"/>
      <c r="BS36" s="2218"/>
      <c r="BT36" s="2208"/>
      <c r="BU36" s="2217">
        <f>(BW36*(BV$7-BV$9))-BV$8</f>
        <v>-15.141895553463982</v>
      </c>
      <c r="BV36" s="2217">
        <f t="shared" si="14"/>
        <v>8532.7325287522472</v>
      </c>
      <c r="BW36" s="2217">
        <f t="shared" ref="BW36:BW99" si="24">BV36-BV37</f>
        <v>-4.3657904016636166</v>
      </c>
      <c r="BX36" s="2212">
        <v>299</v>
      </c>
      <c r="BY36" s="2219"/>
      <c r="BZ36" s="2213" t="s">
        <v>1144</v>
      </c>
      <c r="CA36" s="1848">
        <v>0.01</v>
      </c>
      <c r="CB36" s="2218" t="s">
        <v>1148</v>
      </c>
      <c r="CC36" s="2218"/>
      <c r="CD36" s="2218"/>
      <c r="CE36" s="2218"/>
      <c r="CF36" s="2208"/>
      <c r="CG36" s="2217">
        <f>(CI36*(CH$7-CH$9))-CH$8</f>
        <v>-15.665790401663617</v>
      </c>
      <c r="CH36" s="2217">
        <f t="shared" si="15"/>
        <v>8532.7325287522472</v>
      </c>
      <c r="CI36" s="2217">
        <f t="shared" ref="CI36:CI99" si="25">CH36-CH37</f>
        <v>-4.3657904016636166</v>
      </c>
      <c r="CJ36" s="2212">
        <v>299</v>
      </c>
      <c r="CK36" s="2219"/>
      <c r="CL36" s="2213" t="s">
        <v>1144</v>
      </c>
      <c r="CM36" s="1848">
        <v>0.01</v>
      </c>
      <c r="CN36" s="2218" t="s">
        <v>1148</v>
      </c>
      <c r="CO36" s="2218"/>
      <c r="CP36" s="2218"/>
      <c r="CQ36" s="2218"/>
      <c r="CR36" s="2208"/>
      <c r="CS36" s="2217">
        <f>CU36*(CT$7-CT$9)-CT$8</f>
        <v>-79.426504171278069</v>
      </c>
      <c r="CT36" s="2217">
        <f t="shared" ref="CT36:CT99" si="26">CT$27+(CT$26*CV36)-(CT$25*(CV36^2))+(CT$24*(CV36^3))</f>
        <v>2607.273276720688</v>
      </c>
      <c r="CU36" s="2217">
        <f t="shared" si="16"/>
        <v>-50.464077163909678</v>
      </c>
      <c r="CV36" s="2212">
        <v>299</v>
      </c>
      <c r="CW36" s="2208"/>
      <c r="CX36" s="2213" t="s">
        <v>1144</v>
      </c>
      <c r="CY36" s="1848">
        <v>1.4999999999999999E-2</v>
      </c>
      <c r="CZ36" s="2218" t="s">
        <v>1148</v>
      </c>
      <c r="DA36" s="2218"/>
      <c r="DB36" s="2218"/>
      <c r="DC36" s="2218"/>
      <c r="DD36" s="2208"/>
    </row>
    <row r="37" spans="1:108">
      <c r="A37" s="2217">
        <f t="shared" ref="A37:A100" si="27">(C37*(B$7-B$9))-B$8</f>
        <v>-16.259707676029212</v>
      </c>
      <c r="B37" s="2217">
        <f t="shared" si="9"/>
        <v>8537.0983191539108</v>
      </c>
      <c r="C37" s="2217">
        <f t="shared" si="17"/>
        <v>-4.3127892835036619</v>
      </c>
      <c r="D37" s="2212">
        <v>298</v>
      </c>
      <c r="E37" s="2219"/>
      <c r="F37" s="2213" t="s">
        <v>1144</v>
      </c>
      <c r="G37" s="1848">
        <v>7.0000000000000001E-3</v>
      </c>
      <c r="H37" s="2218" t="s">
        <v>1149</v>
      </c>
      <c r="I37" s="2218"/>
      <c r="J37" s="2213" t="s">
        <v>1150</v>
      </c>
      <c r="K37" s="2218"/>
      <c r="L37" s="2213"/>
      <c r="M37" s="2217">
        <f t="shared" ref="M37:M100" si="28">(O37*(N$7-N$9))-N$8</f>
        <v>-16.561602925874467</v>
      </c>
      <c r="N37" s="2217">
        <f t="shared" si="10"/>
        <v>8537.0983191539108</v>
      </c>
      <c r="O37" s="2217">
        <f t="shared" si="18"/>
        <v>-4.3127892835036619</v>
      </c>
      <c r="P37" s="2212">
        <v>298</v>
      </c>
      <c r="Q37" s="2219"/>
      <c r="R37" s="2213" t="s">
        <v>1144</v>
      </c>
      <c r="S37" s="1848">
        <v>4.0000000000000001E-3</v>
      </c>
      <c r="T37" s="2218" t="s">
        <v>1149</v>
      </c>
      <c r="U37" s="2218"/>
      <c r="V37" s="2213" t="s">
        <v>1150</v>
      </c>
      <c r="W37" s="2218"/>
      <c r="X37" s="2213"/>
      <c r="Y37" s="2217">
        <f t="shared" ref="Y37:Y100" si="29">(AA37*(Z$7-Z$9))-Z$8</f>
        <v>-16.949753961389799</v>
      </c>
      <c r="Z37" s="2217">
        <f t="shared" si="19"/>
        <v>8537.0983191539108</v>
      </c>
      <c r="AA37" s="2217">
        <f t="shared" si="20"/>
        <v>-4.3127892835036619</v>
      </c>
      <c r="AB37" s="2212">
        <v>298</v>
      </c>
      <c r="AC37" s="2219"/>
      <c r="AD37" s="2213" t="s">
        <v>1144</v>
      </c>
      <c r="AE37" s="1848">
        <v>4.0000000000000001E-3</v>
      </c>
      <c r="AF37" s="2218" t="s">
        <v>1149</v>
      </c>
      <c r="AG37" s="2218"/>
      <c r="AH37" s="2213" t="s">
        <v>1150</v>
      </c>
      <c r="AI37" s="2218"/>
      <c r="AJ37" s="2213"/>
      <c r="AK37" s="2217">
        <f t="shared" ref="AK37:AK100" si="30">(AM37*(AL$7-AL$9))-AL$8</f>
        <v>-15.095254569483222</v>
      </c>
      <c r="AL37" s="2217">
        <f t="shared" si="11"/>
        <v>8537.0983191539108</v>
      </c>
      <c r="AM37" s="2217">
        <f t="shared" si="21"/>
        <v>-4.3127892835036619</v>
      </c>
      <c r="AN37" s="2212">
        <v>298</v>
      </c>
      <c r="AO37" s="2219"/>
      <c r="AP37" s="2213" t="s">
        <v>1144</v>
      </c>
      <c r="AQ37" s="1848">
        <v>7.0000000000000001E-3</v>
      </c>
      <c r="AR37" s="2218" t="s">
        <v>1149</v>
      </c>
      <c r="AS37" s="2218"/>
      <c r="AT37" s="2213" t="s">
        <v>1150</v>
      </c>
      <c r="AU37" s="2218"/>
      <c r="AV37" s="2208"/>
      <c r="AW37" s="2217">
        <f t="shared" ref="AW37:AW100" si="31">AY37*(AX$7-AX$9)-AX$8</f>
        <v>-64.425266160021692</v>
      </c>
      <c r="AX37" s="2217">
        <f t="shared" si="22"/>
        <v>2657.7373538845977</v>
      </c>
      <c r="AY37" s="2217">
        <f t="shared" si="12"/>
        <v>-50.118175622661965</v>
      </c>
      <c r="AZ37" s="2212">
        <v>298</v>
      </c>
      <c r="BA37" s="2208"/>
      <c r="BB37" s="2213" t="s">
        <v>1144</v>
      </c>
      <c r="BC37" s="1848">
        <v>0.01</v>
      </c>
      <c r="BD37" s="2218" t="s">
        <v>1149</v>
      </c>
      <c r="BE37" s="2218"/>
      <c r="BF37" s="2213" t="s">
        <v>1150</v>
      </c>
      <c r="BG37" s="2218"/>
      <c r="BH37" s="2208"/>
      <c r="BI37" s="2217">
        <f t="shared" ref="BI37:BI100" si="32">BK37*(BJ$7-BJ$9)-BJ$8</f>
        <v>-79.9619006030469</v>
      </c>
      <c r="BJ37" s="2217">
        <f t="shared" si="23"/>
        <v>2657.7373538845977</v>
      </c>
      <c r="BK37" s="2217">
        <f t="shared" si="13"/>
        <v>-50.118175622661965</v>
      </c>
      <c r="BL37" s="2212">
        <v>298</v>
      </c>
      <c r="BM37" s="2208"/>
      <c r="BN37" s="2213" t="s">
        <v>1144</v>
      </c>
      <c r="BO37" s="1848">
        <v>0.01</v>
      </c>
      <c r="BP37" s="2218" t="s">
        <v>1149</v>
      </c>
      <c r="BQ37" s="2218"/>
      <c r="BR37" s="2213" t="s">
        <v>1150</v>
      </c>
      <c r="BS37" s="2218"/>
      <c r="BT37" s="2208"/>
      <c r="BU37" s="2217">
        <f t="shared" ref="BU37:BU100" si="33">(BW37*(BV$7-BV$9))-BV$8</f>
        <v>-15.095254569483222</v>
      </c>
      <c r="BV37" s="2217">
        <f t="shared" si="14"/>
        <v>8537.0983191539108</v>
      </c>
      <c r="BW37" s="2217">
        <f t="shared" si="24"/>
        <v>-4.3127892835036619</v>
      </c>
      <c r="BX37" s="2212">
        <v>298</v>
      </c>
      <c r="BY37" s="2219"/>
      <c r="BZ37" s="2213" t="s">
        <v>1144</v>
      </c>
      <c r="CA37" s="1848">
        <v>7.0000000000000001E-3</v>
      </c>
      <c r="CB37" s="2218" t="s">
        <v>1149</v>
      </c>
      <c r="CC37" s="2218"/>
      <c r="CD37" s="2213" t="s">
        <v>1150</v>
      </c>
      <c r="CE37" s="2218"/>
      <c r="CF37" s="2208"/>
      <c r="CG37" s="2217">
        <f t="shared" ref="CG37:CG100" si="34">(CI37*(CH$7-CH$9))-CH$8</f>
        <v>-15.612789283503663</v>
      </c>
      <c r="CH37" s="2217">
        <f t="shared" si="15"/>
        <v>8537.0983191539108</v>
      </c>
      <c r="CI37" s="2217">
        <f t="shared" si="25"/>
        <v>-4.3127892835036619</v>
      </c>
      <c r="CJ37" s="2212">
        <v>298</v>
      </c>
      <c r="CK37" s="2219"/>
      <c r="CL37" s="2213" t="s">
        <v>1144</v>
      </c>
      <c r="CM37" s="1848">
        <v>7.0000000000000001E-3</v>
      </c>
      <c r="CN37" s="2218" t="s">
        <v>1149</v>
      </c>
      <c r="CO37" s="2218"/>
      <c r="CP37" s="2213" t="s">
        <v>1150</v>
      </c>
      <c r="CQ37" s="2218"/>
      <c r="CR37" s="2208"/>
      <c r="CS37" s="2217">
        <f t="shared" ref="CS37:CS100" si="35">CU37*(CT$7-CT$9)-CT$8</f>
        <v>-78.959537090593656</v>
      </c>
      <c r="CT37" s="2217">
        <f t="shared" si="26"/>
        <v>2657.7373538845977</v>
      </c>
      <c r="CU37" s="2217">
        <f t="shared" si="16"/>
        <v>-50.118175622661965</v>
      </c>
      <c r="CV37" s="2212">
        <v>298</v>
      </c>
      <c r="CW37" s="2208"/>
      <c r="CX37" s="2213" t="s">
        <v>1144</v>
      </c>
      <c r="CY37" s="1848">
        <v>8.9999999999999993E-3</v>
      </c>
      <c r="CZ37" s="2218" t="s">
        <v>1149</v>
      </c>
      <c r="DA37" s="2218"/>
      <c r="DB37" s="2213" t="s">
        <v>1150</v>
      </c>
      <c r="DC37" s="2218"/>
      <c r="DD37" s="2208"/>
    </row>
    <row r="38" spans="1:108">
      <c r="A38" s="2217">
        <f t="shared" si="27"/>
        <v>-16.197787482625973</v>
      </c>
      <c r="B38" s="2217">
        <f t="shared" si="9"/>
        <v>8541.4111084374144</v>
      </c>
      <c r="C38" s="2217">
        <f t="shared" si="17"/>
        <v>-4.2589456370660628</v>
      </c>
      <c r="D38" s="2212">
        <v>297</v>
      </c>
      <c r="E38" s="2219"/>
      <c r="F38" s="2213" t="s">
        <v>952</v>
      </c>
      <c r="G38" s="1849">
        <f>IF(B10&lt;G35,(1+(G35-B10)*G37),IF(B10&gt;G35,(1+(G35-B10)*G36),0))</f>
        <v>1.0502173913043478</v>
      </c>
      <c r="H38" s="2213"/>
      <c r="I38" s="2213"/>
      <c r="J38" s="2217">
        <f>J35*G38</f>
        <v>73.515217391304347</v>
      </c>
      <c r="K38" s="2213"/>
      <c r="L38" s="2213"/>
      <c r="M38" s="2217">
        <f t="shared" si="28"/>
        <v>-16.495913677220596</v>
      </c>
      <c r="N38" s="2217">
        <f t="shared" si="10"/>
        <v>8541.4111084374144</v>
      </c>
      <c r="O38" s="2217">
        <f t="shared" si="18"/>
        <v>-4.2589456370660628</v>
      </c>
      <c r="P38" s="2212">
        <v>297</v>
      </c>
      <c r="Q38" s="2219"/>
      <c r="R38" s="2213" t="s">
        <v>952</v>
      </c>
      <c r="S38" s="1849">
        <f>IF(N10&lt;S35,(1+(S35-N10)*S37),IF(N10&gt;S35,(1+(S35-N10)*S36),0))</f>
        <v>1.0189508196721311</v>
      </c>
      <c r="T38" s="2213"/>
      <c r="U38" s="2213"/>
      <c r="V38" s="2217">
        <f>V35*S38</f>
        <v>71.32655737704917</v>
      </c>
      <c r="W38" s="2213"/>
      <c r="X38" s="2213"/>
      <c r="Y38" s="2217">
        <f t="shared" si="29"/>
        <v>-16.879218784556542</v>
      </c>
      <c r="Z38" s="2217">
        <f t="shared" si="19"/>
        <v>8541.4111084374144</v>
      </c>
      <c r="AA38" s="2217">
        <f t="shared" si="20"/>
        <v>-4.2589456370660628</v>
      </c>
      <c r="AB38" s="2212">
        <v>297</v>
      </c>
      <c r="AC38" s="2219"/>
      <c r="AD38" s="2213" t="s">
        <v>952</v>
      </c>
      <c r="AE38" s="1849">
        <f>IF(Z10&lt;AE35,(1+(AE35-Z10)*AE37),IF(Z10&gt;AE35,(1+(AE35-Z10)*AE36),0))</f>
        <v>1.0134961832061069</v>
      </c>
      <c r="AF38" s="2213"/>
      <c r="AG38" s="2213"/>
      <c r="AH38" s="2217">
        <f>AH35*AE38</f>
        <v>60.809770992366417</v>
      </c>
      <c r="AI38" s="2213"/>
      <c r="AJ38" s="2213"/>
      <c r="AK38" s="2217">
        <f t="shared" si="30"/>
        <v>-15.047872160618136</v>
      </c>
      <c r="AL38" s="2217">
        <f t="shared" si="11"/>
        <v>8541.4111084374144</v>
      </c>
      <c r="AM38" s="2217">
        <f t="shared" si="21"/>
        <v>-4.2589456370660628</v>
      </c>
      <c r="AN38" s="2212">
        <v>297</v>
      </c>
      <c r="AO38" s="2219"/>
      <c r="AP38" s="2213" t="s">
        <v>952</v>
      </c>
      <c r="AQ38" s="1849">
        <f>IF(AL10&lt;AQ35,(1+(AQ35-AL10)*AQ37),IF(AL10&gt;AQ35,(1+(AQ35-AL10)*AQ36),0))</f>
        <v>1.0081136363636363</v>
      </c>
      <c r="AR38" s="2213"/>
      <c r="AS38" s="2213"/>
      <c r="AT38" s="2217">
        <f>AT35*AQ38</f>
        <v>70.56795454545454</v>
      </c>
      <c r="AU38" s="2213"/>
      <c r="AV38" s="2208"/>
      <c r="AW38" s="2217">
        <f t="shared" si="31"/>
        <v>-64.058775806264961</v>
      </c>
      <c r="AX38" s="2217">
        <f t="shared" si="22"/>
        <v>2707.8555295072597</v>
      </c>
      <c r="AY38" s="2217">
        <f t="shared" si="12"/>
        <v>-49.772430005910337</v>
      </c>
      <c r="AZ38" s="2212">
        <v>297</v>
      </c>
      <c r="BA38" s="2208"/>
      <c r="BB38" s="2213" t="s">
        <v>952</v>
      </c>
      <c r="BC38" s="1849">
        <f>IF(AX10&lt;BC35,(1+(BC35-AX10)*BC37),IF(AX10&gt;BC35,(1+(BC35-AX10)*BC36),0))</f>
        <v>1.0333962264150944</v>
      </c>
      <c r="BD38" s="2213"/>
      <c r="BE38" s="2213"/>
      <c r="BF38" s="2217">
        <f>BF35*BC38</f>
        <v>62.003773584905666</v>
      </c>
      <c r="BG38" s="2213"/>
      <c r="BH38" s="2208"/>
      <c r="BI38" s="2217">
        <f t="shared" si="32"/>
        <v>-79.488229108097158</v>
      </c>
      <c r="BJ38" s="2217">
        <f t="shared" si="23"/>
        <v>2707.8555295072597</v>
      </c>
      <c r="BK38" s="2217">
        <f t="shared" si="13"/>
        <v>-49.772430005910337</v>
      </c>
      <c r="BL38" s="2212">
        <v>297</v>
      </c>
      <c r="BM38" s="2208"/>
      <c r="BN38" s="2213" t="s">
        <v>952</v>
      </c>
      <c r="BO38" s="1849">
        <f>IF(BJ10&lt;BO35,(1+(BO35-BJ10)*BO37),IF(BJ10&gt;BO35,(1+(BO35-BJ10)*BO36),0))</f>
        <v>1.0575182481751826</v>
      </c>
      <c r="BP38" s="2213"/>
      <c r="BQ38" s="2213"/>
      <c r="BR38" s="2217">
        <f>BR35*BO38</f>
        <v>63.451094890510959</v>
      </c>
      <c r="BS38" s="2213"/>
      <c r="BT38" s="2208"/>
      <c r="BU38" s="2217">
        <f t="shared" si="33"/>
        <v>-15.047872160618136</v>
      </c>
      <c r="BV38" s="2217">
        <f t="shared" si="14"/>
        <v>8541.4111084374144</v>
      </c>
      <c r="BW38" s="2217">
        <f t="shared" si="24"/>
        <v>-4.2589456370660628</v>
      </c>
      <c r="BX38" s="2212">
        <v>297</v>
      </c>
      <c r="BY38" s="2219"/>
      <c r="BZ38" s="2213" t="s">
        <v>952</v>
      </c>
      <c r="CA38" s="1849">
        <f>IF(BV10&lt;CA35,(1+(CA35-BV10)*CA37),IF(BV10&gt;CA35,(1+(CA35-BV10)*CA36),0))</f>
        <v>1.0081136363636363</v>
      </c>
      <c r="CB38" s="2213"/>
      <c r="CC38" s="2213"/>
      <c r="CD38" s="2217">
        <f>CD35*CA38</f>
        <v>60.48681818181818</v>
      </c>
      <c r="CE38" s="2213"/>
      <c r="CF38" s="2208"/>
      <c r="CG38" s="2217">
        <f t="shared" si="34"/>
        <v>-15.558945637066063</v>
      </c>
      <c r="CH38" s="2217">
        <f t="shared" si="15"/>
        <v>8541.4111084374144</v>
      </c>
      <c r="CI38" s="2217">
        <f t="shared" si="25"/>
        <v>-4.2589456370660628</v>
      </c>
      <c r="CJ38" s="2212">
        <v>297</v>
      </c>
      <c r="CK38" s="2219"/>
      <c r="CL38" s="2213" t="s">
        <v>952</v>
      </c>
      <c r="CM38" s="1849">
        <f>IF(CH10&lt;CM35,(1+(CM35-CH10)*CM37),IF(CH10&gt;CM35,(1+(CM35-CH10)*CM36),0))</f>
        <v>1.0188999999999999</v>
      </c>
      <c r="CN38" s="2213"/>
      <c r="CO38" s="2213"/>
      <c r="CP38" s="2217">
        <f>CP35*CM38</f>
        <v>71.322999999999993</v>
      </c>
      <c r="CQ38" s="2213"/>
      <c r="CR38" s="2208"/>
      <c r="CS38" s="2217">
        <f t="shared" si="35"/>
        <v>-78.492780507978964</v>
      </c>
      <c r="CT38" s="2217">
        <f t="shared" si="26"/>
        <v>2707.8555295072597</v>
      </c>
      <c r="CU38" s="2217">
        <f t="shared" si="16"/>
        <v>-49.772430005910337</v>
      </c>
      <c r="CV38" s="2212">
        <v>297</v>
      </c>
      <c r="CW38" s="2208"/>
      <c r="CX38" s="2213" t="s">
        <v>952</v>
      </c>
      <c r="CY38" s="1849">
        <f>IF(CT10&lt;CY35,(1+(CY35-CT10)*CY37),IF(CT10&gt;CY35,(1+(CY35-CT10)*CY36),0))</f>
        <v>1.0506666666666666</v>
      </c>
      <c r="CZ38" s="2213"/>
      <c r="DA38" s="2213"/>
      <c r="DB38" s="2217">
        <f>DB35*CY38</f>
        <v>63.04</v>
      </c>
      <c r="DC38" s="2213"/>
      <c r="DD38" s="2208"/>
    </row>
    <row r="39" spans="1:108">
      <c r="A39" s="2217">
        <f t="shared" si="27"/>
        <v>-16.134898381724362</v>
      </c>
      <c r="B39" s="2217">
        <f t="shared" si="9"/>
        <v>8545.6700540744805</v>
      </c>
      <c r="C39" s="2217">
        <f t="shared" si="17"/>
        <v>-4.2042594623690093</v>
      </c>
      <c r="D39" s="2212">
        <v>296</v>
      </c>
      <c r="E39" s="2219"/>
      <c r="F39" s="2213"/>
      <c r="G39" s="2219"/>
      <c r="H39" s="2213"/>
      <c r="I39" s="2213"/>
      <c r="K39" s="2213"/>
      <c r="L39" s="2213"/>
      <c r="M39" s="2217">
        <f t="shared" si="28"/>
        <v>-16.429196544090193</v>
      </c>
      <c r="N39" s="2217">
        <f t="shared" si="10"/>
        <v>8545.6700540744805</v>
      </c>
      <c r="O39" s="2217">
        <f t="shared" si="18"/>
        <v>-4.2042594623690093</v>
      </c>
      <c r="P39" s="2212">
        <v>296</v>
      </c>
      <c r="Q39" s="2219"/>
      <c r="R39" s="2213"/>
      <c r="S39" s="2219"/>
      <c r="T39" s="2213"/>
      <c r="U39" s="2213"/>
      <c r="W39" s="2213"/>
      <c r="X39" s="2213"/>
      <c r="Y39" s="2217">
        <f t="shared" si="29"/>
        <v>-16.807579895703405</v>
      </c>
      <c r="Z39" s="2217">
        <f t="shared" si="19"/>
        <v>8545.6700540744805</v>
      </c>
      <c r="AA39" s="2217">
        <f t="shared" si="20"/>
        <v>-4.2042594623690093</v>
      </c>
      <c r="AB39" s="2212">
        <v>296</v>
      </c>
      <c r="AC39" s="2219"/>
      <c r="AD39" s="2213"/>
      <c r="AE39" s="2219"/>
      <c r="AF39" s="2213"/>
      <c r="AG39" s="2213"/>
      <c r="AI39" s="2213"/>
      <c r="AJ39" s="2213"/>
      <c r="AK39" s="2217">
        <f t="shared" si="30"/>
        <v>-14.999748326884728</v>
      </c>
      <c r="AL39" s="2217">
        <f t="shared" si="11"/>
        <v>8545.6700540744805</v>
      </c>
      <c r="AM39" s="2217">
        <f t="shared" si="21"/>
        <v>-4.2042594623690093</v>
      </c>
      <c r="AN39" s="2212">
        <v>296</v>
      </c>
      <c r="AO39" s="2219"/>
      <c r="AP39" s="2213"/>
      <c r="AQ39" s="2219"/>
      <c r="AR39" s="2213"/>
      <c r="AS39" s="2213"/>
      <c r="AT39" s="263"/>
      <c r="AU39" s="2213"/>
      <c r="AV39" s="2208"/>
      <c r="AW39" s="2217">
        <f t="shared" si="31"/>
        <v>-63.692450732487103</v>
      </c>
      <c r="AX39" s="2217">
        <f t="shared" si="22"/>
        <v>2757.62795951317</v>
      </c>
      <c r="AY39" s="2217">
        <f t="shared" si="12"/>
        <v>-49.426840313667071</v>
      </c>
      <c r="AZ39" s="2212">
        <v>296</v>
      </c>
      <c r="BA39" s="2208"/>
      <c r="BB39" s="2213"/>
      <c r="BC39" s="2219"/>
      <c r="BD39" s="2213"/>
      <c r="BE39" s="2213"/>
      <c r="BG39" s="2213"/>
      <c r="BH39" s="2208"/>
      <c r="BI39" s="2217">
        <f t="shared" si="32"/>
        <v>-79.014771229723891</v>
      </c>
      <c r="BJ39" s="2217">
        <f t="shared" si="23"/>
        <v>2757.62795951317</v>
      </c>
      <c r="BK39" s="2217">
        <f t="shared" si="13"/>
        <v>-49.426840313667071</v>
      </c>
      <c r="BL39" s="2212">
        <v>296</v>
      </c>
      <c r="BM39" s="2208"/>
      <c r="BN39" s="2213"/>
      <c r="BO39" s="2219"/>
      <c r="BP39" s="2213"/>
      <c r="BQ39" s="2213"/>
      <c r="BS39" s="2213"/>
      <c r="BT39" s="2208"/>
      <c r="BU39" s="2217">
        <f t="shared" si="33"/>
        <v>-14.999748326884728</v>
      </c>
      <c r="BV39" s="2217">
        <f t="shared" si="14"/>
        <v>8545.6700540744805</v>
      </c>
      <c r="BW39" s="2217">
        <f t="shared" si="24"/>
        <v>-4.2042594623690093</v>
      </c>
      <c r="BX39" s="2212">
        <v>296</v>
      </c>
      <c r="BY39" s="2219"/>
      <c r="BZ39" s="2213"/>
      <c r="CA39" s="2219"/>
      <c r="CB39" s="2213"/>
      <c r="CC39" s="2213"/>
      <c r="CD39" s="263"/>
      <c r="CE39" s="2213"/>
      <c r="CF39" s="2208"/>
      <c r="CG39" s="2217">
        <f t="shared" si="34"/>
        <v>-15.50425946236901</v>
      </c>
      <c r="CH39" s="2217">
        <f t="shared" si="15"/>
        <v>8545.6700540744805</v>
      </c>
      <c r="CI39" s="2217">
        <f t="shared" si="25"/>
        <v>-4.2042594623690093</v>
      </c>
      <c r="CJ39" s="2212">
        <v>296</v>
      </c>
      <c r="CK39" s="2219"/>
      <c r="CL39" s="2213"/>
      <c r="CM39" s="2219"/>
      <c r="CN39" s="2213"/>
      <c r="CO39" s="2213"/>
      <c r="CP39" s="263"/>
      <c r="CQ39" s="2213"/>
      <c r="CR39" s="2208"/>
      <c r="CS39" s="2217">
        <f t="shared" si="35"/>
        <v>-78.026234423450546</v>
      </c>
      <c r="CT39" s="2217">
        <f t="shared" si="26"/>
        <v>2757.62795951317</v>
      </c>
      <c r="CU39" s="2217">
        <f t="shared" si="16"/>
        <v>-49.426840313667071</v>
      </c>
      <c r="CV39" s="2212">
        <v>296</v>
      </c>
      <c r="CW39" s="2208"/>
      <c r="CX39" s="2213"/>
      <c r="CY39" s="2219"/>
      <c r="CZ39" s="2213"/>
      <c r="DA39" s="2213"/>
      <c r="DC39" s="2213"/>
      <c r="DD39" s="2208"/>
    </row>
    <row r="40" spans="1:108">
      <c r="A40" s="2217">
        <f t="shared" si="27"/>
        <v>-16.071040373307643</v>
      </c>
      <c r="B40" s="2217">
        <f t="shared" si="9"/>
        <v>8549.8743135368495</v>
      </c>
      <c r="C40" s="2217">
        <f t="shared" si="17"/>
        <v>-4.1487307593979494</v>
      </c>
      <c r="D40" s="2212">
        <v>295</v>
      </c>
      <c r="E40" s="2219"/>
      <c r="F40" s="2220" t="s">
        <v>1152</v>
      </c>
      <c r="G40" s="181"/>
      <c r="H40" s="2221" t="s">
        <v>74</v>
      </c>
      <c r="I40" s="2222" t="s">
        <v>139</v>
      </c>
      <c r="J40" s="2222"/>
      <c r="K40" s="2223" t="s">
        <v>120</v>
      </c>
      <c r="L40" s="2213"/>
      <c r="M40" s="2217">
        <f t="shared" si="28"/>
        <v>-16.361451526465498</v>
      </c>
      <c r="N40" s="2217">
        <f t="shared" si="10"/>
        <v>8549.8743135368495</v>
      </c>
      <c r="O40" s="2217">
        <f t="shared" si="18"/>
        <v>-4.1487307593979494</v>
      </c>
      <c r="P40" s="2212">
        <v>295</v>
      </c>
      <c r="Q40" s="2219"/>
      <c r="R40" s="2220" t="s">
        <v>1152</v>
      </c>
      <c r="S40" s="181"/>
      <c r="T40" s="2221" t="s">
        <v>74</v>
      </c>
      <c r="U40" s="2222" t="s">
        <v>139</v>
      </c>
      <c r="V40" s="2222"/>
      <c r="W40" s="2223" t="s">
        <v>120</v>
      </c>
      <c r="X40" s="2213"/>
      <c r="Y40" s="2217">
        <f t="shared" si="29"/>
        <v>-16.734837294811314</v>
      </c>
      <c r="Z40" s="2217">
        <f t="shared" si="19"/>
        <v>8549.8743135368495</v>
      </c>
      <c r="AA40" s="2217">
        <f t="shared" si="20"/>
        <v>-4.1487307593979494</v>
      </c>
      <c r="AB40" s="2212">
        <v>295</v>
      </c>
      <c r="AC40" s="2219"/>
      <c r="AD40" s="2220" t="s">
        <v>1152</v>
      </c>
      <c r="AE40" s="181"/>
      <c r="AF40" s="2221" t="s">
        <v>74</v>
      </c>
      <c r="AG40" s="2222" t="s">
        <v>139</v>
      </c>
      <c r="AH40" s="2222"/>
      <c r="AI40" s="2223" t="s">
        <v>120</v>
      </c>
      <c r="AJ40" s="2213"/>
      <c r="AK40" s="2217">
        <f t="shared" si="30"/>
        <v>-14.950883068270196</v>
      </c>
      <c r="AL40" s="2217">
        <f t="shared" si="11"/>
        <v>8549.8743135368495</v>
      </c>
      <c r="AM40" s="2217">
        <f t="shared" si="21"/>
        <v>-4.1487307593979494</v>
      </c>
      <c r="AN40" s="2212">
        <v>295</v>
      </c>
      <c r="AO40" s="2219"/>
      <c r="AP40" s="2220" t="s">
        <v>1152</v>
      </c>
      <c r="AQ40" s="2224"/>
      <c r="AR40" s="2221" t="s">
        <v>74</v>
      </c>
      <c r="AS40" s="2222" t="s">
        <v>139</v>
      </c>
      <c r="AT40" s="2222"/>
      <c r="AU40" s="2223" t="s">
        <v>120</v>
      </c>
      <c r="AV40" s="2208"/>
      <c r="AW40" s="2217">
        <f t="shared" si="31"/>
        <v>-63.326290938675569</v>
      </c>
      <c r="AX40" s="2217">
        <f t="shared" si="22"/>
        <v>2807.0547998268371</v>
      </c>
      <c r="AY40" s="2217">
        <f t="shared" si="12"/>
        <v>-49.081406545920345</v>
      </c>
      <c r="AZ40" s="2212">
        <v>295</v>
      </c>
      <c r="BA40" s="2208"/>
      <c r="BB40" s="2220" t="s">
        <v>1152</v>
      </c>
      <c r="BC40" s="181"/>
      <c r="BD40" s="2221" t="s">
        <v>74</v>
      </c>
      <c r="BE40" s="2222" t="s">
        <v>139</v>
      </c>
      <c r="BF40" s="2222"/>
      <c r="BG40" s="2223" t="s">
        <v>120</v>
      </c>
      <c r="BH40" s="2208"/>
      <c r="BI40" s="2217">
        <f t="shared" si="32"/>
        <v>-78.541526967910869</v>
      </c>
      <c r="BJ40" s="2217">
        <f t="shared" si="23"/>
        <v>2807.0547998268371</v>
      </c>
      <c r="BK40" s="2217">
        <f t="shared" si="13"/>
        <v>-49.081406545920345</v>
      </c>
      <c r="BL40" s="2212">
        <v>295</v>
      </c>
      <c r="BM40" s="2208"/>
      <c r="BN40" s="2220" t="s">
        <v>1152</v>
      </c>
      <c r="BO40" s="181"/>
      <c r="BP40" s="2221" t="s">
        <v>74</v>
      </c>
      <c r="BQ40" s="2222" t="s">
        <v>139</v>
      </c>
      <c r="BR40" s="2222"/>
      <c r="BS40" s="2223" t="s">
        <v>120</v>
      </c>
      <c r="BT40" s="2208"/>
      <c r="BU40" s="2217">
        <f t="shared" si="33"/>
        <v>-14.950883068270196</v>
      </c>
      <c r="BV40" s="2217">
        <f t="shared" si="14"/>
        <v>8549.8743135368495</v>
      </c>
      <c r="BW40" s="2217">
        <f t="shared" si="24"/>
        <v>-4.1487307593979494</v>
      </c>
      <c r="BX40" s="2212">
        <v>295</v>
      </c>
      <c r="BY40" s="2219"/>
      <c r="BZ40" s="2220" t="s">
        <v>1152</v>
      </c>
      <c r="CA40" s="2224"/>
      <c r="CB40" s="2221" t="s">
        <v>74</v>
      </c>
      <c r="CC40" s="2222" t="s">
        <v>139</v>
      </c>
      <c r="CD40" s="2222"/>
      <c r="CE40" s="2223" t="s">
        <v>120</v>
      </c>
      <c r="CF40" s="2208"/>
      <c r="CG40" s="2217">
        <f t="shared" si="34"/>
        <v>-15.44873075939795</v>
      </c>
      <c r="CH40" s="2217">
        <f t="shared" si="15"/>
        <v>8549.8743135368495</v>
      </c>
      <c r="CI40" s="2217">
        <f t="shared" si="25"/>
        <v>-4.1487307593979494</v>
      </c>
      <c r="CJ40" s="2212">
        <v>295</v>
      </c>
      <c r="CK40" s="2219"/>
      <c r="CL40" s="2220" t="s">
        <v>1152</v>
      </c>
      <c r="CM40" s="2224"/>
      <c r="CN40" s="2221" t="s">
        <v>74</v>
      </c>
      <c r="CO40" s="2222" t="s">
        <v>139</v>
      </c>
      <c r="CP40" s="2222"/>
      <c r="CQ40" s="2223" t="s">
        <v>120</v>
      </c>
      <c r="CR40" s="2208"/>
      <c r="CS40" s="2217">
        <f t="shared" si="35"/>
        <v>-77.559898836992474</v>
      </c>
      <c r="CT40" s="2217">
        <f t="shared" si="26"/>
        <v>2807.0547998268371</v>
      </c>
      <c r="CU40" s="2217">
        <f t="shared" si="16"/>
        <v>-49.081406545920345</v>
      </c>
      <c r="CV40" s="2212">
        <v>295</v>
      </c>
      <c r="CW40" s="2208"/>
      <c r="CX40" s="2220" t="s">
        <v>1152</v>
      </c>
      <c r="CY40" s="181"/>
      <c r="CZ40" s="2221" t="s">
        <v>74</v>
      </c>
      <c r="DA40" s="2222" t="s">
        <v>139</v>
      </c>
      <c r="DB40" s="2222"/>
      <c r="DC40" s="2223" t="s">
        <v>120</v>
      </c>
      <c r="DD40" s="2208"/>
    </row>
    <row r="41" spans="1:108">
      <c r="A41" s="2217">
        <f t="shared" si="27"/>
        <v>-16.006213457377907</v>
      </c>
      <c r="B41" s="2217">
        <f t="shared" si="9"/>
        <v>8554.0230442962475</v>
      </c>
      <c r="C41" s="2217">
        <f t="shared" si="17"/>
        <v>-4.0923595281547023</v>
      </c>
      <c r="D41" s="2212">
        <v>294</v>
      </c>
      <c r="E41" s="2219"/>
      <c r="F41" s="2225"/>
      <c r="G41" s="2226" t="s">
        <v>1153</v>
      </c>
      <c r="H41" s="2225" t="s">
        <v>317</v>
      </c>
      <c r="I41" s="2227" t="s">
        <v>317</v>
      </c>
      <c r="J41" s="2220" t="s">
        <v>1153</v>
      </c>
      <c r="K41" s="2225" t="s">
        <v>1154</v>
      </c>
      <c r="L41" s="2213"/>
      <c r="M41" s="2217">
        <f t="shared" si="28"/>
        <v>-16.292678624348738</v>
      </c>
      <c r="N41" s="2217">
        <f t="shared" si="10"/>
        <v>8554.0230442962475</v>
      </c>
      <c r="O41" s="2217">
        <f t="shared" si="18"/>
        <v>-4.0923595281547023</v>
      </c>
      <c r="P41" s="2212">
        <v>294</v>
      </c>
      <c r="Q41" s="2219"/>
      <c r="R41" s="2225"/>
      <c r="S41" s="2226" t="s">
        <v>1153</v>
      </c>
      <c r="T41" s="2225" t="s">
        <v>317</v>
      </c>
      <c r="U41" s="2227" t="s">
        <v>317</v>
      </c>
      <c r="V41" s="2220" t="s">
        <v>1153</v>
      </c>
      <c r="W41" s="2225" t="s">
        <v>1154</v>
      </c>
      <c r="X41" s="2213"/>
      <c r="Y41" s="2217">
        <f t="shared" si="29"/>
        <v>-16.660990981882662</v>
      </c>
      <c r="Z41" s="2217">
        <f t="shared" si="19"/>
        <v>8554.0230442962475</v>
      </c>
      <c r="AA41" s="2217">
        <f t="shared" si="20"/>
        <v>-4.0923595281547023</v>
      </c>
      <c r="AB41" s="2212">
        <v>294</v>
      </c>
      <c r="AC41" s="2219"/>
      <c r="AD41" s="2225"/>
      <c r="AE41" s="2226" t="s">
        <v>1153</v>
      </c>
      <c r="AF41" s="2225" t="s">
        <v>317</v>
      </c>
      <c r="AG41" s="2227" t="s">
        <v>317</v>
      </c>
      <c r="AH41" s="2220" t="s">
        <v>1153</v>
      </c>
      <c r="AI41" s="2225" t="s">
        <v>1154</v>
      </c>
      <c r="AJ41" s="2213"/>
      <c r="AK41" s="2217">
        <f t="shared" si="30"/>
        <v>-14.901276384776139</v>
      </c>
      <c r="AL41" s="2217">
        <f t="shared" si="11"/>
        <v>8554.0230442962475</v>
      </c>
      <c r="AM41" s="2217">
        <f t="shared" si="21"/>
        <v>-4.0923595281547023</v>
      </c>
      <c r="AN41" s="2212">
        <v>294</v>
      </c>
      <c r="AO41" s="2219"/>
      <c r="AP41" s="2225"/>
      <c r="AQ41" s="2226" t="s">
        <v>1153</v>
      </c>
      <c r="AR41" s="2225" t="s">
        <v>317</v>
      </c>
      <c r="AS41" s="2227" t="s">
        <v>317</v>
      </c>
      <c r="AT41" s="2220" t="s">
        <v>1153</v>
      </c>
      <c r="AU41" s="2225" t="s">
        <v>1154</v>
      </c>
      <c r="AV41" s="2208"/>
      <c r="AW41" s="2217">
        <f t="shared" si="31"/>
        <v>-62.960296424837125</v>
      </c>
      <c r="AX41" s="2217">
        <f t="shared" si="22"/>
        <v>2856.1362063727574</v>
      </c>
      <c r="AY41" s="2217">
        <f t="shared" si="12"/>
        <v>-48.736128702676524</v>
      </c>
      <c r="AZ41" s="2212">
        <v>294</v>
      </c>
      <c r="BA41" s="2208"/>
      <c r="BB41" s="2225"/>
      <c r="BC41" s="2226" t="s">
        <v>1153</v>
      </c>
      <c r="BD41" s="2225" t="s">
        <v>317</v>
      </c>
      <c r="BE41" s="2227" t="s">
        <v>317</v>
      </c>
      <c r="BF41" s="2220" t="s">
        <v>1153</v>
      </c>
      <c r="BG41" s="2225" t="s">
        <v>1154</v>
      </c>
      <c r="BH41" s="2208"/>
      <c r="BI41" s="2217">
        <f t="shared" si="32"/>
        <v>-78.068496322666846</v>
      </c>
      <c r="BJ41" s="2217">
        <f t="shared" si="23"/>
        <v>2856.1362063727574</v>
      </c>
      <c r="BK41" s="2217">
        <f t="shared" si="13"/>
        <v>-48.736128702676524</v>
      </c>
      <c r="BL41" s="2212">
        <v>294</v>
      </c>
      <c r="BM41" s="2208"/>
      <c r="BN41" s="2225"/>
      <c r="BO41" s="2226" t="s">
        <v>1153</v>
      </c>
      <c r="BP41" s="2225" t="s">
        <v>317</v>
      </c>
      <c r="BQ41" s="2227" t="s">
        <v>317</v>
      </c>
      <c r="BR41" s="2220" t="s">
        <v>1153</v>
      </c>
      <c r="BS41" s="2225" t="s">
        <v>1154</v>
      </c>
      <c r="BT41" s="2208"/>
      <c r="BU41" s="2217">
        <f t="shared" si="33"/>
        <v>-14.901276384776139</v>
      </c>
      <c r="BV41" s="2217">
        <f t="shared" si="14"/>
        <v>8554.0230442962475</v>
      </c>
      <c r="BW41" s="2217">
        <f t="shared" si="24"/>
        <v>-4.0923595281547023</v>
      </c>
      <c r="BX41" s="2212">
        <v>294</v>
      </c>
      <c r="BY41" s="2219"/>
      <c r="BZ41" s="2225"/>
      <c r="CA41" s="2226" t="s">
        <v>1153</v>
      </c>
      <c r="CB41" s="2225" t="s">
        <v>317</v>
      </c>
      <c r="CC41" s="2227" t="s">
        <v>317</v>
      </c>
      <c r="CD41" s="2220" t="s">
        <v>1153</v>
      </c>
      <c r="CE41" s="2225" t="s">
        <v>1154</v>
      </c>
      <c r="CF41" s="2208"/>
      <c r="CG41" s="2217">
        <f t="shared" si="34"/>
        <v>-15.392359528154703</v>
      </c>
      <c r="CH41" s="2217">
        <f t="shared" si="15"/>
        <v>8554.0230442962475</v>
      </c>
      <c r="CI41" s="2217">
        <f t="shared" si="25"/>
        <v>-4.0923595281547023</v>
      </c>
      <c r="CJ41" s="2212">
        <v>294</v>
      </c>
      <c r="CK41" s="2219"/>
      <c r="CL41" s="2225"/>
      <c r="CM41" s="2226" t="s">
        <v>1153</v>
      </c>
      <c r="CN41" s="2225" t="s">
        <v>317</v>
      </c>
      <c r="CO41" s="2227" t="s">
        <v>317</v>
      </c>
      <c r="CP41" s="2220" t="s">
        <v>1153</v>
      </c>
      <c r="CQ41" s="2225" t="s">
        <v>1154</v>
      </c>
      <c r="CR41" s="2208"/>
      <c r="CS41" s="2217">
        <f t="shared" si="35"/>
        <v>-77.093773748613316</v>
      </c>
      <c r="CT41" s="2217">
        <f t="shared" si="26"/>
        <v>2856.1362063727574</v>
      </c>
      <c r="CU41" s="2217">
        <f t="shared" si="16"/>
        <v>-48.736128702676524</v>
      </c>
      <c r="CV41" s="2212">
        <v>294</v>
      </c>
      <c r="CW41" s="2208"/>
      <c r="CX41" s="2225"/>
      <c r="CY41" s="2226" t="s">
        <v>1153</v>
      </c>
      <c r="CZ41" s="2225" t="s">
        <v>317</v>
      </c>
      <c r="DA41" s="2227" t="s">
        <v>317</v>
      </c>
      <c r="DB41" s="2220" t="s">
        <v>1153</v>
      </c>
      <c r="DC41" s="2225" t="s">
        <v>1154</v>
      </c>
      <c r="DD41" s="2208"/>
    </row>
    <row r="42" spans="1:108">
      <c r="A42" s="2217">
        <f t="shared" si="27"/>
        <v>-15.940417633943525</v>
      </c>
      <c r="B42" s="2217">
        <f t="shared" si="9"/>
        <v>8558.1154038244022</v>
      </c>
      <c r="C42" s="2217">
        <f t="shared" si="17"/>
        <v>-4.0351457686465437</v>
      </c>
      <c r="D42" s="2212">
        <v>293</v>
      </c>
      <c r="E42" s="2219"/>
      <c r="F42" s="2229">
        <v>10.5</v>
      </c>
      <c r="G42" s="2230">
        <f t="shared" ref="G42:G47" si="36">F43-F42</f>
        <v>2.0999999999999996</v>
      </c>
      <c r="H42" s="2225">
        <v>164</v>
      </c>
      <c r="I42" s="2212">
        <v>8091</v>
      </c>
      <c r="J42" s="2212">
        <f t="shared" ref="J42:J47" si="37">I42-I43</f>
        <v>123</v>
      </c>
      <c r="K42" s="1854">
        <f t="shared" ref="K42:K47" si="38">J42/I42/G42</f>
        <v>7.2390839910305999E-3</v>
      </c>
      <c r="L42" s="2213"/>
      <c r="M42" s="2217">
        <f t="shared" si="28"/>
        <v>-16.222877837748783</v>
      </c>
      <c r="N42" s="2217">
        <f t="shared" si="10"/>
        <v>8558.1154038244022</v>
      </c>
      <c r="O42" s="2217">
        <f t="shared" si="18"/>
        <v>-4.0351457686465437</v>
      </c>
      <c r="P42" s="2212">
        <v>293</v>
      </c>
      <c r="Q42" s="2219"/>
      <c r="R42" s="2229">
        <v>10.5</v>
      </c>
      <c r="S42" s="2230">
        <f t="shared" ref="S42:S47" si="39">R43-R42</f>
        <v>2.0999999999999996</v>
      </c>
      <c r="T42" s="2225">
        <v>164</v>
      </c>
      <c r="U42" s="2212">
        <v>8091</v>
      </c>
      <c r="V42" s="2212">
        <f t="shared" ref="V42:V47" si="40">U42-U43</f>
        <v>123</v>
      </c>
      <c r="W42" s="1854">
        <f t="shared" ref="W42:W47" si="41">V42/U42/S42</f>
        <v>7.2390839910305999E-3</v>
      </c>
      <c r="X42" s="2213"/>
      <c r="Y42" s="2217">
        <f t="shared" si="29"/>
        <v>-16.586040956926972</v>
      </c>
      <c r="Z42" s="2217">
        <f t="shared" si="19"/>
        <v>8558.1154038244022</v>
      </c>
      <c r="AA42" s="2217">
        <f t="shared" si="20"/>
        <v>-4.0351457686465437</v>
      </c>
      <c r="AB42" s="2212">
        <v>293</v>
      </c>
      <c r="AC42" s="2219"/>
      <c r="AD42" s="2229">
        <v>10.5</v>
      </c>
      <c r="AE42" s="2230">
        <f t="shared" ref="AE42:AE47" si="42">AD43-AD42</f>
        <v>2.0999999999999996</v>
      </c>
      <c r="AF42" s="2225">
        <v>164</v>
      </c>
      <c r="AG42" s="2212">
        <v>8091</v>
      </c>
      <c r="AH42" s="2212">
        <f t="shared" ref="AH42:AH47" si="43">AG42-AG43</f>
        <v>123</v>
      </c>
      <c r="AI42" s="1854">
        <f t="shared" ref="AI42:AI47" si="44">AH42/AG42/AE42</f>
        <v>7.2390839910305999E-3</v>
      </c>
      <c r="AJ42" s="2213"/>
      <c r="AK42" s="2217">
        <f t="shared" si="30"/>
        <v>-14.850928276408959</v>
      </c>
      <c r="AL42" s="2217">
        <f t="shared" si="11"/>
        <v>8558.1154038244022</v>
      </c>
      <c r="AM42" s="2217">
        <f t="shared" si="21"/>
        <v>-4.0351457686465437</v>
      </c>
      <c r="AN42" s="2212">
        <v>293</v>
      </c>
      <c r="AO42" s="2219"/>
      <c r="AP42" s="2229">
        <v>10.5</v>
      </c>
      <c r="AQ42" s="2230">
        <f t="shared" ref="AQ42:AQ47" si="45">AP43-AP42</f>
        <v>2.0999999999999996</v>
      </c>
      <c r="AR42" s="2225">
        <v>164</v>
      </c>
      <c r="AS42" s="2212">
        <v>8091</v>
      </c>
      <c r="AT42" s="2212">
        <f t="shared" ref="AT42:AT47" si="46">AS42-AS43</f>
        <v>123</v>
      </c>
      <c r="AU42" s="1854">
        <f t="shared" ref="AU42:AU47" si="47">AT42/AS42/AQ42</f>
        <v>7.2390839910305999E-3</v>
      </c>
      <c r="AV42" s="2208"/>
      <c r="AW42" s="2217">
        <f t="shared" si="31"/>
        <v>-62.594467190963073</v>
      </c>
      <c r="AX42" s="2217">
        <f t="shared" si="22"/>
        <v>2904.872335075434</v>
      </c>
      <c r="AY42" s="2217">
        <f t="shared" si="12"/>
        <v>-48.391006783927423</v>
      </c>
      <c r="AZ42" s="2212">
        <v>293</v>
      </c>
      <c r="BA42" s="2208"/>
      <c r="BB42" s="2229">
        <v>11.1</v>
      </c>
      <c r="BC42" s="2230">
        <f t="shared" ref="BC42:BC47" si="48">BB43-BB42</f>
        <v>2.2000000000000011</v>
      </c>
      <c r="BD42" s="2225">
        <v>113</v>
      </c>
      <c r="BE42" s="2212">
        <v>5788</v>
      </c>
      <c r="BF42" s="2212">
        <f t="shared" ref="BF42:BF47" si="49">BE42-BE43</f>
        <v>114</v>
      </c>
      <c r="BG42" s="1854">
        <f t="shared" ref="BG42:BG47" si="50">BF42/BE42/BC42</f>
        <v>8.9526920902180014E-3</v>
      </c>
      <c r="BH42" s="2208"/>
      <c r="BI42" s="2217">
        <f t="shared" si="32"/>
        <v>-77.595679293980567</v>
      </c>
      <c r="BJ42" s="2217">
        <f t="shared" si="23"/>
        <v>2904.872335075434</v>
      </c>
      <c r="BK42" s="2217">
        <f t="shared" si="13"/>
        <v>-48.391006783927423</v>
      </c>
      <c r="BL42" s="2212">
        <v>293</v>
      </c>
      <c r="BM42" s="2208"/>
      <c r="BN42" s="2229">
        <v>11.1</v>
      </c>
      <c r="BO42" s="2230">
        <f t="shared" ref="BO42:BO47" si="51">BN43-BN42</f>
        <v>2.2000000000000011</v>
      </c>
      <c r="BP42" s="2225">
        <v>113</v>
      </c>
      <c r="BQ42" s="2212">
        <v>5788</v>
      </c>
      <c r="BR42" s="2212">
        <f t="shared" ref="BR42:BR47" si="52">BQ42-BQ43</f>
        <v>114</v>
      </c>
      <c r="BS42" s="1854">
        <f t="shared" ref="BS42:BS47" si="53">BR42/BQ42/BO42</f>
        <v>8.9526920902180014E-3</v>
      </c>
      <c r="BT42" s="2208"/>
      <c r="BU42" s="2217">
        <f t="shared" si="33"/>
        <v>-14.850928276408959</v>
      </c>
      <c r="BV42" s="2217">
        <f t="shared" si="14"/>
        <v>8558.1154038244022</v>
      </c>
      <c r="BW42" s="2217">
        <f t="shared" si="24"/>
        <v>-4.0351457686465437</v>
      </c>
      <c r="BX42" s="2212">
        <v>293</v>
      </c>
      <c r="BY42" s="2219"/>
      <c r="BZ42" s="2229">
        <v>10.5</v>
      </c>
      <c r="CA42" s="2230">
        <f t="shared" ref="CA42:CA47" si="54">BZ43-BZ42</f>
        <v>2.0999999999999996</v>
      </c>
      <c r="CB42" s="2225">
        <v>164</v>
      </c>
      <c r="CC42" s="2212">
        <v>8091</v>
      </c>
      <c r="CD42" s="2212">
        <f t="shared" ref="CD42:CD47" si="55">CC42-CC43</f>
        <v>123</v>
      </c>
      <c r="CE42" s="1854">
        <f t="shared" ref="CE42:CE47" si="56">CD42/CC42/CA42</f>
        <v>7.2390839910305999E-3</v>
      </c>
      <c r="CF42" s="2208"/>
      <c r="CG42" s="2217">
        <f t="shared" si="34"/>
        <v>-15.335145768646544</v>
      </c>
      <c r="CH42" s="2217">
        <f t="shared" si="15"/>
        <v>8558.1154038244022</v>
      </c>
      <c r="CI42" s="2217">
        <f t="shared" si="25"/>
        <v>-4.0351457686465437</v>
      </c>
      <c r="CJ42" s="2212">
        <v>293</v>
      </c>
      <c r="CK42" s="2219"/>
      <c r="CL42" s="2229">
        <v>10.5</v>
      </c>
      <c r="CM42" s="2230">
        <f t="shared" ref="CM42:CM47" si="57">CL43-CL42</f>
        <v>2.0999999999999996</v>
      </c>
      <c r="CN42" s="2225">
        <v>164</v>
      </c>
      <c r="CO42" s="2212">
        <v>8091</v>
      </c>
      <c r="CP42" s="2212">
        <f t="shared" ref="CP42:CP47" si="58">CO42-CO43</f>
        <v>123</v>
      </c>
      <c r="CQ42" s="1854">
        <f t="shared" ref="CQ42:CQ47" si="59">CP42/CO42/CM42</f>
        <v>7.2390839910305999E-3</v>
      </c>
      <c r="CR42" s="2208"/>
      <c r="CS42" s="2217">
        <f t="shared" si="35"/>
        <v>-76.62785915830203</v>
      </c>
      <c r="CT42" s="2217">
        <f t="shared" si="26"/>
        <v>2904.872335075434</v>
      </c>
      <c r="CU42" s="2217">
        <f t="shared" si="16"/>
        <v>-48.391006783927423</v>
      </c>
      <c r="CV42" s="2212">
        <v>293</v>
      </c>
      <c r="CW42" s="2208"/>
      <c r="CX42" s="2229">
        <v>11.1</v>
      </c>
      <c r="CY42" s="2230">
        <f t="shared" ref="CY42:CY47" si="60">CX43-CX42</f>
        <v>2.2000000000000011</v>
      </c>
      <c r="CZ42" s="2225">
        <v>113</v>
      </c>
      <c r="DA42" s="2212">
        <v>5788</v>
      </c>
      <c r="DB42" s="2212">
        <f t="shared" ref="DB42:DB47" si="61">DA42-DA43</f>
        <v>114</v>
      </c>
      <c r="DC42" s="1854">
        <f t="shared" ref="DC42:DC47" si="62">DB42/DA42/CY42</f>
        <v>8.9526920902180014E-3</v>
      </c>
      <c r="DD42" s="2208"/>
    </row>
    <row r="43" spans="1:108">
      <c r="A43" s="2217">
        <f t="shared" si="27"/>
        <v>-15.87365290299822</v>
      </c>
      <c r="B43" s="2217">
        <f t="shared" si="9"/>
        <v>8562.1505495930487</v>
      </c>
      <c r="C43" s="2217">
        <f t="shared" si="17"/>
        <v>-3.9770894808680168</v>
      </c>
      <c r="D43" s="2212">
        <v>292</v>
      </c>
      <c r="E43" s="2219"/>
      <c r="F43" s="2231">
        <v>12.6</v>
      </c>
      <c r="G43" s="2230">
        <f t="shared" si="36"/>
        <v>2.0999999999999996</v>
      </c>
      <c r="H43" s="2212">
        <v>152</v>
      </c>
      <c r="I43" s="2212">
        <v>7968</v>
      </c>
      <c r="J43" s="2212">
        <f t="shared" si="37"/>
        <v>119</v>
      </c>
      <c r="K43" s="1855">
        <f t="shared" si="38"/>
        <v>7.11178045515395E-3</v>
      </c>
      <c r="L43" s="2213"/>
      <c r="M43" s="2217">
        <f t="shared" si="28"/>
        <v>-16.15204916665898</v>
      </c>
      <c r="N43" s="2217">
        <f t="shared" si="10"/>
        <v>8562.1505495930487</v>
      </c>
      <c r="O43" s="2217">
        <f t="shared" si="18"/>
        <v>-3.9770894808680168</v>
      </c>
      <c r="P43" s="2212">
        <v>292</v>
      </c>
      <c r="Q43" s="2219"/>
      <c r="R43" s="2231">
        <v>12.6</v>
      </c>
      <c r="S43" s="2230">
        <f t="shared" si="39"/>
        <v>2.0999999999999996</v>
      </c>
      <c r="T43" s="2212">
        <v>152</v>
      </c>
      <c r="U43" s="2212">
        <v>7968</v>
      </c>
      <c r="V43" s="2212">
        <f t="shared" si="40"/>
        <v>119</v>
      </c>
      <c r="W43" s="1855">
        <f t="shared" si="41"/>
        <v>7.11178045515395E-3</v>
      </c>
      <c r="X43" s="2213"/>
      <c r="Y43" s="2217">
        <f t="shared" si="29"/>
        <v>-16.509987219937102</v>
      </c>
      <c r="Z43" s="2217">
        <f t="shared" si="19"/>
        <v>8562.1505495930487</v>
      </c>
      <c r="AA43" s="2217">
        <f t="shared" si="20"/>
        <v>-3.9770894808680168</v>
      </c>
      <c r="AB43" s="2212">
        <v>292</v>
      </c>
      <c r="AC43" s="2219"/>
      <c r="AD43" s="2231">
        <v>12.6</v>
      </c>
      <c r="AE43" s="2230">
        <f t="shared" si="42"/>
        <v>2.0999999999999996</v>
      </c>
      <c r="AF43" s="2212">
        <v>152</v>
      </c>
      <c r="AG43" s="2212">
        <v>7968</v>
      </c>
      <c r="AH43" s="2212">
        <f t="shared" si="43"/>
        <v>119</v>
      </c>
      <c r="AI43" s="1855">
        <f t="shared" si="44"/>
        <v>7.11178045515395E-3</v>
      </c>
      <c r="AJ43" s="2213"/>
      <c r="AK43" s="2217">
        <f t="shared" si="30"/>
        <v>-14.799838743163855</v>
      </c>
      <c r="AL43" s="2217">
        <f t="shared" si="11"/>
        <v>8562.1505495930487</v>
      </c>
      <c r="AM43" s="2217">
        <f t="shared" si="21"/>
        <v>-3.9770894808680168</v>
      </c>
      <c r="AN43" s="2212">
        <v>292</v>
      </c>
      <c r="AO43" s="2219"/>
      <c r="AP43" s="2231">
        <v>12.6</v>
      </c>
      <c r="AQ43" s="2230">
        <f t="shared" si="45"/>
        <v>2.0999999999999996</v>
      </c>
      <c r="AR43" s="2212">
        <v>152</v>
      </c>
      <c r="AS43" s="2212">
        <v>7968</v>
      </c>
      <c r="AT43" s="2212">
        <f t="shared" si="46"/>
        <v>119</v>
      </c>
      <c r="AU43" s="1855">
        <f t="shared" si="47"/>
        <v>7.11178045515395E-3</v>
      </c>
      <c r="AV43" s="2208"/>
      <c r="AW43" s="2217">
        <f t="shared" si="31"/>
        <v>-62.228803237068377</v>
      </c>
      <c r="AX43" s="2217">
        <f t="shared" si="22"/>
        <v>2953.2633418593614</v>
      </c>
      <c r="AY43" s="2217">
        <f t="shared" si="12"/>
        <v>-48.04604078968714</v>
      </c>
      <c r="AZ43" s="2212">
        <v>292</v>
      </c>
      <c r="BA43" s="2208"/>
      <c r="BB43" s="2231">
        <v>13.3</v>
      </c>
      <c r="BC43" s="2230">
        <f t="shared" si="48"/>
        <v>2.2999999999999989</v>
      </c>
      <c r="BD43" s="2212">
        <v>103</v>
      </c>
      <c r="BE43" s="2212">
        <v>5674</v>
      </c>
      <c r="BF43" s="2212">
        <f t="shared" si="49"/>
        <v>125</v>
      </c>
      <c r="BG43" s="1855">
        <f t="shared" si="50"/>
        <v>9.5783972659422897E-3</v>
      </c>
      <c r="BH43" s="2208"/>
      <c r="BI43" s="2217">
        <f t="shared" si="32"/>
        <v>-77.123075881871387</v>
      </c>
      <c r="BJ43" s="2217">
        <f t="shared" si="23"/>
        <v>2953.2633418593614</v>
      </c>
      <c r="BK43" s="2217">
        <f t="shared" si="13"/>
        <v>-48.04604078968714</v>
      </c>
      <c r="BL43" s="2212">
        <v>292</v>
      </c>
      <c r="BM43" s="2208"/>
      <c r="BN43" s="2231">
        <v>13.3</v>
      </c>
      <c r="BO43" s="2230">
        <f t="shared" si="51"/>
        <v>2.2999999999999989</v>
      </c>
      <c r="BP43" s="2212">
        <v>103</v>
      </c>
      <c r="BQ43" s="2212">
        <v>5674</v>
      </c>
      <c r="BR43" s="2212">
        <f t="shared" si="52"/>
        <v>125</v>
      </c>
      <c r="BS43" s="1855">
        <f t="shared" si="53"/>
        <v>9.5783972659422897E-3</v>
      </c>
      <c r="BT43" s="2208"/>
      <c r="BU43" s="2217">
        <f t="shared" si="33"/>
        <v>-14.799838743163855</v>
      </c>
      <c r="BV43" s="2217">
        <f t="shared" si="14"/>
        <v>8562.1505495930487</v>
      </c>
      <c r="BW43" s="2217">
        <f t="shared" si="24"/>
        <v>-3.9770894808680168</v>
      </c>
      <c r="BX43" s="2212">
        <v>292</v>
      </c>
      <c r="BY43" s="2219"/>
      <c r="BZ43" s="2231">
        <v>12.6</v>
      </c>
      <c r="CA43" s="2230">
        <f t="shared" si="54"/>
        <v>2.0999999999999996</v>
      </c>
      <c r="CB43" s="2212">
        <v>152</v>
      </c>
      <c r="CC43" s="2212">
        <v>7968</v>
      </c>
      <c r="CD43" s="2212">
        <f t="shared" si="55"/>
        <v>119</v>
      </c>
      <c r="CE43" s="1855">
        <f t="shared" si="56"/>
        <v>7.11178045515395E-3</v>
      </c>
      <c r="CF43" s="2208"/>
      <c r="CG43" s="2217">
        <f t="shared" si="34"/>
        <v>-15.277089480868018</v>
      </c>
      <c r="CH43" s="2217">
        <f t="shared" si="15"/>
        <v>8562.1505495930487</v>
      </c>
      <c r="CI43" s="2217">
        <f t="shared" si="25"/>
        <v>-3.9770894808680168</v>
      </c>
      <c r="CJ43" s="2212">
        <v>292</v>
      </c>
      <c r="CK43" s="2219"/>
      <c r="CL43" s="2231">
        <v>12.6</v>
      </c>
      <c r="CM43" s="2230">
        <f t="shared" si="57"/>
        <v>2.0999999999999996</v>
      </c>
      <c r="CN43" s="2212">
        <v>152</v>
      </c>
      <c r="CO43" s="2212">
        <v>7968</v>
      </c>
      <c r="CP43" s="2212">
        <f t="shared" si="58"/>
        <v>119</v>
      </c>
      <c r="CQ43" s="1855">
        <f t="shared" si="59"/>
        <v>7.11178045515395E-3</v>
      </c>
      <c r="CR43" s="2208"/>
      <c r="CS43" s="2217">
        <f t="shared" si="35"/>
        <v>-76.162155066077645</v>
      </c>
      <c r="CT43" s="2217">
        <f t="shared" si="26"/>
        <v>2953.2633418593614</v>
      </c>
      <c r="CU43" s="2217">
        <f t="shared" si="16"/>
        <v>-48.04604078968714</v>
      </c>
      <c r="CV43" s="2212">
        <v>292</v>
      </c>
      <c r="CW43" s="2208"/>
      <c r="CX43" s="2231">
        <v>13.3</v>
      </c>
      <c r="CY43" s="2230">
        <f t="shared" si="60"/>
        <v>2.2999999999999989</v>
      </c>
      <c r="CZ43" s="2212">
        <v>103</v>
      </c>
      <c r="DA43" s="2212">
        <v>5674</v>
      </c>
      <c r="DB43" s="2212">
        <f t="shared" si="61"/>
        <v>125</v>
      </c>
      <c r="DC43" s="1855">
        <f t="shared" si="62"/>
        <v>9.5783972659422897E-3</v>
      </c>
      <c r="DD43" s="2208"/>
    </row>
    <row r="44" spans="1:108">
      <c r="A44" s="2217">
        <f t="shared" si="27"/>
        <v>-15.805919264535714</v>
      </c>
      <c r="B44" s="2217">
        <f t="shared" si="9"/>
        <v>8566.1276390739167</v>
      </c>
      <c r="C44" s="2217">
        <f t="shared" si="17"/>
        <v>-3.9181906648136646</v>
      </c>
      <c r="D44" s="2212">
        <v>291</v>
      </c>
      <c r="E44" s="2219"/>
      <c r="F44" s="2231">
        <v>14.7</v>
      </c>
      <c r="G44" s="2230">
        <f t="shared" si="36"/>
        <v>2.1000000000000014</v>
      </c>
      <c r="H44" s="2212">
        <v>142</v>
      </c>
      <c r="I44" s="2212">
        <v>7849</v>
      </c>
      <c r="J44" s="2212">
        <f t="shared" si="37"/>
        <v>136</v>
      </c>
      <c r="K44" s="1855">
        <f t="shared" si="38"/>
        <v>8.2509752531411285E-3</v>
      </c>
      <c r="L44" s="2213"/>
      <c r="M44" s="2217">
        <f t="shared" si="28"/>
        <v>-16.080192611072672</v>
      </c>
      <c r="N44" s="2217">
        <f t="shared" si="10"/>
        <v>8566.1276390739167</v>
      </c>
      <c r="O44" s="2217">
        <f t="shared" si="18"/>
        <v>-3.9181906648136646</v>
      </c>
      <c r="P44" s="2212">
        <v>291</v>
      </c>
      <c r="Q44" s="2219"/>
      <c r="R44" s="2231">
        <v>14.7</v>
      </c>
      <c r="S44" s="2230">
        <f t="shared" si="39"/>
        <v>2.1000000000000014</v>
      </c>
      <c r="T44" s="2212">
        <v>142</v>
      </c>
      <c r="U44" s="2212">
        <v>7849</v>
      </c>
      <c r="V44" s="2212">
        <f t="shared" si="40"/>
        <v>136</v>
      </c>
      <c r="W44" s="1855">
        <f t="shared" si="41"/>
        <v>8.2509752531411285E-3</v>
      </c>
      <c r="X44" s="2213"/>
      <c r="Y44" s="2217">
        <f t="shared" si="29"/>
        <v>-16.432829770905901</v>
      </c>
      <c r="Z44" s="2217">
        <f t="shared" si="19"/>
        <v>8566.1276390739167</v>
      </c>
      <c r="AA44" s="2217">
        <f t="shared" si="20"/>
        <v>-3.9181906648136646</v>
      </c>
      <c r="AB44" s="2212">
        <v>291</v>
      </c>
      <c r="AC44" s="2219"/>
      <c r="AD44" s="2231">
        <v>14.7</v>
      </c>
      <c r="AE44" s="2230">
        <f t="shared" si="42"/>
        <v>2.1000000000000014</v>
      </c>
      <c r="AF44" s="2212">
        <v>142</v>
      </c>
      <c r="AG44" s="2212">
        <v>7849</v>
      </c>
      <c r="AH44" s="2212">
        <f t="shared" si="43"/>
        <v>136</v>
      </c>
      <c r="AI44" s="1855">
        <f t="shared" si="44"/>
        <v>8.2509752531411285E-3</v>
      </c>
      <c r="AJ44" s="2213"/>
      <c r="AK44" s="2217">
        <f t="shared" si="30"/>
        <v>-14.748007785036025</v>
      </c>
      <c r="AL44" s="2217">
        <f t="shared" si="11"/>
        <v>8566.1276390739167</v>
      </c>
      <c r="AM44" s="2217">
        <f t="shared" si="21"/>
        <v>-3.9181906648136646</v>
      </c>
      <c r="AN44" s="2212">
        <v>291</v>
      </c>
      <c r="AO44" s="2219"/>
      <c r="AP44" s="2231">
        <v>14.7</v>
      </c>
      <c r="AQ44" s="2230">
        <f t="shared" si="45"/>
        <v>2.1000000000000014</v>
      </c>
      <c r="AR44" s="2212">
        <v>142</v>
      </c>
      <c r="AS44" s="2212">
        <v>7849</v>
      </c>
      <c r="AT44" s="2212">
        <f t="shared" si="46"/>
        <v>136</v>
      </c>
      <c r="AU44" s="1855">
        <f t="shared" si="47"/>
        <v>8.2509752531411285E-3</v>
      </c>
      <c r="AV44" s="2208"/>
      <c r="AW44" s="2217">
        <f t="shared" si="31"/>
        <v>-61.863304563137589</v>
      </c>
      <c r="AX44" s="2217">
        <f t="shared" si="22"/>
        <v>3001.3093826490485</v>
      </c>
      <c r="AY44" s="2217">
        <f t="shared" si="12"/>
        <v>-47.701230719941123</v>
      </c>
      <c r="AZ44" s="2212">
        <v>291</v>
      </c>
      <c r="BA44" s="2208"/>
      <c r="BB44" s="2231">
        <v>15.6</v>
      </c>
      <c r="BC44" s="2230">
        <f t="shared" si="48"/>
        <v>2.2000000000000011</v>
      </c>
      <c r="BD44" s="2212">
        <v>94</v>
      </c>
      <c r="BE44" s="2212">
        <v>5549</v>
      </c>
      <c r="BF44" s="2212">
        <f t="shared" si="49"/>
        <v>148</v>
      </c>
      <c r="BG44" s="1855">
        <f t="shared" si="50"/>
        <v>1.2123396516980942E-2</v>
      </c>
      <c r="BH44" s="2208"/>
      <c r="BI44" s="2217">
        <f t="shared" si="32"/>
        <v>-76.65068608631934</v>
      </c>
      <c r="BJ44" s="2217">
        <f t="shared" si="23"/>
        <v>3001.3093826490485</v>
      </c>
      <c r="BK44" s="2217">
        <f t="shared" si="13"/>
        <v>-47.701230719941123</v>
      </c>
      <c r="BL44" s="2212">
        <v>291</v>
      </c>
      <c r="BM44" s="2208"/>
      <c r="BN44" s="2231">
        <v>15.6</v>
      </c>
      <c r="BO44" s="2230">
        <f t="shared" si="51"/>
        <v>2.2000000000000011</v>
      </c>
      <c r="BP44" s="2212">
        <v>94</v>
      </c>
      <c r="BQ44" s="2212">
        <v>5549</v>
      </c>
      <c r="BR44" s="2212">
        <f t="shared" si="52"/>
        <v>148</v>
      </c>
      <c r="BS44" s="1855">
        <f t="shared" si="53"/>
        <v>1.2123396516980942E-2</v>
      </c>
      <c r="BT44" s="2208"/>
      <c r="BU44" s="2217">
        <f t="shared" si="33"/>
        <v>-14.748007785036025</v>
      </c>
      <c r="BV44" s="2217">
        <f t="shared" si="14"/>
        <v>8566.1276390739167</v>
      </c>
      <c r="BW44" s="2217">
        <f t="shared" si="24"/>
        <v>-3.9181906648136646</v>
      </c>
      <c r="BX44" s="2212">
        <v>291</v>
      </c>
      <c r="BY44" s="2219"/>
      <c r="BZ44" s="2231">
        <v>14.7</v>
      </c>
      <c r="CA44" s="2230">
        <f t="shared" si="54"/>
        <v>2.1000000000000014</v>
      </c>
      <c r="CB44" s="2212">
        <v>142</v>
      </c>
      <c r="CC44" s="2212">
        <v>7849</v>
      </c>
      <c r="CD44" s="2212">
        <f t="shared" si="55"/>
        <v>136</v>
      </c>
      <c r="CE44" s="1855">
        <f t="shared" si="56"/>
        <v>8.2509752531411285E-3</v>
      </c>
      <c r="CF44" s="2208"/>
      <c r="CG44" s="2217">
        <f t="shared" si="34"/>
        <v>-15.218190664813665</v>
      </c>
      <c r="CH44" s="2217">
        <f t="shared" si="15"/>
        <v>8566.1276390739167</v>
      </c>
      <c r="CI44" s="2217">
        <f t="shared" si="25"/>
        <v>-3.9181906648136646</v>
      </c>
      <c r="CJ44" s="2212">
        <v>291</v>
      </c>
      <c r="CK44" s="2219"/>
      <c r="CL44" s="2231">
        <v>14.7</v>
      </c>
      <c r="CM44" s="2230">
        <f t="shared" si="57"/>
        <v>2.1000000000000014</v>
      </c>
      <c r="CN44" s="2212">
        <v>142</v>
      </c>
      <c r="CO44" s="2212">
        <v>7849</v>
      </c>
      <c r="CP44" s="2212">
        <f t="shared" si="58"/>
        <v>136</v>
      </c>
      <c r="CQ44" s="1855">
        <f t="shared" si="59"/>
        <v>8.2509752531411285E-3</v>
      </c>
      <c r="CR44" s="2208"/>
      <c r="CS44" s="2217">
        <f t="shared" si="35"/>
        <v>-75.696661471920521</v>
      </c>
      <c r="CT44" s="2217">
        <f t="shared" si="26"/>
        <v>3001.3093826490485</v>
      </c>
      <c r="CU44" s="2217">
        <f t="shared" si="16"/>
        <v>-47.701230719941123</v>
      </c>
      <c r="CV44" s="2212">
        <v>291</v>
      </c>
      <c r="CW44" s="2208"/>
      <c r="CX44" s="2231">
        <v>15.6</v>
      </c>
      <c r="CY44" s="2230">
        <f t="shared" si="60"/>
        <v>2.2000000000000011</v>
      </c>
      <c r="CZ44" s="2212">
        <v>94</v>
      </c>
      <c r="DA44" s="2212">
        <v>5549</v>
      </c>
      <c r="DB44" s="2212">
        <f t="shared" si="61"/>
        <v>148</v>
      </c>
      <c r="DC44" s="1855">
        <f t="shared" si="62"/>
        <v>1.2123396516980942E-2</v>
      </c>
      <c r="DD44" s="2208"/>
    </row>
    <row r="45" spans="1:108">
      <c r="A45" s="2217">
        <f t="shared" si="27"/>
        <v>-15.737216718572746</v>
      </c>
      <c r="B45" s="2217">
        <f t="shared" si="9"/>
        <v>8570.0458297387304</v>
      </c>
      <c r="C45" s="2217">
        <f t="shared" si="17"/>
        <v>-3.858449320498039</v>
      </c>
      <c r="D45" s="2212">
        <v>290</v>
      </c>
      <c r="E45" s="2219"/>
      <c r="F45" s="2231">
        <v>16.8</v>
      </c>
      <c r="G45" s="2230">
        <f t="shared" si="36"/>
        <v>2.0999999999999979</v>
      </c>
      <c r="H45" s="2212">
        <v>132</v>
      </c>
      <c r="I45" s="2212">
        <v>7713</v>
      </c>
      <c r="J45" s="2212">
        <f t="shared" si="37"/>
        <v>153</v>
      </c>
      <c r="K45" s="1855">
        <f t="shared" si="38"/>
        <v>9.4460187809079395E-3</v>
      </c>
      <c r="L45" s="2213"/>
      <c r="M45" s="2217">
        <f t="shared" si="28"/>
        <v>-16.007308171007608</v>
      </c>
      <c r="N45" s="2217">
        <f t="shared" si="10"/>
        <v>8570.0458297387304</v>
      </c>
      <c r="O45" s="2217">
        <f t="shared" si="18"/>
        <v>-3.858449320498039</v>
      </c>
      <c r="P45" s="2212">
        <v>290</v>
      </c>
      <c r="Q45" s="2219"/>
      <c r="R45" s="2231">
        <v>16.8</v>
      </c>
      <c r="S45" s="2230">
        <f t="shared" si="39"/>
        <v>2.0999999999999979</v>
      </c>
      <c r="T45" s="2212">
        <v>132</v>
      </c>
      <c r="U45" s="2212">
        <v>7713</v>
      </c>
      <c r="V45" s="2212">
        <f t="shared" si="40"/>
        <v>153</v>
      </c>
      <c r="W45" s="1855">
        <f t="shared" si="41"/>
        <v>9.4460187809079395E-3</v>
      </c>
      <c r="X45" s="2213"/>
      <c r="Y45" s="2217">
        <f t="shared" si="29"/>
        <v>-16.354568609852432</v>
      </c>
      <c r="Z45" s="2217">
        <f t="shared" si="19"/>
        <v>8570.0458297387304</v>
      </c>
      <c r="AA45" s="2217">
        <f t="shared" si="20"/>
        <v>-3.858449320498039</v>
      </c>
      <c r="AB45" s="2212">
        <v>290</v>
      </c>
      <c r="AC45" s="2219"/>
      <c r="AD45" s="2231">
        <v>16.8</v>
      </c>
      <c r="AE45" s="2230">
        <f t="shared" si="42"/>
        <v>2.0999999999999979</v>
      </c>
      <c r="AF45" s="2212">
        <v>132</v>
      </c>
      <c r="AG45" s="2212">
        <v>7713</v>
      </c>
      <c r="AH45" s="2212">
        <f t="shared" si="43"/>
        <v>153</v>
      </c>
      <c r="AI45" s="1855">
        <f t="shared" si="44"/>
        <v>9.4460187809079395E-3</v>
      </c>
      <c r="AJ45" s="2213"/>
      <c r="AK45" s="2217">
        <f t="shared" si="30"/>
        <v>-14.695435402038274</v>
      </c>
      <c r="AL45" s="2217">
        <f t="shared" si="11"/>
        <v>8570.0458297387304</v>
      </c>
      <c r="AM45" s="2217">
        <f t="shared" si="21"/>
        <v>-3.858449320498039</v>
      </c>
      <c r="AN45" s="2212">
        <v>290</v>
      </c>
      <c r="AO45" s="2219"/>
      <c r="AP45" s="2231">
        <v>16.8</v>
      </c>
      <c r="AQ45" s="2230">
        <f t="shared" si="45"/>
        <v>2.0999999999999979</v>
      </c>
      <c r="AR45" s="2212">
        <v>132</v>
      </c>
      <c r="AS45" s="2212">
        <v>7713</v>
      </c>
      <c r="AT45" s="2212">
        <f t="shared" si="46"/>
        <v>153</v>
      </c>
      <c r="AU45" s="1855">
        <f t="shared" si="47"/>
        <v>9.4460187809079395E-3</v>
      </c>
      <c r="AV45" s="2208"/>
      <c r="AW45" s="2217">
        <f t="shared" si="31"/>
        <v>-61.497971169178925</v>
      </c>
      <c r="AX45" s="2217">
        <f t="shared" si="22"/>
        <v>3049.0106133689897</v>
      </c>
      <c r="AY45" s="2217">
        <f t="shared" si="12"/>
        <v>-47.356576574697101</v>
      </c>
      <c r="AZ45" s="2212">
        <v>290</v>
      </c>
      <c r="BA45" s="2208"/>
      <c r="BB45" s="2231">
        <v>17.8</v>
      </c>
      <c r="BC45" s="2230">
        <f t="shared" si="48"/>
        <v>2.1999999999999993</v>
      </c>
      <c r="BD45" s="2212">
        <v>85</v>
      </c>
      <c r="BE45" s="2212">
        <v>5401</v>
      </c>
      <c r="BF45" s="2212">
        <f t="shared" si="49"/>
        <v>150</v>
      </c>
      <c r="BG45" s="1855">
        <f t="shared" si="50"/>
        <v>1.2623924862399223E-2</v>
      </c>
      <c r="BH45" s="2208"/>
      <c r="BI45" s="2217">
        <f t="shared" si="32"/>
        <v>-76.178509907335027</v>
      </c>
      <c r="BJ45" s="2217">
        <f t="shared" si="23"/>
        <v>3049.0106133689897</v>
      </c>
      <c r="BK45" s="2217">
        <f t="shared" si="13"/>
        <v>-47.356576574697101</v>
      </c>
      <c r="BL45" s="2212">
        <v>290</v>
      </c>
      <c r="BM45" s="2208"/>
      <c r="BN45" s="2231">
        <v>17.8</v>
      </c>
      <c r="BO45" s="2230">
        <f t="shared" si="51"/>
        <v>2.1999999999999993</v>
      </c>
      <c r="BP45" s="2212">
        <v>85</v>
      </c>
      <c r="BQ45" s="2212">
        <v>5401</v>
      </c>
      <c r="BR45" s="2212">
        <f t="shared" si="52"/>
        <v>150</v>
      </c>
      <c r="BS45" s="1855">
        <f t="shared" si="53"/>
        <v>1.2623924862399223E-2</v>
      </c>
      <c r="BT45" s="2208"/>
      <c r="BU45" s="2217">
        <f t="shared" si="33"/>
        <v>-14.695435402038274</v>
      </c>
      <c r="BV45" s="2217">
        <f t="shared" si="14"/>
        <v>8570.0458297387304</v>
      </c>
      <c r="BW45" s="2217">
        <f t="shared" si="24"/>
        <v>-3.858449320498039</v>
      </c>
      <c r="BX45" s="2212">
        <v>290</v>
      </c>
      <c r="BY45" s="2219"/>
      <c r="BZ45" s="2231">
        <v>16.8</v>
      </c>
      <c r="CA45" s="2230">
        <f t="shared" si="54"/>
        <v>2.0999999999999979</v>
      </c>
      <c r="CB45" s="2212">
        <v>132</v>
      </c>
      <c r="CC45" s="2212">
        <v>7713</v>
      </c>
      <c r="CD45" s="2212">
        <f t="shared" si="55"/>
        <v>153</v>
      </c>
      <c r="CE45" s="1855">
        <f t="shared" si="56"/>
        <v>9.4460187809079395E-3</v>
      </c>
      <c r="CF45" s="2208"/>
      <c r="CG45" s="2217">
        <f t="shared" si="34"/>
        <v>-15.15844932049804</v>
      </c>
      <c r="CH45" s="2217">
        <f t="shared" si="15"/>
        <v>8570.0458297387304</v>
      </c>
      <c r="CI45" s="2217">
        <f t="shared" si="25"/>
        <v>-3.858449320498039</v>
      </c>
      <c r="CJ45" s="2212">
        <v>290</v>
      </c>
      <c r="CK45" s="2219"/>
      <c r="CL45" s="2231">
        <v>16.8</v>
      </c>
      <c r="CM45" s="2230">
        <f t="shared" si="57"/>
        <v>2.0999999999999979</v>
      </c>
      <c r="CN45" s="2212">
        <v>132</v>
      </c>
      <c r="CO45" s="2212">
        <v>7713</v>
      </c>
      <c r="CP45" s="2212">
        <f t="shared" si="58"/>
        <v>153</v>
      </c>
      <c r="CQ45" s="1855">
        <f t="shared" si="59"/>
        <v>9.4460187809079395E-3</v>
      </c>
      <c r="CR45" s="2208"/>
      <c r="CS45" s="2217">
        <f t="shared" si="35"/>
        <v>-75.231378375841089</v>
      </c>
      <c r="CT45" s="2217">
        <f t="shared" si="26"/>
        <v>3049.0106133689897</v>
      </c>
      <c r="CU45" s="2217">
        <f t="shared" si="16"/>
        <v>-47.356576574697101</v>
      </c>
      <c r="CV45" s="2212">
        <v>290</v>
      </c>
      <c r="CW45" s="2208"/>
      <c r="CX45" s="2231">
        <v>17.8</v>
      </c>
      <c r="CY45" s="2230">
        <f t="shared" si="60"/>
        <v>2.1999999999999993</v>
      </c>
      <c r="CZ45" s="2212">
        <v>85</v>
      </c>
      <c r="DA45" s="2212">
        <v>5401</v>
      </c>
      <c r="DB45" s="2212">
        <f t="shared" si="61"/>
        <v>150</v>
      </c>
      <c r="DC45" s="1855">
        <f t="shared" si="62"/>
        <v>1.2623924862399223E-2</v>
      </c>
      <c r="DD45" s="2208"/>
    </row>
    <row r="46" spans="1:108">
      <c r="A46" s="2217">
        <f t="shared" si="27"/>
        <v>-15.667545265096759</v>
      </c>
      <c r="B46" s="2217">
        <f t="shared" si="9"/>
        <v>8573.9042790592284</v>
      </c>
      <c r="C46" s="2217">
        <f t="shared" si="17"/>
        <v>-3.7978654479102261</v>
      </c>
      <c r="D46" s="2212">
        <v>289</v>
      </c>
      <c r="E46" s="2219"/>
      <c r="F46" s="2231">
        <v>18.899999999999999</v>
      </c>
      <c r="G46" s="2230">
        <f t="shared" si="36"/>
        <v>2.2000000000000028</v>
      </c>
      <c r="H46" s="2212">
        <v>122</v>
      </c>
      <c r="I46" s="2212">
        <v>7560</v>
      </c>
      <c r="J46" s="2212">
        <f t="shared" si="37"/>
        <v>154</v>
      </c>
      <c r="K46" s="1855">
        <f t="shared" si="38"/>
        <v>9.2592592592592483E-3</v>
      </c>
      <c r="L46" s="2213"/>
      <c r="M46" s="2217">
        <f t="shared" si="28"/>
        <v>-15.933395846450477</v>
      </c>
      <c r="N46" s="2217">
        <f t="shared" si="10"/>
        <v>8573.9042790592284</v>
      </c>
      <c r="O46" s="2217">
        <f t="shared" si="18"/>
        <v>-3.7978654479102261</v>
      </c>
      <c r="P46" s="2212">
        <v>289</v>
      </c>
      <c r="Q46" s="2219"/>
      <c r="R46" s="2231">
        <v>18.899999999999999</v>
      </c>
      <c r="S46" s="2230">
        <f t="shared" si="39"/>
        <v>2.2000000000000028</v>
      </c>
      <c r="T46" s="2212">
        <v>122</v>
      </c>
      <c r="U46" s="2212">
        <v>7560</v>
      </c>
      <c r="V46" s="2212">
        <f t="shared" si="40"/>
        <v>154</v>
      </c>
      <c r="W46" s="1855">
        <f t="shared" si="41"/>
        <v>9.2592592592592483E-3</v>
      </c>
      <c r="X46" s="2213"/>
      <c r="Y46" s="2217">
        <f t="shared" si="29"/>
        <v>-16.275203736762396</v>
      </c>
      <c r="Z46" s="2217">
        <f t="shared" si="19"/>
        <v>8573.9042790592284</v>
      </c>
      <c r="AA46" s="2217">
        <f t="shared" si="20"/>
        <v>-3.7978654479102261</v>
      </c>
      <c r="AB46" s="2212">
        <v>289</v>
      </c>
      <c r="AC46" s="2219"/>
      <c r="AD46" s="2231">
        <v>18.899999999999999</v>
      </c>
      <c r="AE46" s="2230">
        <f t="shared" si="42"/>
        <v>2.2000000000000028</v>
      </c>
      <c r="AF46" s="2212">
        <v>122</v>
      </c>
      <c r="AG46" s="2212">
        <v>7560</v>
      </c>
      <c r="AH46" s="2212">
        <f t="shared" si="43"/>
        <v>154</v>
      </c>
      <c r="AI46" s="1855">
        <f t="shared" si="44"/>
        <v>9.2592592592592483E-3</v>
      </c>
      <c r="AJ46" s="2213"/>
      <c r="AK46" s="2217">
        <f t="shared" si="30"/>
        <v>-14.642121594160999</v>
      </c>
      <c r="AL46" s="2217">
        <f t="shared" si="11"/>
        <v>8573.9042790592284</v>
      </c>
      <c r="AM46" s="2217">
        <f t="shared" si="21"/>
        <v>-3.7978654479102261</v>
      </c>
      <c r="AN46" s="2212">
        <v>289</v>
      </c>
      <c r="AO46" s="2219"/>
      <c r="AP46" s="2231">
        <v>18.899999999999999</v>
      </c>
      <c r="AQ46" s="2230">
        <f t="shared" si="45"/>
        <v>2.2000000000000028</v>
      </c>
      <c r="AR46" s="2212">
        <v>122</v>
      </c>
      <c r="AS46" s="2212">
        <v>7560</v>
      </c>
      <c r="AT46" s="2212">
        <f t="shared" si="46"/>
        <v>154</v>
      </c>
      <c r="AU46" s="1855">
        <f t="shared" si="47"/>
        <v>9.2592592592592483E-3</v>
      </c>
      <c r="AV46" s="2208"/>
      <c r="AW46" s="2217">
        <f t="shared" si="31"/>
        <v>-61.132803055192383</v>
      </c>
      <c r="AX46" s="2217">
        <f t="shared" si="22"/>
        <v>3096.3671899436868</v>
      </c>
      <c r="AY46" s="2217">
        <f t="shared" si="12"/>
        <v>-47.012078353955076</v>
      </c>
      <c r="AZ46" s="2212">
        <v>289</v>
      </c>
      <c r="BA46" s="2208"/>
      <c r="BB46" s="2231">
        <v>20</v>
      </c>
      <c r="BC46" s="2230">
        <f t="shared" si="48"/>
        <v>2</v>
      </c>
      <c r="BD46" s="2212">
        <v>77</v>
      </c>
      <c r="BE46" s="2212">
        <v>5251</v>
      </c>
      <c r="BF46" s="2212">
        <f t="shared" si="49"/>
        <v>169</v>
      </c>
      <c r="BG46" s="1855">
        <f t="shared" si="50"/>
        <v>1.6092172919443915E-2</v>
      </c>
      <c r="BH46" s="2208"/>
      <c r="BI46" s="2217">
        <f t="shared" si="32"/>
        <v>-75.706547344918462</v>
      </c>
      <c r="BJ46" s="2217">
        <f t="shared" si="23"/>
        <v>3096.3671899436868</v>
      </c>
      <c r="BK46" s="2217">
        <f t="shared" si="13"/>
        <v>-47.012078353955076</v>
      </c>
      <c r="BL46" s="2212">
        <v>289</v>
      </c>
      <c r="BM46" s="2208"/>
      <c r="BN46" s="2231">
        <v>20</v>
      </c>
      <c r="BO46" s="2230">
        <f t="shared" si="51"/>
        <v>2</v>
      </c>
      <c r="BP46" s="2212">
        <v>77</v>
      </c>
      <c r="BQ46" s="2212">
        <v>5251</v>
      </c>
      <c r="BR46" s="2212">
        <f t="shared" si="52"/>
        <v>169</v>
      </c>
      <c r="BS46" s="1855">
        <f t="shared" si="53"/>
        <v>1.6092172919443915E-2</v>
      </c>
      <c r="BT46" s="2208"/>
      <c r="BU46" s="2217">
        <f t="shared" si="33"/>
        <v>-14.642121594160999</v>
      </c>
      <c r="BV46" s="2217">
        <f t="shared" si="14"/>
        <v>8573.9042790592284</v>
      </c>
      <c r="BW46" s="2217">
        <f t="shared" si="24"/>
        <v>-3.7978654479102261</v>
      </c>
      <c r="BX46" s="2212">
        <v>289</v>
      </c>
      <c r="BY46" s="2219"/>
      <c r="BZ46" s="2231">
        <v>18.899999999999999</v>
      </c>
      <c r="CA46" s="2230">
        <f t="shared" si="54"/>
        <v>2.2000000000000028</v>
      </c>
      <c r="CB46" s="2212">
        <v>122</v>
      </c>
      <c r="CC46" s="2212">
        <v>7560</v>
      </c>
      <c r="CD46" s="2212">
        <f t="shared" si="55"/>
        <v>154</v>
      </c>
      <c r="CE46" s="1855">
        <f t="shared" si="56"/>
        <v>9.2592592592592483E-3</v>
      </c>
      <c r="CF46" s="2208"/>
      <c r="CG46" s="2217">
        <f t="shared" si="34"/>
        <v>-15.097865447910227</v>
      </c>
      <c r="CH46" s="2217">
        <f t="shared" si="15"/>
        <v>8573.9042790592284</v>
      </c>
      <c r="CI46" s="2217">
        <f t="shared" si="25"/>
        <v>-3.7978654479102261</v>
      </c>
      <c r="CJ46" s="2212">
        <v>289</v>
      </c>
      <c r="CK46" s="2219"/>
      <c r="CL46" s="2231">
        <v>18.899999999999999</v>
      </c>
      <c r="CM46" s="2230">
        <f t="shared" si="57"/>
        <v>2.2000000000000028</v>
      </c>
      <c r="CN46" s="2212">
        <v>122</v>
      </c>
      <c r="CO46" s="2212">
        <v>7560</v>
      </c>
      <c r="CP46" s="2212">
        <f t="shared" si="58"/>
        <v>154</v>
      </c>
      <c r="CQ46" s="1855">
        <f t="shared" si="59"/>
        <v>9.2592592592592483E-3</v>
      </c>
      <c r="CR46" s="2208"/>
      <c r="CS46" s="2217">
        <f t="shared" si="35"/>
        <v>-74.766305777839364</v>
      </c>
      <c r="CT46" s="2217">
        <f t="shared" si="26"/>
        <v>3096.3671899436868</v>
      </c>
      <c r="CU46" s="2217">
        <f t="shared" si="16"/>
        <v>-47.012078353955076</v>
      </c>
      <c r="CV46" s="2212">
        <v>289</v>
      </c>
      <c r="CW46" s="2208"/>
      <c r="CX46" s="2231">
        <v>20</v>
      </c>
      <c r="CY46" s="2230">
        <f t="shared" si="60"/>
        <v>2</v>
      </c>
      <c r="CZ46" s="2212">
        <v>77</v>
      </c>
      <c r="DA46" s="2212">
        <v>5251</v>
      </c>
      <c r="DB46" s="2212">
        <f t="shared" si="61"/>
        <v>169</v>
      </c>
      <c r="DC46" s="1855">
        <f t="shared" si="62"/>
        <v>1.6092172919443915E-2</v>
      </c>
      <c r="DD46" s="2208"/>
    </row>
    <row r="47" spans="1:108">
      <c r="A47" s="2217">
        <f t="shared" si="27"/>
        <v>-15.596904904103576</v>
      </c>
      <c r="B47" s="2217">
        <f t="shared" si="9"/>
        <v>8577.7021445071387</v>
      </c>
      <c r="C47" s="2217">
        <f t="shared" si="17"/>
        <v>-3.7364390470465878</v>
      </c>
      <c r="D47" s="2212">
        <v>288</v>
      </c>
      <c r="E47" s="2219"/>
      <c r="F47" s="2231">
        <v>21.1</v>
      </c>
      <c r="G47" s="2230">
        <f t="shared" si="36"/>
        <v>2.0999999999999979</v>
      </c>
      <c r="H47" s="2212">
        <v>113</v>
      </c>
      <c r="I47" s="2212">
        <v>7406</v>
      </c>
      <c r="J47" s="2212">
        <f t="shared" si="37"/>
        <v>334</v>
      </c>
      <c r="K47" s="1855">
        <f t="shared" si="38"/>
        <v>2.1475508918123037E-2</v>
      </c>
      <c r="L47" s="2213"/>
      <c r="M47" s="2217">
        <f t="shared" si="28"/>
        <v>-15.858455637396837</v>
      </c>
      <c r="N47" s="2217">
        <f t="shared" si="10"/>
        <v>8577.7021445071387</v>
      </c>
      <c r="O47" s="2217">
        <f t="shared" si="18"/>
        <v>-3.7364390470465878</v>
      </c>
      <c r="P47" s="2212">
        <v>288</v>
      </c>
      <c r="Q47" s="2219"/>
      <c r="R47" s="2231">
        <v>21.1</v>
      </c>
      <c r="S47" s="2230">
        <f t="shared" si="39"/>
        <v>2.0999999999999979</v>
      </c>
      <c r="T47" s="2212">
        <v>113</v>
      </c>
      <c r="U47" s="2212">
        <v>7406</v>
      </c>
      <c r="V47" s="2212">
        <f t="shared" si="40"/>
        <v>334</v>
      </c>
      <c r="W47" s="1855">
        <f t="shared" si="41"/>
        <v>2.1475508918123037E-2</v>
      </c>
      <c r="X47" s="2213"/>
      <c r="Y47" s="2217">
        <f t="shared" si="29"/>
        <v>-16.194735151631029</v>
      </c>
      <c r="Z47" s="2217">
        <f t="shared" si="19"/>
        <v>8577.7021445071387</v>
      </c>
      <c r="AA47" s="2217">
        <f t="shared" si="20"/>
        <v>-3.7364390470465878</v>
      </c>
      <c r="AB47" s="2212">
        <v>288</v>
      </c>
      <c r="AC47" s="2219"/>
      <c r="AD47" s="2231">
        <v>21.1</v>
      </c>
      <c r="AE47" s="2230">
        <f t="shared" si="42"/>
        <v>2.0999999999999979</v>
      </c>
      <c r="AF47" s="2212">
        <v>113</v>
      </c>
      <c r="AG47" s="2212">
        <v>7406</v>
      </c>
      <c r="AH47" s="2212">
        <f t="shared" si="43"/>
        <v>334</v>
      </c>
      <c r="AI47" s="1855">
        <f t="shared" si="44"/>
        <v>2.1475508918123037E-2</v>
      </c>
      <c r="AJ47" s="2213"/>
      <c r="AK47" s="2217">
        <f t="shared" si="30"/>
        <v>-14.588066361400998</v>
      </c>
      <c r="AL47" s="2217">
        <f t="shared" si="11"/>
        <v>8577.7021445071387</v>
      </c>
      <c r="AM47" s="2217">
        <f t="shared" si="21"/>
        <v>-3.7364390470465878</v>
      </c>
      <c r="AN47" s="2212">
        <v>288</v>
      </c>
      <c r="AO47" s="2219"/>
      <c r="AP47" s="2231">
        <v>21.1</v>
      </c>
      <c r="AQ47" s="2230">
        <f t="shared" si="45"/>
        <v>2.0999999999999979</v>
      </c>
      <c r="AR47" s="2212">
        <v>113</v>
      </c>
      <c r="AS47" s="2212">
        <v>7406</v>
      </c>
      <c r="AT47" s="2212">
        <f t="shared" si="46"/>
        <v>334</v>
      </c>
      <c r="AU47" s="1855">
        <f t="shared" si="47"/>
        <v>2.1475508918123037E-2</v>
      </c>
      <c r="AV47" s="2208"/>
      <c r="AW47" s="2217">
        <f t="shared" si="31"/>
        <v>-60.767800221173133</v>
      </c>
      <c r="AX47" s="2217">
        <f t="shared" si="22"/>
        <v>3143.3792682976418</v>
      </c>
      <c r="AY47" s="2217">
        <f t="shared" si="12"/>
        <v>-46.667736057710499</v>
      </c>
      <c r="AZ47" s="2212">
        <v>288</v>
      </c>
      <c r="BA47" s="2208"/>
      <c r="BB47" s="2231">
        <v>22</v>
      </c>
      <c r="BC47" s="2230">
        <f t="shared" si="48"/>
        <v>2.3999999999999986</v>
      </c>
      <c r="BD47" s="2212">
        <v>69</v>
      </c>
      <c r="BE47" s="2212">
        <v>5082</v>
      </c>
      <c r="BF47" s="2212">
        <f t="shared" si="49"/>
        <v>186</v>
      </c>
      <c r="BG47" s="1855">
        <f t="shared" si="50"/>
        <v>1.5249901613537986E-2</v>
      </c>
      <c r="BH47" s="2208"/>
      <c r="BI47" s="2217">
        <f t="shared" si="32"/>
        <v>-75.234798399063394</v>
      </c>
      <c r="BJ47" s="2217">
        <f t="shared" si="23"/>
        <v>3143.3792682976418</v>
      </c>
      <c r="BK47" s="2217">
        <f t="shared" si="13"/>
        <v>-46.667736057710499</v>
      </c>
      <c r="BL47" s="2212">
        <v>288</v>
      </c>
      <c r="BM47" s="2208"/>
      <c r="BN47" s="2231">
        <v>22</v>
      </c>
      <c r="BO47" s="2230">
        <f t="shared" si="51"/>
        <v>2.3999999999999986</v>
      </c>
      <c r="BP47" s="2212">
        <v>69</v>
      </c>
      <c r="BQ47" s="2212">
        <v>5082</v>
      </c>
      <c r="BR47" s="2212">
        <f t="shared" si="52"/>
        <v>186</v>
      </c>
      <c r="BS47" s="1855">
        <f t="shared" si="53"/>
        <v>1.5249901613537986E-2</v>
      </c>
      <c r="BT47" s="2208"/>
      <c r="BU47" s="2217">
        <f t="shared" si="33"/>
        <v>-14.588066361400998</v>
      </c>
      <c r="BV47" s="2217">
        <f t="shared" si="14"/>
        <v>8577.7021445071387</v>
      </c>
      <c r="BW47" s="2217">
        <f t="shared" si="24"/>
        <v>-3.7364390470465878</v>
      </c>
      <c r="BX47" s="2212">
        <v>288</v>
      </c>
      <c r="BY47" s="2219"/>
      <c r="BZ47" s="2231">
        <v>21.1</v>
      </c>
      <c r="CA47" s="2230">
        <f t="shared" si="54"/>
        <v>2.0999999999999979</v>
      </c>
      <c r="CB47" s="2212">
        <v>113</v>
      </c>
      <c r="CC47" s="2212">
        <v>7406</v>
      </c>
      <c r="CD47" s="2212">
        <f t="shared" si="55"/>
        <v>334</v>
      </c>
      <c r="CE47" s="1855">
        <f t="shared" si="56"/>
        <v>2.1475508918123037E-2</v>
      </c>
      <c r="CF47" s="2208"/>
      <c r="CG47" s="2217">
        <f t="shared" si="34"/>
        <v>-15.036439047046589</v>
      </c>
      <c r="CH47" s="2217">
        <f t="shared" si="15"/>
        <v>8577.7021445071387</v>
      </c>
      <c r="CI47" s="2217">
        <f t="shared" si="25"/>
        <v>-3.7364390470465878</v>
      </c>
      <c r="CJ47" s="2212">
        <v>288</v>
      </c>
      <c r="CK47" s="2219"/>
      <c r="CL47" s="2231">
        <v>21.1</v>
      </c>
      <c r="CM47" s="2230">
        <f t="shared" si="57"/>
        <v>2.0999999999999979</v>
      </c>
      <c r="CN47" s="2212">
        <v>113</v>
      </c>
      <c r="CO47" s="2212">
        <v>7406</v>
      </c>
      <c r="CP47" s="2212">
        <f t="shared" si="58"/>
        <v>334</v>
      </c>
      <c r="CQ47" s="1855">
        <f t="shared" si="59"/>
        <v>2.1475508918123037E-2</v>
      </c>
      <c r="CR47" s="2208"/>
      <c r="CS47" s="2217">
        <f t="shared" si="35"/>
        <v>-74.301443677909177</v>
      </c>
      <c r="CT47" s="2217">
        <f t="shared" si="26"/>
        <v>3143.3792682976418</v>
      </c>
      <c r="CU47" s="2217">
        <f t="shared" si="16"/>
        <v>-46.667736057710499</v>
      </c>
      <c r="CV47" s="2212">
        <v>288</v>
      </c>
      <c r="CW47" s="2208"/>
      <c r="CX47" s="2231">
        <v>22</v>
      </c>
      <c r="CY47" s="2230">
        <f t="shared" si="60"/>
        <v>2.3999999999999986</v>
      </c>
      <c r="CZ47" s="2212">
        <v>69</v>
      </c>
      <c r="DA47" s="2212">
        <v>5082</v>
      </c>
      <c r="DB47" s="2212">
        <f t="shared" si="61"/>
        <v>186</v>
      </c>
      <c r="DC47" s="1855">
        <f t="shared" si="62"/>
        <v>1.5249901613537986E-2</v>
      </c>
      <c r="DD47" s="2208"/>
    </row>
    <row r="48" spans="1:108">
      <c r="A48" s="2217">
        <f t="shared" si="27"/>
        <v>-15.525295635614111</v>
      </c>
      <c r="B48" s="2217">
        <f t="shared" si="9"/>
        <v>8581.4385835541852</v>
      </c>
      <c r="C48" s="2217">
        <f t="shared" si="17"/>
        <v>-3.6741701179253141</v>
      </c>
      <c r="D48" s="2212">
        <v>287</v>
      </c>
      <c r="E48" s="2219"/>
      <c r="F48" s="2231">
        <v>23.2</v>
      </c>
      <c r="G48" s="2217" t="e">
        <f>#REF!-F48</f>
        <v>#REF!</v>
      </c>
      <c r="H48" s="2212">
        <v>96</v>
      </c>
      <c r="I48" s="2212">
        <v>7072</v>
      </c>
      <c r="J48" s="2212" t="e">
        <f>I48-#REF!</f>
        <v>#REF!</v>
      </c>
      <c r="K48" s="1848"/>
      <c r="L48" s="2213"/>
      <c r="M48" s="2217">
        <f t="shared" si="28"/>
        <v>-15.782487543868884</v>
      </c>
      <c r="N48" s="2217">
        <f t="shared" si="10"/>
        <v>8581.4385835541852</v>
      </c>
      <c r="O48" s="2217">
        <f t="shared" si="18"/>
        <v>-3.6741701179253141</v>
      </c>
      <c r="P48" s="2212">
        <v>287</v>
      </c>
      <c r="Q48" s="2219"/>
      <c r="R48" s="2231">
        <v>23.2</v>
      </c>
      <c r="S48" s="2217" t="e">
        <f>#REF!-R48</f>
        <v>#REF!</v>
      </c>
      <c r="T48" s="2212">
        <v>96</v>
      </c>
      <c r="U48" s="2212">
        <v>7072</v>
      </c>
      <c r="V48" s="2212" t="e">
        <f>U48-#REF!</f>
        <v>#REF!</v>
      </c>
      <c r="W48" s="1848"/>
      <c r="X48" s="2213"/>
      <c r="Y48" s="2217">
        <f t="shared" si="29"/>
        <v>-16.113162854482162</v>
      </c>
      <c r="Z48" s="2217">
        <f t="shared" si="19"/>
        <v>8581.4385835541852</v>
      </c>
      <c r="AA48" s="2217">
        <f t="shared" si="20"/>
        <v>-3.6741701179253141</v>
      </c>
      <c r="AB48" s="2212">
        <v>287</v>
      </c>
      <c r="AC48" s="2219"/>
      <c r="AD48" s="2231">
        <v>23.2</v>
      </c>
      <c r="AE48" s="2217" t="e">
        <f>#REF!-AD48</f>
        <v>#REF!</v>
      </c>
      <c r="AF48" s="2212">
        <v>96</v>
      </c>
      <c r="AG48" s="2212">
        <v>7072</v>
      </c>
      <c r="AH48" s="2212" t="e">
        <f>AG48-#REF!</f>
        <v>#REF!</v>
      </c>
      <c r="AI48" s="1848"/>
      <c r="AJ48" s="2213"/>
      <c r="AK48" s="2217">
        <f t="shared" si="30"/>
        <v>-14.533269703774277</v>
      </c>
      <c r="AL48" s="2217">
        <f t="shared" si="11"/>
        <v>8581.4385835541852</v>
      </c>
      <c r="AM48" s="2217">
        <f t="shared" si="21"/>
        <v>-3.6741701179253141</v>
      </c>
      <c r="AN48" s="2212">
        <v>287</v>
      </c>
      <c r="AO48" s="2219"/>
      <c r="AP48" s="2231">
        <v>23.2</v>
      </c>
      <c r="AQ48" s="2217" t="e">
        <f>#REF!-AP48</f>
        <v>#REF!</v>
      </c>
      <c r="AR48" s="2212">
        <v>96</v>
      </c>
      <c r="AS48" s="2212">
        <v>7072</v>
      </c>
      <c r="AT48" s="2212" t="e">
        <f>AS48-#REF!</f>
        <v>#REF!</v>
      </c>
      <c r="AU48" s="1848"/>
      <c r="AV48" s="2208"/>
      <c r="AW48" s="2217">
        <f t="shared" si="31"/>
        <v>-60.402962667129856</v>
      </c>
      <c r="AX48" s="2217">
        <f t="shared" si="22"/>
        <v>3190.0470043553523</v>
      </c>
      <c r="AY48" s="2217">
        <f t="shared" si="12"/>
        <v>-46.323549685971557</v>
      </c>
      <c r="AZ48" s="2212">
        <v>287</v>
      </c>
      <c r="BA48" s="2208"/>
      <c r="BB48" s="2231">
        <v>24.4</v>
      </c>
      <c r="BC48" s="2217" t="e">
        <f>#REF!-BB48</f>
        <v>#REF!</v>
      </c>
      <c r="BD48" s="2212">
        <v>61</v>
      </c>
      <c r="BE48" s="2212">
        <v>4896</v>
      </c>
      <c r="BF48" s="2212" t="e">
        <f>BE48-#REF!</f>
        <v>#REF!</v>
      </c>
      <c r="BG48" s="1848"/>
      <c r="BH48" s="2208"/>
      <c r="BI48" s="2217">
        <f t="shared" si="32"/>
        <v>-74.763263069781033</v>
      </c>
      <c r="BJ48" s="2217">
        <f t="shared" si="23"/>
        <v>3190.0470043553523</v>
      </c>
      <c r="BK48" s="2217">
        <f t="shared" si="13"/>
        <v>-46.323549685971557</v>
      </c>
      <c r="BL48" s="2212">
        <v>287</v>
      </c>
      <c r="BM48" s="2208"/>
      <c r="BN48" s="2231">
        <v>24.4</v>
      </c>
      <c r="BO48" s="2217" t="e">
        <f>#REF!-BN48</f>
        <v>#REF!</v>
      </c>
      <c r="BP48" s="2212">
        <v>61</v>
      </c>
      <c r="BQ48" s="2212">
        <v>4896</v>
      </c>
      <c r="BR48" s="2212" t="e">
        <f>BQ48-#REF!</f>
        <v>#REF!</v>
      </c>
      <c r="BS48" s="1848"/>
      <c r="BT48" s="2208"/>
      <c r="BU48" s="2217">
        <f t="shared" si="33"/>
        <v>-14.533269703774277</v>
      </c>
      <c r="BV48" s="2217">
        <f t="shared" si="14"/>
        <v>8581.4385835541852</v>
      </c>
      <c r="BW48" s="2217">
        <f t="shared" si="24"/>
        <v>-3.6741701179253141</v>
      </c>
      <c r="BX48" s="2212">
        <v>287</v>
      </c>
      <c r="BY48" s="2219"/>
      <c r="BZ48" s="2231">
        <v>23.2</v>
      </c>
      <c r="CA48" s="2217" t="e">
        <f>#REF!-BZ48</f>
        <v>#REF!</v>
      </c>
      <c r="CB48" s="2212">
        <v>96</v>
      </c>
      <c r="CC48" s="2212">
        <v>7072</v>
      </c>
      <c r="CD48" s="2212" t="e">
        <f>CC48-#REF!</f>
        <v>#REF!</v>
      </c>
      <c r="CE48" s="1848"/>
      <c r="CF48" s="2208"/>
      <c r="CG48" s="2217">
        <f t="shared" si="34"/>
        <v>-14.974170117925315</v>
      </c>
      <c r="CH48" s="2217">
        <f t="shared" si="15"/>
        <v>8581.4385835541852</v>
      </c>
      <c r="CI48" s="2217">
        <f t="shared" si="25"/>
        <v>-3.6741701179253141</v>
      </c>
      <c r="CJ48" s="2212">
        <v>287</v>
      </c>
      <c r="CK48" s="2219"/>
      <c r="CL48" s="2231">
        <v>23.2</v>
      </c>
      <c r="CM48" s="2217" t="e">
        <f>#REF!-CL48</f>
        <v>#REF!</v>
      </c>
      <c r="CN48" s="2212">
        <v>96</v>
      </c>
      <c r="CO48" s="2212">
        <v>7072</v>
      </c>
      <c r="CP48" s="2212" t="e">
        <f>CO48-#REF!</f>
        <v>#REF!</v>
      </c>
      <c r="CQ48" s="1848"/>
      <c r="CR48" s="2208"/>
      <c r="CS48" s="2217">
        <f t="shared" si="35"/>
        <v>-73.836792076061613</v>
      </c>
      <c r="CT48" s="2217">
        <f t="shared" si="26"/>
        <v>3190.0470043553523</v>
      </c>
      <c r="CU48" s="2217">
        <f t="shared" si="16"/>
        <v>-46.323549685971557</v>
      </c>
      <c r="CV48" s="2212">
        <v>287</v>
      </c>
      <c r="CW48" s="2208"/>
      <c r="CX48" s="2231">
        <v>24.4</v>
      </c>
      <c r="CY48" s="2217" t="e">
        <f>#REF!-CX48</f>
        <v>#REF!</v>
      </c>
      <c r="CZ48" s="2212">
        <v>61</v>
      </c>
      <c r="DA48" s="2212">
        <v>4896</v>
      </c>
      <c r="DB48" s="2212" t="e">
        <f>DA48-#REF!</f>
        <v>#REF!</v>
      </c>
      <c r="DC48" s="1848"/>
      <c r="DD48" s="2208"/>
    </row>
    <row r="49" spans="1:108">
      <c r="A49" s="2217">
        <f t="shared" si="27"/>
        <v>-15.452717459603264</v>
      </c>
      <c r="B49" s="2217">
        <f t="shared" si="9"/>
        <v>8585.1127536721106</v>
      </c>
      <c r="C49" s="2217">
        <f t="shared" si="17"/>
        <v>-3.6110586605245771</v>
      </c>
      <c r="D49" s="2212">
        <v>286</v>
      </c>
      <c r="E49" s="2219"/>
      <c r="F49" s="2232"/>
      <c r="G49" s="2219"/>
      <c r="H49" s="2213"/>
      <c r="I49" s="263"/>
      <c r="J49" s="263"/>
      <c r="K49" s="263"/>
      <c r="L49" s="2213"/>
      <c r="M49" s="2217">
        <f t="shared" si="28"/>
        <v>-15.705491565839985</v>
      </c>
      <c r="N49" s="2217">
        <f t="shared" si="10"/>
        <v>8585.1127536721106</v>
      </c>
      <c r="O49" s="2217">
        <f t="shared" si="18"/>
        <v>-3.6110586605245771</v>
      </c>
      <c r="P49" s="2212">
        <v>286</v>
      </c>
      <c r="Q49" s="2219"/>
      <c r="R49" s="2213"/>
      <c r="S49" s="2219"/>
      <c r="T49" s="2213"/>
      <c r="U49" s="2213"/>
      <c r="V49" s="2213"/>
      <c r="W49" s="2213"/>
      <c r="X49" s="2213"/>
      <c r="Y49" s="2217">
        <f t="shared" si="29"/>
        <v>-16.030486845287196</v>
      </c>
      <c r="Z49" s="2217">
        <f t="shared" si="19"/>
        <v>8585.1127536721106</v>
      </c>
      <c r="AA49" s="2217">
        <f t="shared" si="20"/>
        <v>-3.6110586605245771</v>
      </c>
      <c r="AB49" s="2212">
        <v>286</v>
      </c>
      <c r="AC49" s="2219"/>
      <c r="AD49" s="2213"/>
      <c r="AE49" s="2219"/>
      <c r="AF49" s="2213"/>
      <c r="AG49" s="2213"/>
      <c r="AH49" s="2213"/>
      <c r="AI49" s="2213"/>
      <c r="AJ49" s="2213"/>
      <c r="AK49" s="2217">
        <f t="shared" si="30"/>
        <v>-14.477731621261629</v>
      </c>
      <c r="AL49" s="2217">
        <f t="shared" si="11"/>
        <v>8585.1127536721106</v>
      </c>
      <c r="AM49" s="2217">
        <f t="shared" si="21"/>
        <v>-3.6110586605245771</v>
      </c>
      <c r="AN49" s="2212">
        <v>286</v>
      </c>
      <c r="AO49" s="2219"/>
      <c r="AP49" s="2213"/>
      <c r="AQ49" s="2219"/>
      <c r="AR49" s="2213"/>
      <c r="AS49" s="2213"/>
      <c r="AT49" s="2213"/>
      <c r="AU49" s="2213"/>
      <c r="AV49" s="2213"/>
      <c r="AW49" s="2217">
        <f t="shared" si="31"/>
        <v>-60.038290393051454</v>
      </c>
      <c r="AX49" s="2217">
        <f t="shared" si="22"/>
        <v>3236.3705540413239</v>
      </c>
      <c r="AY49" s="2217">
        <f t="shared" si="12"/>
        <v>-45.979519238727789</v>
      </c>
      <c r="AZ49" s="2212">
        <v>286</v>
      </c>
      <c r="BA49" s="2208"/>
      <c r="BB49" s="263"/>
      <c r="BC49" s="2208"/>
      <c r="BD49" s="263"/>
      <c r="BE49" s="263"/>
      <c r="BF49" s="263"/>
      <c r="BG49" s="263"/>
      <c r="BH49" s="2208"/>
      <c r="BI49" s="2217">
        <f t="shared" si="32"/>
        <v>-74.291941357057084</v>
      </c>
      <c r="BJ49" s="2217">
        <f t="shared" si="23"/>
        <v>3236.3705540413239</v>
      </c>
      <c r="BK49" s="2217">
        <f t="shared" si="13"/>
        <v>-45.979519238727789</v>
      </c>
      <c r="BL49" s="2212">
        <v>286</v>
      </c>
      <c r="BM49" s="2208"/>
      <c r="BN49" s="263"/>
      <c r="BO49" s="2208"/>
      <c r="BP49" s="263"/>
      <c r="BQ49" s="263"/>
      <c r="BR49" s="263"/>
      <c r="BS49" s="263"/>
      <c r="BT49" s="2208"/>
      <c r="BU49" s="2217">
        <f t="shared" si="33"/>
        <v>-14.477731621261629</v>
      </c>
      <c r="BV49" s="2217">
        <f t="shared" si="14"/>
        <v>8585.1127536721106</v>
      </c>
      <c r="BW49" s="2217">
        <f t="shared" si="24"/>
        <v>-3.6110586605245771</v>
      </c>
      <c r="BX49" s="2212">
        <v>286</v>
      </c>
      <c r="BY49" s="2219"/>
      <c r="BZ49" s="2213"/>
      <c r="CA49" s="2219"/>
      <c r="CB49" s="2213"/>
      <c r="CC49" s="2213"/>
      <c r="CD49" s="2213"/>
      <c r="CE49" s="2213"/>
      <c r="CF49" s="2208"/>
      <c r="CG49" s="2217">
        <f t="shared" si="34"/>
        <v>-14.911058660524578</v>
      </c>
      <c r="CH49" s="2217">
        <f t="shared" si="15"/>
        <v>8585.1127536721106</v>
      </c>
      <c r="CI49" s="2217">
        <f t="shared" si="25"/>
        <v>-3.6110586605245771</v>
      </c>
      <c r="CJ49" s="2212">
        <v>286</v>
      </c>
      <c r="CK49" s="2219"/>
      <c r="CL49" s="2213"/>
      <c r="CM49" s="2219"/>
      <c r="CN49" s="2213"/>
      <c r="CO49" s="2213"/>
      <c r="CP49" s="2213"/>
      <c r="CQ49" s="2213"/>
      <c r="CR49" s="2208"/>
      <c r="CS49" s="2217">
        <f t="shared" si="35"/>
        <v>-73.372350972282518</v>
      </c>
      <c r="CT49" s="2217">
        <f t="shared" si="26"/>
        <v>3236.3705540413239</v>
      </c>
      <c r="CU49" s="2217">
        <f t="shared" si="16"/>
        <v>-45.979519238727789</v>
      </c>
      <c r="CV49" s="2212">
        <v>286</v>
      </c>
      <c r="CW49" s="2208"/>
      <c r="CX49" s="263"/>
      <c r="CY49" s="2208"/>
      <c r="CZ49" s="263"/>
      <c r="DA49" s="263"/>
      <c r="DB49" s="263"/>
      <c r="DC49" s="263"/>
      <c r="DD49" s="2208"/>
    </row>
    <row r="50" spans="1:108">
      <c r="A50" s="2217">
        <f t="shared" si="27"/>
        <v>-15.379170376081493</v>
      </c>
      <c r="B50" s="2217">
        <f t="shared" si="9"/>
        <v>8588.7238123326351</v>
      </c>
      <c r="C50" s="2217">
        <f t="shared" si="17"/>
        <v>-3.5471046748534718</v>
      </c>
      <c r="D50" s="2212">
        <v>285</v>
      </c>
      <c r="E50" s="2219"/>
      <c r="F50" s="2213"/>
      <c r="G50" s="2219"/>
      <c r="H50" s="2213"/>
      <c r="I50" s="2213"/>
      <c r="J50" s="2213"/>
      <c r="K50" s="2213"/>
      <c r="L50" s="2213"/>
      <c r="M50" s="2217">
        <f t="shared" si="28"/>
        <v>-15.627467703321237</v>
      </c>
      <c r="N50" s="2217">
        <f t="shared" si="10"/>
        <v>8588.7238123326351</v>
      </c>
      <c r="O50" s="2217">
        <f t="shared" si="18"/>
        <v>-3.5471046748534718</v>
      </c>
      <c r="P50" s="2212">
        <v>285</v>
      </c>
      <c r="Q50" s="2219"/>
      <c r="R50" s="2213"/>
      <c r="S50" s="2219"/>
      <c r="T50" s="2213"/>
      <c r="U50" s="2213"/>
      <c r="V50" s="2213"/>
      <c r="W50" s="2213"/>
      <c r="X50" s="2213"/>
      <c r="Y50" s="2217">
        <f t="shared" si="29"/>
        <v>-15.946707124058049</v>
      </c>
      <c r="Z50" s="2217">
        <f t="shared" si="19"/>
        <v>8588.7238123326351</v>
      </c>
      <c r="AA50" s="2217">
        <f t="shared" si="20"/>
        <v>-3.5471046748534718</v>
      </c>
      <c r="AB50" s="2212">
        <v>285</v>
      </c>
      <c r="AC50" s="2219"/>
      <c r="AD50" s="2213"/>
      <c r="AE50" s="2219"/>
      <c r="AF50" s="2213"/>
      <c r="AG50" s="2213"/>
      <c r="AH50" s="2213"/>
      <c r="AI50" s="2213"/>
      <c r="AJ50" s="2213"/>
      <c r="AK50" s="2217">
        <f t="shared" si="30"/>
        <v>-14.421452113871055</v>
      </c>
      <c r="AL50" s="2217">
        <f t="shared" si="11"/>
        <v>8588.7238123326351</v>
      </c>
      <c r="AM50" s="2217">
        <f t="shared" si="21"/>
        <v>-3.5471046748534718</v>
      </c>
      <c r="AN50" s="2212">
        <v>285</v>
      </c>
      <c r="AO50" s="2219"/>
      <c r="AP50" s="2213"/>
      <c r="AQ50" s="2219"/>
      <c r="AR50" s="2213"/>
      <c r="AS50" s="2213"/>
      <c r="AT50" s="2213"/>
      <c r="AU50" s="2213"/>
      <c r="AV50" s="2213"/>
      <c r="AW50" s="2217">
        <f t="shared" si="31"/>
        <v>-59.673783398947108</v>
      </c>
      <c r="AX50" s="2217">
        <f t="shared" si="22"/>
        <v>3282.3500732800517</v>
      </c>
      <c r="AY50" s="2217">
        <f t="shared" si="12"/>
        <v>-45.635644715987837</v>
      </c>
      <c r="AZ50" s="2212">
        <v>285</v>
      </c>
      <c r="BA50" s="2208"/>
      <c r="BB50" s="263"/>
      <c r="BC50" s="2208"/>
      <c r="BD50" s="263"/>
      <c r="BE50" s="263"/>
      <c r="BF50" s="263"/>
      <c r="BG50" s="263"/>
      <c r="BH50" s="2208"/>
      <c r="BI50" s="2217">
        <f t="shared" si="32"/>
        <v>-73.820833260903342</v>
      </c>
      <c r="BJ50" s="2217">
        <f t="shared" si="23"/>
        <v>3282.3500732800517</v>
      </c>
      <c r="BK50" s="2217">
        <f t="shared" si="13"/>
        <v>-45.635644715987837</v>
      </c>
      <c r="BL50" s="2212">
        <v>285</v>
      </c>
      <c r="BM50" s="2208"/>
      <c r="BN50" s="263"/>
      <c r="BO50" s="2208"/>
      <c r="BP50" s="263"/>
      <c r="BQ50" s="263"/>
      <c r="BR50" s="263"/>
      <c r="BS50" s="263"/>
      <c r="BT50" s="2208"/>
      <c r="BU50" s="2217">
        <f t="shared" si="33"/>
        <v>-14.421452113871055</v>
      </c>
      <c r="BV50" s="2217">
        <f t="shared" si="14"/>
        <v>8588.7238123326351</v>
      </c>
      <c r="BW50" s="2217">
        <f t="shared" si="24"/>
        <v>-3.5471046748534718</v>
      </c>
      <c r="BX50" s="2212">
        <v>285</v>
      </c>
      <c r="BY50" s="2219"/>
      <c r="BZ50" s="2213"/>
      <c r="CA50" s="2219"/>
      <c r="CB50" s="2213"/>
      <c r="CC50" s="2213"/>
      <c r="CD50" s="2213"/>
      <c r="CE50" s="2213"/>
      <c r="CF50" s="2208"/>
      <c r="CG50" s="2217">
        <f t="shared" si="34"/>
        <v>-14.847104674853473</v>
      </c>
      <c r="CH50" s="2217">
        <f t="shared" si="15"/>
        <v>8588.7238123326351</v>
      </c>
      <c r="CI50" s="2217">
        <f t="shared" si="25"/>
        <v>-3.5471046748534718</v>
      </c>
      <c r="CJ50" s="2212">
        <v>285</v>
      </c>
      <c r="CK50" s="2219"/>
      <c r="CL50" s="2213"/>
      <c r="CM50" s="2219"/>
      <c r="CN50" s="2213"/>
      <c r="CO50" s="2213"/>
      <c r="CP50" s="2213"/>
      <c r="CQ50" s="2213"/>
      <c r="CR50" s="2208"/>
      <c r="CS50" s="2217">
        <f t="shared" si="35"/>
        <v>-72.908120366583589</v>
      </c>
      <c r="CT50" s="2217">
        <f t="shared" si="26"/>
        <v>3282.3500732800517</v>
      </c>
      <c r="CU50" s="2217">
        <f t="shared" si="16"/>
        <v>-45.635644715987837</v>
      </c>
      <c r="CV50" s="2212">
        <v>285</v>
      </c>
      <c r="CW50" s="2208"/>
      <c r="CX50" s="263"/>
      <c r="CY50" s="2208"/>
      <c r="CZ50" s="263"/>
      <c r="DA50" s="263"/>
      <c r="DB50" s="263"/>
      <c r="DC50" s="263"/>
      <c r="DD50" s="2208"/>
    </row>
    <row r="51" spans="1:108">
      <c r="A51" s="2217">
        <f t="shared" si="27"/>
        <v>-15.304654385057166</v>
      </c>
      <c r="B51" s="2217">
        <f t="shared" si="9"/>
        <v>8592.2709170074886</v>
      </c>
      <c r="C51" s="2217">
        <f t="shared" si="17"/>
        <v>-3.4823081609192741</v>
      </c>
      <c r="D51" s="2212">
        <v>284</v>
      </c>
      <c r="E51" s="2219"/>
      <c r="F51" s="2213"/>
      <c r="G51" s="2219"/>
      <c r="H51" s="2213"/>
      <c r="I51" s="2213"/>
      <c r="J51" s="2213"/>
      <c r="K51" s="2213"/>
      <c r="L51" s="2213"/>
      <c r="M51" s="2217">
        <f t="shared" si="28"/>
        <v>-15.548415956321515</v>
      </c>
      <c r="N51" s="2217">
        <f t="shared" si="10"/>
        <v>8592.2709170074886</v>
      </c>
      <c r="O51" s="2217">
        <f t="shared" si="18"/>
        <v>-3.4823081609192741</v>
      </c>
      <c r="P51" s="2212">
        <v>284</v>
      </c>
      <c r="Q51" s="2219"/>
      <c r="R51" s="2213"/>
      <c r="S51" s="2219"/>
      <c r="T51" s="2213"/>
      <c r="U51" s="2213"/>
      <c r="V51" s="2213"/>
      <c r="W51" s="2213"/>
      <c r="X51" s="2213"/>
      <c r="Y51" s="2217">
        <f t="shared" si="29"/>
        <v>-15.86182369080425</v>
      </c>
      <c r="Z51" s="2217">
        <f t="shared" si="19"/>
        <v>8592.2709170074886</v>
      </c>
      <c r="AA51" s="2217">
        <f t="shared" si="20"/>
        <v>-3.4823081609192741</v>
      </c>
      <c r="AB51" s="2212">
        <v>284</v>
      </c>
      <c r="AC51" s="2219"/>
      <c r="AD51" s="2213"/>
      <c r="AE51" s="2219"/>
      <c r="AF51" s="2213"/>
      <c r="AG51" s="2213"/>
      <c r="AH51" s="2213"/>
      <c r="AI51" s="2213"/>
      <c r="AJ51" s="2213"/>
      <c r="AK51" s="2217">
        <f t="shared" si="30"/>
        <v>-14.36443118160896</v>
      </c>
      <c r="AL51" s="2217">
        <f t="shared" si="11"/>
        <v>8592.2709170074886</v>
      </c>
      <c r="AM51" s="2217">
        <f t="shared" si="21"/>
        <v>-3.4823081609192741</v>
      </c>
      <c r="AN51" s="2212">
        <v>284</v>
      </c>
      <c r="AO51" s="2219"/>
      <c r="AP51" s="2213"/>
      <c r="AQ51" s="2219"/>
      <c r="AR51" s="2213"/>
      <c r="AS51" s="2213"/>
      <c r="AT51" s="2213"/>
      <c r="AU51" s="2213"/>
      <c r="AV51" s="2213"/>
      <c r="AW51" s="2217">
        <f t="shared" si="31"/>
        <v>-59.309441684811503</v>
      </c>
      <c r="AX51" s="2217">
        <f t="shared" si="22"/>
        <v>3327.9857179960395</v>
      </c>
      <c r="AY51" s="2217">
        <f t="shared" si="12"/>
        <v>-45.291926117746698</v>
      </c>
      <c r="AZ51" s="2212">
        <v>284</v>
      </c>
      <c r="BA51" s="2208"/>
      <c r="BB51" s="263"/>
      <c r="BC51" s="2208"/>
      <c r="BD51" s="263"/>
      <c r="BE51" s="263"/>
      <c r="BF51" s="263"/>
      <c r="BG51" s="263"/>
      <c r="BH51" s="2208"/>
      <c r="BI51" s="2217">
        <f t="shared" si="32"/>
        <v>-73.349938781312986</v>
      </c>
      <c r="BJ51" s="2217">
        <f t="shared" si="23"/>
        <v>3327.9857179960395</v>
      </c>
      <c r="BK51" s="2217">
        <f t="shared" si="13"/>
        <v>-45.291926117746698</v>
      </c>
      <c r="BL51" s="2212">
        <v>284</v>
      </c>
      <c r="BM51" s="2208"/>
      <c r="BN51" s="263"/>
      <c r="BO51" s="2208"/>
      <c r="BP51" s="263"/>
      <c r="BQ51" s="263"/>
      <c r="BR51" s="263"/>
      <c r="BS51" s="263"/>
      <c r="BT51" s="2208"/>
      <c r="BU51" s="2217">
        <f t="shared" si="33"/>
        <v>-14.36443118160896</v>
      </c>
      <c r="BV51" s="2217">
        <f t="shared" si="14"/>
        <v>8592.2709170074886</v>
      </c>
      <c r="BW51" s="2217">
        <f t="shared" si="24"/>
        <v>-3.4823081609192741</v>
      </c>
      <c r="BX51" s="2212">
        <v>284</v>
      </c>
      <c r="BY51" s="2219"/>
      <c r="BZ51" s="2213"/>
      <c r="CA51" s="2219"/>
      <c r="CB51" s="2213"/>
      <c r="CC51" s="2213"/>
      <c r="CD51" s="2213"/>
      <c r="CE51" s="2213"/>
      <c r="CF51" s="2208"/>
      <c r="CG51" s="2217">
        <f t="shared" si="34"/>
        <v>-14.782308160919275</v>
      </c>
      <c r="CH51" s="2217">
        <f t="shared" si="15"/>
        <v>8592.2709170074886</v>
      </c>
      <c r="CI51" s="2217">
        <f t="shared" si="25"/>
        <v>-3.4823081609192741</v>
      </c>
      <c r="CJ51" s="2212">
        <v>284</v>
      </c>
      <c r="CK51" s="2219"/>
      <c r="CL51" s="2213"/>
      <c r="CM51" s="2219"/>
      <c r="CN51" s="2213"/>
      <c r="CO51" s="2213"/>
      <c r="CP51" s="2213"/>
      <c r="CQ51" s="2213"/>
      <c r="CR51" s="2208"/>
      <c r="CS51" s="2217">
        <f t="shared" si="35"/>
        <v>-72.444100258958045</v>
      </c>
      <c r="CT51" s="2217">
        <f t="shared" si="26"/>
        <v>3327.9857179960395</v>
      </c>
      <c r="CU51" s="2217">
        <f t="shared" si="16"/>
        <v>-45.291926117746698</v>
      </c>
      <c r="CV51" s="2212">
        <v>284</v>
      </c>
      <c r="CW51" s="2208"/>
      <c r="CX51" s="263"/>
      <c r="CY51" s="2208"/>
      <c r="CZ51" s="263"/>
      <c r="DA51" s="263"/>
      <c r="DB51" s="263"/>
      <c r="DC51" s="263"/>
      <c r="DD51" s="2208"/>
    </row>
    <row r="52" spans="1:108">
      <c r="A52" s="2217">
        <f t="shared" si="27"/>
        <v>-15.229169486526098</v>
      </c>
      <c r="B52" s="2217">
        <f t="shared" si="9"/>
        <v>8595.7532251684079</v>
      </c>
      <c r="C52" s="2217">
        <f t="shared" si="17"/>
        <v>-3.416669118718346</v>
      </c>
      <c r="D52" s="2212">
        <v>283</v>
      </c>
      <c r="E52" s="2219"/>
      <c r="F52" s="2213"/>
      <c r="G52" s="2219"/>
      <c r="H52" s="2213"/>
      <c r="I52" s="2213"/>
      <c r="J52" s="2213"/>
      <c r="K52" s="2213"/>
      <c r="L52" s="2213"/>
      <c r="M52" s="2217">
        <f t="shared" si="28"/>
        <v>-15.468336324836383</v>
      </c>
      <c r="N52" s="2217">
        <f t="shared" si="10"/>
        <v>8595.7532251684079</v>
      </c>
      <c r="O52" s="2217">
        <f t="shared" si="18"/>
        <v>-3.416669118718346</v>
      </c>
      <c r="P52" s="2212">
        <v>283</v>
      </c>
      <c r="Q52" s="2219"/>
      <c r="R52" s="2213"/>
      <c r="S52" s="2219"/>
      <c r="T52" s="2213"/>
      <c r="U52" s="2213"/>
      <c r="V52" s="2213"/>
      <c r="W52" s="2213"/>
      <c r="X52" s="2213"/>
      <c r="Y52" s="2217">
        <f t="shared" si="29"/>
        <v>-15.775836545521035</v>
      </c>
      <c r="Z52" s="2217">
        <f t="shared" si="19"/>
        <v>8595.7532251684079</v>
      </c>
      <c r="AA52" s="2217">
        <f t="shared" si="20"/>
        <v>-3.416669118718346</v>
      </c>
      <c r="AB52" s="2212">
        <v>283</v>
      </c>
      <c r="AC52" s="2219"/>
      <c r="AD52" s="2213"/>
      <c r="AE52" s="2219"/>
      <c r="AF52" s="2213"/>
      <c r="AG52" s="2213"/>
      <c r="AH52" s="2213"/>
      <c r="AI52" s="2213"/>
      <c r="AJ52" s="2213"/>
      <c r="AK52" s="2217">
        <f t="shared" si="30"/>
        <v>-14.306668824472144</v>
      </c>
      <c r="AL52" s="2217">
        <f t="shared" si="11"/>
        <v>8595.7532251684079</v>
      </c>
      <c r="AM52" s="2217">
        <f t="shared" si="21"/>
        <v>-3.416669118718346</v>
      </c>
      <c r="AN52" s="2212">
        <v>283</v>
      </c>
      <c r="AO52" s="2219"/>
      <c r="AP52" s="2213"/>
      <c r="AQ52" s="2219"/>
      <c r="AR52" s="2213"/>
      <c r="AS52" s="2213"/>
      <c r="AT52" s="2213"/>
      <c r="AU52" s="2213"/>
      <c r="AV52" s="2213"/>
      <c r="AW52" s="2217">
        <f t="shared" si="31"/>
        <v>-58.945265250646571</v>
      </c>
      <c r="AX52" s="2217">
        <f t="shared" si="22"/>
        <v>3373.2776441137862</v>
      </c>
      <c r="AY52" s="2217">
        <f t="shared" si="12"/>
        <v>-44.948363444006191</v>
      </c>
      <c r="AZ52" s="2212">
        <v>283</v>
      </c>
      <c r="BA52" s="2208"/>
      <c r="BB52" s="263"/>
      <c r="BC52" s="2208"/>
      <c r="BD52" s="263"/>
      <c r="BE52" s="263"/>
      <c r="BF52" s="263"/>
      <c r="BG52" s="263"/>
      <c r="BH52" s="2208"/>
      <c r="BI52" s="2217">
        <f t="shared" si="32"/>
        <v>-72.879257918288488</v>
      </c>
      <c r="BJ52" s="2217">
        <f t="shared" si="23"/>
        <v>3373.2776441137862</v>
      </c>
      <c r="BK52" s="2217">
        <f t="shared" si="13"/>
        <v>-44.948363444006191</v>
      </c>
      <c r="BL52" s="2212">
        <v>283</v>
      </c>
      <c r="BM52" s="2208"/>
      <c r="BN52" s="263"/>
      <c r="BO52" s="2208"/>
      <c r="BP52" s="263"/>
      <c r="BQ52" s="263"/>
      <c r="BR52" s="263"/>
      <c r="BS52" s="263"/>
      <c r="BT52" s="2208"/>
      <c r="BU52" s="2217">
        <f t="shared" si="33"/>
        <v>-14.306668824472144</v>
      </c>
      <c r="BV52" s="2217">
        <f t="shared" si="14"/>
        <v>8595.7532251684079</v>
      </c>
      <c r="BW52" s="2217">
        <f t="shared" si="24"/>
        <v>-3.416669118718346</v>
      </c>
      <c r="BX52" s="2212">
        <v>283</v>
      </c>
      <c r="BY52" s="2219"/>
      <c r="BZ52" s="2213"/>
      <c r="CA52" s="2219"/>
      <c r="CB52" s="2213"/>
      <c r="CC52" s="2213"/>
      <c r="CD52" s="2213"/>
      <c r="CE52" s="2213"/>
      <c r="CF52" s="2208"/>
      <c r="CG52" s="2217">
        <f t="shared" si="34"/>
        <v>-14.716669118718347</v>
      </c>
      <c r="CH52" s="2217">
        <f t="shared" si="15"/>
        <v>8595.7532251684079</v>
      </c>
      <c r="CI52" s="2217">
        <f t="shared" si="25"/>
        <v>-3.416669118718346</v>
      </c>
      <c r="CJ52" s="2212">
        <v>283</v>
      </c>
      <c r="CK52" s="2219"/>
      <c r="CL52" s="2213"/>
      <c r="CM52" s="2219"/>
      <c r="CN52" s="2213"/>
      <c r="CO52" s="2213"/>
      <c r="CP52" s="2213"/>
      <c r="CQ52" s="2213"/>
      <c r="CR52" s="2208"/>
      <c r="CS52" s="2217">
        <f t="shared" si="35"/>
        <v>-71.98029064940836</v>
      </c>
      <c r="CT52" s="2217">
        <f t="shared" si="26"/>
        <v>3373.2776441137862</v>
      </c>
      <c r="CU52" s="2217">
        <f t="shared" si="16"/>
        <v>-44.948363444006191</v>
      </c>
      <c r="CV52" s="2212">
        <v>283</v>
      </c>
      <c r="CW52" s="2208"/>
      <c r="CX52" s="263"/>
      <c r="CY52" s="2208"/>
      <c r="CZ52" s="263"/>
      <c r="DA52" s="263"/>
      <c r="DB52" s="263"/>
      <c r="DC52" s="263"/>
      <c r="DD52" s="2208"/>
    </row>
    <row r="53" spans="1:108">
      <c r="A53" s="2217">
        <f t="shared" si="27"/>
        <v>-15.152715680471557</v>
      </c>
      <c r="B53" s="2217">
        <f t="shared" si="9"/>
        <v>8599.1698942871262</v>
      </c>
      <c r="C53" s="2217">
        <f t="shared" si="17"/>
        <v>-3.3501875482361356</v>
      </c>
      <c r="D53" s="2212">
        <v>282</v>
      </c>
      <c r="E53" s="2219"/>
      <c r="F53" s="2213"/>
      <c r="G53" s="2219"/>
      <c r="H53" s="2213"/>
      <c r="I53" s="2213"/>
      <c r="J53" s="2213"/>
      <c r="K53" s="2213"/>
      <c r="L53" s="2213"/>
      <c r="M53" s="2217">
        <f t="shared" si="28"/>
        <v>-15.387228808848086</v>
      </c>
      <c r="N53" s="2217">
        <f t="shared" si="10"/>
        <v>8599.1698942871262</v>
      </c>
      <c r="O53" s="2217">
        <f t="shared" si="18"/>
        <v>-3.3501875482361356</v>
      </c>
      <c r="P53" s="2212">
        <v>282</v>
      </c>
      <c r="Q53" s="2219"/>
      <c r="R53" s="2213"/>
      <c r="S53" s="2219"/>
      <c r="T53" s="2213"/>
      <c r="U53" s="2213"/>
      <c r="V53" s="2213"/>
      <c r="W53" s="2213"/>
      <c r="X53" s="2213"/>
      <c r="Y53" s="2217">
        <f t="shared" si="29"/>
        <v>-15.688745688189339</v>
      </c>
      <c r="Z53" s="2217">
        <f t="shared" si="19"/>
        <v>8599.1698942871262</v>
      </c>
      <c r="AA53" s="2217">
        <f t="shared" si="20"/>
        <v>-3.3501875482361356</v>
      </c>
      <c r="AB53" s="2212">
        <v>282</v>
      </c>
      <c r="AC53" s="2219"/>
      <c r="AD53" s="2213"/>
      <c r="AE53" s="2219"/>
      <c r="AF53" s="2213"/>
      <c r="AG53" s="2213"/>
      <c r="AH53" s="2213"/>
      <c r="AI53" s="2213"/>
      <c r="AJ53" s="2213"/>
      <c r="AK53" s="2217">
        <f t="shared" si="30"/>
        <v>-14.2481650424478</v>
      </c>
      <c r="AL53" s="2217">
        <f t="shared" si="11"/>
        <v>8599.1698942871262</v>
      </c>
      <c r="AM53" s="2217">
        <f t="shared" si="21"/>
        <v>-3.3501875482361356</v>
      </c>
      <c r="AN53" s="2212">
        <v>282</v>
      </c>
      <c r="AO53" s="2219"/>
      <c r="AP53" s="2213"/>
      <c r="AQ53" s="2219"/>
      <c r="AR53" s="2213"/>
      <c r="AS53" s="2213"/>
      <c r="AT53" s="2213"/>
      <c r="AU53" s="2213"/>
      <c r="AV53" s="2213"/>
      <c r="AW53" s="2217">
        <f t="shared" si="31"/>
        <v>-58.581254096454231</v>
      </c>
      <c r="AX53" s="2217">
        <f t="shared" si="22"/>
        <v>3418.2260075577924</v>
      </c>
      <c r="AY53" s="2217">
        <f t="shared" si="12"/>
        <v>-44.604956694768134</v>
      </c>
      <c r="AZ53" s="2212">
        <v>282</v>
      </c>
      <c r="BA53" s="2208"/>
      <c r="BB53" s="263"/>
      <c r="BC53" s="2208"/>
      <c r="BD53" s="263"/>
      <c r="BE53" s="263"/>
      <c r="BF53" s="263"/>
      <c r="BG53" s="263"/>
      <c r="BH53" s="2208"/>
      <c r="BI53" s="2217">
        <f t="shared" si="32"/>
        <v>-72.40879067183235</v>
      </c>
      <c r="BJ53" s="2217">
        <f t="shared" si="23"/>
        <v>3418.2260075577924</v>
      </c>
      <c r="BK53" s="2217">
        <f t="shared" si="13"/>
        <v>-44.604956694768134</v>
      </c>
      <c r="BL53" s="2212">
        <v>282</v>
      </c>
      <c r="BM53" s="2208"/>
      <c r="BN53" s="263"/>
      <c r="BO53" s="2208"/>
      <c r="BP53" s="263"/>
      <c r="BQ53" s="263"/>
      <c r="BR53" s="263"/>
      <c r="BS53" s="263"/>
      <c r="BT53" s="2208"/>
      <c r="BU53" s="2217">
        <f t="shared" si="33"/>
        <v>-14.2481650424478</v>
      </c>
      <c r="BV53" s="2217">
        <f t="shared" si="14"/>
        <v>8599.1698942871262</v>
      </c>
      <c r="BW53" s="2217">
        <f t="shared" si="24"/>
        <v>-3.3501875482361356</v>
      </c>
      <c r="BX53" s="2212">
        <v>282</v>
      </c>
      <c r="BY53" s="2219"/>
      <c r="BZ53" s="2213"/>
      <c r="CA53" s="2219"/>
      <c r="CB53" s="2213"/>
      <c r="CC53" s="2213"/>
      <c r="CD53" s="2213"/>
      <c r="CE53" s="2213"/>
      <c r="CF53" s="2208"/>
      <c r="CG53" s="2217">
        <f t="shared" si="34"/>
        <v>-14.650187548236136</v>
      </c>
      <c r="CH53" s="2217">
        <f t="shared" si="15"/>
        <v>8599.1698942871262</v>
      </c>
      <c r="CI53" s="2217">
        <f t="shared" si="25"/>
        <v>-3.3501875482361356</v>
      </c>
      <c r="CJ53" s="2212">
        <v>282</v>
      </c>
      <c r="CK53" s="2219"/>
      <c r="CL53" s="2213"/>
      <c r="CM53" s="2219"/>
      <c r="CN53" s="2213"/>
      <c r="CO53" s="2213"/>
      <c r="CP53" s="2213"/>
      <c r="CQ53" s="2213"/>
      <c r="CR53" s="2208"/>
      <c r="CS53" s="2217">
        <f t="shared" si="35"/>
        <v>-71.516691537936993</v>
      </c>
      <c r="CT53" s="2217">
        <f t="shared" si="26"/>
        <v>3418.2260075577924</v>
      </c>
      <c r="CU53" s="2217">
        <f t="shared" si="16"/>
        <v>-44.604956694768134</v>
      </c>
      <c r="CV53" s="2212">
        <v>282</v>
      </c>
      <c r="CW53" s="2208"/>
      <c r="CX53" s="263"/>
      <c r="CY53" s="2208"/>
      <c r="CZ53" s="263"/>
      <c r="DA53" s="263"/>
      <c r="DB53" s="263"/>
      <c r="DC53" s="263"/>
      <c r="DD53" s="2208"/>
    </row>
    <row r="54" spans="1:108">
      <c r="A54" s="2217">
        <f t="shared" si="27"/>
        <v>-15.075292966910276</v>
      </c>
      <c r="B54" s="2217">
        <f t="shared" si="9"/>
        <v>8602.5200818353624</v>
      </c>
      <c r="C54" s="2217">
        <f t="shared" si="17"/>
        <v>-3.2828634494871949</v>
      </c>
      <c r="D54" s="2212">
        <v>281</v>
      </c>
      <c r="E54" s="2219"/>
      <c r="F54" s="2213"/>
      <c r="G54" s="2219"/>
      <c r="H54" s="2213"/>
      <c r="I54" s="2213"/>
      <c r="J54" s="2213"/>
      <c r="K54" s="2213"/>
      <c r="L54" s="2213"/>
      <c r="M54" s="2217">
        <f t="shared" si="28"/>
        <v>-15.305093408374379</v>
      </c>
      <c r="N54" s="2217">
        <f t="shared" si="10"/>
        <v>8602.5200818353624</v>
      </c>
      <c r="O54" s="2217">
        <f t="shared" si="18"/>
        <v>-3.2828634494871949</v>
      </c>
      <c r="P54" s="2212">
        <v>281</v>
      </c>
      <c r="Q54" s="2219"/>
      <c r="R54" s="2213"/>
      <c r="S54" s="2219"/>
      <c r="T54" s="2213"/>
      <c r="U54" s="2213"/>
      <c r="V54" s="2213"/>
      <c r="W54" s="2213"/>
      <c r="X54" s="2213"/>
      <c r="Y54" s="2217">
        <f t="shared" si="29"/>
        <v>-15.600551118828225</v>
      </c>
      <c r="Z54" s="2217">
        <f t="shared" si="19"/>
        <v>8602.5200818353624</v>
      </c>
      <c r="AA54" s="2217">
        <f t="shared" si="20"/>
        <v>-3.2828634494871949</v>
      </c>
      <c r="AB54" s="2212">
        <v>281</v>
      </c>
      <c r="AC54" s="2219"/>
      <c r="AD54" s="2213"/>
      <c r="AE54" s="2219"/>
      <c r="AF54" s="2213"/>
      <c r="AG54" s="2213"/>
      <c r="AH54" s="2213"/>
      <c r="AI54" s="2213"/>
      <c r="AJ54" s="2213"/>
      <c r="AK54" s="2217">
        <f t="shared" si="30"/>
        <v>-14.188919835548731</v>
      </c>
      <c r="AL54" s="2217">
        <f t="shared" si="11"/>
        <v>8602.5200818353624</v>
      </c>
      <c r="AM54" s="2217">
        <f t="shared" si="21"/>
        <v>-3.2828634494871949</v>
      </c>
      <c r="AN54" s="2212">
        <v>281</v>
      </c>
      <c r="AO54" s="2219"/>
      <c r="AP54" s="2213"/>
      <c r="AQ54" s="2219"/>
      <c r="AR54" s="2213"/>
      <c r="AS54" s="2213"/>
      <c r="AT54" s="2213"/>
      <c r="AU54" s="2213"/>
      <c r="AV54" s="2213"/>
      <c r="AW54" s="2217">
        <f t="shared" si="31"/>
        <v>-58.217408222228215</v>
      </c>
      <c r="AX54" s="2217">
        <f t="shared" si="22"/>
        <v>3462.8309642525605</v>
      </c>
      <c r="AY54" s="2217">
        <f t="shared" si="12"/>
        <v>-44.261705870026617</v>
      </c>
      <c r="AZ54" s="2212">
        <v>281</v>
      </c>
      <c r="BA54" s="2208"/>
      <c r="BB54" s="263"/>
      <c r="BC54" s="2208"/>
      <c r="BD54" s="263"/>
      <c r="BE54" s="263"/>
      <c r="BF54" s="263"/>
      <c r="BG54" s="263"/>
      <c r="BH54" s="2208"/>
      <c r="BI54" s="2217">
        <f t="shared" si="32"/>
        <v>-71.93853704193647</v>
      </c>
      <c r="BJ54" s="2217">
        <f t="shared" si="23"/>
        <v>3462.8309642525605</v>
      </c>
      <c r="BK54" s="2217">
        <f t="shared" si="13"/>
        <v>-44.261705870026617</v>
      </c>
      <c r="BL54" s="2212">
        <v>281</v>
      </c>
      <c r="BM54" s="2208"/>
      <c r="BN54" s="263"/>
      <c r="BO54" s="2208"/>
      <c r="BP54" s="263"/>
      <c r="BQ54" s="263"/>
      <c r="BR54" s="263"/>
      <c r="BS54" s="263"/>
      <c r="BT54" s="2208"/>
      <c r="BU54" s="2217">
        <f t="shared" si="33"/>
        <v>-14.188919835548731</v>
      </c>
      <c r="BV54" s="2217">
        <f t="shared" si="14"/>
        <v>8602.5200818353624</v>
      </c>
      <c r="BW54" s="2217">
        <f t="shared" si="24"/>
        <v>-3.2828634494871949</v>
      </c>
      <c r="BX54" s="2212">
        <v>281</v>
      </c>
      <c r="BY54" s="2219"/>
      <c r="BZ54" s="2213"/>
      <c r="CA54" s="2219"/>
      <c r="CB54" s="2213"/>
      <c r="CC54" s="2213"/>
      <c r="CD54" s="2213"/>
      <c r="CE54" s="2213"/>
      <c r="CF54" s="2208"/>
      <c r="CG54" s="2217">
        <f t="shared" si="34"/>
        <v>-14.582863449487196</v>
      </c>
      <c r="CH54" s="2217">
        <f t="shared" si="15"/>
        <v>8602.5200818353624</v>
      </c>
      <c r="CI54" s="2217">
        <f t="shared" si="25"/>
        <v>-3.2828634494871949</v>
      </c>
      <c r="CJ54" s="2212">
        <v>281</v>
      </c>
      <c r="CK54" s="2219"/>
      <c r="CL54" s="2213"/>
      <c r="CM54" s="2219"/>
      <c r="CN54" s="2213"/>
      <c r="CO54" s="2213"/>
      <c r="CP54" s="2213"/>
      <c r="CQ54" s="2213"/>
      <c r="CR54" s="2208"/>
      <c r="CS54" s="2217">
        <f t="shared" si="35"/>
        <v>-71.053302924535942</v>
      </c>
      <c r="CT54" s="2217">
        <f t="shared" si="26"/>
        <v>3462.8309642525605</v>
      </c>
      <c r="CU54" s="2217">
        <f t="shared" si="16"/>
        <v>-44.261705870026617</v>
      </c>
      <c r="CV54" s="2212">
        <v>281</v>
      </c>
      <c r="CW54" s="2208"/>
      <c r="CX54" s="263"/>
      <c r="CY54" s="2208"/>
      <c r="CZ54" s="263"/>
      <c r="DA54" s="263"/>
      <c r="DB54" s="263"/>
      <c r="DC54" s="263"/>
      <c r="DD54" s="2208"/>
    </row>
    <row r="55" spans="1:108">
      <c r="A55" s="2217">
        <f t="shared" si="27"/>
        <v>-14.996901345852713</v>
      </c>
      <c r="B55" s="2217">
        <f t="shared" si="9"/>
        <v>8605.8029452848496</v>
      </c>
      <c r="C55" s="2217">
        <f t="shared" si="17"/>
        <v>-3.2146968224806187</v>
      </c>
      <c r="D55" s="2212">
        <v>280</v>
      </c>
      <c r="E55" s="2219"/>
      <c r="F55" s="2213"/>
      <c r="G55" s="2219"/>
      <c r="H55" s="2213"/>
      <c r="I55" s="2213"/>
      <c r="J55" s="2213"/>
      <c r="K55" s="2213"/>
      <c r="L55" s="2213"/>
      <c r="M55" s="2217">
        <f t="shared" si="28"/>
        <v>-15.221930123426356</v>
      </c>
      <c r="N55" s="2217">
        <f t="shared" si="10"/>
        <v>8605.8029452848496</v>
      </c>
      <c r="O55" s="2217">
        <f t="shared" si="18"/>
        <v>-3.2146968224806187</v>
      </c>
      <c r="P55" s="2212">
        <v>280</v>
      </c>
      <c r="Q55" s="2219"/>
      <c r="R55" s="2213"/>
      <c r="S55" s="2219"/>
      <c r="T55" s="2213"/>
      <c r="U55" s="2213"/>
      <c r="V55" s="2213"/>
      <c r="W55" s="2213"/>
      <c r="X55" s="2213"/>
      <c r="Y55" s="2217">
        <f t="shared" si="29"/>
        <v>-15.511252837449611</v>
      </c>
      <c r="Z55" s="2217">
        <f t="shared" si="19"/>
        <v>8605.8029452848496</v>
      </c>
      <c r="AA55" s="2217">
        <f t="shared" si="20"/>
        <v>-3.2146968224806187</v>
      </c>
      <c r="AB55" s="2212">
        <v>280</v>
      </c>
      <c r="AC55" s="2219"/>
      <c r="AD55" s="2213"/>
      <c r="AE55" s="2219"/>
      <c r="AF55" s="2213"/>
      <c r="AG55" s="2213"/>
      <c r="AH55" s="2213"/>
      <c r="AI55" s="2213"/>
      <c r="AJ55" s="2213"/>
      <c r="AK55" s="2217">
        <f t="shared" si="30"/>
        <v>-14.128933203782944</v>
      </c>
      <c r="AL55" s="2217">
        <f t="shared" si="11"/>
        <v>8605.8029452848496</v>
      </c>
      <c r="AM55" s="2217">
        <f t="shared" si="21"/>
        <v>-3.2146968224806187</v>
      </c>
      <c r="AN55" s="2212">
        <v>280</v>
      </c>
      <c r="AO55" s="2219"/>
      <c r="AP55" s="2213"/>
      <c r="AQ55" s="2219"/>
      <c r="AR55" s="2213"/>
      <c r="AS55" s="2213"/>
      <c r="AT55" s="2213"/>
      <c r="AU55" s="2213"/>
      <c r="AV55" s="2213"/>
      <c r="AW55" s="2217">
        <f t="shared" si="31"/>
        <v>-57.853727627976738</v>
      </c>
      <c r="AX55" s="2217">
        <f t="shared" si="22"/>
        <v>3507.0926701225872</v>
      </c>
      <c r="AY55" s="2217">
        <f t="shared" si="12"/>
        <v>-43.91861096978937</v>
      </c>
      <c r="AZ55" s="2212">
        <v>280</v>
      </c>
      <c r="BA55" s="2208"/>
      <c r="BB55" s="263"/>
      <c r="BC55" s="2208"/>
      <c r="BD55" s="263"/>
      <c r="BE55" s="263"/>
      <c r="BF55" s="263"/>
      <c r="BG55" s="263"/>
      <c r="BH55" s="2208"/>
      <c r="BI55" s="2217">
        <f t="shared" si="32"/>
        <v>-71.468497028611438</v>
      </c>
      <c r="BJ55" s="2217">
        <f t="shared" si="23"/>
        <v>3507.0926701225872</v>
      </c>
      <c r="BK55" s="2217">
        <f t="shared" si="13"/>
        <v>-43.91861096978937</v>
      </c>
      <c r="BL55" s="2212">
        <v>280</v>
      </c>
      <c r="BM55" s="2208"/>
      <c r="BN55" s="263"/>
      <c r="BO55" s="2208"/>
      <c r="BP55" s="263"/>
      <c r="BQ55" s="263"/>
      <c r="BR55" s="263"/>
      <c r="BS55" s="263"/>
      <c r="BT55" s="2208"/>
      <c r="BU55" s="2217">
        <f t="shared" si="33"/>
        <v>-14.128933203782944</v>
      </c>
      <c r="BV55" s="2217">
        <f t="shared" si="14"/>
        <v>8605.8029452848496</v>
      </c>
      <c r="BW55" s="2217">
        <f t="shared" si="24"/>
        <v>-3.2146968224806187</v>
      </c>
      <c r="BX55" s="2212">
        <v>280</v>
      </c>
      <c r="BY55" s="2219"/>
      <c r="BZ55" s="2213"/>
      <c r="CA55" s="2219"/>
      <c r="CB55" s="2213"/>
      <c r="CC55" s="2213"/>
      <c r="CD55" s="2213"/>
      <c r="CE55" s="2213"/>
      <c r="CF55" s="2208"/>
      <c r="CG55" s="2217">
        <f t="shared" si="34"/>
        <v>-14.514696822480619</v>
      </c>
      <c r="CH55" s="2217">
        <f t="shared" si="15"/>
        <v>8605.8029452848496</v>
      </c>
      <c r="CI55" s="2217">
        <f t="shared" si="25"/>
        <v>-3.2146968224806187</v>
      </c>
      <c r="CJ55" s="2212">
        <v>280</v>
      </c>
      <c r="CK55" s="2219"/>
      <c r="CL55" s="2213"/>
      <c r="CM55" s="2219"/>
      <c r="CN55" s="2213"/>
      <c r="CO55" s="2213"/>
      <c r="CP55" s="2213"/>
      <c r="CQ55" s="2213"/>
      <c r="CR55" s="2208"/>
      <c r="CS55" s="2217">
        <f t="shared" si="35"/>
        <v>-70.590124809215652</v>
      </c>
      <c r="CT55" s="2217">
        <f t="shared" si="26"/>
        <v>3507.0926701225872</v>
      </c>
      <c r="CU55" s="2217">
        <f t="shared" si="16"/>
        <v>-43.91861096978937</v>
      </c>
      <c r="CV55" s="2212">
        <v>280</v>
      </c>
      <c r="CW55" s="2208"/>
      <c r="CX55" s="263"/>
      <c r="CY55" s="2208"/>
      <c r="CZ55" s="263"/>
      <c r="DA55" s="263"/>
      <c r="DB55" s="263"/>
      <c r="DC55" s="263"/>
      <c r="DD55" s="2208"/>
    </row>
    <row r="56" spans="1:108">
      <c r="A56" s="2217">
        <f t="shared" si="27"/>
        <v>-14.917540817269582</v>
      </c>
      <c r="B56" s="2217">
        <f t="shared" si="9"/>
        <v>8609.0176421073302</v>
      </c>
      <c r="C56" s="2217">
        <f t="shared" si="17"/>
        <v>-3.1456876671909413</v>
      </c>
      <c r="D56" s="2212">
        <v>279</v>
      </c>
      <c r="E56" s="2219"/>
      <c r="F56" s="2213"/>
      <c r="G56" s="2219"/>
      <c r="H56" s="2213"/>
      <c r="I56" s="2213"/>
      <c r="J56" s="2213"/>
      <c r="K56" s="2213"/>
      <c r="L56" s="2213"/>
      <c r="M56" s="2217">
        <f t="shared" si="28"/>
        <v>-15.137738953972949</v>
      </c>
      <c r="N56" s="2217">
        <f t="shared" si="10"/>
        <v>8609.0176421073302</v>
      </c>
      <c r="O56" s="2217">
        <f t="shared" si="18"/>
        <v>-3.1456876671909413</v>
      </c>
      <c r="P56" s="2212">
        <v>279</v>
      </c>
      <c r="Q56" s="2219"/>
      <c r="R56" s="2213"/>
      <c r="S56" s="2219"/>
      <c r="T56" s="2213"/>
      <c r="U56" s="2213"/>
      <c r="V56" s="2213"/>
      <c r="W56" s="2213"/>
      <c r="X56" s="2213"/>
      <c r="Y56" s="2217">
        <f t="shared" si="29"/>
        <v>-15.420850844020134</v>
      </c>
      <c r="Z56" s="2217">
        <f t="shared" si="19"/>
        <v>8609.0176421073302</v>
      </c>
      <c r="AA56" s="2217">
        <f t="shared" si="20"/>
        <v>-3.1456876671909413</v>
      </c>
      <c r="AB56" s="2212">
        <v>279</v>
      </c>
      <c r="AC56" s="2219"/>
      <c r="AD56" s="2213"/>
      <c r="AE56" s="2219"/>
      <c r="AF56" s="2213"/>
      <c r="AG56" s="2213"/>
      <c r="AH56" s="2213"/>
      <c r="AI56" s="2213"/>
      <c r="AJ56" s="2213"/>
      <c r="AK56" s="2217">
        <f t="shared" si="30"/>
        <v>-14.06820514712803</v>
      </c>
      <c r="AL56" s="2217">
        <f t="shared" si="11"/>
        <v>8609.0176421073302</v>
      </c>
      <c r="AM56" s="2217">
        <f t="shared" si="21"/>
        <v>-3.1456876671909413</v>
      </c>
      <c r="AN56" s="2212">
        <v>279</v>
      </c>
      <c r="AO56" s="2219"/>
      <c r="AP56" s="2213"/>
      <c r="AQ56" s="2219"/>
      <c r="AR56" s="2213"/>
      <c r="AS56" s="2213"/>
      <c r="AT56" s="2213"/>
      <c r="AU56" s="2213"/>
      <c r="AV56" s="2213"/>
      <c r="AW56" s="2217">
        <f t="shared" si="31"/>
        <v>-57.490212313693988</v>
      </c>
      <c r="AX56" s="2217">
        <f t="shared" si="22"/>
        <v>3551.0112810923765</v>
      </c>
      <c r="AY56" s="2217">
        <f t="shared" si="12"/>
        <v>-43.575671994050936</v>
      </c>
      <c r="AZ56" s="2212">
        <v>279</v>
      </c>
      <c r="BA56" s="2208"/>
      <c r="BB56" s="263"/>
      <c r="BC56" s="2208"/>
      <c r="BD56" s="263"/>
      <c r="BE56" s="263"/>
      <c r="BF56" s="263"/>
      <c r="BG56" s="263"/>
      <c r="BH56" s="2208"/>
      <c r="BI56" s="2217">
        <f t="shared" si="32"/>
        <v>-70.998670631849791</v>
      </c>
      <c r="BJ56" s="2217">
        <f t="shared" si="23"/>
        <v>3551.0112810923765</v>
      </c>
      <c r="BK56" s="2217">
        <f t="shared" si="13"/>
        <v>-43.575671994050936</v>
      </c>
      <c r="BL56" s="2212">
        <v>279</v>
      </c>
      <c r="BM56" s="2208"/>
      <c r="BN56" s="263"/>
      <c r="BO56" s="2208"/>
      <c r="BP56" s="263"/>
      <c r="BQ56" s="263"/>
      <c r="BR56" s="263"/>
      <c r="BS56" s="263"/>
      <c r="BT56" s="2208"/>
      <c r="BU56" s="2217">
        <f t="shared" si="33"/>
        <v>-14.06820514712803</v>
      </c>
      <c r="BV56" s="2217">
        <f t="shared" si="14"/>
        <v>8609.0176421073302</v>
      </c>
      <c r="BW56" s="2217">
        <f t="shared" si="24"/>
        <v>-3.1456876671909413</v>
      </c>
      <c r="BX56" s="2212">
        <v>279</v>
      </c>
      <c r="BY56" s="2219"/>
      <c r="BZ56" s="2213"/>
      <c r="CA56" s="2219"/>
      <c r="CB56" s="2213"/>
      <c r="CC56" s="2213"/>
      <c r="CD56" s="2213"/>
      <c r="CE56" s="2213"/>
      <c r="CF56" s="2208"/>
      <c r="CG56" s="2217">
        <f t="shared" si="34"/>
        <v>-14.445687667190942</v>
      </c>
      <c r="CH56" s="2217">
        <f t="shared" si="15"/>
        <v>8609.0176421073302</v>
      </c>
      <c r="CI56" s="2217">
        <f t="shared" si="25"/>
        <v>-3.1456876671909413</v>
      </c>
      <c r="CJ56" s="2212">
        <v>279</v>
      </c>
      <c r="CK56" s="2219"/>
      <c r="CL56" s="2213"/>
      <c r="CM56" s="2219"/>
      <c r="CN56" s="2213"/>
      <c r="CO56" s="2213"/>
      <c r="CP56" s="2213"/>
      <c r="CQ56" s="2213"/>
      <c r="CR56" s="2208"/>
      <c r="CS56" s="2217">
        <f t="shared" si="35"/>
        <v>-70.127157191968763</v>
      </c>
      <c r="CT56" s="2217">
        <f t="shared" si="26"/>
        <v>3551.0112810923765</v>
      </c>
      <c r="CU56" s="2217">
        <f t="shared" si="16"/>
        <v>-43.575671994050936</v>
      </c>
      <c r="CV56" s="2212">
        <v>279</v>
      </c>
      <c r="CW56" s="2208"/>
      <c r="CX56" s="263"/>
      <c r="CY56" s="2208"/>
      <c r="CZ56" s="263"/>
      <c r="DA56" s="263"/>
      <c r="DB56" s="263"/>
      <c r="DC56" s="263"/>
      <c r="DD56" s="2208"/>
    </row>
    <row r="57" spans="1:108">
      <c r="A57" s="2217">
        <f t="shared" si="27"/>
        <v>-14.837211381177623</v>
      </c>
      <c r="B57" s="2217">
        <f t="shared" si="9"/>
        <v>8612.1633297745211</v>
      </c>
      <c r="C57" s="2217">
        <f t="shared" si="17"/>
        <v>-3.0758359836327145</v>
      </c>
      <c r="D57" s="2212">
        <v>278</v>
      </c>
      <c r="E57" s="2219"/>
      <c r="F57" s="2213"/>
      <c r="G57" s="2219"/>
      <c r="H57" s="2213"/>
      <c r="I57" s="2213"/>
      <c r="J57" s="2213"/>
      <c r="K57" s="2213"/>
      <c r="L57" s="2213"/>
      <c r="M57" s="2217">
        <f t="shared" si="28"/>
        <v>-15.052519900031912</v>
      </c>
      <c r="N57" s="2217">
        <f t="shared" si="10"/>
        <v>8612.1633297745211</v>
      </c>
      <c r="O57" s="2217">
        <f t="shared" si="18"/>
        <v>-3.0758359836327145</v>
      </c>
      <c r="P57" s="2212">
        <v>278</v>
      </c>
      <c r="Q57" s="2219"/>
      <c r="R57" s="2213"/>
      <c r="S57" s="2219"/>
      <c r="T57" s="2213"/>
      <c r="U57" s="2213"/>
      <c r="V57" s="2213"/>
      <c r="W57" s="2213"/>
      <c r="X57" s="2213"/>
      <c r="Y57" s="2217">
        <f t="shared" si="29"/>
        <v>-15.329345138558857</v>
      </c>
      <c r="Z57" s="2217">
        <f t="shared" si="19"/>
        <v>8612.1633297745211</v>
      </c>
      <c r="AA57" s="2217">
        <f t="shared" si="20"/>
        <v>-3.0758359836327145</v>
      </c>
      <c r="AB57" s="2212">
        <v>278</v>
      </c>
      <c r="AC57" s="2219"/>
      <c r="AD57" s="2213"/>
      <c r="AE57" s="2219"/>
      <c r="AF57" s="2213"/>
      <c r="AG57" s="2213"/>
      <c r="AH57" s="2213"/>
      <c r="AI57" s="2213"/>
      <c r="AJ57" s="2213"/>
      <c r="AK57" s="2217">
        <f t="shared" si="30"/>
        <v>-14.006735665596789</v>
      </c>
      <c r="AL57" s="2217">
        <f t="shared" si="11"/>
        <v>8612.1633297745211</v>
      </c>
      <c r="AM57" s="2217">
        <f t="shared" si="21"/>
        <v>-3.0758359836327145</v>
      </c>
      <c r="AN57" s="2212">
        <v>278</v>
      </c>
      <c r="AO57" s="2219"/>
      <c r="AP57" s="2213"/>
      <c r="AQ57" s="2219"/>
      <c r="AR57" s="2213"/>
      <c r="AS57" s="2213"/>
      <c r="AT57" s="2213"/>
      <c r="AU57" s="2213"/>
      <c r="AV57" s="2213"/>
      <c r="AW57" s="2217">
        <f t="shared" si="31"/>
        <v>-57.126862279381442</v>
      </c>
      <c r="AX57" s="2217">
        <f t="shared" si="22"/>
        <v>3594.5869530864275</v>
      </c>
      <c r="AY57" s="2217">
        <f t="shared" si="12"/>
        <v>-43.232888942812679</v>
      </c>
      <c r="AZ57" s="2212">
        <v>278</v>
      </c>
      <c r="BA57" s="2208"/>
      <c r="BB57" s="263"/>
      <c r="BC57" s="2208"/>
      <c r="BD57" s="263"/>
      <c r="BE57" s="263"/>
      <c r="BF57" s="263"/>
      <c r="BG57" s="263"/>
      <c r="BH57" s="2208"/>
      <c r="BI57" s="2217">
        <f t="shared" si="32"/>
        <v>-70.529057851653377</v>
      </c>
      <c r="BJ57" s="2217">
        <f t="shared" si="23"/>
        <v>3594.5869530864275</v>
      </c>
      <c r="BK57" s="2217">
        <f t="shared" si="13"/>
        <v>-43.232888942812679</v>
      </c>
      <c r="BL57" s="2212">
        <v>278</v>
      </c>
      <c r="BM57" s="2208"/>
      <c r="BN57" s="263"/>
      <c r="BO57" s="2208"/>
      <c r="BP57" s="263"/>
      <c r="BQ57" s="263"/>
      <c r="BR57" s="263"/>
      <c r="BS57" s="263"/>
      <c r="BT57" s="2208"/>
      <c r="BU57" s="2217">
        <f t="shared" si="33"/>
        <v>-14.006735665596789</v>
      </c>
      <c r="BV57" s="2217">
        <f t="shared" si="14"/>
        <v>8612.1633297745211</v>
      </c>
      <c r="BW57" s="2217">
        <f t="shared" si="24"/>
        <v>-3.0758359836327145</v>
      </c>
      <c r="BX57" s="2212">
        <v>278</v>
      </c>
      <c r="BY57" s="2219"/>
      <c r="BZ57" s="2213"/>
      <c r="CA57" s="2219"/>
      <c r="CB57" s="2213"/>
      <c r="CC57" s="2213"/>
      <c r="CD57" s="2213"/>
      <c r="CE57" s="2213"/>
      <c r="CF57" s="2208"/>
      <c r="CG57" s="2217">
        <f t="shared" si="34"/>
        <v>-14.375835983632715</v>
      </c>
      <c r="CH57" s="2217">
        <f t="shared" si="15"/>
        <v>8612.1633297745211</v>
      </c>
      <c r="CI57" s="2217">
        <f t="shared" si="25"/>
        <v>-3.0758359836327145</v>
      </c>
      <c r="CJ57" s="2212">
        <v>278</v>
      </c>
      <c r="CK57" s="2219"/>
      <c r="CL57" s="2213"/>
      <c r="CM57" s="2219"/>
      <c r="CN57" s="2213"/>
      <c r="CO57" s="2213"/>
      <c r="CP57" s="2213"/>
      <c r="CQ57" s="2213"/>
      <c r="CR57" s="2208"/>
      <c r="CS57" s="2217">
        <f t="shared" si="35"/>
        <v>-69.664400072797122</v>
      </c>
      <c r="CT57" s="2217">
        <f t="shared" si="26"/>
        <v>3594.5869530864275</v>
      </c>
      <c r="CU57" s="2217">
        <f t="shared" si="16"/>
        <v>-43.232888942812679</v>
      </c>
      <c r="CV57" s="2212">
        <v>278</v>
      </c>
      <c r="CW57" s="2208"/>
      <c r="CX57" s="263"/>
      <c r="CY57" s="2208"/>
      <c r="CZ57" s="263"/>
      <c r="DA57" s="263"/>
      <c r="DB57" s="263"/>
      <c r="DC57" s="263"/>
      <c r="DD57" s="2208"/>
    </row>
    <row r="58" spans="1:108">
      <c r="A58" s="2217">
        <f t="shared" si="27"/>
        <v>-14.755913037587289</v>
      </c>
      <c r="B58" s="2217">
        <f t="shared" si="9"/>
        <v>8615.2391657581538</v>
      </c>
      <c r="C58" s="2217">
        <f t="shared" si="17"/>
        <v>-3.0051417718150333</v>
      </c>
      <c r="D58" s="2212">
        <v>277</v>
      </c>
      <c r="E58" s="2219"/>
      <c r="F58" s="2213"/>
      <c r="G58" s="2219"/>
      <c r="H58" s="2213"/>
      <c r="I58" s="2213"/>
      <c r="J58" s="2213"/>
      <c r="K58" s="2213"/>
      <c r="L58" s="2213"/>
      <c r="M58" s="2217">
        <f t="shared" si="28"/>
        <v>-14.96627296161434</v>
      </c>
      <c r="N58" s="2217">
        <f t="shared" si="10"/>
        <v>8615.2391657581538</v>
      </c>
      <c r="O58" s="2217">
        <f t="shared" si="18"/>
        <v>-3.0051417718150333</v>
      </c>
      <c r="P58" s="2212">
        <v>277</v>
      </c>
      <c r="Q58" s="2219"/>
      <c r="R58" s="2213"/>
      <c r="S58" s="2219"/>
      <c r="T58" s="2213"/>
      <c r="U58" s="2213"/>
      <c r="V58" s="2213"/>
      <c r="W58" s="2213"/>
      <c r="X58" s="2213"/>
      <c r="Y58" s="2217">
        <f t="shared" si="29"/>
        <v>-15.236735721077695</v>
      </c>
      <c r="Z58" s="2217">
        <f t="shared" si="19"/>
        <v>8615.2391657581538</v>
      </c>
      <c r="AA58" s="2217">
        <f t="shared" si="20"/>
        <v>-3.0051417718150333</v>
      </c>
      <c r="AB58" s="2212">
        <v>277</v>
      </c>
      <c r="AC58" s="2219"/>
      <c r="AD58" s="2213"/>
      <c r="AE58" s="2219"/>
      <c r="AF58" s="2213"/>
      <c r="AG58" s="2213"/>
      <c r="AH58" s="2213"/>
      <c r="AI58" s="2213"/>
      <c r="AJ58" s="2213"/>
      <c r="AK58" s="2217">
        <f t="shared" si="30"/>
        <v>-13.944524759197229</v>
      </c>
      <c r="AL58" s="2217">
        <f t="shared" si="11"/>
        <v>8615.2391657581538</v>
      </c>
      <c r="AM58" s="2217">
        <f t="shared" si="21"/>
        <v>-3.0051417718150333</v>
      </c>
      <c r="AN58" s="2212">
        <v>277</v>
      </c>
      <c r="AO58" s="2219"/>
      <c r="AP58" s="2213"/>
      <c r="AQ58" s="2219"/>
      <c r="AR58" s="2213"/>
      <c r="AS58" s="2213"/>
      <c r="AT58" s="2213"/>
      <c r="AU58" s="2213"/>
      <c r="AV58" s="2213"/>
      <c r="AW58" s="2217">
        <f t="shared" si="31"/>
        <v>-56.76367752504197</v>
      </c>
      <c r="AX58" s="2217">
        <f t="shared" si="22"/>
        <v>3637.8198420292401</v>
      </c>
      <c r="AY58" s="2217">
        <f t="shared" si="12"/>
        <v>-42.890261816077327</v>
      </c>
      <c r="AZ58" s="2212">
        <v>277</v>
      </c>
      <c r="BA58" s="2208"/>
      <c r="BB58" s="263"/>
      <c r="BC58" s="2208"/>
      <c r="BD58" s="263"/>
      <c r="BE58" s="263"/>
      <c r="BF58" s="263"/>
      <c r="BG58" s="263"/>
      <c r="BH58" s="2208"/>
      <c r="BI58" s="2217">
        <f t="shared" si="32"/>
        <v>-70.059658688025948</v>
      </c>
      <c r="BJ58" s="2217">
        <f t="shared" si="23"/>
        <v>3637.8198420292401</v>
      </c>
      <c r="BK58" s="2217">
        <f t="shared" si="13"/>
        <v>-42.890261816077327</v>
      </c>
      <c r="BL58" s="2212">
        <v>277</v>
      </c>
      <c r="BM58" s="2208"/>
      <c r="BN58" s="263"/>
      <c r="BO58" s="2208"/>
      <c r="BP58" s="263"/>
      <c r="BQ58" s="263"/>
      <c r="BR58" s="263"/>
      <c r="BS58" s="263"/>
      <c r="BT58" s="2208"/>
      <c r="BU58" s="2217">
        <f t="shared" si="33"/>
        <v>-13.944524759197229</v>
      </c>
      <c r="BV58" s="2217">
        <f t="shared" si="14"/>
        <v>8615.2391657581538</v>
      </c>
      <c r="BW58" s="2217">
        <f t="shared" si="24"/>
        <v>-3.0051417718150333</v>
      </c>
      <c r="BX58" s="2212">
        <v>277</v>
      </c>
      <c r="BY58" s="2219"/>
      <c r="BZ58" s="2213"/>
      <c r="CA58" s="2219"/>
      <c r="CB58" s="2213"/>
      <c r="CC58" s="2213"/>
      <c r="CD58" s="2213"/>
      <c r="CE58" s="2213"/>
      <c r="CF58" s="2208"/>
      <c r="CG58" s="2217">
        <f t="shared" si="34"/>
        <v>-14.305141771815034</v>
      </c>
      <c r="CH58" s="2217">
        <f t="shared" si="15"/>
        <v>8615.2391657581538</v>
      </c>
      <c r="CI58" s="2217">
        <f t="shared" si="25"/>
        <v>-3.0051417718150333</v>
      </c>
      <c r="CJ58" s="2212">
        <v>277</v>
      </c>
      <c r="CK58" s="2219"/>
      <c r="CL58" s="2213"/>
      <c r="CM58" s="2219"/>
      <c r="CN58" s="2213"/>
      <c r="CO58" s="2213"/>
      <c r="CP58" s="2213"/>
      <c r="CQ58" s="2213"/>
      <c r="CR58" s="2208"/>
      <c r="CS58" s="2217">
        <f t="shared" si="35"/>
        <v>-69.201853451704395</v>
      </c>
      <c r="CT58" s="2217">
        <f t="shared" si="26"/>
        <v>3637.8198420292401</v>
      </c>
      <c r="CU58" s="2217">
        <f t="shared" si="16"/>
        <v>-42.890261816077327</v>
      </c>
      <c r="CV58" s="2212">
        <v>277</v>
      </c>
      <c r="CW58" s="2208"/>
      <c r="CX58" s="263"/>
      <c r="CY58" s="2208"/>
      <c r="CZ58" s="263"/>
      <c r="DA58" s="263"/>
      <c r="DB58" s="263"/>
      <c r="DC58" s="263"/>
      <c r="DD58" s="2208"/>
    </row>
    <row r="59" spans="1:108">
      <c r="A59" s="2217">
        <f t="shared" si="27"/>
        <v>-14.673645786477664</v>
      </c>
      <c r="B59" s="2217">
        <f t="shared" si="9"/>
        <v>8618.2443075299689</v>
      </c>
      <c r="C59" s="2217">
        <f t="shared" si="17"/>
        <v>-2.9336050317197078</v>
      </c>
      <c r="D59" s="2212">
        <v>276</v>
      </c>
      <c r="E59" s="2219"/>
      <c r="F59" s="2213"/>
      <c r="G59" s="2219"/>
      <c r="H59" s="2213"/>
      <c r="I59" s="2213"/>
      <c r="J59" s="2213"/>
      <c r="K59" s="2213"/>
      <c r="L59" s="2213"/>
      <c r="M59" s="2217">
        <f t="shared" si="28"/>
        <v>-14.878998138698044</v>
      </c>
      <c r="N59" s="2217">
        <f t="shared" si="10"/>
        <v>8618.2443075299689</v>
      </c>
      <c r="O59" s="2217">
        <f t="shared" si="18"/>
        <v>-2.9336050317197078</v>
      </c>
      <c r="P59" s="2212">
        <v>276</v>
      </c>
      <c r="Q59" s="2219"/>
      <c r="R59" s="2213"/>
      <c r="S59" s="2219"/>
      <c r="T59" s="2213"/>
      <c r="U59" s="2213"/>
      <c r="V59" s="2213"/>
      <c r="W59" s="2213"/>
      <c r="X59" s="2213"/>
      <c r="Y59" s="2217">
        <f t="shared" si="29"/>
        <v>-15.143022591552818</v>
      </c>
      <c r="Z59" s="2217">
        <f t="shared" si="19"/>
        <v>8618.2443075299689</v>
      </c>
      <c r="AA59" s="2217">
        <f t="shared" si="20"/>
        <v>-2.9336050317197078</v>
      </c>
      <c r="AB59" s="2212">
        <v>276</v>
      </c>
      <c r="AC59" s="2219"/>
      <c r="AD59" s="2213"/>
      <c r="AE59" s="2219"/>
      <c r="AF59" s="2213"/>
      <c r="AG59" s="2213"/>
      <c r="AH59" s="2213"/>
      <c r="AI59" s="2213"/>
      <c r="AJ59" s="2213"/>
      <c r="AK59" s="2217">
        <f t="shared" si="30"/>
        <v>-13.881572427913344</v>
      </c>
      <c r="AL59" s="2217">
        <f t="shared" si="11"/>
        <v>8618.2443075299689</v>
      </c>
      <c r="AM59" s="2217">
        <f t="shared" si="21"/>
        <v>-2.9336050317197078</v>
      </c>
      <c r="AN59" s="2212">
        <v>276</v>
      </c>
      <c r="AO59" s="2219"/>
      <c r="AP59" s="2213"/>
      <c r="AQ59" s="2219"/>
      <c r="AR59" s="2213"/>
      <c r="AS59" s="2213"/>
      <c r="AT59" s="2213"/>
      <c r="AU59" s="2213"/>
      <c r="AV59" s="2213"/>
      <c r="AW59" s="2217">
        <f t="shared" si="31"/>
        <v>-56.40065805066979</v>
      </c>
      <c r="AX59" s="2217">
        <f t="shared" si="22"/>
        <v>3680.7101038453175</v>
      </c>
      <c r="AY59" s="2217">
        <f t="shared" si="12"/>
        <v>-42.547790613839425</v>
      </c>
      <c r="AZ59" s="2212">
        <v>276</v>
      </c>
      <c r="BA59" s="2208"/>
      <c r="BB59" s="263"/>
      <c r="BC59" s="2208"/>
      <c r="BD59" s="263"/>
      <c r="BE59" s="263"/>
      <c r="BF59" s="263"/>
      <c r="BG59" s="263"/>
      <c r="BH59" s="2208"/>
      <c r="BI59" s="2217">
        <f t="shared" si="32"/>
        <v>-69.590473140960015</v>
      </c>
      <c r="BJ59" s="2217">
        <f t="shared" si="23"/>
        <v>3680.7101038453175</v>
      </c>
      <c r="BK59" s="2217">
        <f t="shared" si="13"/>
        <v>-42.547790613839425</v>
      </c>
      <c r="BL59" s="2212">
        <v>276</v>
      </c>
      <c r="BM59" s="2208"/>
      <c r="BN59" s="263"/>
      <c r="BO59" s="2208"/>
      <c r="BP59" s="263"/>
      <c r="BQ59" s="263"/>
      <c r="BR59" s="263"/>
      <c r="BS59" s="263"/>
      <c r="BT59" s="2208"/>
      <c r="BU59" s="2217">
        <f t="shared" si="33"/>
        <v>-13.881572427913344</v>
      </c>
      <c r="BV59" s="2217">
        <f t="shared" si="14"/>
        <v>8618.2443075299689</v>
      </c>
      <c r="BW59" s="2217">
        <f t="shared" si="24"/>
        <v>-2.9336050317197078</v>
      </c>
      <c r="BX59" s="2212">
        <v>276</v>
      </c>
      <c r="BY59" s="2219"/>
      <c r="BZ59" s="2213"/>
      <c r="CA59" s="2219"/>
      <c r="CB59" s="2213"/>
      <c r="CC59" s="2213"/>
      <c r="CD59" s="2213"/>
      <c r="CE59" s="2213"/>
      <c r="CF59" s="2208"/>
      <c r="CG59" s="2217">
        <f t="shared" si="34"/>
        <v>-14.233605031719708</v>
      </c>
      <c r="CH59" s="2217">
        <f t="shared" si="15"/>
        <v>8618.2443075299689</v>
      </c>
      <c r="CI59" s="2217">
        <f t="shared" si="25"/>
        <v>-2.9336050317197078</v>
      </c>
      <c r="CJ59" s="2212">
        <v>276</v>
      </c>
      <c r="CK59" s="2219"/>
      <c r="CL59" s="2213"/>
      <c r="CM59" s="2219"/>
      <c r="CN59" s="2213"/>
      <c r="CO59" s="2213"/>
      <c r="CP59" s="2213"/>
      <c r="CQ59" s="2213"/>
      <c r="CR59" s="2208"/>
      <c r="CS59" s="2217">
        <f t="shared" si="35"/>
        <v>-68.739517328683235</v>
      </c>
      <c r="CT59" s="2217">
        <f t="shared" si="26"/>
        <v>3680.7101038453175</v>
      </c>
      <c r="CU59" s="2217">
        <f t="shared" si="16"/>
        <v>-42.547790613839425</v>
      </c>
      <c r="CV59" s="2212">
        <v>276</v>
      </c>
      <c r="CW59" s="2208"/>
      <c r="CX59" s="263"/>
      <c r="CY59" s="2208"/>
      <c r="CZ59" s="263"/>
      <c r="DA59" s="263"/>
      <c r="DB59" s="263"/>
      <c r="DC59" s="263"/>
      <c r="DD59" s="2208"/>
    </row>
    <row r="60" spans="1:108">
      <c r="A60" s="2217">
        <f t="shared" si="27"/>
        <v>-14.590409627855024</v>
      </c>
      <c r="B60" s="2217">
        <f t="shared" si="9"/>
        <v>8621.1779125616886</v>
      </c>
      <c r="C60" s="2217">
        <f t="shared" si="17"/>
        <v>-2.8612257633521949</v>
      </c>
      <c r="D60" s="2212">
        <v>275</v>
      </c>
      <c r="E60" s="2219"/>
      <c r="F60" s="2213"/>
      <c r="G60" s="2219"/>
      <c r="H60" s="2213"/>
      <c r="I60" s="2213"/>
      <c r="J60" s="2213"/>
      <c r="K60" s="2213"/>
      <c r="L60" s="2213"/>
      <c r="M60" s="2217">
        <f t="shared" si="28"/>
        <v>-14.790695431289679</v>
      </c>
      <c r="N60" s="2217">
        <f t="shared" si="10"/>
        <v>8621.1779125616886</v>
      </c>
      <c r="O60" s="2217">
        <f t="shared" si="18"/>
        <v>-2.8612257633521949</v>
      </c>
      <c r="P60" s="2212">
        <v>275</v>
      </c>
      <c r="Q60" s="2219"/>
      <c r="R60" s="2213"/>
      <c r="S60" s="2219"/>
      <c r="T60" s="2213"/>
      <c r="U60" s="2213"/>
      <c r="V60" s="2213"/>
      <c r="W60" s="2213"/>
      <c r="X60" s="2213"/>
      <c r="Y60" s="2217">
        <f t="shared" si="29"/>
        <v>-15.048205749991377</v>
      </c>
      <c r="Z60" s="2217">
        <f t="shared" si="19"/>
        <v>8621.1779125616886</v>
      </c>
      <c r="AA60" s="2217">
        <f t="shared" si="20"/>
        <v>-2.8612257633521949</v>
      </c>
      <c r="AB60" s="2212">
        <v>275</v>
      </c>
      <c r="AC60" s="2219"/>
      <c r="AD60" s="2213"/>
      <c r="AE60" s="2219"/>
      <c r="AF60" s="2213"/>
      <c r="AG60" s="2213"/>
      <c r="AH60" s="2213"/>
      <c r="AI60" s="2213"/>
      <c r="AJ60" s="2213"/>
      <c r="AK60" s="2217">
        <f t="shared" si="30"/>
        <v>-13.817878671749932</v>
      </c>
      <c r="AL60" s="2217">
        <f t="shared" si="11"/>
        <v>8621.1779125616886</v>
      </c>
      <c r="AM60" s="2217">
        <f t="shared" si="21"/>
        <v>-2.8612257633521949</v>
      </c>
      <c r="AN60" s="2212">
        <v>275</v>
      </c>
      <c r="AO60" s="2219"/>
      <c r="AP60" s="2213"/>
      <c r="AQ60" s="2219"/>
      <c r="AR60" s="2213"/>
      <c r="AS60" s="2213"/>
      <c r="AT60" s="2213"/>
      <c r="AU60" s="2213"/>
      <c r="AV60" s="2213"/>
      <c r="AW60" s="2217">
        <f t="shared" si="31"/>
        <v>-56.037803856269733</v>
      </c>
      <c r="AX60" s="2217">
        <f t="shared" si="22"/>
        <v>3723.2578944591569</v>
      </c>
      <c r="AY60" s="2217">
        <f t="shared" si="12"/>
        <v>-42.205475336103518</v>
      </c>
      <c r="AZ60" s="2212">
        <v>275</v>
      </c>
      <c r="BA60" s="2208"/>
      <c r="BB60" s="263"/>
      <c r="BC60" s="2208"/>
      <c r="BD60" s="263"/>
      <c r="BE60" s="263"/>
      <c r="BF60" s="263"/>
      <c r="BG60" s="263"/>
      <c r="BH60" s="2208"/>
      <c r="BI60" s="2217">
        <f t="shared" si="32"/>
        <v>-69.12150121046183</v>
      </c>
      <c r="BJ60" s="2217">
        <f t="shared" si="23"/>
        <v>3723.2578944591569</v>
      </c>
      <c r="BK60" s="2217">
        <f t="shared" si="13"/>
        <v>-42.205475336103518</v>
      </c>
      <c r="BL60" s="2212">
        <v>275</v>
      </c>
      <c r="BM60" s="2208"/>
      <c r="BN60" s="263"/>
      <c r="BO60" s="2208"/>
      <c r="BP60" s="263"/>
      <c r="BQ60" s="263"/>
      <c r="BR60" s="263"/>
      <c r="BS60" s="263"/>
      <c r="BT60" s="2208"/>
      <c r="BU60" s="2217">
        <f t="shared" si="33"/>
        <v>-13.817878671749932</v>
      </c>
      <c r="BV60" s="2217">
        <f t="shared" si="14"/>
        <v>8621.1779125616886</v>
      </c>
      <c r="BW60" s="2217">
        <f t="shared" si="24"/>
        <v>-2.8612257633521949</v>
      </c>
      <c r="BX60" s="2212">
        <v>275</v>
      </c>
      <c r="BY60" s="2219"/>
      <c r="BZ60" s="2213"/>
      <c r="CA60" s="2219"/>
      <c r="CB60" s="2213"/>
      <c r="CC60" s="2213"/>
      <c r="CD60" s="2213"/>
      <c r="CE60" s="2213"/>
      <c r="CF60" s="2208"/>
      <c r="CG60" s="2217">
        <f t="shared" si="34"/>
        <v>-14.161225763352196</v>
      </c>
      <c r="CH60" s="2217">
        <f t="shared" si="15"/>
        <v>8621.1779125616886</v>
      </c>
      <c r="CI60" s="2217">
        <f t="shared" si="25"/>
        <v>-2.8612257633521949</v>
      </c>
      <c r="CJ60" s="2212">
        <v>275</v>
      </c>
      <c r="CK60" s="2219"/>
      <c r="CL60" s="2213"/>
      <c r="CM60" s="2219"/>
      <c r="CN60" s="2213"/>
      <c r="CO60" s="2213"/>
      <c r="CP60" s="2213"/>
      <c r="CQ60" s="2213"/>
      <c r="CR60" s="2208"/>
      <c r="CS60" s="2217">
        <f t="shared" si="35"/>
        <v>-68.277391703739752</v>
      </c>
      <c r="CT60" s="2217">
        <f t="shared" si="26"/>
        <v>3723.2578944591569</v>
      </c>
      <c r="CU60" s="2217">
        <f t="shared" si="16"/>
        <v>-42.205475336103518</v>
      </c>
      <c r="CV60" s="2212">
        <v>275</v>
      </c>
      <c r="CW60" s="2208"/>
      <c r="CX60" s="263"/>
      <c r="CY60" s="2208"/>
      <c r="CZ60" s="263"/>
      <c r="DA60" s="263"/>
      <c r="DB60" s="263"/>
      <c r="DC60" s="263"/>
      <c r="DD60" s="2208"/>
    </row>
    <row r="61" spans="1:108">
      <c r="A61" s="2217">
        <f t="shared" si="27"/>
        <v>-14.50620456173192</v>
      </c>
      <c r="B61" s="2217">
        <f t="shared" si="9"/>
        <v>8624.0391383250408</v>
      </c>
      <c r="C61" s="2217">
        <f t="shared" si="17"/>
        <v>-2.7880039667234087</v>
      </c>
      <c r="D61" s="2212">
        <v>274</v>
      </c>
      <c r="E61" s="2219"/>
      <c r="F61" s="2213"/>
      <c r="G61" s="2219"/>
      <c r="H61" s="2213"/>
      <c r="I61" s="2213"/>
      <c r="J61" s="2213"/>
      <c r="K61" s="2213"/>
      <c r="L61" s="2213"/>
      <c r="M61" s="2217">
        <f t="shared" si="28"/>
        <v>-14.70136483940256</v>
      </c>
      <c r="N61" s="2217">
        <f t="shared" si="10"/>
        <v>8624.0391383250408</v>
      </c>
      <c r="O61" s="2217">
        <f t="shared" si="18"/>
        <v>-2.7880039667234087</v>
      </c>
      <c r="P61" s="2212">
        <v>274</v>
      </c>
      <c r="Q61" s="2219"/>
      <c r="R61" s="2213"/>
      <c r="S61" s="2219"/>
      <c r="T61" s="2213"/>
      <c r="U61" s="2213"/>
      <c r="V61" s="2213"/>
      <c r="W61" s="2213"/>
      <c r="X61" s="2213"/>
      <c r="Y61" s="2217">
        <f t="shared" si="29"/>
        <v>-14.952285196407667</v>
      </c>
      <c r="Z61" s="2217">
        <f t="shared" si="19"/>
        <v>8624.0391383250408</v>
      </c>
      <c r="AA61" s="2217">
        <f t="shared" si="20"/>
        <v>-2.7880039667234087</v>
      </c>
      <c r="AB61" s="2212">
        <v>274</v>
      </c>
      <c r="AC61" s="2219"/>
      <c r="AD61" s="2213"/>
      <c r="AE61" s="2219"/>
      <c r="AF61" s="2213"/>
      <c r="AG61" s="2213"/>
      <c r="AH61" s="2213"/>
      <c r="AI61" s="2213"/>
      <c r="AJ61" s="2213"/>
      <c r="AK61" s="2217">
        <f t="shared" si="30"/>
        <v>-13.753443490716601</v>
      </c>
      <c r="AL61" s="2217">
        <f t="shared" si="11"/>
        <v>8624.0391383250408</v>
      </c>
      <c r="AM61" s="2217">
        <f t="shared" si="21"/>
        <v>-2.7880039667234087</v>
      </c>
      <c r="AN61" s="2212">
        <v>274</v>
      </c>
      <c r="AO61" s="2219"/>
      <c r="AP61" s="2213"/>
      <c r="AQ61" s="2219"/>
      <c r="AR61" s="2213"/>
      <c r="AS61" s="2213"/>
      <c r="AT61" s="2213"/>
      <c r="AU61" s="2213"/>
      <c r="AV61" s="2213"/>
      <c r="AW61" s="2217">
        <f t="shared" si="31"/>
        <v>-55.675114941839865</v>
      </c>
      <c r="AX61" s="2217">
        <f t="shared" si="22"/>
        <v>3765.4633697952604</v>
      </c>
      <c r="AY61" s="2217">
        <f t="shared" si="12"/>
        <v>-41.863315982867789</v>
      </c>
      <c r="AZ61" s="2212">
        <v>274</v>
      </c>
      <c r="BA61" s="2208"/>
      <c r="BB61" s="263"/>
      <c r="BC61" s="2208"/>
      <c r="BD61" s="263"/>
      <c r="BE61" s="263"/>
      <c r="BF61" s="263"/>
      <c r="BG61" s="263"/>
      <c r="BH61" s="2208"/>
      <c r="BI61" s="2217">
        <f t="shared" si="32"/>
        <v>-68.652742896528878</v>
      </c>
      <c r="BJ61" s="2217">
        <f t="shared" si="23"/>
        <v>3765.4633697952604</v>
      </c>
      <c r="BK61" s="2217">
        <f t="shared" si="13"/>
        <v>-41.863315982867789</v>
      </c>
      <c r="BL61" s="2212">
        <v>274</v>
      </c>
      <c r="BM61" s="2208"/>
      <c r="BN61" s="263"/>
      <c r="BO61" s="2208"/>
      <c r="BP61" s="263"/>
      <c r="BQ61" s="263"/>
      <c r="BR61" s="263"/>
      <c r="BS61" s="263"/>
      <c r="BT61" s="2208"/>
      <c r="BU61" s="2217">
        <f t="shared" si="33"/>
        <v>-13.753443490716601</v>
      </c>
      <c r="BV61" s="2217">
        <f t="shared" si="14"/>
        <v>8624.0391383250408</v>
      </c>
      <c r="BW61" s="2217">
        <f t="shared" si="24"/>
        <v>-2.7880039667234087</v>
      </c>
      <c r="BX61" s="2212">
        <v>274</v>
      </c>
      <c r="BY61" s="2219"/>
      <c r="BZ61" s="2213"/>
      <c r="CA61" s="2219"/>
      <c r="CB61" s="2213"/>
      <c r="CC61" s="2213"/>
      <c r="CD61" s="2213"/>
      <c r="CE61" s="2213"/>
      <c r="CF61" s="2208"/>
      <c r="CG61" s="2217">
        <f t="shared" si="34"/>
        <v>-14.088003966723409</v>
      </c>
      <c r="CH61" s="2217">
        <f t="shared" si="15"/>
        <v>8624.0391383250408</v>
      </c>
      <c r="CI61" s="2217">
        <f t="shared" si="25"/>
        <v>-2.7880039667234087</v>
      </c>
      <c r="CJ61" s="2212">
        <v>274</v>
      </c>
      <c r="CK61" s="2219"/>
      <c r="CL61" s="2213"/>
      <c r="CM61" s="2219"/>
      <c r="CN61" s="2213"/>
      <c r="CO61" s="2213"/>
      <c r="CP61" s="2213"/>
      <c r="CQ61" s="2213"/>
      <c r="CR61" s="2208"/>
      <c r="CS61" s="2217">
        <f t="shared" si="35"/>
        <v>-67.815476576871518</v>
      </c>
      <c r="CT61" s="2217">
        <f t="shared" si="26"/>
        <v>3765.4633697952604</v>
      </c>
      <c r="CU61" s="2217">
        <f t="shared" si="16"/>
        <v>-41.863315982867789</v>
      </c>
      <c r="CV61" s="2212">
        <v>274</v>
      </c>
      <c r="CW61" s="2208"/>
      <c r="CX61" s="263"/>
      <c r="CY61" s="2208"/>
      <c r="CZ61" s="263"/>
      <c r="DA61" s="263"/>
      <c r="DB61" s="263"/>
      <c r="DC61" s="263"/>
      <c r="DD61" s="2208"/>
    </row>
    <row r="62" spans="1:108">
      <c r="A62" s="2217">
        <f t="shared" si="27"/>
        <v>-14.421030588093709</v>
      </c>
      <c r="B62" s="2217">
        <f t="shared" si="9"/>
        <v>8626.8271422917642</v>
      </c>
      <c r="C62" s="2217">
        <f t="shared" si="17"/>
        <v>-2.7139396418206161</v>
      </c>
      <c r="D62" s="2212">
        <v>273</v>
      </c>
      <c r="E62" s="2219"/>
      <c r="F62" s="2213"/>
      <c r="G62" s="2219"/>
      <c r="H62" s="2213"/>
      <c r="I62" s="2213"/>
      <c r="J62" s="2213"/>
      <c r="K62" s="2213"/>
      <c r="L62" s="2213"/>
      <c r="M62" s="2217">
        <f t="shared" si="28"/>
        <v>-14.611006363021152</v>
      </c>
      <c r="N62" s="2217">
        <f t="shared" si="10"/>
        <v>8626.8271422917642</v>
      </c>
      <c r="O62" s="2217">
        <f t="shared" si="18"/>
        <v>-2.7139396418206161</v>
      </c>
      <c r="P62" s="2212">
        <v>273</v>
      </c>
      <c r="Q62" s="2219"/>
      <c r="R62" s="2213"/>
      <c r="S62" s="2219"/>
      <c r="T62" s="2213"/>
      <c r="U62" s="2213"/>
      <c r="V62" s="2213"/>
      <c r="W62" s="2213"/>
      <c r="X62" s="2213"/>
      <c r="Y62" s="2217">
        <f t="shared" si="29"/>
        <v>-14.855260930785008</v>
      </c>
      <c r="Z62" s="2217">
        <f t="shared" si="19"/>
        <v>8626.8271422917642</v>
      </c>
      <c r="AA62" s="2217">
        <f t="shared" si="20"/>
        <v>-2.7139396418206161</v>
      </c>
      <c r="AB62" s="2212">
        <v>273</v>
      </c>
      <c r="AC62" s="2219"/>
      <c r="AD62" s="2213"/>
      <c r="AE62" s="2219"/>
      <c r="AF62" s="2213"/>
      <c r="AG62" s="2213"/>
      <c r="AH62" s="2213"/>
      <c r="AI62" s="2213"/>
      <c r="AJ62" s="2213"/>
      <c r="AK62" s="2217">
        <f t="shared" si="30"/>
        <v>-13.688266884802143</v>
      </c>
      <c r="AL62" s="2217">
        <f t="shared" si="11"/>
        <v>8626.8271422917642</v>
      </c>
      <c r="AM62" s="2217">
        <f t="shared" si="21"/>
        <v>-2.7139396418206161</v>
      </c>
      <c r="AN62" s="2212">
        <v>273</v>
      </c>
      <c r="AO62" s="2219"/>
      <c r="AP62" s="2213"/>
      <c r="AQ62" s="2219"/>
      <c r="AR62" s="2213"/>
      <c r="AS62" s="2213"/>
      <c r="AT62" s="2213"/>
      <c r="AU62" s="2213"/>
      <c r="AV62" s="2213"/>
      <c r="AW62" s="2217">
        <f t="shared" si="31"/>
        <v>-55.31259130738114</v>
      </c>
      <c r="AX62" s="2217">
        <f t="shared" si="22"/>
        <v>3807.3266857781282</v>
      </c>
      <c r="AY62" s="2217">
        <f t="shared" si="12"/>
        <v>-41.521312554133146</v>
      </c>
      <c r="AZ62" s="2212">
        <v>273</v>
      </c>
      <c r="BA62" s="2208"/>
      <c r="BB62" s="263"/>
      <c r="BC62" s="2208"/>
      <c r="BD62" s="263"/>
      <c r="BE62" s="263"/>
      <c r="BF62" s="263"/>
      <c r="BG62" s="263"/>
      <c r="BH62" s="2208"/>
      <c r="BI62" s="2217">
        <f t="shared" si="32"/>
        <v>-68.18419819916241</v>
      </c>
      <c r="BJ62" s="2217">
        <f t="shared" si="23"/>
        <v>3807.3266857781282</v>
      </c>
      <c r="BK62" s="2217">
        <f t="shared" si="13"/>
        <v>-41.521312554133146</v>
      </c>
      <c r="BL62" s="2212">
        <v>273</v>
      </c>
      <c r="BM62" s="2208"/>
      <c r="BN62" s="263"/>
      <c r="BO62" s="2208"/>
      <c r="BP62" s="263"/>
      <c r="BQ62" s="263"/>
      <c r="BR62" s="263"/>
      <c r="BS62" s="263"/>
      <c r="BT62" s="2208"/>
      <c r="BU62" s="2217">
        <f t="shared" si="33"/>
        <v>-13.688266884802143</v>
      </c>
      <c r="BV62" s="2217">
        <f t="shared" si="14"/>
        <v>8626.8271422917642</v>
      </c>
      <c r="BW62" s="2217">
        <f t="shared" si="24"/>
        <v>-2.7139396418206161</v>
      </c>
      <c r="BX62" s="2212">
        <v>273</v>
      </c>
      <c r="BY62" s="2219"/>
      <c r="BZ62" s="2213"/>
      <c r="CA62" s="2219"/>
      <c r="CB62" s="2213"/>
      <c r="CC62" s="2213"/>
      <c r="CD62" s="2213"/>
      <c r="CE62" s="2213"/>
      <c r="CF62" s="2208"/>
      <c r="CG62" s="2217">
        <f t="shared" si="34"/>
        <v>-14.013939641820617</v>
      </c>
      <c r="CH62" s="2217">
        <f t="shared" si="15"/>
        <v>8626.8271422917642</v>
      </c>
      <c r="CI62" s="2217">
        <f t="shared" si="25"/>
        <v>-2.7139396418206161</v>
      </c>
      <c r="CJ62" s="2212">
        <v>273</v>
      </c>
      <c r="CK62" s="2219"/>
      <c r="CL62" s="2213"/>
      <c r="CM62" s="2219"/>
      <c r="CN62" s="2213"/>
      <c r="CO62" s="2213"/>
      <c r="CP62" s="2213"/>
      <c r="CQ62" s="2213"/>
      <c r="CR62" s="2208"/>
      <c r="CS62" s="2217">
        <f t="shared" si="35"/>
        <v>-67.353771948079753</v>
      </c>
      <c r="CT62" s="2217">
        <f t="shared" si="26"/>
        <v>3807.3266857781282</v>
      </c>
      <c r="CU62" s="2217">
        <f t="shared" si="16"/>
        <v>-41.521312554133146</v>
      </c>
      <c r="CV62" s="2212">
        <v>273</v>
      </c>
      <c r="CW62" s="2208"/>
      <c r="CX62" s="263"/>
      <c r="CY62" s="2208"/>
      <c r="CZ62" s="263"/>
      <c r="DA62" s="263"/>
      <c r="DB62" s="263"/>
      <c r="DC62" s="263"/>
      <c r="DD62" s="2208"/>
    </row>
    <row r="63" spans="1:108">
      <c r="A63" s="2217">
        <f t="shared" si="27"/>
        <v>-14.334887706940391</v>
      </c>
      <c r="B63" s="2217">
        <f t="shared" si="9"/>
        <v>8629.5410819335848</v>
      </c>
      <c r="C63" s="2217">
        <f t="shared" si="17"/>
        <v>-2.6390327886438172</v>
      </c>
      <c r="D63" s="2212">
        <v>272</v>
      </c>
      <c r="E63" s="2219"/>
      <c r="F63" s="2213"/>
      <c r="G63" s="2219"/>
      <c r="H63" s="2213"/>
      <c r="I63" s="2213"/>
      <c r="J63" s="2213"/>
      <c r="K63" s="2213"/>
      <c r="L63" s="2213"/>
      <c r="M63" s="2217">
        <f t="shared" si="28"/>
        <v>-14.519620002145459</v>
      </c>
      <c r="N63" s="2217">
        <f t="shared" si="10"/>
        <v>8629.5410819335848</v>
      </c>
      <c r="O63" s="2217">
        <f t="shared" si="18"/>
        <v>-2.6390327886438172</v>
      </c>
      <c r="P63" s="2212">
        <v>272</v>
      </c>
      <c r="Q63" s="2219"/>
      <c r="R63" s="2213"/>
      <c r="S63" s="2219"/>
      <c r="T63" s="2213"/>
      <c r="U63" s="2213"/>
      <c r="V63" s="2213"/>
      <c r="W63" s="2213"/>
      <c r="X63" s="2213"/>
      <c r="Y63" s="2217">
        <f t="shared" si="29"/>
        <v>-14.757132953123401</v>
      </c>
      <c r="Z63" s="2217">
        <f t="shared" si="19"/>
        <v>8629.5410819335848</v>
      </c>
      <c r="AA63" s="2217">
        <f t="shared" si="20"/>
        <v>-2.6390327886438172</v>
      </c>
      <c r="AB63" s="2212">
        <v>272</v>
      </c>
      <c r="AC63" s="2219"/>
      <c r="AD63" s="2213"/>
      <c r="AE63" s="2219"/>
      <c r="AF63" s="2213"/>
      <c r="AG63" s="2213"/>
      <c r="AH63" s="2213"/>
      <c r="AI63" s="2213"/>
      <c r="AJ63" s="2213"/>
      <c r="AK63" s="2217">
        <f t="shared" si="30"/>
        <v>-13.62234885400656</v>
      </c>
      <c r="AL63" s="2217">
        <f t="shared" si="11"/>
        <v>8629.5410819335848</v>
      </c>
      <c r="AM63" s="2217">
        <f t="shared" si="21"/>
        <v>-2.6390327886438172</v>
      </c>
      <c r="AN63" s="2212">
        <v>272</v>
      </c>
      <c r="AO63" s="2219"/>
      <c r="AP63" s="2213"/>
      <c r="AQ63" s="2219"/>
      <c r="AR63" s="2213"/>
      <c r="AS63" s="2213"/>
      <c r="AT63" s="2213"/>
      <c r="AU63" s="2213"/>
      <c r="AV63" s="2213"/>
      <c r="AW63" s="2217">
        <f t="shared" si="31"/>
        <v>-54.950232952890673</v>
      </c>
      <c r="AX63" s="2217">
        <f t="shared" si="22"/>
        <v>3848.8479983322613</v>
      </c>
      <c r="AY63" s="2217">
        <f t="shared" si="12"/>
        <v>-41.179465049896862</v>
      </c>
      <c r="AZ63" s="2212">
        <v>272</v>
      </c>
      <c r="BA63" s="2208"/>
      <c r="BB63" s="263"/>
      <c r="BC63" s="2208"/>
      <c r="BD63" s="263"/>
      <c r="BE63" s="263"/>
      <c r="BF63" s="263"/>
      <c r="BG63" s="263"/>
      <c r="BH63" s="2208"/>
      <c r="BI63" s="2217">
        <f t="shared" si="32"/>
        <v>-67.715867118358702</v>
      </c>
      <c r="BJ63" s="2217">
        <f t="shared" si="23"/>
        <v>3848.8479983322613</v>
      </c>
      <c r="BK63" s="2217">
        <f t="shared" si="13"/>
        <v>-41.179465049896862</v>
      </c>
      <c r="BL63" s="2212">
        <v>272</v>
      </c>
      <c r="BM63" s="2208"/>
      <c r="BN63" s="263"/>
      <c r="BO63" s="2208"/>
      <c r="BP63" s="263"/>
      <c r="BQ63" s="263"/>
      <c r="BR63" s="263"/>
      <c r="BS63" s="263"/>
      <c r="BT63" s="2208"/>
      <c r="BU63" s="2217">
        <f t="shared" si="33"/>
        <v>-13.62234885400656</v>
      </c>
      <c r="BV63" s="2217">
        <f t="shared" si="14"/>
        <v>8629.5410819335848</v>
      </c>
      <c r="BW63" s="2217">
        <f t="shared" si="24"/>
        <v>-2.6390327886438172</v>
      </c>
      <c r="BX63" s="2212">
        <v>272</v>
      </c>
      <c r="BY63" s="2219"/>
      <c r="BZ63" s="2213"/>
      <c r="CA63" s="2219"/>
      <c r="CB63" s="2213"/>
      <c r="CC63" s="2213"/>
      <c r="CD63" s="2213"/>
      <c r="CE63" s="2213"/>
      <c r="CF63" s="2208"/>
      <c r="CG63" s="2217">
        <f t="shared" si="34"/>
        <v>-13.939032788643818</v>
      </c>
      <c r="CH63" s="2217">
        <f t="shared" si="15"/>
        <v>8629.5410819335848</v>
      </c>
      <c r="CI63" s="2217">
        <f t="shared" si="25"/>
        <v>-2.6390327886438172</v>
      </c>
      <c r="CJ63" s="2212">
        <v>272</v>
      </c>
      <c r="CK63" s="2219"/>
      <c r="CL63" s="2213"/>
      <c r="CM63" s="2219"/>
      <c r="CN63" s="2213"/>
      <c r="CO63" s="2213"/>
      <c r="CP63" s="2213"/>
      <c r="CQ63" s="2213"/>
      <c r="CR63" s="2208"/>
      <c r="CS63" s="2217">
        <f t="shared" si="35"/>
        <v>-66.892277817360764</v>
      </c>
      <c r="CT63" s="2217">
        <f t="shared" si="26"/>
        <v>3848.8479983322613</v>
      </c>
      <c r="CU63" s="2217">
        <f t="shared" si="16"/>
        <v>-41.179465049896862</v>
      </c>
      <c r="CV63" s="2212">
        <v>272</v>
      </c>
      <c r="CW63" s="2208"/>
      <c r="CX63" s="263"/>
      <c r="CY63" s="2208"/>
      <c r="CZ63" s="263"/>
      <c r="DA63" s="263"/>
      <c r="DB63" s="263"/>
      <c r="DC63" s="263"/>
      <c r="DD63" s="2208"/>
    </row>
    <row r="64" spans="1:108">
      <c r="A64" s="2217">
        <f t="shared" si="27"/>
        <v>-14.247775918286607</v>
      </c>
      <c r="B64" s="2217">
        <f t="shared" si="9"/>
        <v>8632.1801147222286</v>
      </c>
      <c r="C64" s="2217">
        <f t="shared" si="17"/>
        <v>-2.5632834072057449</v>
      </c>
      <c r="D64" s="2212">
        <v>271</v>
      </c>
      <c r="E64" s="2219"/>
      <c r="F64" s="2213"/>
      <c r="G64" s="2219"/>
      <c r="H64" s="2213"/>
      <c r="I64" s="2213"/>
      <c r="J64" s="2213"/>
      <c r="K64" s="2213"/>
      <c r="L64" s="2213"/>
      <c r="M64" s="2217">
        <f t="shared" si="28"/>
        <v>-14.427205756791009</v>
      </c>
      <c r="N64" s="2217">
        <f t="shared" si="10"/>
        <v>8632.1801147222286</v>
      </c>
      <c r="O64" s="2217">
        <f t="shared" si="18"/>
        <v>-2.5632834072057449</v>
      </c>
      <c r="P64" s="2212">
        <v>271</v>
      </c>
      <c r="Q64" s="2219"/>
      <c r="R64" s="2213"/>
      <c r="S64" s="2219"/>
      <c r="T64" s="2213"/>
      <c r="U64" s="2213"/>
      <c r="V64" s="2213"/>
      <c r="W64" s="2213"/>
      <c r="X64" s="2213"/>
      <c r="Y64" s="2217">
        <f t="shared" si="29"/>
        <v>-14.657901263439527</v>
      </c>
      <c r="Z64" s="2217">
        <f t="shared" si="19"/>
        <v>8632.1801147222286</v>
      </c>
      <c r="AA64" s="2217">
        <f t="shared" si="20"/>
        <v>-2.5632834072057449</v>
      </c>
      <c r="AB64" s="2212">
        <v>271</v>
      </c>
      <c r="AC64" s="2219"/>
      <c r="AD64" s="2213"/>
      <c r="AE64" s="2219"/>
      <c r="AF64" s="2213"/>
      <c r="AG64" s="2213"/>
      <c r="AH64" s="2213"/>
      <c r="AI64" s="2213"/>
      <c r="AJ64" s="2213"/>
      <c r="AK64" s="2217">
        <f t="shared" si="30"/>
        <v>-13.555689398341055</v>
      </c>
      <c r="AL64" s="2217">
        <f t="shared" si="11"/>
        <v>8632.1801147222286</v>
      </c>
      <c r="AM64" s="2217">
        <f t="shared" si="21"/>
        <v>-2.5632834072057449</v>
      </c>
      <c r="AN64" s="2212">
        <v>271</v>
      </c>
      <c r="AO64" s="2219"/>
      <c r="AP64" s="2213"/>
      <c r="AQ64" s="2219"/>
      <c r="AR64" s="2213"/>
      <c r="AS64" s="2213"/>
      <c r="AT64" s="2213"/>
      <c r="AU64" s="2213"/>
      <c r="AV64" s="2213"/>
      <c r="AW64" s="2217">
        <f t="shared" si="31"/>
        <v>-54.588039878376193</v>
      </c>
      <c r="AX64" s="2217">
        <f t="shared" si="22"/>
        <v>3890.0274633821582</v>
      </c>
      <c r="AY64" s="2217">
        <f t="shared" si="12"/>
        <v>-40.837773470166212</v>
      </c>
      <c r="AZ64" s="2212">
        <v>271</v>
      </c>
      <c r="BA64" s="2208"/>
      <c r="BB64" s="263"/>
      <c r="BC64" s="2208"/>
      <c r="BD64" s="263"/>
      <c r="BE64" s="263"/>
      <c r="BF64" s="263"/>
      <c r="BG64" s="263"/>
      <c r="BH64" s="2208"/>
      <c r="BI64" s="2217">
        <f t="shared" si="32"/>
        <v>-67.247749654127716</v>
      </c>
      <c r="BJ64" s="2217">
        <f t="shared" si="23"/>
        <v>3890.0274633821582</v>
      </c>
      <c r="BK64" s="2217">
        <f t="shared" si="13"/>
        <v>-40.837773470166212</v>
      </c>
      <c r="BL64" s="2212">
        <v>271</v>
      </c>
      <c r="BM64" s="2208"/>
      <c r="BN64" s="263"/>
      <c r="BO64" s="2208"/>
      <c r="BP64" s="263"/>
      <c r="BQ64" s="263"/>
      <c r="BR64" s="263"/>
      <c r="BS64" s="263"/>
      <c r="BT64" s="2208"/>
      <c r="BU64" s="2217">
        <f t="shared" si="33"/>
        <v>-13.555689398341055</v>
      </c>
      <c r="BV64" s="2217">
        <f t="shared" si="14"/>
        <v>8632.1801147222286</v>
      </c>
      <c r="BW64" s="2217">
        <f t="shared" si="24"/>
        <v>-2.5632834072057449</v>
      </c>
      <c r="BX64" s="2212">
        <v>271</v>
      </c>
      <c r="BY64" s="2219"/>
      <c r="BZ64" s="2213"/>
      <c r="CA64" s="2219"/>
      <c r="CB64" s="2213"/>
      <c r="CC64" s="2213"/>
      <c r="CD64" s="2213"/>
      <c r="CE64" s="2213"/>
      <c r="CF64" s="2208"/>
      <c r="CG64" s="2217">
        <f t="shared" si="34"/>
        <v>-13.863283407205746</v>
      </c>
      <c r="CH64" s="2217">
        <f t="shared" si="15"/>
        <v>8632.1801147222286</v>
      </c>
      <c r="CI64" s="2217">
        <f t="shared" si="25"/>
        <v>-2.5632834072057449</v>
      </c>
      <c r="CJ64" s="2212">
        <v>271</v>
      </c>
      <c r="CK64" s="2219"/>
      <c r="CL64" s="2213"/>
      <c r="CM64" s="2219"/>
      <c r="CN64" s="2213"/>
      <c r="CO64" s="2213"/>
      <c r="CP64" s="2213"/>
      <c r="CQ64" s="2213"/>
      <c r="CR64" s="2208"/>
      <c r="CS64" s="2217">
        <f t="shared" si="35"/>
        <v>-66.430994184724398</v>
      </c>
      <c r="CT64" s="2217">
        <f t="shared" si="26"/>
        <v>3890.0274633821582</v>
      </c>
      <c r="CU64" s="2217">
        <f t="shared" si="16"/>
        <v>-40.837773470166212</v>
      </c>
      <c r="CV64" s="2212">
        <v>271</v>
      </c>
      <c r="CW64" s="2208"/>
      <c r="CX64" s="263"/>
      <c r="CY64" s="2208"/>
      <c r="CZ64" s="263"/>
      <c r="DA64" s="263"/>
      <c r="DB64" s="263"/>
      <c r="DC64" s="263"/>
      <c r="DD64" s="2208"/>
    </row>
    <row r="65" spans="1:108">
      <c r="A65" s="2217">
        <f t="shared" si="27"/>
        <v>-14.159695222119808</v>
      </c>
      <c r="B65" s="2217">
        <f t="shared" si="9"/>
        <v>8634.7433981294344</v>
      </c>
      <c r="C65" s="2217">
        <f t="shared" si="17"/>
        <v>-2.4866914974954852</v>
      </c>
      <c r="D65" s="2212">
        <v>270</v>
      </c>
      <c r="E65" s="2219"/>
      <c r="F65" s="2213"/>
      <c r="G65" s="2219"/>
      <c r="H65" s="2213"/>
      <c r="I65" s="2213"/>
      <c r="J65" s="2213"/>
      <c r="K65" s="2213"/>
      <c r="L65" s="2213"/>
      <c r="M65" s="2217">
        <f t="shared" si="28"/>
        <v>-14.333763626944492</v>
      </c>
      <c r="N65" s="2217">
        <f t="shared" si="10"/>
        <v>8634.7433981294344</v>
      </c>
      <c r="O65" s="2217">
        <f t="shared" si="18"/>
        <v>-2.4866914974954852</v>
      </c>
      <c r="P65" s="2212">
        <v>270</v>
      </c>
      <c r="Q65" s="2219"/>
      <c r="R65" s="2213"/>
      <c r="S65" s="2219"/>
      <c r="T65" s="2213"/>
      <c r="U65" s="2213"/>
      <c r="V65" s="2213"/>
      <c r="W65" s="2213"/>
      <c r="X65" s="2213"/>
      <c r="Y65" s="2217">
        <f t="shared" si="29"/>
        <v>-14.557565861719088</v>
      </c>
      <c r="Z65" s="2217">
        <f t="shared" si="19"/>
        <v>8634.7433981294344</v>
      </c>
      <c r="AA65" s="2217">
        <f t="shared" si="20"/>
        <v>-2.4866914974954852</v>
      </c>
      <c r="AB65" s="2212">
        <v>270</v>
      </c>
      <c r="AC65" s="2219"/>
      <c r="AD65" s="2213"/>
      <c r="AE65" s="2219"/>
      <c r="AF65" s="2213"/>
      <c r="AG65" s="2213"/>
      <c r="AH65" s="2213"/>
      <c r="AI65" s="2213"/>
      <c r="AJ65" s="2213"/>
      <c r="AK65" s="2217">
        <f t="shared" si="30"/>
        <v>-13.488288517796027</v>
      </c>
      <c r="AL65" s="2217">
        <f t="shared" si="11"/>
        <v>8634.7433981294344</v>
      </c>
      <c r="AM65" s="2217">
        <f t="shared" si="21"/>
        <v>-2.4866914974954852</v>
      </c>
      <c r="AN65" s="2212">
        <v>270</v>
      </c>
      <c r="AO65" s="2219"/>
      <c r="AP65" s="2213"/>
      <c r="AQ65" s="2219"/>
      <c r="AR65" s="2213"/>
      <c r="AS65" s="2213"/>
      <c r="AT65" s="2213"/>
      <c r="AU65" s="2213"/>
      <c r="AV65" s="2213"/>
      <c r="AW65" s="2217">
        <f t="shared" si="31"/>
        <v>-54.226012083827541</v>
      </c>
      <c r="AX65" s="2217">
        <f t="shared" si="22"/>
        <v>3930.8652368523244</v>
      </c>
      <c r="AY65" s="2217">
        <f t="shared" si="12"/>
        <v>-40.496237814931646</v>
      </c>
      <c r="AZ65" s="2212">
        <v>270</v>
      </c>
      <c r="BA65" s="2208"/>
      <c r="BB65" s="263"/>
      <c r="BC65" s="2208"/>
      <c r="BD65" s="263"/>
      <c r="BE65" s="263"/>
      <c r="BF65" s="263"/>
      <c r="BG65" s="263"/>
      <c r="BH65" s="2208"/>
      <c r="BI65" s="2217">
        <f t="shared" si="32"/>
        <v>-66.779845806456365</v>
      </c>
      <c r="BJ65" s="2217">
        <f t="shared" si="23"/>
        <v>3930.8652368523244</v>
      </c>
      <c r="BK65" s="2217">
        <f t="shared" si="13"/>
        <v>-40.496237814931646</v>
      </c>
      <c r="BL65" s="2212">
        <v>270</v>
      </c>
      <c r="BM65" s="2208"/>
      <c r="BN65" s="263"/>
      <c r="BO65" s="2208"/>
      <c r="BP65" s="263"/>
      <c r="BQ65" s="263"/>
      <c r="BR65" s="263"/>
      <c r="BS65" s="263"/>
      <c r="BT65" s="2208"/>
      <c r="BU65" s="2217">
        <f t="shared" si="33"/>
        <v>-13.488288517796027</v>
      </c>
      <c r="BV65" s="2217">
        <f t="shared" si="14"/>
        <v>8634.7433981294344</v>
      </c>
      <c r="BW65" s="2217">
        <f t="shared" si="24"/>
        <v>-2.4866914974954852</v>
      </c>
      <c r="BX65" s="2212">
        <v>270</v>
      </c>
      <c r="BY65" s="2219"/>
      <c r="BZ65" s="2213"/>
      <c r="CA65" s="2219"/>
      <c r="CB65" s="2213"/>
      <c r="CC65" s="2213"/>
      <c r="CD65" s="2213"/>
      <c r="CE65" s="2213"/>
      <c r="CF65" s="2208"/>
      <c r="CG65" s="2217">
        <f t="shared" si="34"/>
        <v>-13.786691497495486</v>
      </c>
      <c r="CH65" s="2217">
        <f t="shared" si="15"/>
        <v>8634.7433981294344</v>
      </c>
      <c r="CI65" s="2217">
        <f t="shared" si="25"/>
        <v>-2.4866914974954852</v>
      </c>
      <c r="CJ65" s="2212">
        <v>270</v>
      </c>
      <c r="CK65" s="2219"/>
      <c r="CL65" s="2213"/>
      <c r="CM65" s="2219"/>
      <c r="CN65" s="2213"/>
      <c r="CO65" s="2213"/>
      <c r="CP65" s="2213"/>
      <c r="CQ65" s="2213"/>
      <c r="CR65" s="2208"/>
      <c r="CS65" s="2217">
        <f t="shared" si="35"/>
        <v>-65.969921050157723</v>
      </c>
      <c r="CT65" s="2217">
        <f t="shared" si="26"/>
        <v>3930.8652368523244</v>
      </c>
      <c r="CU65" s="2217">
        <f t="shared" si="16"/>
        <v>-40.496237814931646</v>
      </c>
      <c r="CV65" s="2212">
        <v>270</v>
      </c>
      <c r="CW65" s="2208"/>
      <c r="CX65" s="263"/>
      <c r="CY65" s="2208"/>
      <c r="CZ65" s="263"/>
      <c r="DA65" s="263"/>
      <c r="DB65" s="263"/>
      <c r="DC65" s="263"/>
      <c r="DD65" s="2208"/>
    </row>
    <row r="66" spans="1:108">
      <c r="A66" s="2217">
        <f t="shared" si="27"/>
        <v>-14.070645618433719</v>
      </c>
      <c r="B66" s="2217">
        <f t="shared" si="9"/>
        <v>8637.2300896269298</v>
      </c>
      <c r="C66" s="2217">
        <f t="shared" si="17"/>
        <v>-2.4092570595075813</v>
      </c>
      <c r="D66" s="2212">
        <v>269</v>
      </c>
      <c r="E66" s="2219"/>
      <c r="F66" s="2213"/>
      <c r="G66" s="2219"/>
      <c r="H66" s="2213"/>
      <c r="I66" s="2213"/>
      <c r="J66" s="2213"/>
      <c r="K66" s="2213"/>
      <c r="L66" s="2213"/>
      <c r="M66" s="2217">
        <f t="shared" si="28"/>
        <v>-14.23929361259925</v>
      </c>
      <c r="N66" s="2217">
        <f t="shared" si="10"/>
        <v>8637.2300896269298</v>
      </c>
      <c r="O66" s="2217">
        <f t="shared" si="18"/>
        <v>-2.4092570595075813</v>
      </c>
      <c r="P66" s="2212">
        <v>269</v>
      </c>
      <c r="Q66" s="2219"/>
      <c r="R66" s="2213"/>
      <c r="S66" s="2219"/>
      <c r="T66" s="2213"/>
      <c r="U66" s="2213"/>
      <c r="V66" s="2213"/>
      <c r="W66" s="2213"/>
      <c r="X66" s="2213"/>
      <c r="Y66" s="2217">
        <f t="shared" si="29"/>
        <v>-14.456126747954933</v>
      </c>
      <c r="Z66" s="2217">
        <f t="shared" si="19"/>
        <v>8637.2300896269298</v>
      </c>
      <c r="AA66" s="2217">
        <f t="shared" si="20"/>
        <v>-2.4092570595075813</v>
      </c>
      <c r="AB66" s="2212">
        <v>269</v>
      </c>
      <c r="AC66" s="2219"/>
      <c r="AD66" s="2213"/>
      <c r="AE66" s="2219"/>
      <c r="AF66" s="2213"/>
      <c r="AG66" s="2213"/>
      <c r="AH66" s="2213"/>
      <c r="AI66" s="2213"/>
      <c r="AJ66" s="2213"/>
      <c r="AK66" s="2217">
        <f t="shared" si="30"/>
        <v>-13.420146212366673</v>
      </c>
      <c r="AL66" s="2217">
        <f t="shared" si="11"/>
        <v>8637.2300896269298</v>
      </c>
      <c r="AM66" s="2217">
        <f t="shared" si="21"/>
        <v>-2.4092570595075813</v>
      </c>
      <c r="AN66" s="2212">
        <v>269</v>
      </c>
      <c r="AO66" s="2219"/>
      <c r="AP66" s="2213"/>
      <c r="AQ66" s="2219"/>
      <c r="AR66" s="2213"/>
      <c r="AS66" s="2213"/>
      <c r="AT66" s="2213"/>
      <c r="AU66" s="2213"/>
      <c r="AV66" s="2213"/>
      <c r="AW66" s="2217">
        <f t="shared" si="31"/>
        <v>-53.864149569248127</v>
      </c>
      <c r="AX66" s="2217">
        <f t="shared" si="22"/>
        <v>3971.3614746672561</v>
      </c>
      <c r="AY66" s="2217">
        <f t="shared" si="12"/>
        <v>-40.154858084196348</v>
      </c>
      <c r="AZ66" s="2212">
        <v>269</v>
      </c>
      <c r="BA66" s="2208"/>
      <c r="BB66" s="263"/>
      <c r="BC66" s="2208"/>
      <c r="BD66" s="263"/>
      <c r="BE66" s="263"/>
      <c r="BF66" s="263"/>
      <c r="BG66" s="263"/>
      <c r="BH66" s="2208"/>
      <c r="BI66" s="2217">
        <f t="shared" si="32"/>
        <v>-66.312155575348996</v>
      </c>
      <c r="BJ66" s="2217">
        <f t="shared" si="23"/>
        <v>3971.3614746672561</v>
      </c>
      <c r="BK66" s="2217">
        <f t="shared" si="13"/>
        <v>-40.154858084196348</v>
      </c>
      <c r="BL66" s="2212">
        <v>269</v>
      </c>
      <c r="BM66" s="2208"/>
      <c r="BN66" s="263"/>
      <c r="BO66" s="2208"/>
      <c r="BP66" s="263"/>
      <c r="BQ66" s="263"/>
      <c r="BR66" s="263"/>
      <c r="BS66" s="263"/>
      <c r="BT66" s="2208"/>
      <c r="BU66" s="2217">
        <f t="shared" si="33"/>
        <v>-13.420146212366673</v>
      </c>
      <c r="BV66" s="2217">
        <f t="shared" si="14"/>
        <v>8637.2300896269298</v>
      </c>
      <c r="BW66" s="2217">
        <f t="shared" si="24"/>
        <v>-2.4092570595075813</v>
      </c>
      <c r="BX66" s="2212">
        <v>269</v>
      </c>
      <c r="BY66" s="2219"/>
      <c r="BZ66" s="2213"/>
      <c r="CA66" s="2219"/>
      <c r="CB66" s="2213"/>
      <c r="CC66" s="2213"/>
      <c r="CD66" s="2213"/>
      <c r="CE66" s="2213"/>
      <c r="CF66" s="2208"/>
      <c r="CG66" s="2217">
        <f t="shared" si="34"/>
        <v>-13.709257059507582</v>
      </c>
      <c r="CH66" s="2217">
        <f t="shared" si="15"/>
        <v>8637.2300896269298</v>
      </c>
      <c r="CI66" s="2217">
        <f t="shared" si="25"/>
        <v>-2.4092570595075813</v>
      </c>
      <c r="CJ66" s="2212">
        <v>269</v>
      </c>
      <c r="CK66" s="2219"/>
      <c r="CL66" s="2213"/>
      <c r="CM66" s="2219"/>
      <c r="CN66" s="2213"/>
      <c r="CO66" s="2213"/>
      <c r="CP66" s="2213"/>
      <c r="CQ66" s="2213"/>
      <c r="CR66" s="2208"/>
      <c r="CS66" s="2217">
        <f t="shared" si="35"/>
        <v>-65.509058413665073</v>
      </c>
      <c r="CT66" s="2217">
        <f t="shared" si="26"/>
        <v>3971.3614746672561</v>
      </c>
      <c r="CU66" s="2217">
        <f t="shared" si="16"/>
        <v>-40.154858084196348</v>
      </c>
      <c r="CV66" s="2212">
        <v>269</v>
      </c>
      <c r="CW66" s="2208"/>
      <c r="CX66" s="263"/>
      <c r="CY66" s="2208"/>
      <c r="CZ66" s="263"/>
      <c r="DA66" s="263"/>
      <c r="DB66" s="263"/>
      <c r="DC66" s="263"/>
      <c r="DD66" s="2208"/>
    </row>
    <row r="67" spans="1:108">
      <c r="A67" s="2217">
        <f t="shared" si="27"/>
        <v>-13.98062710725344</v>
      </c>
      <c r="B67" s="2217">
        <f t="shared" si="9"/>
        <v>8639.6393466864374</v>
      </c>
      <c r="C67" s="2217">
        <f t="shared" si="17"/>
        <v>-2.3309800932638609</v>
      </c>
      <c r="D67" s="2212">
        <v>268</v>
      </c>
      <c r="E67" s="2219"/>
      <c r="F67" s="2213"/>
      <c r="G67" s="2219"/>
      <c r="H67" s="2213"/>
      <c r="I67" s="2213"/>
      <c r="J67" s="2213"/>
      <c r="K67" s="2213"/>
      <c r="L67" s="2213"/>
      <c r="M67" s="2217">
        <f t="shared" si="28"/>
        <v>-14.143795713781911</v>
      </c>
      <c r="N67" s="2217">
        <f t="shared" si="10"/>
        <v>8639.6393466864374</v>
      </c>
      <c r="O67" s="2217">
        <f t="shared" si="18"/>
        <v>-2.3309800932638609</v>
      </c>
      <c r="P67" s="2212">
        <v>268</v>
      </c>
      <c r="Q67" s="2219"/>
      <c r="R67" s="2213"/>
      <c r="S67" s="2219"/>
      <c r="T67" s="2213"/>
      <c r="U67" s="2213"/>
      <c r="V67" s="2213"/>
      <c r="W67" s="2213"/>
      <c r="X67" s="2213"/>
      <c r="Y67" s="2217">
        <f t="shared" si="29"/>
        <v>-14.353583922175659</v>
      </c>
      <c r="Z67" s="2217">
        <f t="shared" si="19"/>
        <v>8639.6393466864374</v>
      </c>
      <c r="AA67" s="2217">
        <f t="shared" si="20"/>
        <v>-2.3309800932638609</v>
      </c>
      <c r="AB67" s="2212">
        <v>268</v>
      </c>
      <c r="AC67" s="2219"/>
      <c r="AD67" s="2213"/>
      <c r="AE67" s="2219"/>
      <c r="AF67" s="2213"/>
      <c r="AG67" s="2213"/>
      <c r="AH67" s="2213"/>
      <c r="AI67" s="2213"/>
      <c r="AJ67" s="2213"/>
      <c r="AK67" s="2217">
        <f t="shared" si="30"/>
        <v>-13.351262482072197</v>
      </c>
      <c r="AL67" s="2217">
        <f t="shared" si="11"/>
        <v>8639.6393466864374</v>
      </c>
      <c r="AM67" s="2217">
        <f t="shared" si="21"/>
        <v>-2.3309800932638609</v>
      </c>
      <c r="AN67" s="2212">
        <v>268</v>
      </c>
      <c r="AO67" s="2219"/>
      <c r="AP67" s="2213"/>
      <c r="AQ67" s="2219"/>
      <c r="AR67" s="2213"/>
      <c r="AS67" s="2213"/>
      <c r="AT67" s="2213"/>
      <c r="AU67" s="2213"/>
      <c r="AV67" s="2213"/>
      <c r="AW67" s="2217">
        <f t="shared" si="31"/>
        <v>-53.502452334643237</v>
      </c>
      <c r="AX67" s="2217">
        <f t="shared" si="22"/>
        <v>4011.5163327514524</v>
      </c>
      <c r="AY67" s="2217">
        <f t="shared" si="12"/>
        <v>-39.813634277965321</v>
      </c>
      <c r="AZ67" s="2212">
        <v>268</v>
      </c>
      <c r="BA67" s="2208"/>
      <c r="BB67" s="263"/>
      <c r="BC67" s="2208"/>
      <c r="BD67" s="263"/>
      <c r="BE67" s="263"/>
      <c r="BF67" s="263"/>
      <c r="BG67" s="263"/>
      <c r="BH67" s="2208"/>
      <c r="BI67" s="2217">
        <f t="shared" si="32"/>
        <v>-65.844678960812487</v>
      </c>
      <c r="BJ67" s="2217">
        <f t="shared" si="23"/>
        <v>4011.5163327514524</v>
      </c>
      <c r="BK67" s="2217">
        <f t="shared" si="13"/>
        <v>-39.813634277965321</v>
      </c>
      <c r="BL67" s="2212">
        <v>268</v>
      </c>
      <c r="BM67" s="2208"/>
      <c r="BN67" s="263"/>
      <c r="BO67" s="2208"/>
      <c r="BP67" s="263"/>
      <c r="BQ67" s="263"/>
      <c r="BR67" s="263"/>
      <c r="BS67" s="263"/>
      <c r="BT67" s="2208"/>
      <c r="BU67" s="2217">
        <f t="shared" si="33"/>
        <v>-13.351262482072197</v>
      </c>
      <c r="BV67" s="2217">
        <f t="shared" si="14"/>
        <v>8639.6393466864374</v>
      </c>
      <c r="BW67" s="2217">
        <f t="shared" si="24"/>
        <v>-2.3309800932638609</v>
      </c>
      <c r="BX67" s="2212">
        <v>268</v>
      </c>
      <c r="BY67" s="2219"/>
      <c r="BZ67" s="2213"/>
      <c r="CA67" s="2219"/>
      <c r="CB67" s="2213"/>
      <c r="CC67" s="2213"/>
      <c r="CD67" s="2213"/>
      <c r="CE67" s="2213"/>
      <c r="CF67" s="2208"/>
      <c r="CG67" s="2217">
        <f t="shared" si="34"/>
        <v>-13.630980093263862</v>
      </c>
      <c r="CH67" s="2217">
        <f t="shared" si="15"/>
        <v>8639.6393466864374</v>
      </c>
      <c r="CI67" s="2217">
        <f t="shared" si="25"/>
        <v>-2.3309800932638609</v>
      </c>
      <c r="CJ67" s="2212">
        <v>268</v>
      </c>
      <c r="CK67" s="2219"/>
      <c r="CL67" s="2213"/>
      <c r="CM67" s="2219"/>
      <c r="CN67" s="2213"/>
      <c r="CO67" s="2213"/>
      <c r="CP67" s="2213"/>
      <c r="CQ67" s="2213"/>
      <c r="CR67" s="2208"/>
      <c r="CS67" s="2217">
        <f t="shared" si="35"/>
        <v>-65.048406275253186</v>
      </c>
      <c r="CT67" s="2217">
        <f t="shared" si="26"/>
        <v>4011.5163327514524</v>
      </c>
      <c r="CU67" s="2217">
        <f t="shared" si="16"/>
        <v>-39.813634277965321</v>
      </c>
      <c r="CV67" s="2212">
        <v>268</v>
      </c>
      <c r="CW67" s="2208"/>
      <c r="CX67" s="263"/>
      <c r="CY67" s="2208"/>
      <c r="CZ67" s="263"/>
      <c r="DA67" s="263"/>
      <c r="DB67" s="263"/>
      <c r="DC67" s="263"/>
      <c r="DD67" s="2208"/>
    </row>
    <row r="68" spans="1:108">
      <c r="A68" s="2217">
        <f t="shared" si="27"/>
        <v>-13.88963968855178</v>
      </c>
      <c r="B68" s="2217">
        <f t="shared" si="9"/>
        <v>8641.9703267797013</v>
      </c>
      <c r="C68" s="2217">
        <f t="shared" si="17"/>
        <v>-2.2518605987406772</v>
      </c>
      <c r="D68" s="2212">
        <v>267</v>
      </c>
      <c r="E68" s="2219"/>
      <c r="F68" s="2213"/>
      <c r="G68" s="2219"/>
      <c r="H68" s="2213"/>
      <c r="I68" s="2213"/>
      <c r="J68" s="2213"/>
      <c r="K68" s="2213"/>
      <c r="L68" s="2213"/>
      <c r="M68" s="2217">
        <f t="shared" si="28"/>
        <v>-14.047269930463628</v>
      </c>
      <c r="N68" s="2217">
        <f t="shared" si="10"/>
        <v>8641.9703267797013</v>
      </c>
      <c r="O68" s="2217">
        <f t="shared" si="18"/>
        <v>-2.2518605987406772</v>
      </c>
      <c r="P68" s="2212">
        <v>267</v>
      </c>
      <c r="Q68" s="2219"/>
      <c r="R68" s="2213"/>
      <c r="S68" s="2219"/>
      <c r="T68" s="2213"/>
      <c r="U68" s="2213"/>
      <c r="V68" s="2213"/>
      <c r="W68" s="2213"/>
      <c r="X68" s="2213"/>
      <c r="Y68" s="2217">
        <f t="shared" si="29"/>
        <v>-14.249937384350288</v>
      </c>
      <c r="Z68" s="2217">
        <f t="shared" si="19"/>
        <v>8641.9703267797013</v>
      </c>
      <c r="AA68" s="2217">
        <f t="shared" si="20"/>
        <v>-2.2518605987406772</v>
      </c>
      <c r="AB68" s="2212">
        <v>267</v>
      </c>
      <c r="AC68" s="2219"/>
      <c r="AD68" s="2213"/>
      <c r="AE68" s="2219"/>
      <c r="AF68" s="2213"/>
      <c r="AG68" s="2213"/>
      <c r="AH68" s="2213"/>
      <c r="AI68" s="2213"/>
      <c r="AJ68" s="2213"/>
      <c r="AK68" s="2217">
        <f t="shared" si="30"/>
        <v>-13.281637326891797</v>
      </c>
      <c r="AL68" s="2217">
        <f t="shared" si="11"/>
        <v>8641.9703267797013</v>
      </c>
      <c r="AM68" s="2217">
        <f t="shared" si="21"/>
        <v>-2.2518605987406772</v>
      </c>
      <c r="AN68" s="2212">
        <v>267</v>
      </c>
      <c r="AO68" s="2219"/>
      <c r="AP68" s="2213"/>
      <c r="AQ68" s="2219"/>
      <c r="AR68" s="2213"/>
      <c r="AS68" s="2213"/>
      <c r="AT68" s="2213"/>
      <c r="AU68" s="2213"/>
      <c r="AV68" s="2213"/>
      <c r="AW68" s="2217">
        <f t="shared" si="31"/>
        <v>-53.140920380006136</v>
      </c>
      <c r="AX68" s="2217">
        <f t="shared" si="22"/>
        <v>4051.3299670294177</v>
      </c>
      <c r="AY68" s="2217">
        <f t="shared" si="12"/>
        <v>-39.472566396232196</v>
      </c>
      <c r="AZ68" s="2212">
        <v>267</v>
      </c>
      <c r="BA68" s="2208"/>
      <c r="BB68" s="263"/>
      <c r="BC68" s="2208"/>
      <c r="BD68" s="263"/>
      <c r="BE68" s="263"/>
      <c r="BF68" s="263"/>
      <c r="BG68" s="263"/>
      <c r="BH68" s="2208"/>
      <c r="BI68" s="2217">
        <f t="shared" si="32"/>
        <v>-65.377415962838114</v>
      </c>
      <c r="BJ68" s="2217">
        <f t="shared" si="23"/>
        <v>4051.3299670294177</v>
      </c>
      <c r="BK68" s="2217">
        <f t="shared" si="13"/>
        <v>-39.472566396232196</v>
      </c>
      <c r="BL68" s="2212">
        <v>267</v>
      </c>
      <c r="BM68" s="2208"/>
      <c r="BN68" s="263"/>
      <c r="BO68" s="2208"/>
      <c r="BP68" s="263"/>
      <c r="BQ68" s="263"/>
      <c r="BR68" s="263"/>
      <c r="BS68" s="263"/>
      <c r="BT68" s="2208"/>
      <c r="BU68" s="2217">
        <f t="shared" si="33"/>
        <v>-13.281637326891797</v>
      </c>
      <c r="BV68" s="2217">
        <f t="shared" si="14"/>
        <v>8641.9703267797013</v>
      </c>
      <c r="BW68" s="2217">
        <f t="shared" si="24"/>
        <v>-2.2518605987406772</v>
      </c>
      <c r="BX68" s="2212">
        <v>267</v>
      </c>
      <c r="BY68" s="2219"/>
      <c r="BZ68" s="2213"/>
      <c r="CA68" s="2219"/>
      <c r="CB68" s="2213"/>
      <c r="CC68" s="2213"/>
      <c r="CD68" s="2213"/>
      <c r="CE68" s="2213"/>
      <c r="CF68" s="2208"/>
      <c r="CG68" s="2217">
        <f t="shared" si="34"/>
        <v>-13.551860598740678</v>
      </c>
      <c r="CH68" s="2217">
        <f t="shared" si="15"/>
        <v>8641.9703267797013</v>
      </c>
      <c r="CI68" s="2217">
        <f t="shared" si="25"/>
        <v>-2.2518605987406772</v>
      </c>
      <c r="CJ68" s="2212">
        <v>267</v>
      </c>
      <c r="CK68" s="2219"/>
      <c r="CL68" s="2213"/>
      <c r="CM68" s="2219"/>
      <c r="CN68" s="2213"/>
      <c r="CO68" s="2213"/>
      <c r="CP68" s="2213"/>
      <c r="CQ68" s="2213"/>
      <c r="CR68" s="2208"/>
      <c r="CS68" s="2217">
        <f t="shared" si="35"/>
        <v>-64.587964634913462</v>
      </c>
      <c r="CT68" s="2217">
        <f t="shared" si="26"/>
        <v>4051.3299670294177</v>
      </c>
      <c r="CU68" s="2217">
        <f t="shared" si="16"/>
        <v>-39.472566396232196</v>
      </c>
      <c r="CV68" s="2212">
        <v>267</v>
      </c>
      <c r="CW68" s="2208"/>
      <c r="CX68" s="263"/>
      <c r="CY68" s="2208"/>
      <c r="CZ68" s="263"/>
      <c r="DA68" s="263"/>
      <c r="DB68" s="263"/>
      <c r="DC68" s="263"/>
      <c r="DD68" s="2208"/>
    </row>
    <row r="69" spans="1:108">
      <c r="A69" s="2217">
        <f t="shared" si="27"/>
        <v>-13.797683362341287</v>
      </c>
      <c r="B69" s="2217">
        <f t="shared" si="9"/>
        <v>8644.222187378442</v>
      </c>
      <c r="C69" s="2217">
        <f t="shared" si="17"/>
        <v>-2.1718985759489442</v>
      </c>
      <c r="D69" s="2212">
        <v>266</v>
      </c>
      <c r="E69" s="2219"/>
      <c r="F69" s="2213"/>
      <c r="G69" s="2219"/>
      <c r="H69" s="2213"/>
      <c r="I69" s="2213"/>
      <c r="J69" s="2213"/>
      <c r="K69" s="2213"/>
      <c r="L69" s="2213"/>
      <c r="M69" s="2217">
        <f t="shared" si="28"/>
        <v>-13.949716262657713</v>
      </c>
      <c r="N69" s="2217">
        <f t="shared" si="10"/>
        <v>8644.222187378442</v>
      </c>
      <c r="O69" s="2217">
        <f t="shared" si="18"/>
        <v>-2.1718985759489442</v>
      </c>
      <c r="P69" s="2212">
        <v>266</v>
      </c>
      <c r="Q69" s="2219"/>
      <c r="R69" s="2213"/>
      <c r="S69" s="2219"/>
      <c r="T69" s="2213"/>
      <c r="U69" s="2213"/>
      <c r="V69" s="2213"/>
      <c r="W69" s="2213"/>
      <c r="X69" s="2213"/>
      <c r="Y69" s="2217">
        <f t="shared" si="29"/>
        <v>-14.145187134493117</v>
      </c>
      <c r="Z69" s="2217">
        <f t="shared" si="19"/>
        <v>8644.222187378442</v>
      </c>
      <c r="AA69" s="2217">
        <f t="shared" si="20"/>
        <v>-2.1718985759489442</v>
      </c>
      <c r="AB69" s="2212">
        <v>266</v>
      </c>
      <c r="AC69" s="2219"/>
      <c r="AD69" s="2213"/>
      <c r="AE69" s="2219"/>
      <c r="AF69" s="2213"/>
      <c r="AG69" s="2213"/>
      <c r="AH69" s="2213"/>
      <c r="AI69" s="2213"/>
      <c r="AJ69" s="2213"/>
      <c r="AK69" s="2217">
        <f t="shared" si="30"/>
        <v>-13.211270746835071</v>
      </c>
      <c r="AL69" s="2217">
        <f t="shared" si="11"/>
        <v>8644.222187378442</v>
      </c>
      <c r="AM69" s="2217">
        <f t="shared" si="21"/>
        <v>-2.1718985759489442</v>
      </c>
      <c r="AN69" s="2212">
        <v>266</v>
      </c>
      <c r="AO69" s="2219"/>
      <c r="AP69" s="2213"/>
      <c r="AQ69" s="2219"/>
      <c r="AR69" s="2213"/>
      <c r="AS69" s="2213"/>
      <c r="AT69" s="2213"/>
      <c r="AU69" s="2213"/>
      <c r="AV69" s="2213"/>
      <c r="AW69" s="2217">
        <f t="shared" si="31"/>
        <v>-52.779553705343062</v>
      </c>
      <c r="AX69" s="2217">
        <f t="shared" si="22"/>
        <v>4090.8025334256499</v>
      </c>
      <c r="AY69" s="2217">
        <f t="shared" si="12"/>
        <v>-39.131654439002887</v>
      </c>
      <c r="AZ69" s="2212">
        <v>266</v>
      </c>
      <c r="BA69" s="2208"/>
      <c r="BB69" s="263"/>
      <c r="BC69" s="2208"/>
      <c r="BD69" s="263"/>
      <c r="BE69" s="263"/>
      <c r="BF69" s="263"/>
      <c r="BG69" s="263"/>
      <c r="BH69" s="2208"/>
      <c r="BI69" s="2217">
        <f t="shared" si="32"/>
        <v>-64.910366581433962</v>
      </c>
      <c r="BJ69" s="2217">
        <f t="shared" si="23"/>
        <v>4090.8025334256499</v>
      </c>
      <c r="BK69" s="2217">
        <f t="shared" si="13"/>
        <v>-39.131654439002887</v>
      </c>
      <c r="BL69" s="2212">
        <v>266</v>
      </c>
      <c r="BM69" s="2208"/>
      <c r="BN69" s="263"/>
      <c r="BO69" s="2208"/>
      <c r="BP69" s="263"/>
      <c r="BQ69" s="263"/>
      <c r="BR69" s="263"/>
      <c r="BS69" s="263"/>
      <c r="BT69" s="2208"/>
      <c r="BU69" s="2217">
        <f t="shared" si="33"/>
        <v>-13.211270746835071</v>
      </c>
      <c r="BV69" s="2217">
        <f t="shared" si="14"/>
        <v>8644.222187378442</v>
      </c>
      <c r="BW69" s="2217">
        <f t="shared" si="24"/>
        <v>-2.1718985759489442</v>
      </c>
      <c r="BX69" s="2212">
        <v>266</v>
      </c>
      <c r="BY69" s="2219"/>
      <c r="BZ69" s="2213"/>
      <c r="CA69" s="2219"/>
      <c r="CB69" s="2213"/>
      <c r="CC69" s="2213"/>
      <c r="CD69" s="2213"/>
      <c r="CE69" s="2213"/>
      <c r="CF69" s="2208"/>
      <c r="CG69" s="2217">
        <f t="shared" si="34"/>
        <v>-13.471898575948945</v>
      </c>
      <c r="CH69" s="2217">
        <f t="shared" si="15"/>
        <v>8644.222187378442</v>
      </c>
      <c r="CI69" s="2217">
        <f t="shared" si="25"/>
        <v>-2.1718985759489442</v>
      </c>
      <c r="CJ69" s="2212">
        <v>266</v>
      </c>
      <c r="CK69" s="2219"/>
      <c r="CL69" s="2213"/>
      <c r="CM69" s="2219"/>
      <c r="CN69" s="2213"/>
      <c r="CO69" s="2213"/>
      <c r="CP69" s="2213"/>
      <c r="CQ69" s="2213"/>
      <c r="CR69" s="2208"/>
      <c r="CS69" s="2217">
        <f t="shared" si="35"/>
        <v>-64.127733492653903</v>
      </c>
      <c r="CT69" s="2217">
        <f t="shared" si="26"/>
        <v>4090.8025334256499</v>
      </c>
      <c r="CU69" s="2217">
        <f t="shared" si="16"/>
        <v>-39.131654439002887</v>
      </c>
      <c r="CV69" s="2212">
        <v>266</v>
      </c>
      <c r="CW69" s="2208"/>
      <c r="CX69" s="263"/>
      <c r="CY69" s="2208"/>
      <c r="CZ69" s="263"/>
      <c r="DA69" s="263"/>
      <c r="DB69" s="263"/>
      <c r="DC69" s="263"/>
      <c r="DD69" s="2208"/>
    </row>
    <row r="70" spans="1:108">
      <c r="A70" s="2217">
        <f t="shared" si="27"/>
        <v>-13.704758128624054</v>
      </c>
      <c r="B70" s="2217">
        <f t="shared" si="9"/>
        <v>8646.3940859543909</v>
      </c>
      <c r="C70" s="2217">
        <f t="shared" si="17"/>
        <v>-2.0910940248904808</v>
      </c>
      <c r="D70" s="2212">
        <v>265</v>
      </c>
      <c r="E70" s="2219"/>
      <c r="F70" s="2213"/>
      <c r="G70" s="2219"/>
      <c r="H70" s="2213"/>
      <c r="I70" s="2213"/>
      <c r="J70" s="2213"/>
      <c r="K70" s="2213"/>
      <c r="L70" s="2213"/>
      <c r="M70" s="2217">
        <f t="shared" si="28"/>
        <v>-13.851134710366388</v>
      </c>
      <c r="N70" s="2217">
        <f t="shared" si="10"/>
        <v>8646.3940859543909</v>
      </c>
      <c r="O70" s="2217">
        <f t="shared" si="18"/>
        <v>-2.0910940248904808</v>
      </c>
      <c r="P70" s="2212">
        <v>265</v>
      </c>
      <c r="Q70" s="2219"/>
      <c r="R70" s="2213"/>
      <c r="S70" s="2219"/>
      <c r="T70" s="2213"/>
      <c r="U70" s="2213"/>
      <c r="V70" s="2213"/>
      <c r="W70" s="2213"/>
      <c r="X70" s="2213"/>
      <c r="Y70" s="2217">
        <f t="shared" si="29"/>
        <v>-14.039333172606531</v>
      </c>
      <c r="Z70" s="2217">
        <f t="shared" si="19"/>
        <v>8646.3940859543909</v>
      </c>
      <c r="AA70" s="2217">
        <f t="shared" si="20"/>
        <v>-2.0910940248904808</v>
      </c>
      <c r="AB70" s="2212">
        <v>265</v>
      </c>
      <c r="AC70" s="2219"/>
      <c r="AD70" s="2213"/>
      <c r="AE70" s="2219"/>
      <c r="AF70" s="2213"/>
      <c r="AG70" s="2213"/>
      <c r="AH70" s="2213"/>
      <c r="AI70" s="2213"/>
      <c r="AJ70" s="2213"/>
      <c r="AK70" s="2217">
        <f t="shared" si="30"/>
        <v>-13.140162741903623</v>
      </c>
      <c r="AL70" s="2217">
        <f t="shared" si="11"/>
        <v>8646.3940859543909</v>
      </c>
      <c r="AM70" s="2217">
        <f t="shared" si="21"/>
        <v>-2.0910940248904808</v>
      </c>
      <c r="AN70" s="2212">
        <v>265</v>
      </c>
      <c r="AO70" s="2219"/>
      <c r="AP70" s="2213"/>
      <c r="AQ70" s="2219"/>
      <c r="AR70" s="2213"/>
      <c r="AS70" s="2213"/>
      <c r="AT70" s="2213"/>
      <c r="AU70" s="2213"/>
      <c r="AV70" s="2213"/>
      <c r="AW70" s="2217">
        <f t="shared" si="31"/>
        <v>-52.418352310644877</v>
      </c>
      <c r="AX70" s="2217">
        <f t="shared" si="22"/>
        <v>4129.9341878646528</v>
      </c>
      <c r="AY70" s="2217">
        <f t="shared" si="12"/>
        <v>-38.790898406268752</v>
      </c>
      <c r="AZ70" s="2212">
        <v>265</v>
      </c>
      <c r="BA70" s="2208"/>
      <c r="BB70" s="263"/>
      <c r="BC70" s="2208"/>
      <c r="BD70" s="263"/>
      <c r="BE70" s="263"/>
      <c r="BF70" s="263"/>
      <c r="BG70" s="263"/>
      <c r="BH70" s="2208"/>
      <c r="BI70" s="2217">
        <f t="shared" si="32"/>
        <v>-64.443530816588193</v>
      </c>
      <c r="BJ70" s="2217">
        <f t="shared" si="23"/>
        <v>4129.9341878646528</v>
      </c>
      <c r="BK70" s="2217">
        <f t="shared" si="13"/>
        <v>-38.790898406268752</v>
      </c>
      <c r="BL70" s="2212">
        <v>265</v>
      </c>
      <c r="BM70" s="2208"/>
      <c r="BN70" s="263"/>
      <c r="BO70" s="2208"/>
      <c r="BP70" s="263"/>
      <c r="BQ70" s="263"/>
      <c r="BR70" s="263"/>
      <c r="BS70" s="263"/>
      <c r="BT70" s="2208"/>
      <c r="BU70" s="2217">
        <f t="shared" si="33"/>
        <v>-13.140162741903623</v>
      </c>
      <c r="BV70" s="2217">
        <f t="shared" si="14"/>
        <v>8646.3940859543909</v>
      </c>
      <c r="BW70" s="2217">
        <f t="shared" si="24"/>
        <v>-2.0910940248904808</v>
      </c>
      <c r="BX70" s="2212">
        <v>265</v>
      </c>
      <c r="BY70" s="2219"/>
      <c r="BZ70" s="2213"/>
      <c r="CA70" s="2219"/>
      <c r="CB70" s="2213"/>
      <c r="CC70" s="2213"/>
      <c r="CD70" s="2213"/>
      <c r="CE70" s="2213"/>
      <c r="CF70" s="2208"/>
      <c r="CG70" s="2217">
        <f t="shared" si="34"/>
        <v>-13.391094024890482</v>
      </c>
      <c r="CH70" s="2217">
        <f t="shared" si="15"/>
        <v>8646.3940859543909</v>
      </c>
      <c r="CI70" s="2217">
        <f t="shared" si="25"/>
        <v>-2.0910940248904808</v>
      </c>
      <c r="CJ70" s="2212">
        <v>265</v>
      </c>
      <c r="CK70" s="2219"/>
      <c r="CL70" s="2213"/>
      <c r="CM70" s="2219"/>
      <c r="CN70" s="2213"/>
      <c r="CO70" s="2213"/>
      <c r="CP70" s="2213"/>
      <c r="CQ70" s="2213"/>
      <c r="CR70" s="2208"/>
      <c r="CS70" s="2217">
        <f t="shared" si="35"/>
        <v>-63.667712848462813</v>
      </c>
      <c r="CT70" s="2217">
        <f t="shared" si="26"/>
        <v>4129.9341878646528</v>
      </c>
      <c r="CU70" s="2217">
        <f t="shared" si="16"/>
        <v>-38.790898406268752</v>
      </c>
      <c r="CV70" s="2212">
        <v>265</v>
      </c>
      <c r="CW70" s="2208"/>
      <c r="CX70" s="263"/>
      <c r="CY70" s="2208"/>
      <c r="CZ70" s="263"/>
      <c r="DA70" s="263"/>
      <c r="DB70" s="263"/>
      <c r="DC70" s="263"/>
      <c r="DD70" s="2208"/>
    </row>
    <row r="71" spans="1:108">
      <c r="A71" s="2217">
        <f t="shared" si="27"/>
        <v>-13.610863987397989</v>
      </c>
      <c r="B71" s="2217">
        <f t="shared" si="9"/>
        <v>8648.4851799792814</v>
      </c>
      <c r="C71" s="2217">
        <f t="shared" si="17"/>
        <v>-2.009446945563468</v>
      </c>
      <c r="D71" s="2212">
        <v>264</v>
      </c>
      <c r="E71" s="2219"/>
      <c r="F71" s="2213"/>
      <c r="G71" s="2219"/>
      <c r="H71" s="2213"/>
      <c r="I71" s="2213"/>
      <c r="J71" s="2213"/>
      <c r="K71" s="2213"/>
      <c r="L71" s="2213"/>
      <c r="M71" s="2217">
        <f t="shared" si="28"/>
        <v>-13.751525273587433</v>
      </c>
      <c r="N71" s="2217">
        <f t="shared" si="10"/>
        <v>8648.4851799792814</v>
      </c>
      <c r="O71" s="2217">
        <f t="shared" si="18"/>
        <v>-2.009446945563468</v>
      </c>
      <c r="P71" s="2212">
        <v>264</v>
      </c>
      <c r="Q71" s="2219"/>
      <c r="R71" s="2213"/>
      <c r="S71" s="2219"/>
      <c r="T71" s="2213"/>
      <c r="U71" s="2213"/>
      <c r="V71" s="2213"/>
      <c r="W71" s="2213"/>
      <c r="X71" s="2213"/>
      <c r="Y71" s="2217">
        <f t="shared" si="29"/>
        <v>-13.932375498688144</v>
      </c>
      <c r="Z71" s="2217">
        <f t="shared" si="19"/>
        <v>8648.4851799792814</v>
      </c>
      <c r="AA71" s="2217">
        <f t="shared" si="20"/>
        <v>-2.009446945563468</v>
      </c>
      <c r="AB71" s="2212">
        <v>264</v>
      </c>
      <c r="AC71" s="2219"/>
      <c r="AD71" s="2213"/>
      <c r="AE71" s="2219"/>
      <c r="AF71" s="2213"/>
      <c r="AG71" s="2213"/>
      <c r="AH71" s="2213"/>
      <c r="AI71" s="2213"/>
      <c r="AJ71" s="2213"/>
      <c r="AK71" s="2217">
        <f t="shared" si="30"/>
        <v>-13.068313312095853</v>
      </c>
      <c r="AL71" s="2217">
        <f t="shared" si="11"/>
        <v>8648.4851799792814</v>
      </c>
      <c r="AM71" s="2217">
        <f t="shared" si="21"/>
        <v>-2.009446945563468</v>
      </c>
      <c r="AN71" s="2212">
        <v>264</v>
      </c>
      <c r="AO71" s="2219"/>
      <c r="AP71" s="2213"/>
      <c r="AQ71" s="2219"/>
      <c r="AR71" s="2213"/>
      <c r="AS71" s="2213"/>
      <c r="AT71" s="2213"/>
      <c r="AU71" s="2213"/>
      <c r="AV71" s="2213"/>
      <c r="AW71" s="2217">
        <f t="shared" si="31"/>
        <v>-52.0573161959217</v>
      </c>
      <c r="AX71" s="2217">
        <f t="shared" si="22"/>
        <v>4168.7250862709216</v>
      </c>
      <c r="AY71" s="2217">
        <f t="shared" si="12"/>
        <v>-38.450298298039343</v>
      </c>
      <c r="AZ71" s="2212">
        <v>264</v>
      </c>
      <c r="BA71" s="2208"/>
      <c r="BB71" s="263"/>
      <c r="BC71" s="2208"/>
      <c r="BD71" s="263"/>
      <c r="BE71" s="263"/>
      <c r="BF71" s="263"/>
      <c r="BG71" s="263"/>
      <c r="BH71" s="2208"/>
      <c r="BI71" s="2217">
        <f t="shared" si="32"/>
        <v>-63.976908668313911</v>
      </c>
      <c r="BJ71" s="2217">
        <f t="shared" si="23"/>
        <v>4168.7250862709216</v>
      </c>
      <c r="BK71" s="2217">
        <f t="shared" si="13"/>
        <v>-38.450298298039343</v>
      </c>
      <c r="BL71" s="2212">
        <v>264</v>
      </c>
      <c r="BM71" s="2208"/>
      <c r="BN71" s="263"/>
      <c r="BO71" s="2208"/>
      <c r="BP71" s="263"/>
      <c r="BQ71" s="263"/>
      <c r="BR71" s="263"/>
      <c r="BS71" s="263"/>
      <c r="BT71" s="2208"/>
      <c r="BU71" s="2217">
        <f t="shared" si="33"/>
        <v>-13.068313312095853</v>
      </c>
      <c r="BV71" s="2217">
        <f t="shared" si="14"/>
        <v>8648.4851799792814</v>
      </c>
      <c r="BW71" s="2217">
        <f t="shared" si="24"/>
        <v>-2.009446945563468</v>
      </c>
      <c r="BX71" s="2212">
        <v>264</v>
      </c>
      <c r="BY71" s="2219"/>
      <c r="BZ71" s="2213"/>
      <c r="CA71" s="2219"/>
      <c r="CB71" s="2213"/>
      <c r="CC71" s="2213"/>
      <c r="CD71" s="2213"/>
      <c r="CE71" s="2213"/>
      <c r="CF71" s="2208"/>
      <c r="CG71" s="2217">
        <f t="shared" si="34"/>
        <v>-13.309446945563469</v>
      </c>
      <c r="CH71" s="2217">
        <f t="shared" si="15"/>
        <v>8648.4851799792814</v>
      </c>
      <c r="CI71" s="2217">
        <f t="shared" si="25"/>
        <v>-2.009446945563468</v>
      </c>
      <c r="CJ71" s="2212">
        <v>264</v>
      </c>
      <c r="CK71" s="2219"/>
      <c r="CL71" s="2213"/>
      <c r="CM71" s="2219"/>
      <c r="CN71" s="2213"/>
      <c r="CO71" s="2213"/>
      <c r="CP71" s="2213"/>
      <c r="CQ71" s="2213"/>
      <c r="CR71" s="2208"/>
      <c r="CS71" s="2217">
        <f t="shared" si="35"/>
        <v>-63.20790270235311</v>
      </c>
      <c r="CT71" s="2217">
        <f t="shared" si="26"/>
        <v>4168.7250862709216</v>
      </c>
      <c r="CU71" s="2217">
        <f t="shared" si="16"/>
        <v>-38.450298298039343</v>
      </c>
      <c r="CV71" s="2212">
        <v>264</v>
      </c>
      <c r="CW71" s="2208"/>
      <c r="CX71" s="263"/>
      <c r="CY71" s="2208"/>
      <c r="CZ71" s="263"/>
      <c r="DA71" s="263"/>
      <c r="DB71" s="263"/>
      <c r="DC71" s="263"/>
      <c r="DD71" s="2208"/>
    </row>
    <row r="72" spans="1:108">
      <c r="A72" s="2217">
        <f t="shared" si="27"/>
        <v>-13.516000938652633</v>
      </c>
      <c r="B72" s="2217">
        <f t="shared" si="9"/>
        <v>8650.4946269248449</v>
      </c>
      <c r="C72" s="2217">
        <f t="shared" si="17"/>
        <v>-1.926957337958811</v>
      </c>
      <c r="D72" s="2212">
        <v>263</v>
      </c>
      <c r="E72" s="2219"/>
      <c r="F72" s="2213"/>
      <c r="G72" s="2219"/>
      <c r="H72" s="2213"/>
      <c r="I72" s="2213"/>
      <c r="J72" s="2213"/>
      <c r="K72" s="2213"/>
      <c r="L72" s="2213"/>
      <c r="M72" s="2217">
        <f t="shared" si="28"/>
        <v>-13.65088795230975</v>
      </c>
      <c r="N72" s="2217">
        <f t="shared" si="10"/>
        <v>8650.4946269248449</v>
      </c>
      <c r="O72" s="2217">
        <f t="shared" si="18"/>
        <v>-1.926957337958811</v>
      </c>
      <c r="P72" s="2212">
        <v>263</v>
      </c>
      <c r="Q72" s="2219"/>
      <c r="R72" s="2213"/>
      <c r="S72" s="2219"/>
      <c r="T72" s="2213"/>
      <c r="U72" s="2213"/>
      <c r="V72" s="2213"/>
      <c r="W72" s="2213"/>
      <c r="X72" s="2213"/>
      <c r="Y72" s="2217">
        <f t="shared" si="29"/>
        <v>-13.824314112726043</v>
      </c>
      <c r="Z72" s="2217">
        <f t="shared" si="19"/>
        <v>8650.4946269248449</v>
      </c>
      <c r="AA72" s="2217">
        <f t="shared" si="20"/>
        <v>-1.926957337958811</v>
      </c>
      <c r="AB72" s="2212">
        <v>263</v>
      </c>
      <c r="AC72" s="2219"/>
      <c r="AD72" s="2213"/>
      <c r="AE72" s="2219"/>
      <c r="AF72" s="2213"/>
      <c r="AG72" s="2213"/>
      <c r="AH72" s="2213"/>
      <c r="AI72" s="2213"/>
      <c r="AJ72" s="2213"/>
      <c r="AK72" s="2217">
        <f t="shared" si="30"/>
        <v>-12.995722457403755</v>
      </c>
      <c r="AL72" s="2217">
        <f t="shared" si="11"/>
        <v>8650.4946269248449</v>
      </c>
      <c r="AM72" s="2217">
        <f t="shared" si="21"/>
        <v>-1.926957337958811</v>
      </c>
      <c r="AN72" s="2212">
        <v>263</v>
      </c>
      <c r="AO72" s="2219"/>
      <c r="AP72" s="2213"/>
      <c r="AQ72" s="2219"/>
      <c r="AR72" s="2213"/>
      <c r="AS72" s="2213"/>
      <c r="AT72" s="2213"/>
      <c r="AU72" s="2213"/>
      <c r="AV72" s="2213"/>
      <c r="AW72" s="2217">
        <f t="shared" si="31"/>
        <v>-51.696445361168713</v>
      </c>
      <c r="AX72" s="2217">
        <f t="shared" si="22"/>
        <v>4207.1753845689609</v>
      </c>
      <c r="AY72" s="2217">
        <f t="shared" si="12"/>
        <v>-38.10985411431011</v>
      </c>
      <c r="AZ72" s="2212">
        <v>263</v>
      </c>
      <c r="BA72" s="2208"/>
      <c r="BB72" s="263"/>
      <c r="BC72" s="2208"/>
      <c r="BD72" s="263"/>
      <c r="BE72" s="263"/>
      <c r="BF72" s="263"/>
      <c r="BG72" s="263"/>
      <c r="BH72" s="2208"/>
      <c r="BI72" s="2217">
        <f t="shared" si="32"/>
        <v>-63.510500136604861</v>
      </c>
      <c r="BJ72" s="2217">
        <f t="shared" si="23"/>
        <v>4207.1753845689609</v>
      </c>
      <c r="BK72" s="2217">
        <f t="shared" si="13"/>
        <v>-38.10985411431011</v>
      </c>
      <c r="BL72" s="2212">
        <v>263</v>
      </c>
      <c r="BM72" s="2208"/>
      <c r="BN72" s="263"/>
      <c r="BO72" s="2208"/>
      <c r="BP72" s="263"/>
      <c r="BQ72" s="263"/>
      <c r="BR72" s="263"/>
      <c r="BS72" s="263"/>
      <c r="BT72" s="2208"/>
      <c r="BU72" s="2217">
        <f t="shared" si="33"/>
        <v>-12.995722457403755</v>
      </c>
      <c r="BV72" s="2217">
        <f t="shared" si="14"/>
        <v>8650.4946269248449</v>
      </c>
      <c r="BW72" s="2217">
        <f t="shared" si="24"/>
        <v>-1.926957337958811</v>
      </c>
      <c r="BX72" s="2212">
        <v>263</v>
      </c>
      <c r="BY72" s="2219"/>
      <c r="BZ72" s="2213"/>
      <c r="CA72" s="2219"/>
      <c r="CB72" s="2213"/>
      <c r="CC72" s="2213"/>
      <c r="CD72" s="2213"/>
      <c r="CE72" s="2213"/>
      <c r="CF72" s="2208"/>
      <c r="CG72" s="2217">
        <f t="shared" si="34"/>
        <v>-13.226957337958812</v>
      </c>
      <c r="CH72" s="2217">
        <f t="shared" si="15"/>
        <v>8650.4946269248449</v>
      </c>
      <c r="CI72" s="2217">
        <f t="shared" si="25"/>
        <v>-1.926957337958811</v>
      </c>
      <c r="CJ72" s="2212">
        <v>263</v>
      </c>
      <c r="CK72" s="2219"/>
      <c r="CL72" s="2213"/>
      <c r="CM72" s="2219"/>
      <c r="CN72" s="2213"/>
      <c r="CO72" s="2213"/>
      <c r="CP72" s="2213"/>
      <c r="CQ72" s="2213"/>
      <c r="CR72" s="2208"/>
      <c r="CS72" s="2217">
        <f t="shared" si="35"/>
        <v>-62.748303054318654</v>
      </c>
      <c r="CT72" s="2217">
        <f t="shared" si="26"/>
        <v>4207.1753845689609</v>
      </c>
      <c r="CU72" s="2217">
        <f t="shared" si="16"/>
        <v>-38.10985411431011</v>
      </c>
      <c r="CV72" s="2212">
        <v>263</v>
      </c>
      <c r="CW72" s="2208"/>
      <c r="CX72" s="263"/>
      <c r="CY72" s="2208"/>
      <c r="CZ72" s="263"/>
      <c r="DA72" s="263"/>
      <c r="DB72" s="263"/>
      <c r="DC72" s="263"/>
      <c r="DD72" s="2208"/>
    </row>
    <row r="73" spans="1:108">
      <c r="A73" s="2217">
        <f t="shared" si="27"/>
        <v>-13.420168982410997</v>
      </c>
      <c r="B73" s="2217">
        <f t="shared" si="9"/>
        <v>8652.4215842628037</v>
      </c>
      <c r="C73" s="2217">
        <f t="shared" si="17"/>
        <v>-1.8436252020965185</v>
      </c>
      <c r="D73" s="2212">
        <v>262</v>
      </c>
      <c r="E73" s="2219"/>
      <c r="F73" s="2213"/>
      <c r="G73" s="2219"/>
      <c r="H73" s="2213"/>
      <c r="I73" s="2213"/>
      <c r="J73" s="2213"/>
      <c r="K73" s="2213"/>
      <c r="L73" s="2213"/>
      <c r="M73" s="2217">
        <f t="shared" si="28"/>
        <v>-13.549222746557753</v>
      </c>
      <c r="N73" s="2217">
        <f t="shared" si="10"/>
        <v>8652.4215842628037</v>
      </c>
      <c r="O73" s="2217">
        <f t="shared" si="18"/>
        <v>-1.8436252020965185</v>
      </c>
      <c r="P73" s="2212">
        <v>262</v>
      </c>
      <c r="Q73" s="2219"/>
      <c r="R73" s="2213"/>
      <c r="S73" s="2219"/>
      <c r="T73" s="2213"/>
      <c r="U73" s="2213"/>
      <c r="V73" s="2213"/>
      <c r="W73" s="2213"/>
      <c r="X73" s="2213"/>
      <c r="Y73" s="2217">
        <f t="shared" si="29"/>
        <v>-13.715149014746441</v>
      </c>
      <c r="Z73" s="2217">
        <f t="shared" si="19"/>
        <v>8652.4215842628037</v>
      </c>
      <c r="AA73" s="2217">
        <f t="shared" si="20"/>
        <v>-1.8436252020965185</v>
      </c>
      <c r="AB73" s="2212">
        <v>262</v>
      </c>
      <c r="AC73" s="2219"/>
      <c r="AD73" s="2213"/>
      <c r="AE73" s="2219"/>
      <c r="AF73" s="2213"/>
      <c r="AG73" s="2213"/>
      <c r="AH73" s="2213"/>
      <c r="AI73" s="2213"/>
      <c r="AJ73" s="2213"/>
      <c r="AK73" s="2217">
        <f t="shared" si="30"/>
        <v>-12.922390177844937</v>
      </c>
      <c r="AL73" s="2217">
        <f t="shared" si="11"/>
        <v>8652.4215842628037</v>
      </c>
      <c r="AM73" s="2217">
        <f t="shared" si="21"/>
        <v>-1.8436252020965185</v>
      </c>
      <c r="AN73" s="2212">
        <v>262</v>
      </c>
      <c r="AO73" s="2219"/>
      <c r="AP73" s="2213"/>
      <c r="AQ73" s="2219"/>
      <c r="AR73" s="2213"/>
      <c r="AS73" s="2213"/>
      <c r="AT73" s="2213"/>
      <c r="AU73" s="2213"/>
      <c r="AV73" s="2213"/>
      <c r="AW73" s="2217">
        <f t="shared" si="31"/>
        <v>-51.335739806383032</v>
      </c>
      <c r="AX73" s="2217">
        <f t="shared" si="22"/>
        <v>4245.285238683271</v>
      </c>
      <c r="AY73" s="2217">
        <f t="shared" si="12"/>
        <v>-37.769565855078326</v>
      </c>
      <c r="AZ73" s="2212">
        <v>262</v>
      </c>
      <c r="BA73" s="2208"/>
      <c r="BB73" s="263"/>
      <c r="BC73" s="2208"/>
      <c r="BD73" s="263"/>
      <c r="BE73" s="263"/>
      <c r="BF73" s="263"/>
      <c r="BG73" s="263"/>
      <c r="BH73" s="2208"/>
      <c r="BI73" s="2217">
        <f t="shared" si="32"/>
        <v>-63.044305221457307</v>
      </c>
      <c r="BJ73" s="2217">
        <f t="shared" si="23"/>
        <v>4245.285238683271</v>
      </c>
      <c r="BK73" s="2217">
        <f t="shared" si="13"/>
        <v>-37.769565855078326</v>
      </c>
      <c r="BL73" s="2212">
        <v>262</v>
      </c>
      <c r="BM73" s="2208"/>
      <c r="BN73" s="263"/>
      <c r="BO73" s="2208"/>
      <c r="BP73" s="263"/>
      <c r="BQ73" s="263"/>
      <c r="BR73" s="263"/>
      <c r="BS73" s="263"/>
      <c r="BT73" s="2208"/>
      <c r="BU73" s="2217">
        <f t="shared" si="33"/>
        <v>-12.922390177844937</v>
      </c>
      <c r="BV73" s="2217">
        <f t="shared" si="14"/>
        <v>8652.4215842628037</v>
      </c>
      <c r="BW73" s="2217">
        <f t="shared" si="24"/>
        <v>-1.8436252020965185</v>
      </c>
      <c r="BX73" s="2212">
        <v>262</v>
      </c>
      <c r="BY73" s="2219"/>
      <c r="BZ73" s="2213"/>
      <c r="CA73" s="2219"/>
      <c r="CB73" s="2213"/>
      <c r="CC73" s="2213"/>
      <c r="CD73" s="2213"/>
      <c r="CE73" s="2213"/>
      <c r="CF73" s="2208"/>
      <c r="CG73" s="2217">
        <f t="shared" si="34"/>
        <v>-13.143625202096519</v>
      </c>
      <c r="CH73" s="2217">
        <f t="shared" si="15"/>
        <v>8652.4215842628037</v>
      </c>
      <c r="CI73" s="2217">
        <f t="shared" si="25"/>
        <v>-1.8436252020965185</v>
      </c>
      <c r="CJ73" s="2212">
        <v>262</v>
      </c>
      <c r="CK73" s="2219"/>
      <c r="CL73" s="2213"/>
      <c r="CM73" s="2219"/>
      <c r="CN73" s="2213"/>
      <c r="CO73" s="2213"/>
      <c r="CP73" s="2213"/>
      <c r="CQ73" s="2213"/>
      <c r="CR73" s="2208"/>
      <c r="CS73" s="2217">
        <f t="shared" si="35"/>
        <v>-62.288913904355738</v>
      </c>
      <c r="CT73" s="2217">
        <f t="shared" si="26"/>
        <v>4245.285238683271</v>
      </c>
      <c r="CU73" s="2217">
        <f t="shared" si="16"/>
        <v>-37.769565855078326</v>
      </c>
      <c r="CV73" s="2212">
        <v>262</v>
      </c>
      <c r="CW73" s="2208"/>
      <c r="CX73" s="263"/>
      <c r="CY73" s="2208"/>
      <c r="CZ73" s="263"/>
      <c r="DA73" s="263"/>
      <c r="DB73" s="263"/>
      <c r="DC73" s="263"/>
      <c r="DD73" s="2208"/>
    </row>
    <row r="74" spans="1:108">
      <c r="A74" s="2217">
        <f t="shared" si="27"/>
        <v>-13.32336811865007</v>
      </c>
      <c r="B74" s="2217">
        <f t="shared" si="9"/>
        <v>8654.2652094649002</v>
      </c>
      <c r="C74" s="2217">
        <f t="shared" si="17"/>
        <v>-1.7594505379565817</v>
      </c>
      <c r="D74" s="2212">
        <v>261</v>
      </c>
      <c r="E74" s="2219"/>
      <c r="F74" s="2213"/>
      <c r="G74" s="2219"/>
      <c r="H74" s="2213"/>
      <c r="I74" s="2213"/>
      <c r="J74" s="2213"/>
      <c r="K74" s="2213"/>
      <c r="L74" s="2213"/>
      <c r="M74" s="2217">
        <f t="shared" si="28"/>
        <v>-13.44652965630703</v>
      </c>
      <c r="N74" s="2217">
        <f t="shared" si="10"/>
        <v>8654.2652094649002</v>
      </c>
      <c r="O74" s="2217">
        <f t="shared" si="18"/>
        <v>-1.7594505379565817</v>
      </c>
      <c r="P74" s="2212">
        <v>261</v>
      </c>
      <c r="Q74" s="2219"/>
      <c r="R74" s="2213"/>
      <c r="S74" s="2219"/>
      <c r="T74" s="2213"/>
      <c r="U74" s="2213"/>
      <c r="V74" s="2213"/>
      <c r="W74" s="2213"/>
      <c r="X74" s="2213"/>
      <c r="Y74" s="2217">
        <f t="shared" si="29"/>
        <v>-13.604880204723123</v>
      </c>
      <c r="Z74" s="2217">
        <f t="shared" si="19"/>
        <v>8654.2652094649002</v>
      </c>
      <c r="AA74" s="2217">
        <f t="shared" si="20"/>
        <v>-1.7594505379565817</v>
      </c>
      <c r="AB74" s="2212">
        <v>261</v>
      </c>
      <c r="AC74" s="2219"/>
      <c r="AD74" s="2213"/>
      <c r="AE74" s="2219"/>
      <c r="AF74" s="2213"/>
      <c r="AG74" s="2213"/>
      <c r="AH74" s="2213"/>
      <c r="AI74" s="2213"/>
      <c r="AJ74" s="2213"/>
      <c r="AK74" s="2217">
        <f t="shared" si="30"/>
        <v>-12.848316473401793</v>
      </c>
      <c r="AL74" s="2217">
        <f t="shared" si="11"/>
        <v>8654.2652094649002</v>
      </c>
      <c r="AM74" s="2217">
        <f t="shared" si="21"/>
        <v>-1.7594505379565817</v>
      </c>
      <c r="AN74" s="2212">
        <v>261</v>
      </c>
      <c r="AO74" s="2219"/>
      <c r="AP74" s="2213"/>
      <c r="AQ74" s="2219"/>
      <c r="AR74" s="2213"/>
      <c r="AS74" s="2213"/>
      <c r="AT74" s="2213"/>
      <c r="AU74" s="2213"/>
      <c r="AV74" s="2213"/>
      <c r="AW74" s="2217">
        <f t="shared" si="31"/>
        <v>-50.97519953157331</v>
      </c>
      <c r="AX74" s="2217">
        <f t="shared" si="22"/>
        <v>4283.0548045383493</v>
      </c>
      <c r="AY74" s="2217">
        <f t="shared" si="12"/>
        <v>-37.429433520352177</v>
      </c>
      <c r="AZ74" s="2212">
        <v>261</v>
      </c>
      <c r="BA74" s="2208"/>
      <c r="BB74" s="263"/>
      <c r="BC74" s="2208"/>
      <c r="BD74" s="263"/>
      <c r="BE74" s="263"/>
      <c r="BF74" s="263"/>
      <c r="BG74" s="263"/>
      <c r="BH74" s="2208"/>
      <c r="BI74" s="2217">
        <f t="shared" si="32"/>
        <v>-62.57832392288249</v>
      </c>
      <c r="BJ74" s="2217">
        <f t="shared" si="23"/>
        <v>4283.0548045383493</v>
      </c>
      <c r="BK74" s="2217">
        <f t="shared" si="13"/>
        <v>-37.429433520352177</v>
      </c>
      <c r="BL74" s="2212">
        <v>261</v>
      </c>
      <c r="BM74" s="2208"/>
      <c r="BN74" s="263"/>
      <c r="BO74" s="2208"/>
      <c r="BP74" s="263"/>
      <c r="BQ74" s="263"/>
      <c r="BR74" s="263"/>
      <c r="BS74" s="263"/>
      <c r="BT74" s="2208"/>
      <c r="BU74" s="2217">
        <f t="shared" si="33"/>
        <v>-12.848316473401793</v>
      </c>
      <c r="BV74" s="2217">
        <f t="shared" si="14"/>
        <v>8654.2652094649002</v>
      </c>
      <c r="BW74" s="2217">
        <f t="shared" si="24"/>
        <v>-1.7594505379565817</v>
      </c>
      <c r="BX74" s="2212">
        <v>261</v>
      </c>
      <c r="BY74" s="2219"/>
      <c r="BZ74" s="2213"/>
      <c r="CA74" s="2219"/>
      <c r="CB74" s="2213"/>
      <c r="CC74" s="2213"/>
      <c r="CD74" s="2213"/>
      <c r="CE74" s="2213"/>
      <c r="CF74" s="2208"/>
      <c r="CG74" s="2217">
        <f t="shared" si="34"/>
        <v>-13.059450537956582</v>
      </c>
      <c r="CH74" s="2217">
        <f t="shared" si="15"/>
        <v>8654.2652094649002</v>
      </c>
      <c r="CI74" s="2217">
        <f t="shared" si="25"/>
        <v>-1.7594505379565817</v>
      </c>
      <c r="CJ74" s="2212">
        <v>261</v>
      </c>
      <c r="CK74" s="2219"/>
      <c r="CL74" s="2213"/>
      <c r="CM74" s="2219"/>
      <c r="CN74" s="2213"/>
      <c r="CO74" s="2213"/>
      <c r="CP74" s="2213"/>
      <c r="CQ74" s="2213"/>
      <c r="CR74" s="2208"/>
      <c r="CS74" s="2217">
        <f t="shared" si="35"/>
        <v>-61.829735252475444</v>
      </c>
      <c r="CT74" s="2217">
        <f t="shared" si="26"/>
        <v>4283.0548045383493</v>
      </c>
      <c r="CU74" s="2217">
        <f t="shared" si="16"/>
        <v>-37.429433520352177</v>
      </c>
      <c r="CV74" s="2212">
        <v>261</v>
      </c>
      <c r="CW74" s="2208"/>
      <c r="CX74" s="263"/>
      <c r="CY74" s="2208"/>
      <c r="CZ74" s="263"/>
      <c r="DA74" s="263"/>
      <c r="DB74" s="263"/>
      <c r="DC74" s="263"/>
      <c r="DD74" s="2208"/>
    </row>
    <row r="75" spans="1:108">
      <c r="A75" s="2217">
        <f t="shared" si="27"/>
        <v>-13.225598347376128</v>
      </c>
      <c r="B75" s="2217">
        <f t="shared" si="9"/>
        <v>8656.0246600028568</v>
      </c>
      <c r="C75" s="2217">
        <f t="shared" si="17"/>
        <v>-1.6744333455444576</v>
      </c>
      <c r="D75" s="2212">
        <v>260</v>
      </c>
      <c r="E75" s="2219"/>
      <c r="F75" s="2213"/>
      <c r="G75" s="2219"/>
      <c r="H75" s="2213"/>
      <c r="I75" s="2213"/>
      <c r="J75" s="2213"/>
      <c r="K75" s="2213"/>
      <c r="L75" s="2213"/>
      <c r="M75" s="2217">
        <f t="shared" si="28"/>
        <v>-13.342808681564239</v>
      </c>
      <c r="N75" s="2217">
        <f t="shared" si="10"/>
        <v>8656.0246600028568</v>
      </c>
      <c r="O75" s="2217">
        <f t="shared" si="18"/>
        <v>-1.6744333455444576</v>
      </c>
      <c r="P75" s="2212">
        <v>260</v>
      </c>
      <c r="Q75" s="2219"/>
      <c r="R75" s="2213"/>
      <c r="S75" s="2219"/>
      <c r="T75" s="2213"/>
      <c r="U75" s="2213"/>
      <c r="V75" s="2213"/>
      <c r="W75" s="2213"/>
      <c r="X75" s="2213"/>
      <c r="Y75" s="2217">
        <f t="shared" si="29"/>
        <v>-13.493507682663241</v>
      </c>
      <c r="Z75" s="2217">
        <f t="shared" si="19"/>
        <v>8656.0246600028568</v>
      </c>
      <c r="AA75" s="2217">
        <f t="shared" si="20"/>
        <v>-1.6744333455444576</v>
      </c>
      <c r="AB75" s="2212">
        <v>260</v>
      </c>
      <c r="AC75" s="2219"/>
      <c r="AD75" s="2213"/>
      <c r="AE75" s="2219"/>
      <c r="AF75" s="2213"/>
      <c r="AG75" s="2213"/>
      <c r="AH75" s="2213"/>
      <c r="AI75" s="2213"/>
      <c r="AJ75" s="2213"/>
      <c r="AK75" s="2217">
        <f t="shared" si="30"/>
        <v>-12.773501344079124</v>
      </c>
      <c r="AL75" s="2217">
        <f t="shared" si="11"/>
        <v>8656.0246600028568</v>
      </c>
      <c r="AM75" s="2217">
        <f t="shared" si="21"/>
        <v>-1.6744333455444576</v>
      </c>
      <c r="AN75" s="2212">
        <v>260</v>
      </c>
      <c r="AO75" s="2219"/>
      <c r="AP75" s="2213"/>
      <c r="AQ75" s="2219"/>
      <c r="AR75" s="2213"/>
      <c r="AS75" s="2213"/>
      <c r="AT75" s="2213"/>
      <c r="AU75" s="2213"/>
      <c r="AV75" s="2213"/>
      <c r="AW75" s="2217">
        <f t="shared" si="31"/>
        <v>-50.61482453672896</v>
      </c>
      <c r="AX75" s="2217">
        <f t="shared" si="22"/>
        <v>4320.4842380587015</v>
      </c>
      <c r="AY75" s="2217">
        <f t="shared" si="12"/>
        <v>-37.089457110121657</v>
      </c>
      <c r="AZ75" s="2212">
        <v>260</v>
      </c>
      <c r="BA75" s="2208"/>
      <c r="BB75" s="263"/>
      <c r="BC75" s="2208"/>
      <c r="BD75" s="263"/>
      <c r="BE75" s="263"/>
      <c r="BF75" s="263"/>
      <c r="BG75" s="263"/>
      <c r="BH75" s="2208"/>
      <c r="BI75" s="2217">
        <f t="shared" si="32"/>
        <v>-62.112556240866681</v>
      </c>
      <c r="BJ75" s="2217">
        <f t="shared" si="23"/>
        <v>4320.4842380587015</v>
      </c>
      <c r="BK75" s="2217">
        <f t="shared" si="13"/>
        <v>-37.089457110121657</v>
      </c>
      <c r="BL75" s="2212">
        <v>260</v>
      </c>
      <c r="BM75" s="2208"/>
      <c r="BN75" s="263"/>
      <c r="BO75" s="2208"/>
      <c r="BP75" s="263"/>
      <c r="BQ75" s="263"/>
      <c r="BR75" s="263"/>
      <c r="BS75" s="263"/>
      <c r="BT75" s="2208"/>
      <c r="BU75" s="2217">
        <f t="shared" si="33"/>
        <v>-12.773501344079124</v>
      </c>
      <c r="BV75" s="2217">
        <f t="shared" si="14"/>
        <v>8656.0246600028568</v>
      </c>
      <c r="BW75" s="2217">
        <f t="shared" si="24"/>
        <v>-1.6744333455444576</v>
      </c>
      <c r="BX75" s="2212">
        <v>260</v>
      </c>
      <c r="BY75" s="2219"/>
      <c r="BZ75" s="2213"/>
      <c r="CA75" s="2219"/>
      <c r="CB75" s="2213"/>
      <c r="CC75" s="2213"/>
      <c r="CD75" s="2213"/>
      <c r="CE75" s="2213"/>
      <c r="CF75" s="2208"/>
      <c r="CG75" s="2217">
        <f t="shared" si="34"/>
        <v>-12.974433345544458</v>
      </c>
      <c r="CH75" s="2217">
        <f t="shared" si="15"/>
        <v>8656.0246600028568</v>
      </c>
      <c r="CI75" s="2217">
        <f t="shared" si="25"/>
        <v>-1.6744333455444576</v>
      </c>
      <c r="CJ75" s="2212">
        <v>260</v>
      </c>
      <c r="CK75" s="2219"/>
      <c r="CL75" s="2213"/>
      <c r="CM75" s="2219"/>
      <c r="CN75" s="2213"/>
      <c r="CO75" s="2213"/>
      <c r="CP75" s="2213"/>
      <c r="CQ75" s="2213"/>
      <c r="CR75" s="2208"/>
      <c r="CS75" s="2217">
        <f t="shared" si="35"/>
        <v>-61.370767098664246</v>
      </c>
      <c r="CT75" s="2217">
        <f t="shared" si="26"/>
        <v>4320.4842380587015</v>
      </c>
      <c r="CU75" s="2217">
        <f t="shared" si="16"/>
        <v>-37.089457110121657</v>
      </c>
      <c r="CV75" s="2212">
        <v>260</v>
      </c>
      <c r="CW75" s="2208"/>
      <c r="CX75" s="263"/>
      <c r="CY75" s="2208"/>
      <c r="CZ75" s="263"/>
      <c r="DA75" s="263"/>
      <c r="DB75" s="263"/>
      <c r="DC75" s="263"/>
      <c r="DD75" s="2208"/>
    </row>
    <row r="76" spans="1:108">
      <c r="A76" s="2217">
        <f t="shared" si="27"/>
        <v>-13.126859668601719</v>
      </c>
      <c r="B76" s="2217">
        <f t="shared" si="9"/>
        <v>8657.6990933484012</v>
      </c>
      <c r="C76" s="2217">
        <f t="shared" si="17"/>
        <v>-1.58857362487106</v>
      </c>
      <c r="D76" s="2212">
        <v>259</v>
      </c>
      <c r="E76" s="2219"/>
      <c r="F76" s="2213"/>
      <c r="G76" s="2219"/>
      <c r="H76" s="2213"/>
      <c r="I76" s="2213"/>
      <c r="J76" s="2213"/>
      <c r="K76" s="2213"/>
      <c r="L76" s="2213"/>
      <c r="M76" s="2217">
        <f t="shared" si="28"/>
        <v>-13.238059822342693</v>
      </c>
      <c r="N76" s="2217">
        <f t="shared" si="10"/>
        <v>8657.6990933484012</v>
      </c>
      <c r="O76" s="2217">
        <f t="shared" si="18"/>
        <v>-1.58857362487106</v>
      </c>
      <c r="P76" s="2212">
        <v>259</v>
      </c>
      <c r="Q76" s="2219"/>
      <c r="R76" s="2213"/>
      <c r="S76" s="2219"/>
      <c r="T76" s="2213"/>
      <c r="U76" s="2213"/>
      <c r="V76" s="2213"/>
      <c r="W76" s="2213"/>
      <c r="X76" s="2213"/>
      <c r="Y76" s="2217">
        <f t="shared" si="29"/>
        <v>-13.381031448581089</v>
      </c>
      <c r="Z76" s="2217">
        <f t="shared" si="19"/>
        <v>8657.6990933484012</v>
      </c>
      <c r="AA76" s="2217">
        <f t="shared" si="20"/>
        <v>-1.58857362487106</v>
      </c>
      <c r="AB76" s="2212">
        <v>259</v>
      </c>
      <c r="AC76" s="2219"/>
      <c r="AD76" s="2213"/>
      <c r="AE76" s="2219"/>
      <c r="AF76" s="2213"/>
      <c r="AG76" s="2213"/>
      <c r="AH76" s="2213"/>
      <c r="AI76" s="2213"/>
      <c r="AJ76" s="2213"/>
      <c r="AK76" s="2217">
        <f t="shared" si="30"/>
        <v>-12.697944789886533</v>
      </c>
      <c r="AL76" s="2217">
        <f t="shared" si="11"/>
        <v>8657.6990933484012</v>
      </c>
      <c r="AM76" s="2217">
        <f t="shared" si="21"/>
        <v>-1.58857362487106</v>
      </c>
      <c r="AN76" s="2212">
        <v>259</v>
      </c>
      <c r="AO76" s="2219"/>
      <c r="AP76" s="2213"/>
      <c r="AQ76" s="2219"/>
      <c r="AR76" s="2213"/>
      <c r="AS76" s="2213"/>
      <c r="AT76" s="2213"/>
      <c r="AU76" s="2213"/>
      <c r="AV76" s="2213"/>
      <c r="AW76" s="2217">
        <f t="shared" si="31"/>
        <v>-50.254614821857686</v>
      </c>
      <c r="AX76" s="2217">
        <f t="shared" si="22"/>
        <v>4357.5736951688232</v>
      </c>
      <c r="AY76" s="2217">
        <f t="shared" si="12"/>
        <v>-36.749636624394043</v>
      </c>
      <c r="AZ76" s="2212">
        <v>259</v>
      </c>
      <c r="BA76" s="2208"/>
      <c r="BB76" s="263"/>
      <c r="BC76" s="2208"/>
      <c r="BD76" s="263"/>
      <c r="BE76" s="263"/>
      <c r="BF76" s="263"/>
      <c r="BG76" s="263"/>
      <c r="BH76" s="2208"/>
      <c r="BI76" s="2217">
        <f t="shared" si="32"/>
        <v>-61.647002175419843</v>
      </c>
      <c r="BJ76" s="2217">
        <f t="shared" si="23"/>
        <v>4357.5736951688232</v>
      </c>
      <c r="BK76" s="2217">
        <f t="shared" si="13"/>
        <v>-36.749636624394043</v>
      </c>
      <c r="BL76" s="2212">
        <v>259</v>
      </c>
      <c r="BM76" s="2208"/>
      <c r="BN76" s="263"/>
      <c r="BO76" s="2208"/>
      <c r="BP76" s="263"/>
      <c r="BQ76" s="263"/>
      <c r="BR76" s="263"/>
      <c r="BS76" s="263"/>
      <c r="BT76" s="2208"/>
      <c r="BU76" s="2217">
        <f t="shared" si="33"/>
        <v>-12.697944789886533</v>
      </c>
      <c r="BV76" s="2217">
        <f t="shared" si="14"/>
        <v>8657.6990933484012</v>
      </c>
      <c r="BW76" s="2217">
        <f t="shared" si="24"/>
        <v>-1.58857362487106</v>
      </c>
      <c r="BX76" s="2212">
        <v>259</v>
      </c>
      <c r="BY76" s="2219"/>
      <c r="BZ76" s="2213"/>
      <c r="CA76" s="2219"/>
      <c r="CB76" s="2213"/>
      <c r="CC76" s="2213"/>
      <c r="CD76" s="2213"/>
      <c r="CE76" s="2213"/>
      <c r="CF76" s="2208"/>
      <c r="CG76" s="2217">
        <f t="shared" si="34"/>
        <v>-12.888573624871061</v>
      </c>
      <c r="CH76" s="2217">
        <f t="shared" si="15"/>
        <v>8657.6990933484012</v>
      </c>
      <c r="CI76" s="2217">
        <f t="shared" si="25"/>
        <v>-1.58857362487106</v>
      </c>
      <c r="CJ76" s="2212">
        <v>259</v>
      </c>
      <c r="CK76" s="2219"/>
      <c r="CL76" s="2213"/>
      <c r="CM76" s="2219"/>
      <c r="CN76" s="2213"/>
      <c r="CO76" s="2213"/>
      <c r="CP76" s="2213"/>
      <c r="CQ76" s="2213"/>
      <c r="CR76" s="2208"/>
      <c r="CS76" s="2217">
        <f t="shared" si="35"/>
        <v>-60.912009442931961</v>
      </c>
      <c r="CT76" s="2217">
        <f t="shared" si="26"/>
        <v>4357.5736951688232</v>
      </c>
      <c r="CU76" s="2217">
        <f t="shared" si="16"/>
        <v>-36.749636624394043</v>
      </c>
      <c r="CV76" s="2212">
        <v>259</v>
      </c>
      <c r="CW76" s="2208"/>
      <c r="CX76" s="263"/>
      <c r="CY76" s="2208"/>
      <c r="CZ76" s="263"/>
      <c r="DA76" s="263"/>
      <c r="DB76" s="263"/>
      <c r="DC76" s="263"/>
      <c r="DD76" s="2208"/>
    </row>
    <row r="77" spans="1:108">
      <c r="A77" s="2217">
        <f t="shared" si="27"/>
        <v>-13.027152082312206</v>
      </c>
      <c r="B77" s="2217">
        <f t="shared" si="9"/>
        <v>8659.2876669732723</v>
      </c>
      <c r="C77" s="2217">
        <f t="shared" si="17"/>
        <v>-1.5018713759236562</v>
      </c>
      <c r="D77" s="2212">
        <v>258</v>
      </c>
      <c r="E77" s="2219"/>
      <c r="F77" s="2213"/>
      <c r="G77" s="2219"/>
      <c r="H77" s="2213"/>
      <c r="I77" s="2213"/>
      <c r="J77" s="2213"/>
      <c r="K77" s="2213"/>
      <c r="L77" s="2213"/>
      <c r="M77" s="2217">
        <f t="shared" si="28"/>
        <v>-13.132283078626861</v>
      </c>
      <c r="N77" s="2217">
        <f t="shared" si="10"/>
        <v>8659.2876669732723</v>
      </c>
      <c r="O77" s="2217">
        <f t="shared" si="18"/>
        <v>-1.5018713759236562</v>
      </c>
      <c r="P77" s="2212">
        <v>258</v>
      </c>
      <c r="Q77" s="2219"/>
      <c r="R77" s="2213"/>
      <c r="S77" s="2219"/>
      <c r="T77" s="2213"/>
      <c r="U77" s="2213"/>
      <c r="V77" s="2213"/>
      <c r="W77" s="2213"/>
      <c r="X77" s="2213"/>
      <c r="Y77" s="2217">
        <f t="shared" si="29"/>
        <v>-13.267451502459991</v>
      </c>
      <c r="Z77" s="2217">
        <f t="shared" si="19"/>
        <v>8659.2876669732723</v>
      </c>
      <c r="AA77" s="2217">
        <f t="shared" si="20"/>
        <v>-1.5018713759236562</v>
      </c>
      <c r="AB77" s="2212">
        <v>258</v>
      </c>
      <c r="AC77" s="2219"/>
      <c r="AD77" s="2213"/>
      <c r="AE77" s="2219"/>
      <c r="AF77" s="2213"/>
      <c r="AG77" s="2213"/>
      <c r="AH77" s="2213"/>
      <c r="AI77" s="2213"/>
      <c r="AJ77" s="2213"/>
      <c r="AK77" s="2217">
        <f t="shared" si="30"/>
        <v>-12.621646810812818</v>
      </c>
      <c r="AL77" s="2217">
        <f t="shared" si="11"/>
        <v>8659.2876669732723</v>
      </c>
      <c r="AM77" s="2217">
        <f t="shared" si="21"/>
        <v>-1.5018713759236562</v>
      </c>
      <c r="AN77" s="2212">
        <v>258</v>
      </c>
      <c r="AO77" s="2219"/>
      <c r="AP77" s="2213"/>
      <c r="AQ77" s="2219"/>
      <c r="AR77" s="2213"/>
      <c r="AS77" s="2213"/>
      <c r="AT77" s="2213"/>
      <c r="AU77" s="2213"/>
      <c r="AV77" s="2213"/>
      <c r="AW77" s="2217">
        <f t="shared" si="31"/>
        <v>-49.894570386955635</v>
      </c>
      <c r="AX77" s="2217">
        <f t="shared" si="22"/>
        <v>4394.3233317932172</v>
      </c>
      <c r="AY77" s="2217">
        <f t="shared" si="12"/>
        <v>-36.409972063165696</v>
      </c>
      <c r="AZ77" s="2212">
        <v>258</v>
      </c>
      <c r="BA77" s="2208"/>
      <c r="BB77" s="263"/>
      <c r="BC77" s="2208"/>
      <c r="BD77" s="263"/>
      <c r="BE77" s="263"/>
      <c r="BF77" s="263"/>
      <c r="BG77" s="263"/>
      <c r="BH77" s="2208"/>
      <c r="BI77" s="2217">
        <f t="shared" si="32"/>
        <v>-61.181661726537016</v>
      </c>
      <c r="BJ77" s="2217">
        <f t="shared" si="23"/>
        <v>4394.3233317932172</v>
      </c>
      <c r="BK77" s="2217">
        <f t="shared" si="13"/>
        <v>-36.409972063165696</v>
      </c>
      <c r="BL77" s="2212">
        <v>258</v>
      </c>
      <c r="BM77" s="2208"/>
      <c r="BN77" s="263"/>
      <c r="BO77" s="2208"/>
      <c r="BP77" s="263"/>
      <c r="BQ77" s="263"/>
      <c r="BR77" s="263"/>
      <c r="BS77" s="263"/>
      <c r="BT77" s="2208"/>
      <c r="BU77" s="2217">
        <f t="shared" si="33"/>
        <v>-12.621646810812818</v>
      </c>
      <c r="BV77" s="2217">
        <f t="shared" si="14"/>
        <v>8659.2876669732723</v>
      </c>
      <c r="BW77" s="2217">
        <f t="shared" si="24"/>
        <v>-1.5018713759236562</v>
      </c>
      <c r="BX77" s="2212">
        <v>258</v>
      </c>
      <c r="BY77" s="2219"/>
      <c r="BZ77" s="2213"/>
      <c r="CA77" s="2219"/>
      <c r="CB77" s="2213"/>
      <c r="CC77" s="2213"/>
      <c r="CD77" s="2213"/>
      <c r="CE77" s="2213"/>
      <c r="CF77" s="2208"/>
      <c r="CG77" s="2217">
        <f t="shared" si="34"/>
        <v>-12.801871375923657</v>
      </c>
      <c r="CH77" s="2217">
        <f t="shared" si="15"/>
        <v>8659.2876669732723</v>
      </c>
      <c r="CI77" s="2217">
        <f t="shared" si="25"/>
        <v>-1.5018713759236562</v>
      </c>
      <c r="CJ77" s="2212">
        <v>258</v>
      </c>
      <c r="CK77" s="2219"/>
      <c r="CL77" s="2213"/>
      <c r="CM77" s="2219"/>
      <c r="CN77" s="2213"/>
      <c r="CO77" s="2213"/>
      <c r="CP77" s="2213"/>
      <c r="CQ77" s="2213"/>
      <c r="CR77" s="2208"/>
      <c r="CS77" s="2217">
        <f t="shared" si="35"/>
        <v>-60.453462285273687</v>
      </c>
      <c r="CT77" s="2217">
        <f t="shared" si="26"/>
        <v>4394.3233317932172</v>
      </c>
      <c r="CU77" s="2217">
        <f t="shared" si="16"/>
        <v>-36.409972063165696</v>
      </c>
      <c r="CV77" s="2212">
        <v>258</v>
      </c>
      <c r="CW77" s="2208"/>
      <c r="CX77" s="263"/>
      <c r="CY77" s="2208"/>
      <c r="CZ77" s="263"/>
      <c r="DA77" s="263"/>
      <c r="DB77" s="263"/>
      <c r="DC77" s="263"/>
      <c r="DD77" s="2208"/>
    </row>
    <row r="78" spans="1:108">
      <c r="A78" s="2217">
        <f t="shared" si="27"/>
        <v>-12.926475588509675</v>
      </c>
      <c r="B78" s="2217">
        <f t="shared" si="9"/>
        <v>8660.7895383491959</v>
      </c>
      <c r="C78" s="2217">
        <f t="shared" si="17"/>
        <v>-1.414326598704065</v>
      </c>
      <c r="D78" s="2212">
        <v>257</v>
      </c>
      <c r="E78" s="2219"/>
      <c r="F78" s="2213"/>
      <c r="G78" s="2219"/>
      <c r="H78" s="2213"/>
      <c r="I78" s="2213"/>
      <c r="J78" s="2213"/>
      <c r="K78" s="2213"/>
      <c r="L78" s="2213"/>
      <c r="M78" s="2217">
        <f t="shared" si="28"/>
        <v>-13.02547845041896</v>
      </c>
      <c r="N78" s="2217">
        <f t="shared" si="10"/>
        <v>8660.7895383491959</v>
      </c>
      <c r="O78" s="2217">
        <f t="shared" si="18"/>
        <v>-1.414326598704065</v>
      </c>
      <c r="P78" s="2212">
        <v>257</v>
      </c>
      <c r="Q78" s="2219"/>
      <c r="R78" s="2213"/>
      <c r="S78" s="2219"/>
      <c r="T78" s="2213"/>
      <c r="U78" s="2213"/>
      <c r="V78" s="2213"/>
      <c r="W78" s="2213"/>
      <c r="X78" s="2213"/>
      <c r="Y78" s="2217">
        <f t="shared" si="29"/>
        <v>-13.152767844302327</v>
      </c>
      <c r="Z78" s="2217">
        <f t="shared" si="19"/>
        <v>8660.7895383491959</v>
      </c>
      <c r="AA78" s="2217">
        <f t="shared" si="20"/>
        <v>-1.414326598704065</v>
      </c>
      <c r="AB78" s="2212">
        <v>257</v>
      </c>
      <c r="AC78" s="2219"/>
      <c r="AD78" s="2213"/>
      <c r="AE78" s="2219"/>
      <c r="AF78" s="2213"/>
      <c r="AG78" s="2213"/>
      <c r="AH78" s="2213"/>
      <c r="AI78" s="2213"/>
      <c r="AJ78" s="2213"/>
      <c r="AK78" s="2217">
        <f t="shared" si="30"/>
        <v>-12.544607406859578</v>
      </c>
      <c r="AL78" s="2217">
        <f t="shared" si="11"/>
        <v>8660.7895383491959</v>
      </c>
      <c r="AM78" s="2217">
        <f t="shared" si="21"/>
        <v>-1.414326598704065</v>
      </c>
      <c r="AN78" s="2212">
        <v>257</v>
      </c>
      <c r="AO78" s="2219"/>
      <c r="AP78" s="2213"/>
      <c r="AQ78" s="2219"/>
      <c r="AR78" s="2213"/>
      <c r="AS78" s="2213"/>
      <c r="AT78" s="2213"/>
      <c r="AU78" s="2213"/>
      <c r="AV78" s="2213"/>
      <c r="AW78" s="2217">
        <f t="shared" si="31"/>
        <v>-49.534691232026674</v>
      </c>
      <c r="AX78" s="2217">
        <f t="shared" si="22"/>
        <v>4430.7333038563829</v>
      </c>
      <c r="AY78" s="2217">
        <f t="shared" si="12"/>
        <v>-36.070463426440256</v>
      </c>
      <c r="AZ78" s="2212">
        <v>257</v>
      </c>
      <c r="BA78" s="2208"/>
      <c r="BB78" s="263"/>
      <c r="BC78" s="2208"/>
      <c r="BD78" s="263"/>
      <c r="BE78" s="263"/>
      <c r="BF78" s="263"/>
      <c r="BG78" s="263"/>
      <c r="BH78" s="2208"/>
      <c r="BI78" s="2217">
        <f t="shared" si="32"/>
        <v>-60.716534894223159</v>
      </c>
      <c r="BJ78" s="2217">
        <f t="shared" si="23"/>
        <v>4430.7333038563829</v>
      </c>
      <c r="BK78" s="2217">
        <f t="shared" si="13"/>
        <v>-36.070463426440256</v>
      </c>
      <c r="BL78" s="2212">
        <v>257</v>
      </c>
      <c r="BM78" s="2208"/>
      <c r="BN78" s="263"/>
      <c r="BO78" s="2208"/>
      <c r="BP78" s="263"/>
      <c r="BQ78" s="263"/>
      <c r="BR78" s="263"/>
      <c r="BS78" s="263"/>
      <c r="BT78" s="2208"/>
      <c r="BU78" s="2217">
        <f t="shared" si="33"/>
        <v>-12.544607406859578</v>
      </c>
      <c r="BV78" s="2217">
        <f t="shared" si="14"/>
        <v>8660.7895383491959</v>
      </c>
      <c r="BW78" s="2217">
        <f t="shared" si="24"/>
        <v>-1.414326598704065</v>
      </c>
      <c r="BX78" s="2212">
        <v>257</v>
      </c>
      <c r="BY78" s="2219"/>
      <c r="BZ78" s="2213"/>
      <c r="CA78" s="2219"/>
      <c r="CB78" s="2213"/>
      <c r="CC78" s="2213"/>
      <c r="CD78" s="2213"/>
      <c r="CE78" s="2213"/>
      <c r="CF78" s="2208"/>
      <c r="CG78" s="2217">
        <f t="shared" si="34"/>
        <v>-12.714326598704066</v>
      </c>
      <c r="CH78" s="2217">
        <f t="shared" si="15"/>
        <v>8660.7895383491959</v>
      </c>
      <c r="CI78" s="2217">
        <f t="shared" si="25"/>
        <v>-1.414326598704065</v>
      </c>
      <c r="CJ78" s="2212">
        <v>257</v>
      </c>
      <c r="CK78" s="2219"/>
      <c r="CL78" s="2213"/>
      <c r="CM78" s="2219"/>
      <c r="CN78" s="2213"/>
      <c r="CO78" s="2213"/>
      <c r="CP78" s="2213"/>
      <c r="CQ78" s="2213"/>
      <c r="CR78" s="2208"/>
      <c r="CS78" s="2217">
        <f t="shared" si="35"/>
        <v>-59.995125625694342</v>
      </c>
      <c r="CT78" s="2217">
        <f t="shared" si="26"/>
        <v>4430.7333038563829</v>
      </c>
      <c r="CU78" s="2217">
        <f t="shared" si="16"/>
        <v>-36.070463426440256</v>
      </c>
      <c r="CV78" s="2212">
        <v>257</v>
      </c>
      <c r="CW78" s="2208"/>
      <c r="CX78" s="263"/>
      <c r="CY78" s="2208"/>
      <c r="CZ78" s="263"/>
      <c r="DA78" s="263"/>
      <c r="DB78" s="263"/>
      <c r="DC78" s="263"/>
      <c r="DD78" s="2208"/>
    </row>
    <row r="79" spans="1:108">
      <c r="A79" s="2217">
        <f t="shared" si="27"/>
        <v>-12.824830187202497</v>
      </c>
      <c r="B79" s="2217">
        <f t="shared" si="9"/>
        <v>8662.2038649479</v>
      </c>
      <c r="C79" s="2217">
        <f t="shared" si="17"/>
        <v>-1.3259392932195624</v>
      </c>
      <c r="D79" s="2212">
        <v>256</v>
      </c>
      <c r="E79" s="2219"/>
      <c r="F79" s="2213"/>
      <c r="G79" s="2219"/>
      <c r="H79" s="2213"/>
      <c r="I79" s="2213"/>
      <c r="J79" s="2213"/>
      <c r="K79" s="2213"/>
      <c r="L79" s="2213"/>
      <c r="M79" s="2217">
        <f t="shared" si="28"/>
        <v>-12.917645937727867</v>
      </c>
      <c r="N79" s="2217">
        <f t="shared" si="10"/>
        <v>8662.2038649479</v>
      </c>
      <c r="O79" s="2217">
        <f t="shared" si="18"/>
        <v>-1.3259392932195624</v>
      </c>
      <c r="P79" s="2212">
        <v>256</v>
      </c>
      <c r="Q79" s="2219"/>
      <c r="R79" s="2213"/>
      <c r="S79" s="2219"/>
      <c r="T79" s="2213"/>
      <c r="U79" s="2213"/>
      <c r="V79" s="2213"/>
      <c r="W79" s="2213"/>
      <c r="X79" s="2213"/>
      <c r="Y79" s="2217">
        <f t="shared" si="29"/>
        <v>-13.036980474117627</v>
      </c>
      <c r="Z79" s="2217">
        <f t="shared" si="19"/>
        <v>8662.2038649479</v>
      </c>
      <c r="AA79" s="2217">
        <f t="shared" si="20"/>
        <v>-1.3259392932195624</v>
      </c>
      <c r="AB79" s="2212">
        <v>256</v>
      </c>
      <c r="AC79" s="2219"/>
      <c r="AD79" s="2213"/>
      <c r="AE79" s="2219"/>
      <c r="AF79" s="2213"/>
      <c r="AG79" s="2213"/>
      <c r="AH79" s="2213"/>
      <c r="AI79" s="2213"/>
      <c r="AJ79" s="2213"/>
      <c r="AK79" s="2217">
        <f t="shared" si="30"/>
        <v>-12.466826578033215</v>
      </c>
      <c r="AL79" s="2217">
        <f t="shared" si="11"/>
        <v>8662.2038649479</v>
      </c>
      <c r="AM79" s="2217">
        <f t="shared" si="21"/>
        <v>-1.3259392932195624</v>
      </c>
      <c r="AN79" s="2212">
        <v>256</v>
      </c>
      <c r="AO79" s="2219"/>
      <c r="AP79" s="2213"/>
      <c r="AQ79" s="2219"/>
      <c r="AR79" s="2213"/>
      <c r="AS79" s="2213"/>
      <c r="AT79" s="2213"/>
      <c r="AU79" s="2213"/>
      <c r="AV79" s="2213"/>
      <c r="AW79" s="2217">
        <f t="shared" si="31"/>
        <v>-49.17497735706597</v>
      </c>
      <c r="AX79" s="2217">
        <f t="shared" si="22"/>
        <v>4466.8037672828232</v>
      </c>
      <c r="AY79" s="2217">
        <f t="shared" si="12"/>
        <v>-35.731110714213173</v>
      </c>
      <c r="AZ79" s="2212">
        <v>256</v>
      </c>
      <c r="BA79" s="2208"/>
      <c r="BB79" s="263"/>
      <c r="BC79" s="2208"/>
      <c r="BD79" s="263"/>
      <c r="BE79" s="263"/>
      <c r="BF79" s="263"/>
      <c r="BG79" s="263"/>
      <c r="BH79" s="2208"/>
      <c r="BI79" s="2217">
        <f t="shared" si="32"/>
        <v>-60.251621678472048</v>
      </c>
      <c r="BJ79" s="2217">
        <f t="shared" si="23"/>
        <v>4466.8037672828232</v>
      </c>
      <c r="BK79" s="2217">
        <f t="shared" si="13"/>
        <v>-35.731110714213173</v>
      </c>
      <c r="BL79" s="2212">
        <v>256</v>
      </c>
      <c r="BM79" s="2208"/>
      <c r="BN79" s="263"/>
      <c r="BO79" s="2208"/>
      <c r="BP79" s="263"/>
      <c r="BQ79" s="263"/>
      <c r="BR79" s="263"/>
      <c r="BS79" s="263"/>
      <c r="BT79" s="2208"/>
      <c r="BU79" s="2217">
        <f t="shared" si="33"/>
        <v>-12.466826578033215</v>
      </c>
      <c r="BV79" s="2217">
        <f t="shared" si="14"/>
        <v>8662.2038649479</v>
      </c>
      <c r="BW79" s="2217">
        <f t="shared" si="24"/>
        <v>-1.3259392932195624</v>
      </c>
      <c r="BX79" s="2212">
        <v>256</v>
      </c>
      <c r="BY79" s="2219"/>
      <c r="BZ79" s="2213"/>
      <c r="CA79" s="2219"/>
      <c r="CB79" s="2213"/>
      <c r="CC79" s="2213"/>
      <c r="CD79" s="2213"/>
      <c r="CE79" s="2213"/>
      <c r="CF79" s="2208"/>
      <c r="CG79" s="2217">
        <f t="shared" si="34"/>
        <v>-12.625939293219563</v>
      </c>
      <c r="CH79" s="2217">
        <f t="shared" si="15"/>
        <v>8662.2038649479</v>
      </c>
      <c r="CI79" s="2217">
        <f t="shared" si="25"/>
        <v>-1.3259392932195624</v>
      </c>
      <c r="CJ79" s="2212">
        <v>256</v>
      </c>
      <c r="CK79" s="2219"/>
      <c r="CL79" s="2213"/>
      <c r="CM79" s="2219"/>
      <c r="CN79" s="2213"/>
      <c r="CO79" s="2213"/>
      <c r="CP79" s="2213"/>
      <c r="CQ79" s="2213"/>
      <c r="CR79" s="2208"/>
      <c r="CS79" s="2217">
        <f t="shared" si="35"/>
        <v>-59.536999464187787</v>
      </c>
      <c r="CT79" s="2217">
        <f t="shared" si="26"/>
        <v>4466.8037672828232</v>
      </c>
      <c r="CU79" s="2217">
        <f t="shared" si="16"/>
        <v>-35.731110714213173</v>
      </c>
      <c r="CV79" s="2212">
        <v>256</v>
      </c>
      <c r="CW79" s="2208"/>
      <c r="CX79" s="263"/>
      <c r="CY79" s="2208"/>
      <c r="CZ79" s="263"/>
      <c r="DA79" s="263"/>
      <c r="DB79" s="263"/>
      <c r="DC79" s="263"/>
      <c r="DD79" s="2208"/>
    </row>
    <row r="80" spans="1:108">
      <c r="A80" s="2217">
        <f t="shared" si="27"/>
        <v>-12.722215878386487</v>
      </c>
      <c r="B80" s="2217">
        <f t="shared" si="9"/>
        <v>8663.5298042411196</v>
      </c>
      <c r="C80" s="2217">
        <f t="shared" si="17"/>
        <v>-1.2367094594665105</v>
      </c>
      <c r="D80" s="2212">
        <v>255</v>
      </c>
      <c r="E80" s="2219"/>
      <c r="F80" s="2213"/>
      <c r="G80" s="2219"/>
      <c r="H80" s="2213"/>
      <c r="I80" s="2213"/>
      <c r="J80" s="2213"/>
      <c r="K80" s="2213"/>
      <c r="L80" s="2213"/>
      <c r="M80" s="2217">
        <f t="shared" si="28"/>
        <v>-12.808785540549144</v>
      </c>
      <c r="N80" s="2217">
        <f t="shared" si="10"/>
        <v>8663.5298042411196</v>
      </c>
      <c r="O80" s="2217">
        <f t="shared" si="18"/>
        <v>-1.2367094594665105</v>
      </c>
      <c r="P80" s="2212">
        <v>255</v>
      </c>
      <c r="Q80" s="2219"/>
      <c r="R80" s="2213"/>
      <c r="S80" s="2219"/>
      <c r="T80" s="2213"/>
      <c r="U80" s="2213"/>
      <c r="V80" s="2213"/>
      <c r="W80" s="2213"/>
      <c r="X80" s="2213"/>
      <c r="Y80" s="2217">
        <f t="shared" si="29"/>
        <v>-12.920089391901129</v>
      </c>
      <c r="Z80" s="2217">
        <f t="shared" si="19"/>
        <v>8663.5298042411196</v>
      </c>
      <c r="AA80" s="2217">
        <f t="shared" si="20"/>
        <v>-1.2367094594665105</v>
      </c>
      <c r="AB80" s="2212">
        <v>255</v>
      </c>
      <c r="AC80" s="2219"/>
      <c r="AD80" s="2213"/>
      <c r="AE80" s="2219"/>
      <c r="AF80" s="2213"/>
      <c r="AG80" s="2213"/>
      <c r="AH80" s="2213"/>
      <c r="AI80" s="2213"/>
      <c r="AJ80" s="2213"/>
      <c r="AK80" s="2217">
        <f t="shared" si="30"/>
        <v>-12.38830432433053</v>
      </c>
      <c r="AL80" s="2217">
        <f t="shared" si="11"/>
        <v>8663.5298042411196</v>
      </c>
      <c r="AM80" s="2217">
        <f t="shared" si="21"/>
        <v>-1.2367094594665105</v>
      </c>
      <c r="AN80" s="2212">
        <v>255</v>
      </c>
      <c r="AO80" s="2219"/>
      <c r="AP80" s="2213"/>
      <c r="AQ80" s="2219"/>
      <c r="AR80" s="2213"/>
      <c r="AS80" s="2213"/>
      <c r="AT80" s="2213"/>
      <c r="AU80" s="2213"/>
      <c r="AV80" s="2213"/>
      <c r="AW80" s="2217">
        <f t="shared" si="31"/>
        <v>-48.815428762075442</v>
      </c>
      <c r="AX80" s="2217">
        <f t="shared" si="22"/>
        <v>4502.5348779970363</v>
      </c>
      <c r="AY80" s="2217">
        <f t="shared" si="12"/>
        <v>-35.391913926486268</v>
      </c>
      <c r="AZ80" s="2212">
        <v>255</v>
      </c>
      <c r="BA80" s="2208"/>
      <c r="BB80" s="263"/>
      <c r="BC80" s="2208"/>
      <c r="BD80" s="263"/>
      <c r="BE80" s="263"/>
      <c r="BF80" s="263"/>
      <c r="BG80" s="263"/>
      <c r="BH80" s="2208"/>
      <c r="BI80" s="2217">
        <f t="shared" si="32"/>
        <v>-59.786922079286185</v>
      </c>
      <c r="BJ80" s="2217">
        <f t="shared" si="23"/>
        <v>4502.5348779970363</v>
      </c>
      <c r="BK80" s="2217">
        <f t="shared" si="13"/>
        <v>-35.391913926486268</v>
      </c>
      <c r="BL80" s="2212">
        <v>255</v>
      </c>
      <c r="BM80" s="2208"/>
      <c r="BN80" s="263"/>
      <c r="BO80" s="2208"/>
      <c r="BP80" s="263"/>
      <c r="BQ80" s="263"/>
      <c r="BR80" s="263"/>
      <c r="BS80" s="263"/>
      <c r="BT80" s="2208"/>
      <c r="BU80" s="2217">
        <f t="shared" si="33"/>
        <v>-12.38830432433053</v>
      </c>
      <c r="BV80" s="2217">
        <f t="shared" si="14"/>
        <v>8663.5298042411196</v>
      </c>
      <c r="BW80" s="2217">
        <f t="shared" si="24"/>
        <v>-1.2367094594665105</v>
      </c>
      <c r="BX80" s="2212">
        <v>255</v>
      </c>
      <c r="BY80" s="2219"/>
      <c r="BZ80" s="2213"/>
      <c r="CA80" s="2219"/>
      <c r="CB80" s="2213"/>
      <c r="CC80" s="2213"/>
      <c r="CD80" s="2213"/>
      <c r="CE80" s="2213"/>
      <c r="CF80" s="2208"/>
      <c r="CG80" s="2217">
        <f t="shared" si="34"/>
        <v>-12.536709459466511</v>
      </c>
      <c r="CH80" s="2217">
        <f t="shared" si="15"/>
        <v>8663.5298042411196</v>
      </c>
      <c r="CI80" s="2217">
        <f t="shared" si="25"/>
        <v>-1.2367094594665105</v>
      </c>
      <c r="CJ80" s="2212">
        <v>255</v>
      </c>
      <c r="CK80" s="2219"/>
      <c r="CL80" s="2213"/>
      <c r="CM80" s="2219"/>
      <c r="CN80" s="2213"/>
      <c r="CO80" s="2213"/>
      <c r="CP80" s="2213"/>
      <c r="CQ80" s="2213"/>
      <c r="CR80" s="2208"/>
      <c r="CS80" s="2217">
        <f t="shared" si="35"/>
        <v>-59.079083800756464</v>
      </c>
      <c r="CT80" s="2217">
        <f t="shared" si="26"/>
        <v>4502.5348779970363</v>
      </c>
      <c r="CU80" s="2217">
        <f t="shared" si="16"/>
        <v>-35.391913926486268</v>
      </c>
      <c r="CV80" s="2212">
        <v>255</v>
      </c>
      <c r="CW80" s="2208"/>
      <c r="CX80" s="263"/>
      <c r="CY80" s="2208"/>
      <c r="CZ80" s="263"/>
      <c r="DA80" s="263"/>
      <c r="DB80" s="263"/>
      <c r="DC80" s="263"/>
      <c r="DD80" s="2208"/>
    </row>
    <row r="81" spans="1:108">
      <c r="A81" s="2217">
        <f t="shared" si="27"/>
        <v>-12.61863266205328</v>
      </c>
      <c r="B81" s="2217">
        <f t="shared" si="9"/>
        <v>8664.7665137005861</v>
      </c>
      <c r="C81" s="2217">
        <f t="shared" si="17"/>
        <v>-1.1466370974376332</v>
      </c>
      <c r="D81" s="2212">
        <v>254</v>
      </c>
      <c r="E81" s="2219"/>
      <c r="F81" s="2213"/>
      <c r="G81" s="2219"/>
      <c r="H81" s="2213"/>
      <c r="I81" s="2213"/>
      <c r="J81" s="2213"/>
      <c r="K81" s="2213"/>
      <c r="L81" s="2213"/>
      <c r="M81" s="2217">
        <f t="shared" si="28"/>
        <v>-12.698897258873913</v>
      </c>
      <c r="N81" s="2217">
        <f t="shared" si="10"/>
        <v>8664.7665137005861</v>
      </c>
      <c r="O81" s="2217">
        <f t="shared" si="18"/>
        <v>-1.1466370974376332</v>
      </c>
      <c r="P81" s="2212">
        <v>254</v>
      </c>
      <c r="Q81" s="2219"/>
      <c r="R81" s="2213"/>
      <c r="S81" s="2219"/>
      <c r="T81" s="2213"/>
      <c r="U81" s="2213"/>
      <c r="V81" s="2213"/>
      <c r="W81" s="2213"/>
      <c r="X81" s="2213"/>
      <c r="Y81" s="2217">
        <f t="shared" si="29"/>
        <v>-12.8020945976433</v>
      </c>
      <c r="Z81" s="2217">
        <f t="shared" si="19"/>
        <v>8664.7665137005861</v>
      </c>
      <c r="AA81" s="2217">
        <f t="shared" si="20"/>
        <v>-1.1466370974376332</v>
      </c>
      <c r="AB81" s="2212">
        <v>254</v>
      </c>
      <c r="AC81" s="2219"/>
      <c r="AD81" s="2213"/>
      <c r="AE81" s="2219"/>
      <c r="AF81" s="2213"/>
      <c r="AG81" s="2213"/>
      <c r="AH81" s="2213"/>
      <c r="AI81" s="2213"/>
      <c r="AJ81" s="2213"/>
      <c r="AK81" s="2217">
        <f t="shared" si="30"/>
        <v>-12.309040645745117</v>
      </c>
      <c r="AL81" s="2217">
        <f t="shared" si="11"/>
        <v>8664.7665137005861</v>
      </c>
      <c r="AM81" s="2217">
        <f t="shared" si="21"/>
        <v>-1.1466370974376332</v>
      </c>
      <c r="AN81" s="2212">
        <v>254</v>
      </c>
      <c r="AO81" s="2219"/>
      <c r="AP81" s="2213"/>
      <c r="AQ81" s="2219"/>
      <c r="AR81" s="2213"/>
      <c r="AS81" s="2213"/>
      <c r="AT81" s="2213"/>
      <c r="AU81" s="2213"/>
      <c r="AV81" s="2213"/>
      <c r="AW81" s="2217">
        <f t="shared" si="31"/>
        <v>-48.456045447058003</v>
      </c>
      <c r="AX81" s="2217">
        <f t="shared" si="22"/>
        <v>4537.9267919235226</v>
      </c>
      <c r="AY81" s="2217">
        <f t="shared" si="12"/>
        <v>-35.052873063262268</v>
      </c>
      <c r="AZ81" s="2212">
        <v>254</v>
      </c>
      <c r="BA81" s="2208"/>
      <c r="BB81" s="263"/>
      <c r="BC81" s="2208"/>
      <c r="BD81" s="263"/>
      <c r="BE81" s="263"/>
      <c r="BF81" s="263"/>
      <c r="BG81" s="263"/>
      <c r="BH81" s="2208"/>
      <c r="BI81" s="2217">
        <f t="shared" si="32"/>
        <v>-59.322436096669307</v>
      </c>
      <c r="BJ81" s="2217">
        <f t="shared" si="23"/>
        <v>4537.9267919235226</v>
      </c>
      <c r="BK81" s="2217">
        <f t="shared" si="13"/>
        <v>-35.052873063262268</v>
      </c>
      <c r="BL81" s="2212">
        <v>254</v>
      </c>
      <c r="BM81" s="2208"/>
      <c r="BN81" s="263"/>
      <c r="BO81" s="2208"/>
      <c r="BP81" s="263"/>
      <c r="BQ81" s="263"/>
      <c r="BR81" s="263"/>
      <c r="BS81" s="263"/>
      <c r="BT81" s="2208"/>
      <c r="BU81" s="2217">
        <f t="shared" si="33"/>
        <v>-12.309040645745117</v>
      </c>
      <c r="BV81" s="2217">
        <f t="shared" si="14"/>
        <v>8664.7665137005861</v>
      </c>
      <c r="BW81" s="2217">
        <f t="shared" si="24"/>
        <v>-1.1466370974376332</v>
      </c>
      <c r="BX81" s="2212">
        <v>254</v>
      </c>
      <c r="BY81" s="2219"/>
      <c r="BZ81" s="2213"/>
      <c r="CA81" s="2219"/>
      <c r="CB81" s="2213"/>
      <c r="CC81" s="2213"/>
      <c r="CD81" s="2213"/>
      <c r="CE81" s="2213"/>
      <c r="CF81" s="2208"/>
      <c r="CG81" s="2217">
        <f t="shared" si="34"/>
        <v>-12.446637097437634</v>
      </c>
      <c r="CH81" s="2217">
        <f t="shared" si="15"/>
        <v>8664.7665137005861</v>
      </c>
      <c r="CI81" s="2217">
        <f t="shared" si="25"/>
        <v>-1.1466370974376332</v>
      </c>
      <c r="CJ81" s="2212">
        <v>254</v>
      </c>
      <c r="CK81" s="2219"/>
      <c r="CL81" s="2213"/>
      <c r="CM81" s="2219"/>
      <c r="CN81" s="2213"/>
      <c r="CO81" s="2213"/>
      <c r="CP81" s="2213"/>
      <c r="CQ81" s="2213"/>
      <c r="CR81" s="2208"/>
      <c r="CS81" s="2217">
        <f t="shared" si="35"/>
        <v>-58.621378635404071</v>
      </c>
      <c r="CT81" s="2217">
        <f t="shared" si="26"/>
        <v>4537.9267919235226</v>
      </c>
      <c r="CU81" s="2217">
        <f t="shared" si="16"/>
        <v>-35.052873063262268</v>
      </c>
      <c r="CV81" s="2212">
        <v>254</v>
      </c>
      <c r="CW81" s="2208"/>
      <c r="CX81" s="263"/>
      <c r="CY81" s="2208"/>
      <c r="CZ81" s="263"/>
      <c r="DA81" s="263"/>
      <c r="DB81" s="263"/>
      <c r="DC81" s="263"/>
      <c r="DD81" s="2208"/>
    </row>
    <row r="82" spans="1:108">
      <c r="A82" s="2217">
        <f t="shared" si="27"/>
        <v>-12.51408053821333</v>
      </c>
      <c r="B82" s="2217">
        <f t="shared" si="9"/>
        <v>8665.9131507980237</v>
      </c>
      <c r="C82" s="2217">
        <f t="shared" si="17"/>
        <v>-1.0557222071420256</v>
      </c>
      <c r="D82" s="2212">
        <v>253</v>
      </c>
      <c r="E82" s="2219"/>
      <c r="F82" s="2213"/>
      <c r="G82" s="2219"/>
      <c r="H82" s="2213"/>
      <c r="I82" s="2213"/>
      <c r="J82" s="2213"/>
      <c r="K82" s="2213"/>
      <c r="L82" s="2213"/>
      <c r="M82" s="2217">
        <f t="shared" si="28"/>
        <v>-12.587981092713271</v>
      </c>
      <c r="N82" s="2217">
        <f t="shared" si="10"/>
        <v>8665.9131507980237</v>
      </c>
      <c r="O82" s="2217">
        <f t="shared" si="18"/>
        <v>-1.0557222071420256</v>
      </c>
      <c r="P82" s="2212">
        <v>253</v>
      </c>
      <c r="Q82" s="2219"/>
      <c r="R82" s="2213"/>
      <c r="S82" s="2219"/>
      <c r="T82" s="2213"/>
      <c r="U82" s="2213"/>
      <c r="V82" s="2213"/>
      <c r="W82" s="2213"/>
      <c r="X82" s="2213"/>
      <c r="Y82" s="2217">
        <f t="shared" si="29"/>
        <v>-12.682996091356054</v>
      </c>
      <c r="Z82" s="2217">
        <f t="shared" si="19"/>
        <v>8665.9131507980237</v>
      </c>
      <c r="AA82" s="2217">
        <f t="shared" si="20"/>
        <v>-1.0557222071420256</v>
      </c>
      <c r="AB82" s="2212">
        <v>253</v>
      </c>
      <c r="AC82" s="2219"/>
      <c r="AD82" s="2213"/>
      <c r="AE82" s="2219"/>
      <c r="AF82" s="2213"/>
      <c r="AG82" s="2213"/>
      <c r="AH82" s="2213"/>
      <c r="AI82" s="2213"/>
      <c r="AJ82" s="2213"/>
      <c r="AK82" s="2217">
        <f t="shared" si="30"/>
        <v>-12.229035542284983</v>
      </c>
      <c r="AL82" s="2217">
        <f t="shared" si="11"/>
        <v>8665.9131507980237</v>
      </c>
      <c r="AM82" s="2217">
        <f t="shared" si="21"/>
        <v>-1.0557222071420256</v>
      </c>
      <c r="AN82" s="2212">
        <v>253</v>
      </c>
      <c r="AO82" s="2219"/>
      <c r="AP82" s="2213"/>
      <c r="AQ82" s="2219"/>
      <c r="AR82" s="2213"/>
      <c r="AS82" s="2213"/>
      <c r="AT82" s="2213"/>
      <c r="AU82" s="2213"/>
      <c r="AV82" s="2213"/>
      <c r="AW82" s="2217">
        <f t="shared" si="31"/>
        <v>-48.096827412006903</v>
      </c>
      <c r="AX82" s="2217">
        <f t="shared" si="22"/>
        <v>4572.9796649867849</v>
      </c>
      <c r="AY82" s="2217">
        <f t="shared" si="12"/>
        <v>-34.713988124534808</v>
      </c>
      <c r="AZ82" s="2212">
        <v>253</v>
      </c>
      <c r="BA82" s="2208"/>
      <c r="BB82" s="263"/>
      <c r="BC82" s="2208"/>
      <c r="BD82" s="263"/>
      <c r="BE82" s="263"/>
      <c r="BF82" s="263"/>
      <c r="BG82" s="263"/>
      <c r="BH82" s="2208"/>
      <c r="BI82" s="2217">
        <f t="shared" si="32"/>
        <v>-58.858163730612688</v>
      </c>
      <c r="BJ82" s="2217">
        <f t="shared" si="23"/>
        <v>4572.9796649867849</v>
      </c>
      <c r="BK82" s="2217">
        <f t="shared" si="13"/>
        <v>-34.713988124534808</v>
      </c>
      <c r="BL82" s="2212">
        <v>253</v>
      </c>
      <c r="BM82" s="2208"/>
      <c r="BN82" s="263"/>
      <c r="BO82" s="2208"/>
      <c r="BP82" s="263"/>
      <c r="BQ82" s="263"/>
      <c r="BR82" s="263"/>
      <c r="BS82" s="263"/>
      <c r="BT82" s="2208"/>
      <c r="BU82" s="2217">
        <f t="shared" si="33"/>
        <v>-12.229035542284983</v>
      </c>
      <c r="BV82" s="2217">
        <f t="shared" si="14"/>
        <v>8665.9131507980237</v>
      </c>
      <c r="BW82" s="2217">
        <f t="shared" si="24"/>
        <v>-1.0557222071420256</v>
      </c>
      <c r="BX82" s="2212">
        <v>253</v>
      </c>
      <c r="BY82" s="2219"/>
      <c r="BZ82" s="2213"/>
      <c r="CA82" s="2219"/>
      <c r="CB82" s="2213"/>
      <c r="CC82" s="2213"/>
      <c r="CD82" s="2213"/>
      <c r="CE82" s="2213"/>
      <c r="CF82" s="2208"/>
      <c r="CG82" s="2217">
        <f t="shared" si="34"/>
        <v>-12.355722207142026</v>
      </c>
      <c r="CH82" s="2217">
        <f t="shared" si="15"/>
        <v>8665.9131507980237</v>
      </c>
      <c r="CI82" s="2217">
        <f t="shared" si="25"/>
        <v>-1.0557222071420256</v>
      </c>
      <c r="CJ82" s="2212">
        <v>253</v>
      </c>
      <c r="CK82" s="2219"/>
      <c r="CL82" s="2213"/>
      <c r="CM82" s="2219"/>
      <c r="CN82" s="2213"/>
      <c r="CO82" s="2213"/>
      <c r="CP82" s="2213"/>
      <c r="CQ82" s="2213"/>
      <c r="CR82" s="2208"/>
      <c r="CS82" s="2217">
        <f t="shared" si="35"/>
        <v>-58.163883968121993</v>
      </c>
      <c r="CT82" s="2217">
        <f t="shared" si="26"/>
        <v>4572.9796649867849</v>
      </c>
      <c r="CU82" s="2217">
        <f t="shared" si="16"/>
        <v>-34.713988124534808</v>
      </c>
      <c r="CV82" s="2212">
        <v>253</v>
      </c>
      <c r="CW82" s="2208"/>
      <c r="CX82" s="263"/>
      <c r="CY82" s="2208"/>
      <c r="CZ82" s="263"/>
      <c r="DA82" s="263"/>
      <c r="DB82" s="263"/>
      <c r="DC82" s="263"/>
      <c r="DD82" s="2208"/>
    </row>
    <row r="83" spans="1:108">
      <c r="A83" s="2217">
        <f t="shared" si="27"/>
        <v>-12.408559506864549</v>
      </c>
      <c r="B83" s="2217">
        <f t="shared" si="9"/>
        <v>8666.9688730051657</v>
      </c>
      <c r="C83" s="2217">
        <f t="shared" si="17"/>
        <v>-0.9639647885778686</v>
      </c>
      <c r="D83" s="2212">
        <v>252</v>
      </c>
      <c r="E83" s="2219"/>
      <c r="F83" s="2213"/>
      <c r="G83" s="2219"/>
      <c r="H83" s="2213"/>
      <c r="I83" s="2213"/>
      <c r="J83" s="2213"/>
      <c r="K83" s="2213"/>
      <c r="L83" s="2213"/>
      <c r="M83" s="2217">
        <f t="shared" si="28"/>
        <v>-12.476037042065</v>
      </c>
      <c r="N83" s="2217">
        <f t="shared" si="10"/>
        <v>8666.9688730051657</v>
      </c>
      <c r="O83" s="2217">
        <f t="shared" si="18"/>
        <v>-0.9639647885778686</v>
      </c>
      <c r="P83" s="2212">
        <v>252</v>
      </c>
      <c r="Q83" s="2219"/>
      <c r="R83" s="2213"/>
      <c r="S83" s="2219"/>
      <c r="T83" s="2213"/>
      <c r="U83" s="2213"/>
      <c r="V83" s="2213"/>
      <c r="W83" s="2213"/>
      <c r="X83" s="2213"/>
      <c r="Y83" s="2217">
        <f t="shared" si="29"/>
        <v>-12.562793873037009</v>
      </c>
      <c r="Z83" s="2217">
        <f t="shared" si="19"/>
        <v>8666.9688730051657</v>
      </c>
      <c r="AA83" s="2217">
        <f t="shared" si="20"/>
        <v>-0.9639647885778686</v>
      </c>
      <c r="AB83" s="2212">
        <v>252</v>
      </c>
      <c r="AC83" s="2219"/>
      <c r="AD83" s="2213"/>
      <c r="AE83" s="2219"/>
      <c r="AF83" s="2213"/>
      <c r="AG83" s="2213"/>
      <c r="AH83" s="2213"/>
      <c r="AI83" s="2213"/>
      <c r="AJ83" s="2213"/>
      <c r="AK83" s="2217">
        <f t="shared" si="30"/>
        <v>-12.148289013948524</v>
      </c>
      <c r="AL83" s="2217">
        <f t="shared" si="11"/>
        <v>8666.9688730051657</v>
      </c>
      <c r="AM83" s="2217">
        <f t="shared" si="21"/>
        <v>-0.9639647885778686</v>
      </c>
      <c r="AN83" s="2212">
        <v>252</v>
      </c>
      <c r="AO83" s="2219"/>
      <c r="AP83" s="2213"/>
      <c r="AQ83" s="2219"/>
      <c r="AR83" s="2213"/>
      <c r="AS83" s="2213"/>
      <c r="AT83" s="2213"/>
      <c r="AU83" s="2213"/>
      <c r="AV83" s="2213"/>
      <c r="AW83" s="2217">
        <f t="shared" si="31"/>
        <v>-47.737774656930796</v>
      </c>
      <c r="AX83" s="2217">
        <f t="shared" si="22"/>
        <v>4607.6936531113197</v>
      </c>
      <c r="AY83" s="2217">
        <f t="shared" si="12"/>
        <v>-34.375259110312072</v>
      </c>
      <c r="AZ83" s="2212">
        <v>252</v>
      </c>
      <c r="BA83" s="2208"/>
      <c r="BB83" s="263"/>
      <c r="BC83" s="2208"/>
      <c r="BD83" s="263"/>
      <c r="BE83" s="263"/>
      <c r="BF83" s="263"/>
      <c r="BG83" s="263"/>
      <c r="BH83" s="2208"/>
      <c r="BI83" s="2217">
        <f t="shared" si="32"/>
        <v>-58.394104981127541</v>
      </c>
      <c r="BJ83" s="2217">
        <f t="shared" si="23"/>
        <v>4607.6936531113197</v>
      </c>
      <c r="BK83" s="2217">
        <f t="shared" si="13"/>
        <v>-34.375259110312072</v>
      </c>
      <c r="BL83" s="2212">
        <v>252</v>
      </c>
      <c r="BM83" s="2208"/>
      <c r="BN83" s="263"/>
      <c r="BO83" s="2208"/>
      <c r="BP83" s="263"/>
      <c r="BQ83" s="263"/>
      <c r="BR83" s="263"/>
      <c r="BS83" s="263"/>
      <c r="BT83" s="2208"/>
      <c r="BU83" s="2217">
        <f t="shared" si="33"/>
        <v>-12.148289013948524</v>
      </c>
      <c r="BV83" s="2217">
        <f t="shared" si="14"/>
        <v>8666.9688730051657</v>
      </c>
      <c r="BW83" s="2217">
        <f t="shared" si="24"/>
        <v>-0.9639647885778686</v>
      </c>
      <c r="BX83" s="2212">
        <v>252</v>
      </c>
      <c r="BY83" s="2219"/>
      <c r="BZ83" s="2213"/>
      <c r="CA83" s="2219"/>
      <c r="CB83" s="2213"/>
      <c r="CC83" s="2213"/>
      <c r="CD83" s="2213"/>
      <c r="CE83" s="2213"/>
      <c r="CF83" s="2208"/>
      <c r="CG83" s="2217">
        <f t="shared" si="34"/>
        <v>-12.263964788577869</v>
      </c>
      <c r="CH83" s="2217">
        <f t="shared" si="15"/>
        <v>8666.9688730051657</v>
      </c>
      <c r="CI83" s="2217">
        <f t="shared" si="25"/>
        <v>-0.9639647885778686</v>
      </c>
      <c r="CJ83" s="2212">
        <v>252</v>
      </c>
      <c r="CK83" s="2219"/>
      <c r="CL83" s="2213"/>
      <c r="CM83" s="2219"/>
      <c r="CN83" s="2213"/>
      <c r="CO83" s="2213"/>
      <c r="CP83" s="2213"/>
      <c r="CQ83" s="2213"/>
      <c r="CR83" s="2208"/>
      <c r="CS83" s="2217">
        <f t="shared" si="35"/>
        <v>-57.706599798921303</v>
      </c>
      <c r="CT83" s="2217">
        <f t="shared" si="26"/>
        <v>4607.6936531113197</v>
      </c>
      <c r="CU83" s="2217">
        <f t="shared" si="16"/>
        <v>-34.375259110312072</v>
      </c>
      <c r="CV83" s="2212">
        <v>252</v>
      </c>
      <c r="CW83" s="2208"/>
      <c r="CX83" s="263"/>
      <c r="CY83" s="2208"/>
      <c r="CZ83" s="263"/>
      <c r="DA83" s="263"/>
      <c r="DB83" s="263"/>
      <c r="DC83" s="263"/>
      <c r="DD83" s="2208"/>
    </row>
    <row r="84" spans="1:108">
      <c r="A84" s="2217">
        <f t="shared" si="27"/>
        <v>-12.302069568006937</v>
      </c>
      <c r="B84" s="2217">
        <f t="shared" si="9"/>
        <v>8667.9328377937436</v>
      </c>
      <c r="C84" s="2217">
        <f t="shared" si="17"/>
        <v>-0.87136484174516227</v>
      </c>
      <c r="D84" s="2212">
        <v>251</v>
      </c>
      <c r="E84" s="2219"/>
      <c r="F84" s="2213"/>
      <c r="G84" s="2219"/>
      <c r="H84" s="2213"/>
      <c r="I84" s="2213"/>
      <c r="J84" s="2213"/>
      <c r="K84" s="2213"/>
      <c r="L84" s="2213"/>
      <c r="M84" s="2217">
        <f t="shared" si="28"/>
        <v>-12.363065106929099</v>
      </c>
      <c r="N84" s="2217">
        <f t="shared" si="10"/>
        <v>8667.9328377937436</v>
      </c>
      <c r="O84" s="2217">
        <f t="shared" si="18"/>
        <v>-0.87136484174516227</v>
      </c>
      <c r="P84" s="2212">
        <v>251</v>
      </c>
      <c r="Q84" s="2219"/>
      <c r="R84" s="2213"/>
      <c r="S84" s="2219"/>
      <c r="T84" s="2213"/>
      <c r="U84" s="2213"/>
      <c r="V84" s="2213"/>
      <c r="W84" s="2213"/>
      <c r="X84" s="2213"/>
      <c r="Y84" s="2217">
        <f t="shared" si="29"/>
        <v>-12.441487942686162</v>
      </c>
      <c r="Z84" s="2217">
        <f t="shared" si="19"/>
        <v>8667.9328377937436</v>
      </c>
      <c r="AA84" s="2217">
        <f t="shared" si="20"/>
        <v>-0.87136484174516227</v>
      </c>
      <c r="AB84" s="2212">
        <v>251</v>
      </c>
      <c r="AC84" s="2219"/>
      <c r="AD84" s="2213"/>
      <c r="AE84" s="2219"/>
      <c r="AF84" s="2213"/>
      <c r="AG84" s="2213"/>
      <c r="AH84" s="2213"/>
      <c r="AI84" s="2213"/>
      <c r="AJ84" s="2213"/>
      <c r="AK84" s="2217">
        <f t="shared" si="30"/>
        <v>-12.066801060735743</v>
      </c>
      <c r="AL84" s="2217">
        <f t="shared" si="11"/>
        <v>8667.9328377937436</v>
      </c>
      <c r="AM84" s="2217">
        <f t="shared" si="21"/>
        <v>-0.87136484174516227</v>
      </c>
      <c r="AN84" s="2212">
        <v>251</v>
      </c>
      <c r="AO84" s="2219"/>
      <c r="AP84" s="2213"/>
      <c r="AQ84" s="2219"/>
      <c r="AR84" s="2213"/>
      <c r="AS84" s="2213"/>
      <c r="AT84" s="2213"/>
      <c r="AU84" s="2213"/>
      <c r="AV84" s="2213"/>
      <c r="AW84" s="2217">
        <f t="shared" si="31"/>
        <v>-47.378887181821995</v>
      </c>
      <c r="AX84" s="2217">
        <f t="shared" si="22"/>
        <v>4642.0689122216318</v>
      </c>
      <c r="AY84" s="2217">
        <f t="shared" si="12"/>
        <v>-34.036686020586785</v>
      </c>
      <c r="AZ84" s="2212">
        <v>251</v>
      </c>
      <c r="BA84" s="2208"/>
      <c r="BB84" s="263"/>
      <c r="BC84" s="2208"/>
      <c r="BD84" s="263"/>
      <c r="BE84" s="263"/>
      <c r="BF84" s="263"/>
      <c r="BG84" s="263"/>
      <c r="BH84" s="2208"/>
      <c r="BI84" s="2217">
        <f t="shared" si="32"/>
        <v>-57.930259848203903</v>
      </c>
      <c r="BJ84" s="2217">
        <f t="shared" si="23"/>
        <v>4642.0689122216318</v>
      </c>
      <c r="BK84" s="2217">
        <f t="shared" si="13"/>
        <v>-34.036686020586785</v>
      </c>
      <c r="BL84" s="2212">
        <v>251</v>
      </c>
      <c r="BM84" s="2208"/>
      <c r="BN84" s="263"/>
      <c r="BO84" s="2208"/>
      <c r="BP84" s="263"/>
      <c r="BQ84" s="263"/>
      <c r="BR84" s="263"/>
      <c r="BS84" s="263"/>
      <c r="BT84" s="2208"/>
      <c r="BU84" s="2217">
        <f t="shared" si="33"/>
        <v>-12.066801060735743</v>
      </c>
      <c r="BV84" s="2217">
        <f t="shared" si="14"/>
        <v>8667.9328377937436</v>
      </c>
      <c r="BW84" s="2217">
        <f t="shared" si="24"/>
        <v>-0.87136484174516227</v>
      </c>
      <c r="BX84" s="2212">
        <v>251</v>
      </c>
      <c r="BY84" s="2219"/>
      <c r="BZ84" s="2213"/>
      <c r="CA84" s="2219"/>
      <c r="CB84" s="2213"/>
      <c r="CC84" s="2213"/>
      <c r="CD84" s="2213"/>
      <c r="CE84" s="2213"/>
      <c r="CF84" s="2208"/>
      <c r="CG84" s="2217">
        <f t="shared" si="34"/>
        <v>-12.171364841745163</v>
      </c>
      <c r="CH84" s="2217">
        <f t="shared" si="15"/>
        <v>8667.9328377937436</v>
      </c>
      <c r="CI84" s="2217">
        <f t="shared" si="25"/>
        <v>-0.87136484174516227</v>
      </c>
      <c r="CJ84" s="2212">
        <v>251</v>
      </c>
      <c r="CK84" s="2219"/>
      <c r="CL84" s="2213"/>
      <c r="CM84" s="2219"/>
      <c r="CN84" s="2213"/>
      <c r="CO84" s="2213"/>
      <c r="CP84" s="2213"/>
      <c r="CQ84" s="2213"/>
      <c r="CR84" s="2208"/>
      <c r="CS84" s="2217">
        <f t="shared" si="35"/>
        <v>-57.249526127792166</v>
      </c>
      <c r="CT84" s="2217">
        <f t="shared" si="26"/>
        <v>4642.0689122216318</v>
      </c>
      <c r="CU84" s="2217">
        <f t="shared" si="16"/>
        <v>-34.036686020586785</v>
      </c>
      <c r="CV84" s="2212">
        <v>251</v>
      </c>
      <c r="CW84" s="2208"/>
      <c r="CX84" s="263"/>
      <c r="CY84" s="2208"/>
      <c r="CZ84" s="263"/>
      <c r="DA84" s="263"/>
      <c r="DB84" s="263"/>
      <c r="DC84" s="263"/>
      <c r="DD84" s="2208"/>
    </row>
    <row r="85" spans="1:108">
      <c r="A85" s="2217">
        <f t="shared" si="27"/>
        <v>-12.194610721636309</v>
      </c>
      <c r="B85" s="2217">
        <f t="shared" si="9"/>
        <v>8668.8042026354888</v>
      </c>
      <c r="C85" s="2217">
        <f t="shared" si="17"/>
        <v>-0.77792236664026859</v>
      </c>
      <c r="D85" s="2212">
        <v>250</v>
      </c>
      <c r="E85" s="2219"/>
      <c r="F85" s="2213"/>
      <c r="G85" s="2219"/>
      <c r="H85" s="2213"/>
      <c r="I85" s="2213"/>
      <c r="J85" s="2213"/>
      <c r="K85" s="2213"/>
      <c r="L85" s="2213"/>
      <c r="M85" s="2217">
        <f t="shared" si="28"/>
        <v>-12.249065287301129</v>
      </c>
      <c r="N85" s="2217">
        <f t="shared" si="10"/>
        <v>8668.8042026354888</v>
      </c>
      <c r="O85" s="2217">
        <f t="shared" si="18"/>
        <v>-0.77792236664026859</v>
      </c>
      <c r="P85" s="2212">
        <v>250</v>
      </c>
      <c r="Q85" s="2219"/>
      <c r="R85" s="2213"/>
      <c r="S85" s="2219"/>
      <c r="T85" s="2213"/>
      <c r="U85" s="2213"/>
      <c r="V85" s="2213"/>
      <c r="W85" s="2213"/>
      <c r="X85" s="2213"/>
      <c r="Y85" s="2217">
        <f t="shared" si="29"/>
        <v>-12.319078300298752</v>
      </c>
      <c r="Z85" s="2217">
        <f t="shared" si="19"/>
        <v>8668.8042026354888</v>
      </c>
      <c r="AA85" s="2217">
        <f t="shared" si="20"/>
        <v>-0.77792236664026859</v>
      </c>
      <c r="AB85" s="2212">
        <v>250</v>
      </c>
      <c r="AC85" s="2219"/>
      <c r="AD85" s="2213"/>
      <c r="AE85" s="2219"/>
      <c r="AF85" s="2213"/>
      <c r="AG85" s="2213"/>
      <c r="AH85" s="2213"/>
      <c r="AI85" s="2213"/>
      <c r="AJ85" s="2213"/>
      <c r="AK85" s="2217">
        <f t="shared" si="30"/>
        <v>-11.984571682643438</v>
      </c>
      <c r="AL85" s="2217">
        <f t="shared" si="11"/>
        <v>8668.8042026354888</v>
      </c>
      <c r="AM85" s="2217">
        <f t="shared" si="21"/>
        <v>-0.77792236664026859</v>
      </c>
      <c r="AN85" s="2212">
        <v>250</v>
      </c>
      <c r="AO85" s="2219"/>
      <c r="AP85" s="2213"/>
      <c r="AQ85" s="2219"/>
      <c r="AR85" s="2213"/>
      <c r="AS85" s="2213"/>
      <c r="AT85" s="2213"/>
      <c r="AU85" s="2213"/>
      <c r="AV85" s="2213"/>
      <c r="AW85" s="2217">
        <f t="shared" si="31"/>
        <v>-47.020164986684335</v>
      </c>
      <c r="AX85" s="2217">
        <f t="shared" si="22"/>
        <v>4676.1055982422185</v>
      </c>
      <c r="AY85" s="2217">
        <f t="shared" si="12"/>
        <v>-33.698268855362585</v>
      </c>
      <c r="AZ85" s="2212">
        <v>250</v>
      </c>
      <c r="BA85" s="2208"/>
      <c r="BB85" s="263"/>
      <c r="BC85" s="2208"/>
      <c r="BD85" s="263"/>
      <c r="BE85" s="263"/>
      <c r="BF85" s="263"/>
      <c r="BG85" s="263"/>
      <c r="BH85" s="2208"/>
      <c r="BI85" s="2217">
        <f t="shared" si="32"/>
        <v>-57.466628331846749</v>
      </c>
      <c r="BJ85" s="2217">
        <f t="shared" si="23"/>
        <v>4676.1055982422185</v>
      </c>
      <c r="BK85" s="2217">
        <f t="shared" si="13"/>
        <v>-33.698268855362585</v>
      </c>
      <c r="BL85" s="2212">
        <v>250</v>
      </c>
      <c r="BM85" s="2208"/>
      <c r="BN85" s="263"/>
      <c r="BO85" s="2208"/>
      <c r="BP85" s="263"/>
      <c r="BQ85" s="263"/>
      <c r="BR85" s="263"/>
      <c r="BS85" s="263"/>
      <c r="BT85" s="2208"/>
      <c r="BU85" s="2217">
        <f t="shared" si="33"/>
        <v>-11.984571682643438</v>
      </c>
      <c r="BV85" s="2217">
        <f t="shared" si="14"/>
        <v>8668.8042026354888</v>
      </c>
      <c r="BW85" s="2217">
        <f t="shared" si="24"/>
        <v>-0.77792236664026859</v>
      </c>
      <c r="BX85" s="2212">
        <v>250</v>
      </c>
      <c r="BY85" s="2219"/>
      <c r="BZ85" s="2213"/>
      <c r="CA85" s="2219"/>
      <c r="CB85" s="2213"/>
      <c r="CC85" s="2213"/>
      <c r="CD85" s="2213"/>
      <c r="CE85" s="2213"/>
      <c r="CF85" s="2208"/>
      <c r="CG85" s="2217">
        <f t="shared" si="34"/>
        <v>-12.077922366640269</v>
      </c>
      <c r="CH85" s="2217">
        <f t="shared" si="15"/>
        <v>8668.8042026354888</v>
      </c>
      <c r="CI85" s="2217">
        <f t="shared" si="25"/>
        <v>-0.77792236664026859</v>
      </c>
      <c r="CJ85" s="2212">
        <v>250</v>
      </c>
      <c r="CK85" s="2219"/>
      <c r="CL85" s="2213"/>
      <c r="CM85" s="2219"/>
      <c r="CN85" s="2213"/>
      <c r="CO85" s="2213"/>
      <c r="CP85" s="2213"/>
      <c r="CQ85" s="2213"/>
      <c r="CR85" s="2208"/>
      <c r="CS85" s="2217">
        <f t="shared" si="35"/>
        <v>-56.792662954739498</v>
      </c>
      <c r="CT85" s="2217">
        <f t="shared" si="26"/>
        <v>4676.1055982422185</v>
      </c>
      <c r="CU85" s="2217">
        <f t="shared" si="16"/>
        <v>-33.698268855362585</v>
      </c>
      <c r="CV85" s="2212">
        <v>250</v>
      </c>
      <c r="CW85" s="2208"/>
      <c r="CX85" s="263"/>
      <c r="CY85" s="2208"/>
      <c r="CZ85" s="263"/>
      <c r="DA85" s="263"/>
      <c r="DB85" s="263"/>
      <c r="DC85" s="263"/>
      <c r="DD85" s="2208"/>
    </row>
    <row r="86" spans="1:108">
      <c r="A86" s="2217">
        <f t="shared" si="27"/>
        <v>-12.086182967754759</v>
      </c>
      <c r="B86" s="2217">
        <f t="shared" si="9"/>
        <v>8669.582125002129</v>
      </c>
      <c r="C86" s="2217">
        <f t="shared" si="17"/>
        <v>-0.68363736326500657</v>
      </c>
      <c r="D86" s="2212">
        <v>249</v>
      </c>
      <c r="E86" s="2219"/>
      <c r="F86" s="2213"/>
      <c r="G86" s="2219"/>
      <c r="H86" s="2213"/>
      <c r="I86" s="2213"/>
      <c r="J86" s="2213"/>
      <c r="K86" s="2213"/>
      <c r="L86" s="2213"/>
      <c r="M86" s="2217">
        <f t="shared" si="28"/>
        <v>-12.134037583183309</v>
      </c>
      <c r="N86" s="2217">
        <f t="shared" si="10"/>
        <v>8669.582125002129</v>
      </c>
      <c r="O86" s="2217">
        <f t="shared" si="18"/>
        <v>-0.68363736326500657</v>
      </c>
      <c r="P86" s="2212">
        <v>249</v>
      </c>
      <c r="Q86" s="2219"/>
      <c r="R86" s="2213"/>
      <c r="S86" s="2219"/>
      <c r="T86" s="2213"/>
      <c r="U86" s="2213"/>
      <c r="V86" s="2213"/>
      <c r="W86" s="2213"/>
      <c r="X86" s="2213"/>
      <c r="Y86" s="2217">
        <f t="shared" si="29"/>
        <v>-12.195564945877159</v>
      </c>
      <c r="Z86" s="2217">
        <f t="shared" si="19"/>
        <v>8669.582125002129</v>
      </c>
      <c r="AA86" s="2217">
        <f t="shared" si="20"/>
        <v>-0.68363736326500657</v>
      </c>
      <c r="AB86" s="2212">
        <v>249</v>
      </c>
      <c r="AC86" s="2219"/>
      <c r="AD86" s="2213"/>
      <c r="AE86" s="2219"/>
      <c r="AF86" s="2213"/>
      <c r="AG86" s="2213"/>
      <c r="AH86" s="2213"/>
      <c r="AI86" s="2213"/>
      <c r="AJ86" s="2213"/>
      <c r="AK86" s="2217">
        <f t="shared" si="30"/>
        <v>-11.901600879673207</v>
      </c>
      <c r="AL86" s="2217">
        <f t="shared" si="11"/>
        <v>8669.582125002129</v>
      </c>
      <c r="AM86" s="2217">
        <f t="shared" si="21"/>
        <v>-0.68363736326500657</v>
      </c>
      <c r="AN86" s="2212">
        <v>249</v>
      </c>
      <c r="AO86" s="2219"/>
      <c r="AP86" s="2213"/>
      <c r="AQ86" s="2219"/>
      <c r="AR86" s="2213"/>
      <c r="AS86" s="2213"/>
      <c r="AT86" s="2213"/>
      <c r="AU86" s="2213"/>
      <c r="AV86" s="2213"/>
      <c r="AW86" s="2217">
        <f t="shared" si="31"/>
        <v>-46.661608071519765</v>
      </c>
      <c r="AX86" s="2217">
        <f t="shared" si="22"/>
        <v>4709.8038670975811</v>
      </c>
      <c r="AY86" s="2217">
        <f t="shared" si="12"/>
        <v>-33.36000761464129</v>
      </c>
      <c r="AZ86" s="2212">
        <v>249</v>
      </c>
      <c r="BA86" s="2208"/>
      <c r="BB86" s="263"/>
      <c r="BC86" s="2208"/>
      <c r="BD86" s="263"/>
      <c r="BE86" s="263"/>
      <c r="BF86" s="263"/>
      <c r="BG86" s="263"/>
      <c r="BH86" s="2208"/>
      <c r="BI86" s="2217">
        <f t="shared" si="32"/>
        <v>-57.003210432058566</v>
      </c>
      <c r="BJ86" s="2217">
        <f t="shared" si="23"/>
        <v>4709.8038670975811</v>
      </c>
      <c r="BK86" s="2217">
        <f t="shared" si="13"/>
        <v>-33.36000761464129</v>
      </c>
      <c r="BL86" s="2212">
        <v>249</v>
      </c>
      <c r="BM86" s="2208"/>
      <c r="BN86" s="263"/>
      <c r="BO86" s="2208"/>
      <c r="BP86" s="263"/>
      <c r="BQ86" s="263"/>
      <c r="BR86" s="263"/>
      <c r="BS86" s="263"/>
      <c r="BT86" s="2208"/>
      <c r="BU86" s="2217">
        <f t="shared" si="33"/>
        <v>-11.901600879673207</v>
      </c>
      <c r="BV86" s="2217">
        <f t="shared" si="14"/>
        <v>8669.582125002129</v>
      </c>
      <c r="BW86" s="2217">
        <f t="shared" si="24"/>
        <v>-0.68363736326500657</v>
      </c>
      <c r="BX86" s="2212">
        <v>249</v>
      </c>
      <c r="BY86" s="2219"/>
      <c r="BZ86" s="2213"/>
      <c r="CA86" s="2219"/>
      <c r="CB86" s="2213"/>
      <c r="CC86" s="2213"/>
      <c r="CD86" s="2213"/>
      <c r="CE86" s="2213"/>
      <c r="CF86" s="2208"/>
      <c r="CG86" s="2217">
        <f t="shared" si="34"/>
        <v>-11.983637363265007</v>
      </c>
      <c r="CH86" s="2217">
        <f t="shared" si="15"/>
        <v>8669.582125002129</v>
      </c>
      <c r="CI86" s="2217">
        <f t="shared" si="25"/>
        <v>-0.68363736326500657</v>
      </c>
      <c r="CJ86" s="2212">
        <v>249</v>
      </c>
      <c r="CK86" s="2219"/>
      <c r="CL86" s="2213"/>
      <c r="CM86" s="2219"/>
      <c r="CN86" s="2213"/>
      <c r="CO86" s="2213"/>
      <c r="CP86" s="2213"/>
      <c r="CQ86" s="2213"/>
      <c r="CR86" s="2208"/>
      <c r="CS86" s="2217">
        <f t="shared" si="35"/>
        <v>-56.336010279765745</v>
      </c>
      <c r="CT86" s="2217">
        <f t="shared" si="26"/>
        <v>4709.8038670975811</v>
      </c>
      <c r="CU86" s="2217">
        <f t="shared" si="16"/>
        <v>-33.36000761464129</v>
      </c>
      <c r="CV86" s="2212">
        <v>249</v>
      </c>
      <c r="CW86" s="2208"/>
      <c r="CX86" s="263"/>
      <c r="CY86" s="2208"/>
      <c r="CZ86" s="263"/>
      <c r="DA86" s="263"/>
      <c r="DB86" s="263"/>
      <c r="DC86" s="263"/>
      <c r="DD86" s="2208"/>
    </row>
    <row r="87" spans="1:108">
      <c r="A87" s="2217">
        <f t="shared" si="27"/>
        <v>-11.976786306366467</v>
      </c>
      <c r="B87" s="2217">
        <f t="shared" si="9"/>
        <v>8670.265762365394</v>
      </c>
      <c r="C87" s="2217">
        <f t="shared" si="17"/>
        <v>-0.58850983162301418</v>
      </c>
      <c r="D87" s="2212">
        <v>248</v>
      </c>
      <c r="E87" s="2219"/>
      <c r="F87" s="2213"/>
      <c r="G87" s="2219"/>
      <c r="H87" s="2213"/>
      <c r="I87" s="2213"/>
      <c r="J87" s="2213"/>
      <c r="K87" s="2213"/>
      <c r="L87" s="2213"/>
      <c r="M87" s="2217">
        <f t="shared" si="28"/>
        <v>-12.017981994580078</v>
      </c>
      <c r="N87" s="2217">
        <f t="shared" si="10"/>
        <v>8670.265762365394</v>
      </c>
      <c r="O87" s="2217">
        <f t="shared" si="18"/>
        <v>-0.58850983162301418</v>
      </c>
      <c r="P87" s="2212">
        <v>248</v>
      </c>
      <c r="Q87" s="2219"/>
      <c r="R87" s="2213"/>
      <c r="S87" s="2219"/>
      <c r="T87" s="2213"/>
      <c r="U87" s="2213"/>
      <c r="V87" s="2213"/>
      <c r="W87" s="2213"/>
      <c r="X87" s="2213"/>
      <c r="Y87" s="2217">
        <f t="shared" si="29"/>
        <v>-12.07094787942615</v>
      </c>
      <c r="Z87" s="2217">
        <f t="shared" si="19"/>
        <v>8670.265762365394</v>
      </c>
      <c r="AA87" s="2217">
        <f t="shared" si="20"/>
        <v>-0.58850983162301418</v>
      </c>
      <c r="AB87" s="2212">
        <v>248</v>
      </c>
      <c r="AC87" s="2219"/>
      <c r="AD87" s="2213"/>
      <c r="AE87" s="2219"/>
      <c r="AF87" s="2213"/>
      <c r="AG87" s="2213"/>
      <c r="AH87" s="2213"/>
      <c r="AI87" s="2213"/>
      <c r="AJ87" s="2213"/>
      <c r="AK87" s="2217">
        <f t="shared" si="30"/>
        <v>-11.817888651828254</v>
      </c>
      <c r="AL87" s="2217">
        <f t="shared" si="11"/>
        <v>8670.265762365394</v>
      </c>
      <c r="AM87" s="2217">
        <f t="shared" si="21"/>
        <v>-0.58850983162301418</v>
      </c>
      <c r="AN87" s="2212">
        <v>248</v>
      </c>
      <c r="AO87" s="2219"/>
      <c r="AP87" s="2213"/>
      <c r="AQ87" s="2219"/>
      <c r="AR87" s="2213"/>
      <c r="AS87" s="2213"/>
      <c r="AT87" s="2213"/>
      <c r="AU87" s="2213"/>
      <c r="AV87" s="2213"/>
      <c r="AW87" s="2217">
        <f t="shared" si="31"/>
        <v>-46.303216436323453</v>
      </c>
      <c r="AX87" s="2217">
        <f t="shared" si="22"/>
        <v>4743.1638747122224</v>
      </c>
      <c r="AY87" s="2217">
        <f t="shared" si="12"/>
        <v>-33.021902298418354</v>
      </c>
      <c r="AZ87" s="2212">
        <v>248</v>
      </c>
      <c r="BA87" s="2208"/>
      <c r="BB87" s="263"/>
      <c r="BC87" s="2208"/>
      <c r="BD87" s="263"/>
      <c r="BE87" s="263"/>
      <c r="BF87" s="263"/>
      <c r="BG87" s="263"/>
      <c r="BH87" s="2208"/>
      <c r="BI87" s="2217">
        <f t="shared" si="32"/>
        <v>-56.540006148833143</v>
      </c>
      <c r="BJ87" s="2217">
        <f t="shared" si="23"/>
        <v>4743.1638747122224</v>
      </c>
      <c r="BK87" s="2217">
        <f t="shared" si="13"/>
        <v>-33.021902298418354</v>
      </c>
      <c r="BL87" s="2212">
        <v>248</v>
      </c>
      <c r="BM87" s="2208"/>
      <c r="BN87" s="263"/>
      <c r="BO87" s="2208"/>
      <c r="BP87" s="263"/>
      <c r="BQ87" s="263"/>
      <c r="BR87" s="263"/>
      <c r="BS87" s="263"/>
      <c r="BT87" s="2208"/>
      <c r="BU87" s="2217">
        <f t="shared" si="33"/>
        <v>-11.817888651828254</v>
      </c>
      <c r="BV87" s="2217">
        <f t="shared" si="14"/>
        <v>8670.265762365394</v>
      </c>
      <c r="BW87" s="2217">
        <f t="shared" si="24"/>
        <v>-0.58850983162301418</v>
      </c>
      <c r="BX87" s="2212">
        <v>248</v>
      </c>
      <c r="BY87" s="2219"/>
      <c r="BZ87" s="2213"/>
      <c r="CA87" s="2219"/>
      <c r="CB87" s="2213"/>
      <c r="CC87" s="2213"/>
      <c r="CD87" s="2213"/>
      <c r="CE87" s="2213"/>
      <c r="CF87" s="2208"/>
      <c r="CG87" s="2217">
        <f t="shared" si="34"/>
        <v>-11.888509831623015</v>
      </c>
      <c r="CH87" s="2217">
        <f t="shared" si="15"/>
        <v>8670.265762365394</v>
      </c>
      <c r="CI87" s="2217">
        <f t="shared" si="25"/>
        <v>-0.58850983162301418</v>
      </c>
      <c r="CJ87" s="2212">
        <v>248</v>
      </c>
      <c r="CK87" s="2219"/>
      <c r="CL87" s="2213"/>
      <c r="CM87" s="2219"/>
      <c r="CN87" s="2213"/>
      <c r="CO87" s="2213"/>
      <c r="CP87" s="2213"/>
      <c r="CQ87" s="2213"/>
      <c r="CR87" s="2208"/>
      <c r="CS87" s="2217">
        <f t="shared" si="35"/>
        <v>-55.879568102864781</v>
      </c>
      <c r="CT87" s="2217">
        <f t="shared" si="26"/>
        <v>4743.1638747122224</v>
      </c>
      <c r="CU87" s="2217">
        <f t="shared" si="16"/>
        <v>-33.021902298418354</v>
      </c>
      <c r="CV87" s="2212">
        <v>248</v>
      </c>
      <c r="CW87" s="2208"/>
      <c r="CX87" s="263"/>
      <c r="CY87" s="2208"/>
      <c r="CZ87" s="263"/>
      <c r="DA87" s="263"/>
      <c r="DB87" s="263"/>
      <c r="DC87" s="263"/>
      <c r="DD87" s="2208"/>
    </row>
    <row r="88" spans="1:108">
      <c r="A88" s="2217">
        <f t="shared" si="27"/>
        <v>-11.866420737467251</v>
      </c>
      <c r="B88" s="2217">
        <f t="shared" si="9"/>
        <v>8670.8542721970171</v>
      </c>
      <c r="C88" s="2217">
        <f t="shared" si="17"/>
        <v>-0.49253977171065344</v>
      </c>
      <c r="D88" s="2212">
        <v>247</v>
      </c>
      <c r="E88" s="2219"/>
      <c r="F88" s="2213"/>
      <c r="G88" s="2219"/>
      <c r="H88" s="2213"/>
      <c r="I88" s="2213"/>
      <c r="J88" s="2213"/>
      <c r="K88" s="2213"/>
      <c r="L88" s="2213"/>
      <c r="M88" s="2217">
        <f t="shared" si="28"/>
        <v>-11.900898521486997</v>
      </c>
      <c r="N88" s="2217">
        <f t="shared" si="10"/>
        <v>8670.8542721970171</v>
      </c>
      <c r="O88" s="2217">
        <f t="shared" si="18"/>
        <v>-0.49253977171065344</v>
      </c>
      <c r="P88" s="2212">
        <v>247</v>
      </c>
      <c r="Q88" s="2219"/>
      <c r="R88" s="2213"/>
      <c r="S88" s="2219"/>
      <c r="T88" s="2213"/>
      <c r="U88" s="2213"/>
      <c r="V88" s="2213"/>
      <c r="W88" s="2213"/>
      <c r="X88" s="2213"/>
      <c r="Y88" s="2217">
        <f t="shared" si="29"/>
        <v>-11.945227100940956</v>
      </c>
      <c r="Z88" s="2217">
        <f t="shared" si="19"/>
        <v>8670.8542721970171</v>
      </c>
      <c r="AA88" s="2217">
        <f t="shared" si="20"/>
        <v>-0.49253977171065344</v>
      </c>
      <c r="AB88" s="2212">
        <v>247</v>
      </c>
      <c r="AC88" s="2219"/>
      <c r="AD88" s="2213"/>
      <c r="AE88" s="2219"/>
      <c r="AF88" s="2213"/>
      <c r="AG88" s="2213"/>
      <c r="AH88" s="2213"/>
      <c r="AI88" s="2213"/>
      <c r="AJ88" s="2213"/>
      <c r="AK88" s="2217">
        <f t="shared" si="30"/>
        <v>-11.733434999105375</v>
      </c>
      <c r="AL88" s="2217">
        <f t="shared" si="11"/>
        <v>8670.8542721970171</v>
      </c>
      <c r="AM88" s="2217">
        <f t="shared" si="21"/>
        <v>-0.49253977171065344</v>
      </c>
      <c r="AN88" s="2212">
        <v>247</v>
      </c>
      <c r="AO88" s="2219"/>
      <c r="AP88" s="2213"/>
      <c r="AQ88" s="2219"/>
      <c r="AR88" s="2213"/>
      <c r="AS88" s="2213"/>
      <c r="AT88" s="2213"/>
      <c r="AU88" s="2213"/>
      <c r="AV88" s="2213"/>
      <c r="AW88" s="2217">
        <f t="shared" si="31"/>
        <v>-45.94499008109733</v>
      </c>
      <c r="AX88" s="2217">
        <f t="shared" si="22"/>
        <v>4776.1857770106408</v>
      </c>
      <c r="AY88" s="2217">
        <f t="shared" si="12"/>
        <v>-32.683952906695595</v>
      </c>
      <c r="AZ88" s="2212">
        <v>247</v>
      </c>
      <c r="BA88" s="2208"/>
      <c r="BB88" s="263"/>
      <c r="BC88" s="2208"/>
      <c r="BD88" s="263"/>
      <c r="BE88" s="263"/>
      <c r="BF88" s="263"/>
      <c r="BG88" s="263"/>
      <c r="BH88" s="2208"/>
      <c r="BI88" s="2217">
        <f t="shared" si="32"/>
        <v>-56.077015482172968</v>
      </c>
      <c r="BJ88" s="2217">
        <f t="shared" si="23"/>
        <v>4776.1857770106408</v>
      </c>
      <c r="BK88" s="2217">
        <f t="shared" si="13"/>
        <v>-32.683952906695595</v>
      </c>
      <c r="BL88" s="2212">
        <v>247</v>
      </c>
      <c r="BM88" s="2208"/>
      <c r="BN88" s="263"/>
      <c r="BO88" s="2208"/>
      <c r="BP88" s="263"/>
      <c r="BQ88" s="263"/>
      <c r="BR88" s="263"/>
      <c r="BS88" s="263"/>
      <c r="BT88" s="2208"/>
      <c r="BU88" s="2217">
        <f t="shared" si="33"/>
        <v>-11.733434999105375</v>
      </c>
      <c r="BV88" s="2217">
        <f t="shared" si="14"/>
        <v>8670.8542721970171</v>
      </c>
      <c r="BW88" s="2217">
        <f t="shared" si="24"/>
        <v>-0.49253977171065344</v>
      </c>
      <c r="BX88" s="2212">
        <v>247</v>
      </c>
      <c r="BY88" s="2219"/>
      <c r="BZ88" s="2213"/>
      <c r="CA88" s="2219"/>
      <c r="CB88" s="2213"/>
      <c r="CC88" s="2213"/>
      <c r="CD88" s="2213"/>
      <c r="CE88" s="2213"/>
      <c r="CF88" s="2208"/>
      <c r="CG88" s="2217">
        <f t="shared" si="34"/>
        <v>-11.792539771710654</v>
      </c>
      <c r="CH88" s="2217">
        <f t="shared" si="15"/>
        <v>8670.8542721970171</v>
      </c>
      <c r="CI88" s="2217">
        <f t="shared" si="25"/>
        <v>-0.49253977171065344</v>
      </c>
      <c r="CJ88" s="2212">
        <v>247</v>
      </c>
      <c r="CK88" s="2219"/>
      <c r="CL88" s="2213"/>
      <c r="CM88" s="2219"/>
      <c r="CN88" s="2213"/>
      <c r="CO88" s="2213"/>
      <c r="CP88" s="2213"/>
      <c r="CQ88" s="2213"/>
      <c r="CR88" s="2208"/>
      <c r="CS88" s="2217">
        <f t="shared" si="35"/>
        <v>-55.42333642403905</v>
      </c>
      <c r="CT88" s="2217">
        <f t="shared" si="26"/>
        <v>4776.1857770106408</v>
      </c>
      <c r="CU88" s="2217">
        <f t="shared" si="16"/>
        <v>-32.683952906695595</v>
      </c>
      <c r="CV88" s="2212">
        <v>247</v>
      </c>
      <c r="CW88" s="2208"/>
      <c r="CX88" s="263"/>
      <c r="CY88" s="2208"/>
      <c r="CZ88" s="263"/>
      <c r="DA88" s="263"/>
      <c r="DB88" s="263"/>
      <c r="DC88" s="263"/>
      <c r="DD88" s="2208"/>
    </row>
    <row r="89" spans="1:108">
      <c r="A89" s="2217">
        <f t="shared" si="27"/>
        <v>-11.755086261052931</v>
      </c>
      <c r="B89" s="2217">
        <f t="shared" si="9"/>
        <v>8671.3468119687277</v>
      </c>
      <c r="C89" s="2217">
        <f t="shared" si="17"/>
        <v>-0.39572718352428637</v>
      </c>
      <c r="D89" s="2212">
        <v>246</v>
      </c>
      <c r="E89" s="2219"/>
      <c r="F89" s="2213"/>
      <c r="G89" s="2219"/>
      <c r="H89" s="2213"/>
      <c r="I89" s="2213"/>
      <c r="J89" s="2213"/>
      <c r="K89" s="2213"/>
      <c r="L89" s="2213"/>
      <c r="M89" s="2217">
        <f t="shared" si="28"/>
        <v>-11.782787163899631</v>
      </c>
      <c r="N89" s="2217">
        <f t="shared" si="10"/>
        <v>8671.3468119687277</v>
      </c>
      <c r="O89" s="2217">
        <f t="shared" si="18"/>
        <v>-0.39572718352428637</v>
      </c>
      <c r="P89" s="2212">
        <v>246</v>
      </c>
      <c r="Q89" s="2219"/>
      <c r="R89" s="2213"/>
      <c r="S89" s="2219"/>
      <c r="T89" s="2213"/>
      <c r="U89" s="2213"/>
      <c r="V89" s="2213"/>
      <c r="W89" s="2213"/>
      <c r="X89" s="2213"/>
      <c r="Y89" s="2217">
        <f t="shared" si="29"/>
        <v>-11.818402610416817</v>
      </c>
      <c r="Z89" s="2217">
        <f t="shared" si="19"/>
        <v>8671.3468119687277</v>
      </c>
      <c r="AA89" s="2217">
        <f t="shared" si="20"/>
        <v>-0.39572718352428637</v>
      </c>
      <c r="AB89" s="2212">
        <v>246</v>
      </c>
      <c r="AC89" s="2219"/>
      <c r="AD89" s="2213"/>
      <c r="AE89" s="2219"/>
      <c r="AF89" s="2213"/>
      <c r="AG89" s="2213"/>
      <c r="AH89" s="2213"/>
      <c r="AI89" s="2213"/>
      <c r="AJ89" s="2213"/>
      <c r="AK89" s="2217">
        <f t="shared" si="30"/>
        <v>-11.648239921501373</v>
      </c>
      <c r="AL89" s="2217">
        <f t="shared" si="11"/>
        <v>8671.3468119687277</v>
      </c>
      <c r="AM89" s="2217">
        <f t="shared" si="21"/>
        <v>-0.39572718352428637</v>
      </c>
      <c r="AN89" s="2212">
        <v>246</v>
      </c>
      <c r="AO89" s="2219"/>
      <c r="AP89" s="2213"/>
      <c r="AQ89" s="2219"/>
      <c r="AR89" s="2213"/>
      <c r="AS89" s="2213"/>
      <c r="AT89" s="2213"/>
      <c r="AU89" s="2213"/>
      <c r="AV89" s="2213"/>
      <c r="AW89" s="2217">
        <f t="shared" si="31"/>
        <v>-45.586929005842364</v>
      </c>
      <c r="AX89" s="2217">
        <f t="shared" si="22"/>
        <v>4808.8697299173364</v>
      </c>
      <c r="AY89" s="2217">
        <f t="shared" si="12"/>
        <v>-32.346159439473922</v>
      </c>
      <c r="AZ89" s="2212">
        <v>246</v>
      </c>
      <c r="BA89" s="2208"/>
      <c r="BB89" s="263"/>
      <c r="BC89" s="2208"/>
      <c r="BD89" s="263"/>
      <c r="BE89" s="263"/>
      <c r="BF89" s="263"/>
      <c r="BG89" s="263"/>
      <c r="BH89" s="2208"/>
      <c r="BI89" s="2217">
        <f t="shared" si="32"/>
        <v>-55.614238432079276</v>
      </c>
      <c r="BJ89" s="2217">
        <f t="shared" si="23"/>
        <v>4808.8697299173364</v>
      </c>
      <c r="BK89" s="2217">
        <f t="shared" si="13"/>
        <v>-32.346159439473922</v>
      </c>
      <c r="BL89" s="2212">
        <v>246</v>
      </c>
      <c r="BM89" s="2208"/>
      <c r="BN89" s="263"/>
      <c r="BO89" s="2208"/>
      <c r="BP89" s="263"/>
      <c r="BQ89" s="263"/>
      <c r="BR89" s="263"/>
      <c r="BS89" s="263"/>
      <c r="BT89" s="2208"/>
      <c r="BU89" s="2217">
        <f t="shared" si="33"/>
        <v>-11.648239921501373</v>
      </c>
      <c r="BV89" s="2217">
        <f t="shared" si="14"/>
        <v>8671.3468119687277</v>
      </c>
      <c r="BW89" s="2217">
        <f t="shared" si="24"/>
        <v>-0.39572718352428637</v>
      </c>
      <c r="BX89" s="2212">
        <v>246</v>
      </c>
      <c r="BY89" s="2219"/>
      <c r="BZ89" s="2213"/>
      <c r="CA89" s="2219"/>
      <c r="CB89" s="2213"/>
      <c r="CC89" s="2213"/>
      <c r="CD89" s="2213"/>
      <c r="CE89" s="2213"/>
      <c r="CF89" s="2208"/>
      <c r="CG89" s="2217">
        <f t="shared" si="34"/>
        <v>-11.695727183524287</v>
      </c>
      <c r="CH89" s="2217">
        <f t="shared" si="15"/>
        <v>8671.3468119687277</v>
      </c>
      <c r="CI89" s="2217">
        <f t="shared" si="25"/>
        <v>-0.39572718352428637</v>
      </c>
      <c r="CJ89" s="2212">
        <v>246</v>
      </c>
      <c r="CK89" s="2219"/>
      <c r="CL89" s="2213"/>
      <c r="CM89" s="2219"/>
      <c r="CN89" s="2213"/>
      <c r="CO89" s="2213"/>
      <c r="CP89" s="2213"/>
      <c r="CQ89" s="2213"/>
      <c r="CR89" s="2208"/>
      <c r="CS89" s="2217">
        <f t="shared" si="35"/>
        <v>-54.967315243289804</v>
      </c>
      <c r="CT89" s="2217">
        <f t="shared" si="26"/>
        <v>4808.8697299173364</v>
      </c>
      <c r="CU89" s="2217">
        <f t="shared" si="16"/>
        <v>-32.346159439473922</v>
      </c>
      <c r="CV89" s="2212">
        <v>246</v>
      </c>
      <c r="CW89" s="2208"/>
      <c r="CX89" s="263"/>
      <c r="CY89" s="2208"/>
      <c r="CZ89" s="263"/>
      <c r="DA89" s="263"/>
      <c r="DB89" s="263"/>
      <c r="DC89" s="263"/>
      <c r="DD89" s="2208"/>
    </row>
    <row r="90" spans="1:108">
      <c r="A90" s="2217">
        <f t="shared" si="27"/>
        <v>-11.642782877136051</v>
      </c>
      <c r="B90" s="2217">
        <f t="shared" si="9"/>
        <v>8671.742539152252</v>
      </c>
      <c r="C90" s="2217">
        <f t="shared" si="17"/>
        <v>-0.29807206707482692</v>
      </c>
      <c r="D90" s="2212">
        <v>245</v>
      </c>
      <c r="E90" s="2219"/>
      <c r="F90" s="2213"/>
      <c r="G90" s="2219"/>
      <c r="H90" s="2213"/>
      <c r="I90" s="2213"/>
      <c r="J90" s="2213"/>
      <c r="K90" s="2213"/>
      <c r="L90" s="2213"/>
      <c r="M90" s="2217">
        <f t="shared" si="28"/>
        <v>-11.66364792183129</v>
      </c>
      <c r="N90" s="2217">
        <f t="shared" si="10"/>
        <v>8671.742539152252</v>
      </c>
      <c r="O90" s="2217">
        <f t="shared" si="18"/>
        <v>-0.29807206707482692</v>
      </c>
      <c r="P90" s="2212">
        <v>245</v>
      </c>
      <c r="Q90" s="2219"/>
      <c r="R90" s="2213"/>
      <c r="S90" s="2219"/>
      <c r="T90" s="2213"/>
      <c r="U90" s="2213"/>
      <c r="V90" s="2213"/>
      <c r="W90" s="2213"/>
      <c r="X90" s="2213"/>
      <c r="Y90" s="2217">
        <f t="shared" si="29"/>
        <v>-11.690474407868024</v>
      </c>
      <c r="Z90" s="2217">
        <f t="shared" si="19"/>
        <v>8671.742539152252</v>
      </c>
      <c r="AA90" s="2217">
        <f t="shared" si="20"/>
        <v>-0.29807206707482692</v>
      </c>
      <c r="AB90" s="2212">
        <v>245</v>
      </c>
      <c r="AC90" s="2219"/>
      <c r="AD90" s="2213"/>
      <c r="AE90" s="2219"/>
      <c r="AF90" s="2213"/>
      <c r="AG90" s="2213"/>
      <c r="AH90" s="2213"/>
      <c r="AI90" s="2213"/>
      <c r="AJ90" s="2213"/>
      <c r="AK90" s="2217">
        <f t="shared" si="30"/>
        <v>-11.562303419025849</v>
      </c>
      <c r="AL90" s="2217">
        <f t="shared" si="11"/>
        <v>8671.742539152252</v>
      </c>
      <c r="AM90" s="2217">
        <f t="shared" si="21"/>
        <v>-0.29807206707482692</v>
      </c>
      <c r="AN90" s="2212">
        <v>245</v>
      </c>
      <c r="AO90" s="2219"/>
      <c r="AP90" s="2213"/>
      <c r="AQ90" s="2219"/>
      <c r="AR90" s="2213"/>
      <c r="AS90" s="2213"/>
      <c r="AT90" s="2213"/>
      <c r="AU90" s="2213"/>
      <c r="AV90" s="2213"/>
      <c r="AW90" s="2217">
        <f t="shared" si="31"/>
        <v>-45.229033210559507</v>
      </c>
      <c r="AX90" s="2217">
        <f t="shared" si="22"/>
        <v>4841.2158893568103</v>
      </c>
      <c r="AY90" s="2217">
        <f t="shared" si="12"/>
        <v>-32.008521896754246</v>
      </c>
      <c r="AZ90" s="2212">
        <v>245</v>
      </c>
      <c r="BA90" s="2208"/>
      <c r="BB90" s="263"/>
      <c r="BC90" s="2208"/>
      <c r="BD90" s="263"/>
      <c r="BE90" s="263"/>
      <c r="BF90" s="263"/>
      <c r="BG90" s="263"/>
      <c r="BH90" s="2208"/>
      <c r="BI90" s="2217">
        <f t="shared" si="32"/>
        <v>-55.151674998553318</v>
      </c>
      <c r="BJ90" s="2217">
        <f t="shared" si="23"/>
        <v>4841.2158893568103</v>
      </c>
      <c r="BK90" s="2217">
        <f t="shared" si="13"/>
        <v>-32.008521896754246</v>
      </c>
      <c r="BL90" s="2212">
        <v>245</v>
      </c>
      <c r="BM90" s="2208"/>
      <c r="BN90" s="263"/>
      <c r="BO90" s="2208"/>
      <c r="BP90" s="263"/>
      <c r="BQ90" s="263"/>
      <c r="BR90" s="263"/>
      <c r="BS90" s="263"/>
      <c r="BT90" s="2208"/>
      <c r="BU90" s="2217">
        <f t="shared" si="33"/>
        <v>-11.562303419025849</v>
      </c>
      <c r="BV90" s="2217">
        <f t="shared" si="14"/>
        <v>8671.742539152252</v>
      </c>
      <c r="BW90" s="2217">
        <f t="shared" si="24"/>
        <v>-0.29807206707482692</v>
      </c>
      <c r="BX90" s="2212">
        <v>245</v>
      </c>
      <c r="BY90" s="2219"/>
      <c r="BZ90" s="2213"/>
      <c r="CA90" s="2219"/>
      <c r="CB90" s="2213"/>
      <c r="CC90" s="2213"/>
      <c r="CD90" s="2213"/>
      <c r="CE90" s="2213"/>
      <c r="CF90" s="2208"/>
      <c r="CG90" s="2217">
        <f t="shared" si="34"/>
        <v>-11.598072067074828</v>
      </c>
      <c r="CH90" s="2217">
        <f t="shared" si="15"/>
        <v>8671.742539152252</v>
      </c>
      <c r="CI90" s="2217">
        <f t="shared" si="25"/>
        <v>-0.29807206707482692</v>
      </c>
      <c r="CJ90" s="2212">
        <v>245</v>
      </c>
      <c r="CK90" s="2219"/>
      <c r="CL90" s="2213"/>
      <c r="CM90" s="2219"/>
      <c r="CN90" s="2213"/>
      <c r="CO90" s="2213"/>
      <c r="CP90" s="2213"/>
      <c r="CQ90" s="2213"/>
      <c r="CR90" s="2208"/>
      <c r="CS90" s="2217">
        <f t="shared" si="35"/>
        <v>-54.511504560618235</v>
      </c>
      <c r="CT90" s="2217">
        <f t="shared" si="26"/>
        <v>4841.2158893568103</v>
      </c>
      <c r="CU90" s="2217">
        <f t="shared" si="16"/>
        <v>-32.008521896754246</v>
      </c>
      <c r="CV90" s="2212">
        <v>245</v>
      </c>
      <c r="CW90" s="2208"/>
      <c r="CX90" s="263"/>
      <c r="CY90" s="2208"/>
      <c r="CZ90" s="263"/>
      <c r="DA90" s="263"/>
      <c r="DB90" s="263"/>
      <c r="DC90" s="263"/>
      <c r="DD90" s="2208"/>
    </row>
    <row r="91" spans="1:108">
      <c r="A91" s="2217">
        <f t="shared" si="27"/>
        <v>-11.529510585706157</v>
      </c>
      <c r="B91" s="2217">
        <f t="shared" si="9"/>
        <v>8672.0406112193268</v>
      </c>
      <c r="C91" s="2217">
        <f t="shared" si="17"/>
        <v>-0.19957442235318013</v>
      </c>
      <c r="D91" s="2212">
        <v>244</v>
      </c>
      <c r="E91" s="2219"/>
      <c r="F91" s="2213"/>
      <c r="G91" s="2219"/>
      <c r="H91" s="2213"/>
      <c r="I91" s="2213"/>
      <c r="J91" s="2213"/>
      <c r="K91" s="2213"/>
      <c r="L91" s="2213"/>
      <c r="M91" s="2217">
        <f t="shared" si="28"/>
        <v>-11.543480795270881</v>
      </c>
      <c r="N91" s="2217">
        <f t="shared" si="10"/>
        <v>8672.0406112193268</v>
      </c>
      <c r="O91" s="2217">
        <f t="shared" si="18"/>
        <v>-0.19957442235318013</v>
      </c>
      <c r="P91" s="2212">
        <v>244</v>
      </c>
      <c r="Q91" s="2219"/>
      <c r="R91" s="2213"/>
      <c r="S91" s="2219"/>
      <c r="T91" s="2213"/>
      <c r="U91" s="2213"/>
      <c r="V91" s="2213"/>
      <c r="W91" s="2213"/>
      <c r="X91" s="2213"/>
      <c r="Y91" s="2217">
        <f t="shared" si="29"/>
        <v>-11.561442493282666</v>
      </c>
      <c r="Z91" s="2217">
        <f t="shared" si="19"/>
        <v>8672.0406112193268</v>
      </c>
      <c r="AA91" s="2217">
        <f t="shared" si="20"/>
        <v>-0.19957442235318013</v>
      </c>
      <c r="AB91" s="2212">
        <v>244</v>
      </c>
      <c r="AC91" s="2219"/>
      <c r="AD91" s="2213"/>
      <c r="AE91" s="2219"/>
      <c r="AF91" s="2213"/>
      <c r="AG91" s="2213"/>
      <c r="AH91" s="2213"/>
      <c r="AI91" s="2213"/>
      <c r="AJ91" s="2213"/>
      <c r="AK91" s="2217">
        <f t="shared" si="30"/>
        <v>-11.475625491670799</v>
      </c>
      <c r="AL91" s="2217">
        <f t="shared" si="11"/>
        <v>8672.0406112193268</v>
      </c>
      <c r="AM91" s="2217">
        <f t="shared" si="21"/>
        <v>-0.19957442235318013</v>
      </c>
      <c r="AN91" s="2212">
        <v>244</v>
      </c>
      <c r="AO91" s="2219"/>
      <c r="AP91" s="2213"/>
      <c r="AQ91" s="2219"/>
      <c r="AR91" s="2213"/>
      <c r="AS91" s="2213"/>
      <c r="AT91" s="2213"/>
      <c r="AU91" s="2213"/>
      <c r="AV91" s="2213"/>
      <c r="AW91" s="2217">
        <f t="shared" si="31"/>
        <v>-44.871302695242974</v>
      </c>
      <c r="AX91" s="2217">
        <f t="shared" si="22"/>
        <v>4873.2244112535645</v>
      </c>
      <c r="AY91" s="2217">
        <f t="shared" si="12"/>
        <v>-31.671040278531109</v>
      </c>
      <c r="AZ91" s="2212">
        <v>244</v>
      </c>
      <c r="BA91" s="2208"/>
      <c r="BB91" s="263"/>
      <c r="BC91" s="2208"/>
      <c r="BD91" s="263"/>
      <c r="BE91" s="263"/>
      <c r="BF91" s="263"/>
      <c r="BG91" s="263"/>
      <c r="BH91" s="2208"/>
      <c r="BI91" s="2217">
        <f t="shared" si="32"/>
        <v>-54.68932518158762</v>
      </c>
      <c r="BJ91" s="2217">
        <f t="shared" si="23"/>
        <v>4873.2244112535645</v>
      </c>
      <c r="BK91" s="2217">
        <f t="shared" si="13"/>
        <v>-31.671040278531109</v>
      </c>
      <c r="BL91" s="2212">
        <v>244</v>
      </c>
      <c r="BM91" s="2208"/>
      <c r="BN91" s="263"/>
      <c r="BO91" s="2208"/>
      <c r="BP91" s="263"/>
      <c r="BQ91" s="263"/>
      <c r="BR91" s="263"/>
      <c r="BS91" s="263"/>
      <c r="BT91" s="2208"/>
      <c r="BU91" s="2217">
        <f t="shared" si="33"/>
        <v>-11.475625491670799</v>
      </c>
      <c r="BV91" s="2217">
        <f t="shared" si="14"/>
        <v>8672.0406112193268</v>
      </c>
      <c r="BW91" s="2217">
        <f t="shared" si="24"/>
        <v>-0.19957442235318013</v>
      </c>
      <c r="BX91" s="2212">
        <v>244</v>
      </c>
      <c r="BY91" s="2219"/>
      <c r="BZ91" s="2213"/>
      <c r="CA91" s="2219"/>
      <c r="CB91" s="2213"/>
      <c r="CC91" s="2213"/>
      <c r="CD91" s="2213"/>
      <c r="CE91" s="2213"/>
      <c r="CF91" s="2208"/>
      <c r="CG91" s="2217">
        <f t="shared" si="34"/>
        <v>-11.499574422353181</v>
      </c>
      <c r="CH91" s="2217">
        <f t="shared" si="15"/>
        <v>8672.0406112193268</v>
      </c>
      <c r="CI91" s="2217">
        <f t="shared" si="25"/>
        <v>-0.19957442235318013</v>
      </c>
      <c r="CJ91" s="2212">
        <v>244</v>
      </c>
      <c r="CK91" s="2219"/>
      <c r="CL91" s="2213"/>
      <c r="CM91" s="2219"/>
      <c r="CN91" s="2213"/>
      <c r="CO91" s="2213"/>
      <c r="CP91" s="2213"/>
      <c r="CQ91" s="2213"/>
      <c r="CR91" s="2208"/>
      <c r="CS91" s="2217">
        <f t="shared" si="35"/>
        <v>-54.055904376016997</v>
      </c>
      <c r="CT91" s="2217">
        <f t="shared" si="26"/>
        <v>4873.2244112535645</v>
      </c>
      <c r="CU91" s="2217">
        <f t="shared" si="16"/>
        <v>-31.671040278531109</v>
      </c>
      <c r="CV91" s="2212">
        <v>244</v>
      </c>
      <c r="CW91" s="2208"/>
      <c r="CX91" s="263"/>
      <c r="CY91" s="2208"/>
      <c r="CZ91" s="263"/>
      <c r="DA91" s="263"/>
      <c r="DB91" s="263"/>
      <c r="DC91" s="263"/>
      <c r="DD91" s="2208"/>
    </row>
    <row r="92" spans="1:108">
      <c r="A92" s="2217">
        <f t="shared" si="27"/>
        <v>-11.415269386767433</v>
      </c>
      <c r="B92" s="2217">
        <f t="shared" si="9"/>
        <v>8672.24018564168</v>
      </c>
      <c r="C92" s="2217">
        <f t="shared" si="17"/>
        <v>-0.10023424936298397</v>
      </c>
      <c r="D92" s="2212">
        <v>243</v>
      </c>
      <c r="E92" s="2219"/>
      <c r="F92" s="2213"/>
      <c r="G92" s="2219"/>
      <c r="H92" s="2213"/>
      <c r="I92" s="2213"/>
      <c r="J92" s="2213"/>
      <c r="K92" s="2213"/>
      <c r="L92" s="2213"/>
      <c r="M92" s="2217">
        <f t="shared" si="28"/>
        <v>-11.422285784222842</v>
      </c>
      <c r="N92" s="2217">
        <f t="shared" si="10"/>
        <v>8672.24018564168</v>
      </c>
      <c r="O92" s="2217">
        <f t="shared" si="18"/>
        <v>-0.10023424936298397</v>
      </c>
      <c r="P92" s="2212">
        <v>243</v>
      </c>
      <c r="Q92" s="2219"/>
      <c r="R92" s="2213"/>
      <c r="S92" s="2219"/>
      <c r="T92" s="2213"/>
      <c r="U92" s="2213"/>
      <c r="V92" s="2213"/>
      <c r="W92" s="2213"/>
      <c r="X92" s="2213"/>
      <c r="Y92" s="2217">
        <f t="shared" si="29"/>
        <v>-11.43130686666551</v>
      </c>
      <c r="Z92" s="2217">
        <f t="shared" si="19"/>
        <v>8672.24018564168</v>
      </c>
      <c r="AA92" s="2217">
        <f t="shared" si="20"/>
        <v>-0.10023424936298397</v>
      </c>
      <c r="AB92" s="2212">
        <v>243</v>
      </c>
      <c r="AC92" s="2219"/>
      <c r="AD92" s="2213"/>
      <c r="AE92" s="2219"/>
      <c r="AF92" s="2213"/>
      <c r="AG92" s="2213"/>
      <c r="AH92" s="2213"/>
      <c r="AI92" s="2213"/>
      <c r="AJ92" s="2213"/>
      <c r="AK92" s="2217">
        <f t="shared" si="30"/>
        <v>-11.388206139439427</v>
      </c>
      <c r="AL92" s="2217">
        <f t="shared" si="11"/>
        <v>8672.24018564168</v>
      </c>
      <c r="AM92" s="2217">
        <f t="shared" si="21"/>
        <v>-0.10023424936298397</v>
      </c>
      <c r="AN92" s="2212">
        <v>243</v>
      </c>
      <c r="AO92" s="2219"/>
      <c r="AP92" s="2213"/>
      <c r="AQ92" s="2219"/>
      <c r="AR92" s="2213"/>
      <c r="AS92" s="2213"/>
      <c r="AT92" s="2213"/>
      <c r="AU92" s="2213"/>
      <c r="AV92" s="2213"/>
      <c r="AW92" s="2217">
        <f t="shared" si="31"/>
        <v>-44.51373745990243</v>
      </c>
      <c r="AX92" s="2217">
        <f t="shared" si="22"/>
        <v>4904.8954515320956</v>
      </c>
      <c r="AY92" s="2217">
        <f t="shared" si="12"/>
        <v>-31.333714584813606</v>
      </c>
      <c r="AZ92" s="2212">
        <v>243</v>
      </c>
      <c r="BA92" s="2208"/>
      <c r="BB92" s="263"/>
      <c r="BC92" s="2208"/>
      <c r="BD92" s="263"/>
      <c r="BE92" s="263"/>
      <c r="BF92" s="263"/>
      <c r="BG92" s="263"/>
      <c r="BH92" s="2208"/>
      <c r="BI92" s="2217">
        <f t="shared" si="32"/>
        <v>-54.227188981194644</v>
      </c>
      <c r="BJ92" s="2217">
        <f t="shared" si="23"/>
        <v>4904.8954515320956</v>
      </c>
      <c r="BK92" s="2217">
        <f t="shared" si="13"/>
        <v>-31.333714584813606</v>
      </c>
      <c r="BL92" s="2212">
        <v>243</v>
      </c>
      <c r="BM92" s="2208"/>
      <c r="BN92" s="263"/>
      <c r="BO92" s="2208"/>
      <c r="BP92" s="263"/>
      <c r="BQ92" s="263"/>
      <c r="BR92" s="263"/>
      <c r="BS92" s="263"/>
      <c r="BT92" s="2208"/>
      <c r="BU92" s="2217">
        <f t="shared" si="33"/>
        <v>-11.388206139439427</v>
      </c>
      <c r="BV92" s="2217">
        <f t="shared" si="14"/>
        <v>8672.24018564168</v>
      </c>
      <c r="BW92" s="2217">
        <f t="shared" si="24"/>
        <v>-0.10023424936298397</v>
      </c>
      <c r="BX92" s="2212">
        <v>243</v>
      </c>
      <c r="BY92" s="2219"/>
      <c r="BZ92" s="2213"/>
      <c r="CA92" s="2219"/>
      <c r="CB92" s="2213"/>
      <c r="CC92" s="2213"/>
      <c r="CD92" s="2213"/>
      <c r="CE92" s="2213"/>
      <c r="CF92" s="2208"/>
      <c r="CG92" s="2217">
        <f t="shared" si="34"/>
        <v>-11.400234249362985</v>
      </c>
      <c r="CH92" s="2217">
        <f t="shared" si="15"/>
        <v>8672.24018564168</v>
      </c>
      <c r="CI92" s="2217">
        <f t="shared" si="25"/>
        <v>-0.10023424936298397</v>
      </c>
      <c r="CJ92" s="2212">
        <v>243</v>
      </c>
      <c r="CK92" s="2219"/>
      <c r="CL92" s="2213"/>
      <c r="CM92" s="2219"/>
      <c r="CN92" s="2213"/>
      <c r="CO92" s="2213"/>
      <c r="CP92" s="2213"/>
      <c r="CQ92" s="2213"/>
      <c r="CR92" s="2208"/>
      <c r="CS92" s="2217">
        <f t="shared" si="35"/>
        <v>-53.600514689498368</v>
      </c>
      <c r="CT92" s="2217">
        <f t="shared" si="26"/>
        <v>4904.8954515320956</v>
      </c>
      <c r="CU92" s="2217">
        <f t="shared" si="16"/>
        <v>-31.333714584813606</v>
      </c>
      <c r="CV92" s="2212">
        <v>243</v>
      </c>
      <c r="CW92" s="2208"/>
      <c r="CX92" s="263"/>
      <c r="CY92" s="2208"/>
      <c r="CZ92" s="263"/>
      <c r="DA92" s="263"/>
      <c r="DB92" s="263"/>
      <c r="DC92" s="263"/>
      <c r="DD92" s="2208"/>
    </row>
    <row r="93" spans="1:108">
      <c r="A93" s="2217">
        <f t="shared" si="27"/>
        <v>-11.300059280315692</v>
      </c>
      <c r="B93" s="2217">
        <f t="shared" si="9"/>
        <v>8672.340419891043</v>
      </c>
      <c r="C93" s="2217">
        <f t="shared" si="17"/>
        <v>-5.1548100600484759E-5</v>
      </c>
      <c r="D93" s="2212">
        <v>242</v>
      </c>
      <c r="E93" s="2219"/>
      <c r="F93" s="2213"/>
      <c r="G93" s="2219"/>
      <c r="H93" s="2213"/>
      <c r="I93" s="2213"/>
      <c r="J93" s="2213"/>
      <c r="K93" s="2213"/>
      <c r="L93" s="2213"/>
      <c r="M93" s="2217">
        <f t="shared" si="28"/>
        <v>-11.300062888682733</v>
      </c>
      <c r="N93" s="2217">
        <f t="shared" si="10"/>
        <v>8672.340419891043</v>
      </c>
      <c r="O93" s="2217">
        <f t="shared" si="18"/>
        <v>-5.1548100600484759E-5</v>
      </c>
      <c r="P93" s="2212">
        <v>242</v>
      </c>
      <c r="Q93" s="2219"/>
      <c r="R93" s="2213"/>
      <c r="S93" s="2219"/>
      <c r="T93" s="2213"/>
      <c r="U93" s="2213"/>
      <c r="V93" s="2213"/>
      <c r="W93" s="2213"/>
      <c r="X93" s="2213"/>
      <c r="Y93" s="2217">
        <f t="shared" si="29"/>
        <v>-11.300067528011787</v>
      </c>
      <c r="Z93" s="2217">
        <f t="shared" si="19"/>
        <v>8672.340419891043</v>
      </c>
      <c r="AA93" s="2217">
        <f t="shared" si="20"/>
        <v>-5.1548100600484759E-5</v>
      </c>
      <c r="AB93" s="2212">
        <v>242</v>
      </c>
      <c r="AC93" s="2219"/>
      <c r="AD93" s="2213"/>
      <c r="AE93" s="2219"/>
      <c r="AF93" s="2213"/>
      <c r="AG93" s="2213"/>
      <c r="AH93" s="2213"/>
      <c r="AI93" s="2213"/>
      <c r="AJ93" s="2213"/>
      <c r="AK93" s="2217">
        <f t="shared" si="30"/>
        <v>-11.300045362328529</v>
      </c>
      <c r="AL93" s="2217">
        <f t="shared" si="11"/>
        <v>8672.340419891043</v>
      </c>
      <c r="AM93" s="2217">
        <f t="shared" si="21"/>
        <v>-5.1548100600484759E-5</v>
      </c>
      <c r="AN93" s="2212">
        <v>242</v>
      </c>
      <c r="AO93" s="2219"/>
      <c r="AP93" s="2213"/>
      <c r="AQ93" s="2219"/>
      <c r="AR93" s="2213"/>
      <c r="AS93" s="2213"/>
      <c r="AT93" s="2213"/>
      <c r="AU93" s="2213"/>
      <c r="AV93" s="2213"/>
      <c r="AW93" s="2217">
        <f t="shared" si="31"/>
        <v>-44.156337504530129</v>
      </c>
      <c r="AX93" s="2217">
        <f t="shared" si="22"/>
        <v>4936.2291661169093</v>
      </c>
      <c r="AY93" s="2217">
        <f t="shared" si="12"/>
        <v>-30.996544815594461</v>
      </c>
      <c r="AZ93" s="2212">
        <v>242</v>
      </c>
      <c r="BA93" s="2208"/>
      <c r="BB93" s="263"/>
      <c r="BC93" s="2208"/>
      <c r="BD93" s="263"/>
      <c r="BE93" s="263"/>
      <c r="BF93" s="263"/>
      <c r="BG93" s="263"/>
      <c r="BH93" s="2208"/>
      <c r="BI93" s="2217">
        <f t="shared" si="32"/>
        <v>-53.765266397364414</v>
      </c>
      <c r="BJ93" s="2217">
        <f t="shared" si="23"/>
        <v>4936.2291661169093</v>
      </c>
      <c r="BK93" s="2217">
        <f t="shared" si="13"/>
        <v>-30.996544815594461</v>
      </c>
      <c r="BL93" s="2212">
        <v>242</v>
      </c>
      <c r="BM93" s="2208"/>
      <c r="BN93" s="263"/>
      <c r="BO93" s="2208"/>
      <c r="BP93" s="263"/>
      <c r="BQ93" s="263"/>
      <c r="BR93" s="263"/>
      <c r="BS93" s="263"/>
      <c r="BT93" s="2208"/>
      <c r="BU93" s="2217">
        <f t="shared" si="33"/>
        <v>-11.300045362328529</v>
      </c>
      <c r="BV93" s="2217">
        <f t="shared" si="14"/>
        <v>8672.340419891043</v>
      </c>
      <c r="BW93" s="2217">
        <f t="shared" si="24"/>
        <v>-5.1548100600484759E-5</v>
      </c>
      <c r="BX93" s="2212">
        <v>242</v>
      </c>
      <c r="BY93" s="2219"/>
      <c r="BZ93" s="2213"/>
      <c r="CA93" s="2219"/>
      <c r="CB93" s="2213"/>
      <c r="CC93" s="2213"/>
      <c r="CD93" s="2213"/>
      <c r="CE93" s="2213"/>
      <c r="CF93" s="2208"/>
      <c r="CG93" s="2217">
        <f t="shared" si="34"/>
        <v>-11.300051548100601</v>
      </c>
      <c r="CH93" s="2217">
        <f t="shared" si="15"/>
        <v>8672.340419891043</v>
      </c>
      <c r="CI93" s="2217">
        <f t="shared" si="25"/>
        <v>-5.1548100600484759E-5</v>
      </c>
      <c r="CJ93" s="2212">
        <v>242</v>
      </c>
      <c r="CK93" s="2219"/>
      <c r="CL93" s="2213"/>
      <c r="CM93" s="2219"/>
      <c r="CN93" s="2213"/>
      <c r="CO93" s="2213"/>
      <c r="CP93" s="2213"/>
      <c r="CQ93" s="2213"/>
      <c r="CR93" s="2208"/>
      <c r="CS93" s="2217">
        <f t="shared" si="35"/>
        <v>-53.145335501052529</v>
      </c>
      <c r="CT93" s="2217">
        <f t="shared" si="26"/>
        <v>4936.2291661169093</v>
      </c>
      <c r="CU93" s="2217">
        <f t="shared" si="16"/>
        <v>-30.996544815594461</v>
      </c>
      <c r="CV93" s="2212">
        <v>242</v>
      </c>
      <c r="CW93" s="2208"/>
      <c r="CX93" s="263"/>
      <c r="CY93" s="2208"/>
      <c r="CZ93" s="263"/>
      <c r="DA93" s="263"/>
      <c r="DB93" s="263"/>
      <c r="DC93" s="263"/>
      <c r="DD93" s="2208"/>
    </row>
    <row r="94" spans="1:108">
      <c r="A94" s="2217">
        <f t="shared" si="27"/>
        <v>-11.183880266353027</v>
      </c>
      <c r="B94" s="2217">
        <f t="shared" si="9"/>
        <v>8672.3404714391436</v>
      </c>
      <c r="C94" s="2217">
        <f t="shared" si="17"/>
        <v>0.10097368143215135</v>
      </c>
      <c r="D94" s="2212">
        <v>241</v>
      </c>
      <c r="E94" s="2219"/>
      <c r="F94" s="2213"/>
      <c r="G94" s="2219"/>
      <c r="H94" s="2213"/>
      <c r="I94" s="2213"/>
      <c r="J94" s="2213"/>
      <c r="K94" s="2213"/>
      <c r="L94" s="2213"/>
      <c r="M94" s="2217">
        <f t="shared" si="28"/>
        <v>-11.176812108652776</v>
      </c>
      <c r="N94" s="2217">
        <f t="shared" si="10"/>
        <v>8672.3404714391436</v>
      </c>
      <c r="O94" s="2217">
        <f t="shared" si="18"/>
        <v>0.10097368143215135</v>
      </c>
      <c r="P94" s="2212">
        <v>241</v>
      </c>
      <c r="Q94" s="2219"/>
      <c r="R94" s="2213"/>
      <c r="S94" s="2219"/>
      <c r="T94" s="2213"/>
      <c r="U94" s="2213"/>
      <c r="V94" s="2213"/>
      <c r="W94" s="2213"/>
      <c r="X94" s="2213"/>
      <c r="Y94" s="2217">
        <f t="shared" si="29"/>
        <v>-11.167724477323883</v>
      </c>
      <c r="Z94" s="2217">
        <f t="shared" si="19"/>
        <v>8672.3404714391436</v>
      </c>
      <c r="AA94" s="2217">
        <f t="shared" si="20"/>
        <v>0.10097368143215135</v>
      </c>
      <c r="AB94" s="2212">
        <v>241</v>
      </c>
      <c r="AC94" s="2219"/>
      <c r="AD94" s="2213"/>
      <c r="AE94" s="2219"/>
      <c r="AF94" s="2213"/>
      <c r="AG94" s="2213"/>
      <c r="AH94" s="2213"/>
      <c r="AI94" s="2213"/>
      <c r="AJ94" s="2213"/>
      <c r="AK94" s="2217">
        <f t="shared" si="30"/>
        <v>-11.211143160339708</v>
      </c>
      <c r="AL94" s="2217">
        <f t="shared" si="11"/>
        <v>8672.3404714391436</v>
      </c>
      <c r="AM94" s="2217">
        <f t="shared" si="21"/>
        <v>0.10097368143215135</v>
      </c>
      <c r="AN94" s="2212">
        <v>241</v>
      </c>
      <c r="AO94" s="2219"/>
      <c r="AP94" s="2213"/>
      <c r="AQ94" s="2219"/>
      <c r="AR94" s="2213"/>
      <c r="AS94" s="2213"/>
      <c r="AT94" s="2213"/>
      <c r="AU94" s="2213"/>
      <c r="AV94" s="2213"/>
      <c r="AW94" s="2217">
        <f t="shared" si="31"/>
        <v>-43.799102829125133</v>
      </c>
      <c r="AX94" s="2217">
        <f t="shared" si="22"/>
        <v>4967.2257109325037</v>
      </c>
      <c r="AY94" s="2217">
        <f t="shared" si="12"/>
        <v>-30.659530970872765</v>
      </c>
      <c r="AZ94" s="2212">
        <v>241</v>
      </c>
      <c r="BA94" s="2208"/>
      <c r="BB94" s="263"/>
      <c r="BC94" s="2208"/>
      <c r="BD94" s="263"/>
      <c r="BE94" s="263"/>
      <c r="BF94" s="263"/>
      <c r="BG94" s="263"/>
      <c r="BH94" s="2208"/>
      <c r="BI94" s="2217">
        <f t="shared" si="32"/>
        <v>-53.303557430095694</v>
      </c>
      <c r="BJ94" s="2217">
        <f t="shared" si="23"/>
        <v>4967.2257109325037</v>
      </c>
      <c r="BK94" s="2217">
        <f t="shared" si="13"/>
        <v>-30.659530970872765</v>
      </c>
      <c r="BL94" s="2212">
        <v>241</v>
      </c>
      <c r="BM94" s="2208"/>
      <c r="BN94" s="263"/>
      <c r="BO94" s="2208"/>
      <c r="BP94" s="263"/>
      <c r="BQ94" s="263"/>
      <c r="BR94" s="263"/>
      <c r="BS94" s="263"/>
      <c r="BT94" s="2208"/>
      <c r="BU94" s="2217">
        <f t="shared" si="33"/>
        <v>-11.211143160339708</v>
      </c>
      <c r="BV94" s="2217">
        <f t="shared" si="14"/>
        <v>8672.3404714391436</v>
      </c>
      <c r="BW94" s="2217">
        <f t="shared" si="24"/>
        <v>0.10097368143215135</v>
      </c>
      <c r="BX94" s="2212">
        <v>241</v>
      </c>
      <c r="BY94" s="2219"/>
      <c r="BZ94" s="2213"/>
      <c r="CA94" s="2219"/>
      <c r="CB94" s="2213"/>
      <c r="CC94" s="2213"/>
      <c r="CD94" s="2213"/>
      <c r="CE94" s="2213"/>
      <c r="CF94" s="2208"/>
      <c r="CG94" s="2217">
        <f t="shared" si="34"/>
        <v>-11.199026318567849</v>
      </c>
      <c r="CH94" s="2217">
        <f t="shared" si="15"/>
        <v>8672.3404714391436</v>
      </c>
      <c r="CI94" s="2217">
        <f t="shared" si="25"/>
        <v>0.10097368143215135</v>
      </c>
      <c r="CJ94" s="2212">
        <v>241</v>
      </c>
      <c r="CK94" s="2219"/>
      <c r="CL94" s="2213"/>
      <c r="CM94" s="2219"/>
      <c r="CN94" s="2213"/>
      <c r="CO94" s="2213"/>
      <c r="CP94" s="2213"/>
      <c r="CQ94" s="2213"/>
      <c r="CR94" s="2208"/>
      <c r="CS94" s="2217">
        <f t="shared" si="35"/>
        <v>-52.690366810678242</v>
      </c>
      <c r="CT94" s="2217">
        <f t="shared" si="26"/>
        <v>4967.2257109325037</v>
      </c>
      <c r="CU94" s="2217">
        <f t="shared" si="16"/>
        <v>-30.659530970872765</v>
      </c>
      <c r="CV94" s="2212">
        <v>241</v>
      </c>
      <c r="CW94" s="2208"/>
      <c r="CX94" s="263"/>
      <c r="CY94" s="2208"/>
      <c r="CZ94" s="263"/>
      <c r="DA94" s="263"/>
      <c r="DB94" s="263"/>
      <c r="DC94" s="263"/>
      <c r="DD94" s="2208"/>
    </row>
    <row r="95" spans="1:108">
      <c r="A95" s="2217">
        <f t="shared" si="27"/>
        <v>-11.066732344887805</v>
      </c>
      <c r="B95" s="2217">
        <f t="shared" si="9"/>
        <v>8672.2394977577114</v>
      </c>
      <c r="C95" s="2217">
        <f t="shared" si="17"/>
        <v>0.20284143922799558</v>
      </c>
      <c r="D95" s="2212">
        <v>240</v>
      </c>
      <c r="E95" s="2219"/>
      <c r="F95" s="2213"/>
      <c r="G95" s="2219"/>
      <c r="H95" s="2213"/>
      <c r="I95" s="2213"/>
      <c r="J95" s="2213"/>
      <c r="K95" s="2213"/>
      <c r="L95" s="2213"/>
      <c r="M95" s="2217">
        <f t="shared" si="28"/>
        <v>-11.052533444141845</v>
      </c>
      <c r="N95" s="2217">
        <f t="shared" si="10"/>
        <v>8672.2394977577114</v>
      </c>
      <c r="O95" s="2217">
        <f t="shared" si="18"/>
        <v>0.20284143922799558</v>
      </c>
      <c r="P95" s="2212">
        <v>240</v>
      </c>
      <c r="Q95" s="2219"/>
      <c r="R95" s="2213"/>
      <c r="S95" s="2219"/>
      <c r="T95" s="2213"/>
      <c r="U95" s="2213"/>
      <c r="V95" s="2213"/>
      <c r="W95" s="2213"/>
      <c r="X95" s="2213"/>
      <c r="Y95" s="2217">
        <f t="shared" si="29"/>
        <v>-11.034277714611326</v>
      </c>
      <c r="Z95" s="2217">
        <f t="shared" si="19"/>
        <v>8672.2394977577114</v>
      </c>
      <c r="AA95" s="2217">
        <f t="shared" si="20"/>
        <v>0.20284143922799558</v>
      </c>
      <c r="AB95" s="2212">
        <v>240</v>
      </c>
      <c r="AC95" s="2219"/>
      <c r="AD95" s="2213"/>
      <c r="AE95" s="2219"/>
      <c r="AF95" s="2213"/>
      <c r="AG95" s="2213"/>
      <c r="AH95" s="2213"/>
      <c r="AI95" s="2213"/>
      <c r="AJ95" s="2213"/>
      <c r="AK95" s="2217">
        <f t="shared" si="30"/>
        <v>-11.121499533479364</v>
      </c>
      <c r="AL95" s="2217">
        <f t="shared" si="11"/>
        <v>8672.2394977577114</v>
      </c>
      <c r="AM95" s="2217">
        <f t="shared" si="21"/>
        <v>0.20284143922799558</v>
      </c>
      <c r="AN95" s="2212">
        <v>240</v>
      </c>
      <c r="AO95" s="2219"/>
      <c r="AP95" s="2213"/>
      <c r="AQ95" s="2219"/>
      <c r="AR95" s="2213"/>
      <c r="AS95" s="2213"/>
      <c r="AT95" s="2213"/>
      <c r="AU95" s="2213"/>
      <c r="AV95" s="2213"/>
      <c r="AW95" s="2217">
        <f t="shared" si="31"/>
        <v>-43.442033433695144</v>
      </c>
      <c r="AX95" s="2217">
        <f t="shared" si="22"/>
        <v>4997.8852419033765</v>
      </c>
      <c r="AY95" s="2217">
        <f t="shared" si="12"/>
        <v>-30.322673050655794</v>
      </c>
      <c r="AZ95" s="2212">
        <v>240</v>
      </c>
      <c r="BA95" s="2208"/>
      <c r="BB95" s="263"/>
      <c r="BC95" s="2208"/>
      <c r="BD95" s="263"/>
      <c r="BE95" s="263"/>
      <c r="BF95" s="263"/>
      <c r="BG95" s="263"/>
      <c r="BH95" s="2208"/>
      <c r="BI95" s="2217">
        <f t="shared" si="32"/>
        <v>-52.842062079398445</v>
      </c>
      <c r="BJ95" s="2217">
        <f t="shared" si="23"/>
        <v>4997.8852419033765</v>
      </c>
      <c r="BK95" s="2217">
        <f t="shared" si="13"/>
        <v>-30.322673050655794</v>
      </c>
      <c r="BL95" s="2212">
        <v>240</v>
      </c>
      <c r="BM95" s="2208"/>
      <c r="BN95" s="263"/>
      <c r="BO95" s="2208"/>
      <c r="BP95" s="263"/>
      <c r="BQ95" s="263"/>
      <c r="BR95" s="263"/>
      <c r="BS95" s="263"/>
      <c r="BT95" s="2208"/>
      <c r="BU95" s="2217">
        <f t="shared" si="33"/>
        <v>-11.121499533479364</v>
      </c>
      <c r="BV95" s="2217">
        <f t="shared" si="14"/>
        <v>8672.2394977577114</v>
      </c>
      <c r="BW95" s="2217">
        <f t="shared" si="24"/>
        <v>0.20284143922799558</v>
      </c>
      <c r="BX95" s="2212">
        <v>240</v>
      </c>
      <c r="BY95" s="2219"/>
      <c r="BZ95" s="2213"/>
      <c r="CA95" s="2219"/>
      <c r="CB95" s="2213"/>
      <c r="CC95" s="2213"/>
      <c r="CD95" s="2213"/>
      <c r="CE95" s="2213"/>
      <c r="CF95" s="2208"/>
      <c r="CG95" s="2217">
        <f t="shared" si="34"/>
        <v>-11.097158560772005</v>
      </c>
      <c r="CH95" s="2217">
        <f t="shared" si="15"/>
        <v>8672.2394977577114</v>
      </c>
      <c r="CI95" s="2217">
        <f t="shared" si="25"/>
        <v>0.20284143922799558</v>
      </c>
      <c r="CJ95" s="2212">
        <v>240</v>
      </c>
      <c r="CK95" s="2219"/>
      <c r="CL95" s="2213"/>
      <c r="CM95" s="2219"/>
      <c r="CN95" s="2213"/>
      <c r="CO95" s="2213"/>
      <c r="CP95" s="2213"/>
      <c r="CQ95" s="2213"/>
      <c r="CR95" s="2208"/>
      <c r="CS95" s="2217">
        <f t="shared" si="35"/>
        <v>-52.235608618385328</v>
      </c>
      <c r="CT95" s="2217">
        <f t="shared" si="26"/>
        <v>4997.8852419033765</v>
      </c>
      <c r="CU95" s="2217">
        <f t="shared" si="16"/>
        <v>-30.322673050655794</v>
      </c>
      <c r="CV95" s="2212">
        <v>240</v>
      </c>
      <c r="CW95" s="2208"/>
      <c r="CX95" s="263"/>
      <c r="CY95" s="2208"/>
      <c r="CZ95" s="263"/>
      <c r="DA95" s="263"/>
      <c r="DB95" s="263"/>
      <c r="DC95" s="263"/>
      <c r="DD95" s="2208"/>
    </row>
    <row r="96" spans="1:108">
      <c r="A96" s="2217">
        <f t="shared" si="27"/>
        <v>-10.948615515903294</v>
      </c>
      <c r="B96" s="2217">
        <f t="shared" si="9"/>
        <v>8672.0366563184834</v>
      </c>
      <c r="C96" s="2217">
        <f t="shared" si="17"/>
        <v>0.30555172530148411</v>
      </c>
      <c r="D96" s="2212">
        <v>239</v>
      </c>
      <c r="E96" s="2219"/>
      <c r="F96" s="2213"/>
      <c r="G96" s="2219"/>
      <c r="H96" s="2213"/>
      <c r="I96" s="2213"/>
      <c r="J96" s="2213"/>
      <c r="K96" s="2213"/>
      <c r="L96" s="2213"/>
      <c r="M96" s="2217">
        <f t="shared" si="28"/>
        <v>-10.92722689513219</v>
      </c>
      <c r="N96" s="2217">
        <f t="shared" si="10"/>
        <v>8672.0366563184834</v>
      </c>
      <c r="O96" s="2217">
        <f t="shared" si="18"/>
        <v>0.30555172530148411</v>
      </c>
      <c r="P96" s="2212">
        <v>239</v>
      </c>
      <c r="Q96" s="2219"/>
      <c r="R96" s="2213"/>
      <c r="S96" s="2219"/>
      <c r="T96" s="2213"/>
      <c r="U96" s="2213"/>
      <c r="V96" s="2213"/>
      <c r="W96" s="2213"/>
      <c r="X96" s="2213"/>
      <c r="Y96" s="2217">
        <f t="shared" si="29"/>
        <v>-10.899727239855057</v>
      </c>
      <c r="Z96" s="2217">
        <f t="shared" si="19"/>
        <v>8672.0366563184834</v>
      </c>
      <c r="AA96" s="2217">
        <f t="shared" si="20"/>
        <v>0.30555172530148411</v>
      </c>
      <c r="AB96" s="2212">
        <v>239</v>
      </c>
      <c r="AC96" s="2219"/>
      <c r="AD96" s="2213"/>
      <c r="AE96" s="2219"/>
      <c r="AF96" s="2213"/>
      <c r="AG96" s="2213"/>
      <c r="AH96" s="2213"/>
      <c r="AI96" s="2213"/>
      <c r="AJ96" s="2213"/>
      <c r="AK96" s="2217">
        <f t="shared" si="30"/>
        <v>-11.031114481734695</v>
      </c>
      <c r="AL96" s="2217">
        <f t="shared" si="11"/>
        <v>8672.0366563184834</v>
      </c>
      <c r="AM96" s="2217">
        <f t="shared" si="21"/>
        <v>0.30555172530148411</v>
      </c>
      <c r="AN96" s="2212">
        <v>239</v>
      </c>
      <c r="AO96" s="2219"/>
      <c r="AP96" s="2213"/>
      <c r="AQ96" s="2219"/>
      <c r="AR96" s="2213"/>
      <c r="AS96" s="2213"/>
      <c r="AT96" s="2213"/>
      <c r="AU96" s="2213"/>
      <c r="AV96" s="2213"/>
      <c r="AW96" s="2217">
        <f t="shared" si="31"/>
        <v>-43.085129318231488</v>
      </c>
      <c r="AX96" s="2217">
        <f t="shared" si="22"/>
        <v>5028.2079149540323</v>
      </c>
      <c r="AY96" s="2217">
        <f t="shared" si="12"/>
        <v>-29.985971054935362</v>
      </c>
      <c r="AZ96" s="2212">
        <v>239</v>
      </c>
      <c r="BA96" s="2208"/>
      <c r="BB96" s="263"/>
      <c r="BC96" s="2208"/>
      <c r="BD96" s="263"/>
      <c r="BE96" s="263"/>
      <c r="BF96" s="263"/>
      <c r="BG96" s="263"/>
      <c r="BH96" s="2208"/>
      <c r="BI96" s="2217">
        <f t="shared" si="32"/>
        <v>-52.380780345261456</v>
      </c>
      <c r="BJ96" s="2217">
        <f t="shared" si="23"/>
        <v>5028.2079149540323</v>
      </c>
      <c r="BK96" s="2217">
        <f t="shared" si="13"/>
        <v>-29.985971054935362</v>
      </c>
      <c r="BL96" s="2212">
        <v>239</v>
      </c>
      <c r="BM96" s="2208"/>
      <c r="BN96" s="263"/>
      <c r="BO96" s="2208"/>
      <c r="BP96" s="263"/>
      <c r="BQ96" s="263"/>
      <c r="BR96" s="263"/>
      <c r="BS96" s="263"/>
      <c r="BT96" s="2208"/>
      <c r="BU96" s="2217">
        <f t="shared" si="33"/>
        <v>-11.031114481734695</v>
      </c>
      <c r="BV96" s="2217">
        <f t="shared" si="14"/>
        <v>8672.0366563184834</v>
      </c>
      <c r="BW96" s="2217">
        <f t="shared" si="24"/>
        <v>0.30555172530148411</v>
      </c>
      <c r="BX96" s="2212">
        <v>239</v>
      </c>
      <c r="BY96" s="2219"/>
      <c r="BZ96" s="2213"/>
      <c r="CA96" s="2219"/>
      <c r="CB96" s="2213"/>
      <c r="CC96" s="2213"/>
      <c r="CD96" s="2213"/>
      <c r="CE96" s="2213"/>
      <c r="CF96" s="2208"/>
      <c r="CG96" s="2217">
        <f t="shared" si="34"/>
        <v>-10.994448274698517</v>
      </c>
      <c r="CH96" s="2217">
        <f t="shared" si="15"/>
        <v>8672.0366563184834</v>
      </c>
      <c r="CI96" s="2217">
        <f t="shared" si="25"/>
        <v>0.30555172530148411</v>
      </c>
      <c r="CJ96" s="2212">
        <v>239</v>
      </c>
      <c r="CK96" s="2219"/>
      <c r="CL96" s="2213"/>
      <c r="CM96" s="2219"/>
      <c r="CN96" s="2213"/>
      <c r="CO96" s="2213"/>
      <c r="CP96" s="2213"/>
      <c r="CQ96" s="2213"/>
      <c r="CR96" s="2208"/>
      <c r="CS96" s="2217">
        <f t="shared" si="35"/>
        <v>-51.781060924162745</v>
      </c>
      <c r="CT96" s="2217">
        <f t="shared" si="26"/>
        <v>5028.2079149540323</v>
      </c>
      <c r="CU96" s="2217">
        <f t="shared" si="16"/>
        <v>-29.985971054935362</v>
      </c>
      <c r="CV96" s="2212">
        <v>239</v>
      </c>
      <c r="CW96" s="2208"/>
      <c r="CX96" s="263"/>
      <c r="CY96" s="2208"/>
      <c r="CZ96" s="263"/>
      <c r="DA96" s="263"/>
      <c r="DB96" s="263"/>
      <c r="DC96" s="263"/>
      <c r="DD96" s="2208"/>
    </row>
    <row r="97" spans="1:108">
      <c r="A97" s="2217">
        <f t="shared" si="27"/>
        <v>-10.829529779414134</v>
      </c>
      <c r="B97" s="2217">
        <f t="shared" si="9"/>
        <v>8671.731104593182</v>
      </c>
      <c r="C97" s="2217">
        <f t="shared" si="17"/>
        <v>0.40910453963988402</v>
      </c>
      <c r="D97" s="2212">
        <v>238</v>
      </c>
      <c r="E97" s="2219"/>
      <c r="F97" s="2213"/>
      <c r="G97" s="2219"/>
      <c r="H97" s="2213"/>
      <c r="I97" s="2213"/>
      <c r="J97" s="2213"/>
      <c r="K97" s="2213"/>
      <c r="L97" s="2213"/>
      <c r="M97" s="2217">
        <f t="shared" si="28"/>
        <v>-10.800892461639343</v>
      </c>
      <c r="N97" s="2217">
        <f t="shared" si="10"/>
        <v>8671.731104593182</v>
      </c>
      <c r="O97" s="2217">
        <f t="shared" si="18"/>
        <v>0.40910453963988402</v>
      </c>
      <c r="P97" s="2212">
        <v>238</v>
      </c>
      <c r="Q97" s="2219"/>
      <c r="R97" s="2213"/>
      <c r="S97" s="2219"/>
      <c r="T97" s="2213"/>
      <c r="U97" s="2213"/>
      <c r="V97" s="2213"/>
      <c r="W97" s="2213"/>
      <c r="X97" s="2213"/>
      <c r="Y97" s="2217">
        <f t="shared" si="29"/>
        <v>-10.764073053071753</v>
      </c>
      <c r="Z97" s="2217">
        <f t="shared" si="19"/>
        <v>8671.731104593182</v>
      </c>
      <c r="AA97" s="2217">
        <f t="shared" si="20"/>
        <v>0.40910453963988402</v>
      </c>
      <c r="AB97" s="2212">
        <v>238</v>
      </c>
      <c r="AC97" s="2219"/>
      <c r="AD97" s="2213"/>
      <c r="AE97" s="2219"/>
      <c r="AF97" s="2213"/>
      <c r="AG97" s="2213"/>
      <c r="AH97" s="2213"/>
      <c r="AI97" s="2213"/>
      <c r="AJ97" s="2213"/>
      <c r="AK97" s="2217">
        <f t="shared" si="30"/>
        <v>-10.939988005116902</v>
      </c>
      <c r="AL97" s="2217">
        <f t="shared" si="11"/>
        <v>8671.731104593182</v>
      </c>
      <c r="AM97" s="2217">
        <f t="shared" si="21"/>
        <v>0.40910453963988402</v>
      </c>
      <c r="AN97" s="2212">
        <v>238</v>
      </c>
      <c r="AO97" s="2219"/>
      <c r="AP97" s="2213"/>
      <c r="AQ97" s="2219"/>
      <c r="AR97" s="2213"/>
      <c r="AS97" s="2213"/>
      <c r="AT97" s="2213"/>
      <c r="AU97" s="2213"/>
      <c r="AV97" s="2213"/>
      <c r="AW97" s="2217">
        <f t="shared" si="31"/>
        <v>-42.728390482743805</v>
      </c>
      <c r="AX97" s="2217">
        <f t="shared" si="22"/>
        <v>5058.1938860089676</v>
      </c>
      <c r="AY97" s="2217">
        <f t="shared" si="12"/>
        <v>-29.649424983720564</v>
      </c>
      <c r="AZ97" s="2212">
        <v>238</v>
      </c>
      <c r="BA97" s="2208"/>
      <c r="BB97" s="263"/>
      <c r="BC97" s="2208"/>
      <c r="BD97" s="263"/>
      <c r="BE97" s="263"/>
      <c r="BF97" s="263"/>
      <c r="BG97" s="263"/>
      <c r="BH97" s="2208"/>
      <c r="BI97" s="2217">
        <f t="shared" si="32"/>
        <v>-51.919712227697175</v>
      </c>
      <c r="BJ97" s="2217">
        <f t="shared" si="23"/>
        <v>5058.1938860089676</v>
      </c>
      <c r="BK97" s="2217">
        <f t="shared" si="13"/>
        <v>-29.649424983720564</v>
      </c>
      <c r="BL97" s="2212">
        <v>238</v>
      </c>
      <c r="BM97" s="2208"/>
      <c r="BN97" s="263"/>
      <c r="BO97" s="2208"/>
      <c r="BP97" s="263"/>
      <c r="BQ97" s="263"/>
      <c r="BR97" s="263"/>
      <c r="BS97" s="263"/>
      <c r="BT97" s="2208"/>
      <c r="BU97" s="2217">
        <f t="shared" si="33"/>
        <v>-10.939988005116902</v>
      </c>
      <c r="BV97" s="2217">
        <f t="shared" si="14"/>
        <v>8671.731104593182</v>
      </c>
      <c r="BW97" s="2217">
        <f t="shared" si="24"/>
        <v>0.40910453963988402</v>
      </c>
      <c r="BX97" s="2212">
        <v>238</v>
      </c>
      <c r="BY97" s="2219"/>
      <c r="BZ97" s="2213"/>
      <c r="CA97" s="2219"/>
      <c r="CB97" s="2213"/>
      <c r="CC97" s="2213"/>
      <c r="CD97" s="2213"/>
      <c r="CE97" s="2213"/>
      <c r="CF97" s="2208"/>
      <c r="CG97" s="2217">
        <f t="shared" si="34"/>
        <v>-10.890895460360117</v>
      </c>
      <c r="CH97" s="2217">
        <f t="shared" si="15"/>
        <v>8671.731104593182</v>
      </c>
      <c r="CI97" s="2217">
        <f t="shared" si="25"/>
        <v>0.40910453963988402</v>
      </c>
      <c r="CJ97" s="2212">
        <v>238</v>
      </c>
      <c r="CK97" s="2219"/>
      <c r="CL97" s="2213"/>
      <c r="CM97" s="2219"/>
      <c r="CN97" s="2213"/>
      <c r="CO97" s="2213"/>
      <c r="CP97" s="2213"/>
      <c r="CQ97" s="2213"/>
      <c r="CR97" s="2208"/>
      <c r="CS97" s="2217">
        <f t="shared" si="35"/>
        <v>-51.32672372802277</v>
      </c>
      <c r="CT97" s="2217">
        <f t="shared" si="26"/>
        <v>5058.1938860089676</v>
      </c>
      <c r="CU97" s="2217">
        <f t="shared" si="16"/>
        <v>-29.649424983720564</v>
      </c>
      <c r="CV97" s="2212">
        <v>238</v>
      </c>
      <c r="CW97" s="2208"/>
      <c r="CX97" s="263"/>
      <c r="CY97" s="2208"/>
      <c r="CZ97" s="263"/>
      <c r="DA97" s="263"/>
      <c r="DB97" s="263"/>
      <c r="DC97" s="263"/>
      <c r="DD97" s="2208"/>
    </row>
    <row r="98" spans="1:108">
      <c r="A98" s="2217">
        <f t="shared" si="27"/>
        <v>-10.709475135414051</v>
      </c>
      <c r="B98" s="2217">
        <f t="shared" si="9"/>
        <v>8671.3220000535421</v>
      </c>
      <c r="C98" s="2217">
        <f t="shared" si="17"/>
        <v>0.51349988224865228</v>
      </c>
      <c r="D98" s="2212">
        <v>237</v>
      </c>
      <c r="E98" s="2219"/>
      <c r="F98" s="2213"/>
      <c r="G98" s="2219"/>
      <c r="H98" s="2213"/>
      <c r="I98" s="2213"/>
      <c r="J98" s="2213"/>
      <c r="K98" s="2213"/>
      <c r="L98" s="2213"/>
      <c r="M98" s="2217">
        <f t="shared" si="28"/>
        <v>-10.673530143656645</v>
      </c>
      <c r="N98" s="2217">
        <f t="shared" si="10"/>
        <v>8671.3220000535421</v>
      </c>
      <c r="O98" s="2217">
        <f t="shared" si="18"/>
        <v>0.51349988224865228</v>
      </c>
      <c r="P98" s="2212">
        <v>237</v>
      </c>
      <c r="Q98" s="2219"/>
      <c r="R98" s="2213"/>
      <c r="S98" s="2219"/>
      <c r="T98" s="2213"/>
      <c r="U98" s="2213"/>
      <c r="V98" s="2213"/>
      <c r="W98" s="2213"/>
      <c r="X98" s="2213"/>
      <c r="Y98" s="2217">
        <f t="shared" si="29"/>
        <v>-10.627315154254266</v>
      </c>
      <c r="Z98" s="2217">
        <f t="shared" si="19"/>
        <v>8671.3220000535421</v>
      </c>
      <c r="AA98" s="2217">
        <f t="shared" si="20"/>
        <v>0.51349988224865228</v>
      </c>
      <c r="AB98" s="2212">
        <v>237</v>
      </c>
      <c r="AC98" s="2219"/>
      <c r="AD98" s="2213"/>
      <c r="AE98" s="2219"/>
      <c r="AF98" s="2213"/>
      <c r="AG98" s="2213"/>
      <c r="AH98" s="2213"/>
      <c r="AI98" s="2213"/>
      <c r="AJ98" s="2213"/>
      <c r="AK98" s="2217">
        <f t="shared" si="30"/>
        <v>-10.848120103621186</v>
      </c>
      <c r="AL98" s="2217">
        <f t="shared" si="11"/>
        <v>8671.3220000535421</v>
      </c>
      <c r="AM98" s="2217">
        <f t="shared" si="21"/>
        <v>0.51349988224865228</v>
      </c>
      <c r="AN98" s="2212">
        <v>237</v>
      </c>
      <c r="AO98" s="2219"/>
      <c r="AP98" s="2213"/>
      <c r="AQ98" s="2219"/>
      <c r="AR98" s="2213"/>
      <c r="AS98" s="2213"/>
      <c r="AT98" s="2213"/>
      <c r="AU98" s="2213"/>
      <c r="AV98" s="2213"/>
      <c r="AW98" s="2217">
        <f t="shared" si="31"/>
        <v>-42.371816927221481</v>
      </c>
      <c r="AX98" s="2217">
        <f t="shared" si="22"/>
        <v>5087.8433109926882</v>
      </c>
      <c r="AY98" s="2217">
        <f t="shared" si="12"/>
        <v>-29.313034837001396</v>
      </c>
      <c r="AZ98" s="2212">
        <v>237</v>
      </c>
      <c r="BA98" s="2208"/>
      <c r="BB98" s="263"/>
      <c r="BC98" s="2208"/>
      <c r="BD98" s="263"/>
      <c r="BE98" s="263"/>
      <c r="BF98" s="263"/>
      <c r="BG98" s="263"/>
      <c r="BH98" s="2208"/>
      <c r="BI98" s="2217">
        <f t="shared" si="32"/>
        <v>-51.458857726691917</v>
      </c>
      <c r="BJ98" s="2217">
        <f t="shared" si="23"/>
        <v>5087.8433109926882</v>
      </c>
      <c r="BK98" s="2217">
        <f t="shared" si="13"/>
        <v>-29.313034837001396</v>
      </c>
      <c r="BL98" s="2212">
        <v>237</v>
      </c>
      <c r="BM98" s="2208"/>
      <c r="BN98" s="263"/>
      <c r="BO98" s="2208"/>
      <c r="BP98" s="263"/>
      <c r="BQ98" s="263"/>
      <c r="BR98" s="263"/>
      <c r="BS98" s="263"/>
      <c r="BT98" s="2208"/>
      <c r="BU98" s="2217">
        <f t="shared" si="33"/>
        <v>-10.848120103621186</v>
      </c>
      <c r="BV98" s="2217">
        <f t="shared" si="14"/>
        <v>8671.3220000535421</v>
      </c>
      <c r="BW98" s="2217">
        <f t="shared" si="24"/>
        <v>0.51349988224865228</v>
      </c>
      <c r="BX98" s="2212">
        <v>237</v>
      </c>
      <c r="BY98" s="2219"/>
      <c r="BZ98" s="2213"/>
      <c r="CA98" s="2219"/>
      <c r="CB98" s="2213"/>
      <c r="CC98" s="2213"/>
      <c r="CD98" s="2213"/>
      <c r="CE98" s="2213"/>
      <c r="CF98" s="2208"/>
      <c r="CG98" s="2217">
        <f t="shared" si="34"/>
        <v>-10.786500117751348</v>
      </c>
      <c r="CH98" s="2217">
        <f t="shared" si="15"/>
        <v>8671.3220000535421</v>
      </c>
      <c r="CI98" s="2217">
        <f t="shared" si="25"/>
        <v>0.51349988224865228</v>
      </c>
      <c r="CJ98" s="2212">
        <v>237</v>
      </c>
      <c r="CK98" s="2219"/>
      <c r="CL98" s="2213"/>
      <c r="CM98" s="2219"/>
      <c r="CN98" s="2213"/>
      <c r="CO98" s="2213"/>
      <c r="CP98" s="2213"/>
      <c r="CQ98" s="2213"/>
      <c r="CR98" s="2208"/>
      <c r="CS98" s="2217">
        <f t="shared" si="35"/>
        <v>-50.872597029951891</v>
      </c>
      <c r="CT98" s="2217">
        <f t="shared" si="26"/>
        <v>5087.8433109926882</v>
      </c>
      <c r="CU98" s="2217">
        <f t="shared" si="16"/>
        <v>-29.313034837001396</v>
      </c>
      <c r="CV98" s="2212">
        <v>237</v>
      </c>
      <c r="CW98" s="2208"/>
      <c r="CX98" s="263"/>
      <c r="CY98" s="2208"/>
      <c r="CZ98" s="263"/>
      <c r="DA98" s="263"/>
      <c r="DB98" s="263"/>
      <c r="DC98" s="263"/>
      <c r="DD98" s="2208"/>
    </row>
    <row r="99" spans="1:108">
      <c r="A99" s="2217">
        <f t="shared" si="27"/>
        <v>-10.588451583903044</v>
      </c>
      <c r="B99" s="2217">
        <f t="shared" ref="B99:B162" si="63">B$27+(B$26*D99)-(B$25*(D99^2))+(B$24*(D99^3))</f>
        <v>8670.8085001712934</v>
      </c>
      <c r="C99" s="2217">
        <f t="shared" si="17"/>
        <v>0.61873775312778889</v>
      </c>
      <c r="D99" s="2212">
        <v>236</v>
      </c>
      <c r="E99" s="2219"/>
      <c r="F99" s="2213"/>
      <c r="G99" s="2219"/>
      <c r="H99" s="2213"/>
      <c r="I99" s="2213"/>
      <c r="J99" s="2213"/>
      <c r="K99" s="2213"/>
      <c r="L99" s="2213"/>
      <c r="M99" s="2217">
        <f t="shared" si="28"/>
        <v>-10.545139941184098</v>
      </c>
      <c r="N99" s="2217">
        <f t="shared" ref="N99:N162" si="64">N$27+(N$26*P99)-(N$25*(P99^2))+(N$24*(P99^3))</f>
        <v>8670.8085001712934</v>
      </c>
      <c r="O99" s="2217">
        <f t="shared" si="18"/>
        <v>0.61873775312778889</v>
      </c>
      <c r="P99" s="2212">
        <v>236</v>
      </c>
      <c r="Q99" s="2219"/>
      <c r="R99" s="2213"/>
      <c r="S99" s="2219"/>
      <c r="T99" s="2213"/>
      <c r="U99" s="2213"/>
      <c r="V99" s="2213"/>
      <c r="W99" s="2213"/>
      <c r="X99" s="2213"/>
      <c r="Y99" s="2217">
        <f t="shared" si="29"/>
        <v>-10.489453543402597</v>
      </c>
      <c r="Z99" s="2217">
        <f t="shared" si="19"/>
        <v>8670.8085001712934</v>
      </c>
      <c r="AA99" s="2217">
        <f t="shared" si="20"/>
        <v>0.61873775312778889</v>
      </c>
      <c r="AB99" s="2212">
        <v>236</v>
      </c>
      <c r="AC99" s="2219"/>
      <c r="AD99" s="2213"/>
      <c r="AE99" s="2219"/>
      <c r="AF99" s="2213"/>
      <c r="AG99" s="2213"/>
      <c r="AH99" s="2213"/>
      <c r="AI99" s="2213"/>
      <c r="AJ99" s="2213"/>
      <c r="AK99" s="2217">
        <f t="shared" si="30"/>
        <v>-10.755510777247547</v>
      </c>
      <c r="AL99" s="2217">
        <f t="shared" ref="AL99:AL162" si="65">AL$27+(AL$26*AN99)-(AL$25*(AN99^2))+(AL$24*(AN99^3))</f>
        <v>8670.8085001712934</v>
      </c>
      <c r="AM99" s="2217">
        <f t="shared" si="21"/>
        <v>0.61873775312778889</v>
      </c>
      <c r="AN99" s="2212">
        <v>236</v>
      </c>
      <c r="AO99" s="2219"/>
      <c r="AP99" s="2213"/>
      <c r="AQ99" s="2219"/>
      <c r="AR99" s="2213"/>
      <c r="AS99" s="2213"/>
      <c r="AT99" s="2213"/>
      <c r="AU99" s="2213"/>
      <c r="AV99" s="2213"/>
      <c r="AW99" s="2217">
        <f t="shared" si="31"/>
        <v>-42.015408651675138</v>
      </c>
      <c r="AX99" s="2217">
        <f t="shared" si="22"/>
        <v>5117.1563458296896</v>
      </c>
      <c r="AY99" s="2217">
        <f t="shared" ref="AY99:AY162" si="66">AX99-AX100</f>
        <v>-28.976800614787862</v>
      </c>
      <c r="AZ99" s="2212">
        <v>236</v>
      </c>
      <c r="BA99" s="2208"/>
      <c r="BB99" s="263"/>
      <c r="BC99" s="2208"/>
      <c r="BD99" s="263"/>
      <c r="BE99" s="263"/>
      <c r="BF99" s="263"/>
      <c r="BG99" s="263"/>
      <c r="BH99" s="2208"/>
      <c r="BI99" s="2217">
        <f t="shared" si="32"/>
        <v>-50.998216842259382</v>
      </c>
      <c r="BJ99" s="2217">
        <f t="shared" si="23"/>
        <v>5117.1563458296896</v>
      </c>
      <c r="BK99" s="2217">
        <f t="shared" ref="BK99:BK162" si="67">BJ99-BJ100</f>
        <v>-28.976800614787862</v>
      </c>
      <c r="BL99" s="2212">
        <v>236</v>
      </c>
      <c r="BM99" s="2208"/>
      <c r="BN99" s="263"/>
      <c r="BO99" s="2208"/>
      <c r="BP99" s="263"/>
      <c r="BQ99" s="263"/>
      <c r="BR99" s="263"/>
      <c r="BS99" s="263"/>
      <c r="BT99" s="2208"/>
      <c r="BU99" s="2217">
        <f t="shared" si="33"/>
        <v>-10.755510777247547</v>
      </c>
      <c r="BV99" s="2217">
        <f t="shared" ref="BV99:BV162" si="68">BV$27+(BV$26*BX99)-(BV$25*(BX99^2))+(BV$24*(BX99^3))</f>
        <v>8670.8085001712934</v>
      </c>
      <c r="BW99" s="2217">
        <f t="shared" si="24"/>
        <v>0.61873775312778889</v>
      </c>
      <c r="BX99" s="2212">
        <v>236</v>
      </c>
      <c r="BY99" s="2219"/>
      <c r="BZ99" s="2213"/>
      <c r="CA99" s="2219"/>
      <c r="CB99" s="2213"/>
      <c r="CC99" s="2213"/>
      <c r="CD99" s="2213"/>
      <c r="CE99" s="2213"/>
      <c r="CF99" s="2208"/>
      <c r="CG99" s="2217">
        <f t="shared" si="34"/>
        <v>-10.681262246872212</v>
      </c>
      <c r="CH99" s="2217">
        <f t="shared" ref="CH99:CH162" si="69">CH$27+(CH$26*CJ99)-(CH$25*(CJ99^2))+(CH$24*(CJ99^3))</f>
        <v>8670.8085001712934</v>
      </c>
      <c r="CI99" s="2217">
        <f t="shared" si="25"/>
        <v>0.61873775312778889</v>
      </c>
      <c r="CJ99" s="2212">
        <v>236</v>
      </c>
      <c r="CK99" s="2219"/>
      <c r="CL99" s="2213"/>
      <c r="CM99" s="2219"/>
      <c r="CN99" s="2213"/>
      <c r="CO99" s="2213"/>
      <c r="CP99" s="2213"/>
      <c r="CQ99" s="2213"/>
      <c r="CR99" s="2208"/>
      <c r="CS99" s="2217">
        <f t="shared" si="35"/>
        <v>-50.41868082996362</v>
      </c>
      <c r="CT99" s="2217">
        <f t="shared" si="26"/>
        <v>5117.1563458296896</v>
      </c>
      <c r="CU99" s="2217">
        <f t="shared" ref="CU99:CU162" si="70">CT99-CT100</f>
        <v>-28.976800614787862</v>
      </c>
      <c r="CV99" s="2212">
        <v>236</v>
      </c>
      <c r="CW99" s="2208"/>
      <c r="CX99" s="263"/>
      <c r="CY99" s="2208"/>
      <c r="CZ99" s="263"/>
      <c r="DA99" s="263"/>
      <c r="DB99" s="263"/>
      <c r="DC99" s="263"/>
      <c r="DD99" s="2208"/>
    </row>
    <row r="100" spans="1:108">
      <c r="A100" s="2217">
        <f t="shared" si="27"/>
        <v>-10.466459124881112</v>
      </c>
      <c r="B100" s="2217">
        <f t="shared" si="63"/>
        <v>8670.1897624181656</v>
      </c>
      <c r="C100" s="2217">
        <f t="shared" ref="C100:C163" si="71">B100-B101</f>
        <v>0.72481815227729385</v>
      </c>
      <c r="D100" s="2212">
        <v>235</v>
      </c>
      <c r="E100" s="2219"/>
      <c r="F100" s="2213"/>
      <c r="G100" s="2219"/>
      <c r="H100" s="2213"/>
      <c r="I100" s="2213"/>
      <c r="J100" s="2213"/>
      <c r="K100" s="2213"/>
      <c r="L100" s="2213"/>
      <c r="M100" s="2217">
        <f t="shared" si="28"/>
        <v>-10.415721854221703</v>
      </c>
      <c r="N100" s="2217">
        <f t="shared" si="64"/>
        <v>8670.1897624181656</v>
      </c>
      <c r="O100" s="2217">
        <f t="shared" ref="O100:O163" si="72">N100-N101</f>
        <v>0.72481815227729385</v>
      </c>
      <c r="P100" s="2212">
        <v>235</v>
      </c>
      <c r="Q100" s="2219"/>
      <c r="R100" s="2213"/>
      <c r="S100" s="2219"/>
      <c r="T100" s="2213"/>
      <c r="U100" s="2213"/>
      <c r="V100" s="2213"/>
      <c r="W100" s="2213"/>
      <c r="X100" s="2213"/>
      <c r="Y100" s="2217">
        <f t="shared" si="29"/>
        <v>-10.350488220516747</v>
      </c>
      <c r="Z100" s="2217">
        <f t="shared" ref="Z100:Z163" si="73">Z$27+(Z$26*AB100)-(Z$25*(AB100^2))+(Z$24*(AB100^3))</f>
        <v>8670.1897624181656</v>
      </c>
      <c r="AA100" s="2217">
        <f t="shared" ref="AA100:AA163" si="74">Z100-Z101</f>
        <v>0.72481815227729385</v>
      </c>
      <c r="AB100" s="2212">
        <v>235</v>
      </c>
      <c r="AC100" s="2219"/>
      <c r="AD100" s="2213"/>
      <c r="AE100" s="2219"/>
      <c r="AF100" s="2213"/>
      <c r="AG100" s="2213"/>
      <c r="AH100" s="2213"/>
      <c r="AI100" s="2213"/>
      <c r="AJ100" s="2213"/>
      <c r="AK100" s="2217">
        <f t="shared" si="30"/>
        <v>-10.662160025995982</v>
      </c>
      <c r="AL100" s="2217">
        <f t="shared" si="65"/>
        <v>8670.1897624181656</v>
      </c>
      <c r="AM100" s="2217">
        <f t="shared" ref="AM100:AM163" si="75">AL100-AL101</f>
        <v>0.72481815227729385</v>
      </c>
      <c r="AN100" s="2212">
        <v>235</v>
      </c>
      <c r="AO100" s="2219"/>
      <c r="AP100" s="2213"/>
      <c r="AQ100" s="2219"/>
      <c r="AR100" s="2213"/>
      <c r="AS100" s="2213"/>
      <c r="AT100" s="2213"/>
      <c r="AU100" s="2213"/>
      <c r="AV100" s="2213"/>
      <c r="AW100" s="2217">
        <f t="shared" si="31"/>
        <v>-41.65916565609416</v>
      </c>
      <c r="AX100" s="2217">
        <f t="shared" ref="AX100:AX163" si="76">AX$27+(AX$26*AZ100)-(AX$25*(AZ100^2))+(AX$24*(AZ100^3))</f>
        <v>5146.1331464444775</v>
      </c>
      <c r="AY100" s="2217">
        <f t="shared" si="66"/>
        <v>-28.640722317069958</v>
      </c>
      <c r="AZ100" s="2212">
        <v>235</v>
      </c>
      <c r="BA100" s="2208"/>
      <c r="BB100" s="263"/>
      <c r="BC100" s="2208"/>
      <c r="BD100" s="263"/>
      <c r="BE100" s="263"/>
      <c r="BF100" s="263"/>
      <c r="BG100" s="263"/>
      <c r="BH100" s="2208"/>
      <c r="BI100" s="2217">
        <f t="shared" si="32"/>
        <v>-50.53778957438584</v>
      </c>
      <c r="BJ100" s="2217">
        <f t="shared" ref="BJ100:BJ163" si="77">BJ$27+(BJ$26*BL100)-(BJ$25*(BL100^2))+(BJ$24*(BL100^3))</f>
        <v>5146.1331464444775</v>
      </c>
      <c r="BK100" s="2217">
        <f t="shared" si="67"/>
        <v>-28.640722317069958</v>
      </c>
      <c r="BL100" s="2212">
        <v>235</v>
      </c>
      <c r="BM100" s="2208"/>
      <c r="BN100" s="263"/>
      <c r="BO100" s="2208"/>
      <c r="BP100" s="263"/>
      <c r="BQ100" s="263"/>
      <c r="BR100" s="263"/>
      <c r="BS100" s="263"/>
      <c r="BT100" s="2208"/>
      <c r="BU100" s="2217">
        <f t="shared" si="33"/>
        <v>-10.662160025995982</v>
      </c>
      <c r="BV100" s="2217">
        <f t="shared" si="68"/>
        <v>8670.1897624181656</v>
      </c>
      <c r="BW100" s="2217">
        <f t="shared" ref="BW100:BW163" si="78">BV100-BV101</f>
        <v>0.72481815227729385</v>
      </c>
      <c r="BX100" s="2212">
        <v>235</v>
      </c>
      <c r="BY100" s="2219"/>
      <c r="BZ100" s="2213"/>
      <c r="CA100" s="2219"/>
      <c r="CB100" s="2213"/>
      <c r="CC100" s="2213"/>
      <c r="CD100" s="2213"/>
      <c r="CE100" s="2213"/>
      <c r="CF100" s="2208"/>
      <c r="CG100" s="2217">
        <f t="shared" si="34"/>
        <v>-10.575181847722707</v>
      </c>
      <c r="CH100" s="2217">
        <f t="shared" si="69"/>
        <v>8670.1897624181656</v>
      </c>
      <c r="CI100" s="2217">
        <f t="shared" ref="CI100:CI163" si="79">CH100-CH101</f>
        <v>0.72481815227729385</v>
      </c>
      <c r="CJ100" s="2212">
        <v>235</v>
      </c>
      <c r="CK100" s="2219"/>
      <c r="CL100" s="2213"/>
      <c r="CM100" s="2219"/>
      <c r="CN100" s="2213"/>
      <c r="CO100" s="2213"/>
      <c r="CP100" s="2213"/>
      <c r="CQ100" s="2213"/>
      <c r="CR100" s="2208"/>
      <c r="CS100" s="2217">
        <f t="shared" si="35"/>
        <v>-49.964975128044443</v>
      </c>
      <c r="CT100" s="2217">
        <f t="shared" ref="CT100:CT163" si="80">CT$27+(CT$26*CV100)-(CT$25*(CV100^2))+(CT$24*(CV100^3))</f>
        <v>5146.1331464444775</v>
      </c>
      <c r="CU100" s="2217">
        <f t="shared" si="70"/>
        <v>-28.640722317069958</v>
      </c>
      <c r="CV100" s="2212">
        <v>235</v>
      </c>
      <c r="CW100" s="2208"/>
      <c r="CX100" s="263"/>
      <c r="CY100" s="2208"/>
      <c r="CZ100" s="263"/>
      <c r="DA100" s="263"/>
      <c r="DB100" s="263"/>
      <c r="DC100" s="263"/>
      <c r="DD100" s="2208"/>
    </row>
    <row r="101" spans="1:108">
      <c r="A101" s="2217">
        <f t="shared" ref="A101:A164" si="81">(C101*(B$7-B$9))-B$8</f>
        <v>-10.343497758350351</v>
      </c>
      <c r="B101" s="2217">
        <f t="shared" si="63"/>
        <v>8669.4649442658883</v>
      </c>
      <c r="C101" s="2217">
        <f t="shared" si="71"/>
        <v>0.83174107969534816</v>
      </c>
      <c r="D101" s="2212">
        <v>234</v>
      </c>
      <c r="E101" s="2219"/>
      <c r="F101" s="2213"/>
      <c r="G101" s="2219"/>
      <c r="H101" s="2213"/>
      <c r="I101" s="2213"/>
      <c r="J101" s="2213"/>
      <c r="K101" s="2213"/>
      <c r="L101" s="2213"/>
      <c r="M101" s="2217">
        <f t="shared" ref="M101:M164" si="82">(O101*(N$7-N$9))-N$8</f>
        <v>-10.285275882771677</v>
      </c>
      <c r="N101" s="2217">
        <f t="shared" si="64"/>
        <v>8669.4649442658883</v>
      </c>
      <c r="O101" s="2217">
        <f t="shared" si="72"/>
        <v>0.83174107969534816</v>
      </c>
      <c r="P101" s="2212">
        <v>234</v>
      </c>
      <c r="Q101" s="2219"/>
      <c r="R101" s="2213"/>
      <c r="S101" s="2219"/>
      <c r="T101" s="2213"/>
      <c r="U101" s="2213"/>
      <c r="V101" s="2213"/>
      <c r="W101" s="2213"/>
      <c r="X101" s="2213"/>
      <c r="Y101" s="2217">
        <f t="shared" ref="Y101:Y164" si="83">(AA101*(Z$7-Z$9))-Z$8</f>
        <v>-10.210419185599095</v>
      </c>
      <c r="Z101" s="2217">
        <f t="shared" si="73"/>
        <v>8669.4649442658883</v>
      </c>
      <c r="AA101" s="2217">
        <f t="shared" si="74"/>
        <v>0.83174107969534816</v>
      </c>
      <c r="AB101" s="2212">
        <v>234</v>
      </c>
      <c r="AC101" s="2219"/>
      <c r="AD101" s="2213"/>
      <c r="AE101" s="2219"/>
      <c r="AF101" s="2213"/>
      <c r="AG101" s="2213"/>
      <c r="AH101" s="2213"/>
      <c r="AI101" s="2213"/>
      <c r="AJ101" s="2213"/>
      <c r="AK101" s="2217">
        <f t="shared" ref="AK101:AK164" si="84">(AM101*(AL$7-AL$9))-AL$8</f>
        <v>-10.568067849868095</v>
      </c>
      <c r="AL101" s="2217">
        <f t="shared" si="65"/>
        <v>8669.4649442658883</v>
      </c>
      <c r="AM101" s="2217">
        <f t="shared" si="75"/>
        <v>0.83174107969534816</v>
      </c>
      <c r="AN101" s="2212">
        <v>234</v>
      </c>
      <c r="AO101" s="2219"/>
      <c r="AP101" s="2213"/>
      <c r="AQ101" s="2219"/>
      <c r="AR101" s="2213"/>
      <c r="AS101" s="2213"/>
      <c r="AT101" s="2213"/>
      <c r="AU101" s="2213"/>
      <c r="AV101" s="2213"/>
      <c r="AW101" s="2217">
        <f t="shared" ref="AW101:AW164" si="85">AY101*(AX$7-AX$9)-AX$8</f>
        <v>-41.303087940484332</v>
      </c>
      <c r="AX101" s="2217">
        <f t="shared" si="76"/>
        <v>5174.7738687615474</v>
      </c>
      <c r="AY101" s="2217">
        <f t="shared" si="66"/>
        <v>-28.304799943853141</v>
      </c>
      <c r="AZ101" s="2212">
        <v>234</v>
      </c>
      <c r="BA101" s="2208"/>
      <c r="BB101" s="263"/>
      <c r="BC101" s="2208"/>
      <c r="BD101" s="263"/>
      <c r="BE101" s="263"/>
      <c r="BF101" s="263"/>
      <c r="BG101" s="263"/>
      <c r="BH101" s="2208"/>
      <c r="BI101" s="2217">
        <f t="shared" ref="BI101:BI164" si="86">BK101*(BJ$7-BJ$9)-BJ$8</f>
        <v>-50.077575923078811</v>
      </c>
      <c r="BJ101" s="2217">
        <f t="shared" si="77"/>
        <v>5174.7738687615474</v>
      </c>
      <c r="BK101" s="2217">
        <f t="shared" si="67"/>
        <v>-28.304799943853141</v>
      </c>
      <c r="BL101" s="2212">
        <v>234</v>
      </c>
      <c r="BM101" s="2208"/>
      <c r="BN101" s="263"/>
      <c r="BO101" s="2208"/>
      <c r="BP101" s="263"/>
      <c r="BQ101" s="263"/>
      <c r="BR101" s="263"/>
      <c r="BS101" s="263"/>
      <c r="BT101" s="2208"/>
      <c r="BU101" s="2217">
        <f t="shared" ref="BU101:BU164" si="87">(BW101*(BV$7-BV$9))-BV$8</f>
        <v>-10.568067849868095</v>
      </c>
      <c r="BV101" s="2217">
        <f t="shared" si="68"/>
        <v>8669.4649442658883</v>
      </c>
      <c r="BW101" s="2217">
        <f t="shared" si="78"/>
        <v>0.83174107969534816</v>
      </c>
      <c r="BX101" s="2212">
        <v>234</v>
      </c>
      <c r="BY101" s="2219"/>
      <c r="BZ101" s="2213"/>
      <c r="CA101" s="2219"/>
      <c r="CB101" s="2213"/>
      <c r="CC101" s="2213"/>
      <c r="CD101" s="2213"/>
      <c r="CE101" s="2213"/>
      <c r="CF101" s="2208"/>
      <c r="CG101" s="2217">
        <f t="shared" ref="CG101:CG164" si="88">(CI101*(CH$7-CH$9))-CH$8</f>
        <v>-10.468258920304653</v>
      </c>
      <c r="CH101" s="2217">
        <f t="shared" si="69"/>
        <v>8669.4649442658883</v>
      </c>
      <c r="CI101" s="2217">
        <f t="shared" si="79"/>
        <v>0.83174107969534816</v>
      </c>
      <c r="CJ101" s="2212">
        <v>234</v>
      </c>
      <c r="CK101" s="2219"/>
      <c r="CL101" s="2213"/>
      <c r="CM101" s="2219"/>
      <c r="CN101" s="2213"/>
      <c r="CO101" s="2213"/>
      <c r="CP101" s="2213"/>
      <c r="CQ101" s="2213"/>
      <c r="CR101" s="2208"/>
      <c r="CS101" s="2217">
        <f t="shared" ref="CS101:CS164" si="89">CU101*(CT$7-CT$9)-CT$8</f>
        <v>-49.511479924201737</v>
      </c>
      <c r="CT101" s="2217">
        <f t="shared" si="80"/>
        <v>5174.7738687615474</v>
      </c>
      <c r="CU101" s="2217">
        <f t="shared" si="70"/>
        <v>-28.304799943853141</v>
      </c>
      <c r="CV101" s="2212">
        <v>234</v>
      </c>
      <c r="CW101" s="2208"/>
      <c r="CX101" s="263"/>
      <c r="CY101" s="2208"/>
      <c r="CZ101" s="263"/>
      <c r="DA101" s="263"/>
      <c r="DB101" s="263"/>
      <c r="DC101" s="263"/>
      <c r="DD101" s="2208"/>
    </row>
    <row r="102" spans="1:108">
      <c r="A102" s="2217">
        <f t="shared" si="81"/>
        <v>-10.219567484312847</v>
      </c>
      <c r="B102" s="2217">
        <f t="shared" si="63"/>
        <v>8668.633203186193</v>
      </c>
      <c r="C102" s="2217">
        <f t="shared" si="71"/>
        <v>0.93950653538013285</v>
      </c>
      <c r="D102" s="2212">
        <v>233</v>
      </c>
      <c r="E102" s="2219"/>
      <c r="F102" s="2213"/>
      <c r="G102" s="2219"/>
      <c r="H102" s="2213"/>
      <c r="I102" s="2213"/>
      <c r="J102" s="2213"/>
      <c r="K102" s="2213"/>
      <c r="L102" s="2213"/>
      <c r="M102" s="2217">
        <f t="shared" si="82"/>
        <v>-10.153802026836239</v>
      </c>
      <c r="N102" s="2217">
        <f t="shared" si="64"/>
        <v>8668.633203186193</v>
      </c>
      <c r="O102" s="2217">
        <f t="shared" si="72"/>
        <v>0.93950653538013285</v>
      </c>
      <c r="P102" s="2212">
        <v>233</v>
      </c>
      <c r="Q102" s="2219"/>
      <c r="R102" s="2213"/>
      <c r="S102" s="2219"/>
      <c r="T102" s="2213"/>
      <c r="U102" s="2213"/>
      <c r="V102" s="2213"/>
      <c r="W102" s="2213"/>
      <c r="X102" s="2213"/>
      <c r="Y102" s="2217">
        <f t="shared" si="83"/>
        <v>-10.069246438652026</v>
      </c>
      <c r="Z102" s="2217">
        <f t="shared" si="73"/>
        <v>8668.633203186193</v>
      </c>
      <c r="AA102" s="2217">
        <f t="shared" si="74"/>
        <v>0.93950653538013285</v>
      </c>
      <c r="AB102" s="2212">
        <v>233</v>
      </c>
      <c r="AC102" s="2219"/>
      <c r="AD102" s="2213"/>
      <c r="AE102" s="2219"/>
      <c r="AF102" s="2213"/>
      <c r="AG102" s="2213"/>
      <c r="AH102" s="2213"/>
      <c r="AI102" s="2213"/>
      <c r="AJ102" s="2213"/>
      <c r="AK102" s="2217">
        <f t="shared" si="84"/>
        <v>-10.473234248865484</v>
      </c>
      <c r="AL102" s="2217">
        <f t="shared" si="65"/>
        <v>8668.633203186193</v>
      </c>
      <c r="AM102" s="2217">
        <f t="shared" si="75"/>
        <v>0.93950653538013285</v>
      </c>
      <c r="AN102" s="2212">
        <v>233</v>
      </c>
      <c r="AO102" s="2219"/>
      <c r="AP102" s="2213"/>
      <c r="AQ102" s="2219"/>
      <c r="AR102" s="2213"/>
      <c r="AS102" s="2213"/>
      <c r="AT102" s="2213"/>
      <c r="AU102" s="2213"/>
      <c r="AV102" s="2213"/>
      <c r="AW102" s="2217">
        <f t="shared" si="85"/>
        <v>-40.947175504848545</v>
      </c>
      <c r="AX102" s="2217">
        <f t="shared" si="76"/>
        <v>5203.0786687054006</v>
      </c>
      <c r="AY102" s="2217">
        <f t="shared" si="66"/>
        <v>-27.969033495140138</v>
      </c>
      <c r="AZ102" s="2212">
        <v>233</v>
      </c>
      <c r="BA102" s="2208"/>
      <c r="BB102" s="263"/>
      <c r="BC102" s="2208"/>
      <c r="BD102" s="263"/>
      <c r="BE102" s="263"/>
      <c r="BF102" s="263"/>
      <c r="BG102" s="263"/>
      <c r="BH102" s="2208"/>
      <c r="BI102" s="2217">
        <f t="shared" si="86"/>
        <v>-49.617575888341989</v>
      </c>
      <c r="BJ102" s="2217">
        <f t="shared" si="77"/>
        <v>5203.0786687054006</v>
      </c>
      <c r="BK102" s="2217">
        <f t="shared" si="67"/>
        <v>-27.969033495140138</v>
      </c>
      <c r="BL102" s="2212">
        <v>233</v>
      </c>
      <c r="BM102" s="2208"/>
      <c r="BN102" s="263"/>
      <c r="BO102" s="2208"/>
      <c r="BP102" s="263"/>
      <c r="BQ102" s="263"/>
      <c r="BR102" s="263"/>
      <c r="BS102" s="263"/>
      <c r="BT102" s="2208"/>
      <c r="BU102" s="2217">
        <f t="shared" si="87"/>
        <v>-10.473234248865484</v>
      </c>
      <c r="BV102" s="2217">
        <f t="shared" si="68"/>
        <v>8668.633203186193</v>
      </c>
      <c r="BW102" s="2217">
        <f t="shared" si="78"/>
        <v>0.93950653538013285</v>
      </c>
      <c r="BX102" s="2212">
        <v>233</v>
      </c>
      <c r="BY102" s="2219"/>
      <c r="BZ102" s="2213"/>
      <c r="CA102" s="2219"/>
      <c r="CB102" s="2213"/>
      <c r="CC102" s="2213"/>
      <c r="CD102" s="2213"/>
      <c r="CE102" s="2213"/>
      <c r="CF102" s="2208"/>
      <c r="CG102" s="2217">
        <f t="shared" si="88"/>
        <v>-10.360493464619868</v>
      </c>
      <c r="CH102" s="2217">
        <f t="shared" si="69"/>
        <v>8668.633203186193</v>
      </c>
      <c r="CI102" s="2217">
        <f t="shared" si="79"/>
        <v>0.93950653538013285</v>
      </c>
      <c r="CJ102" s="2212">
        <v>233</v>
      </c>
      <c r="CK102" s="2219"/>
      <c r="CL102" s="2213"/>
      <c r="CM102" s="2219"/>
      <c r="CN102" s="2213"/>
      <c r="CO102" s="2213"/>
      <c r="CP102" s="2213"/>
      <c r="CQ102" s="2213"/>
      <c r="CR102" s="2208"/>
      <c r="CS102" s="2217">
        <f t="shared" si="89"/>
        <v>-49.058195218439195</v>
      </c>
      <c r="CT102" s="2217">
        <f t="shared" si="80"/>
        <v>5203.0786687054006</v>
      </c>
      <c r="CU102" s="2217">
        <f t="shared" si="70"/>
        <v>-27.969033495140138</v>
      </c>
      <c r="CV102" s="2212">
        <v>233</v>
      </c>
      <c r="CW102" s="2208"/>
      <c r="CX102" s="263"/>
      <c r="CY102" s="2208"/>
      <c r="CZ102" s="263"/>
      <c r="DA102" s="263"/>
      <c r="DB102" s="263"/>
      <c r="DC102" s="263"/>
      <c r="DD102" s="2208"/>
    </row>
    <row r="103" spans="1:108">
      <c r="A103" s="2217">
        <f t="shared" si="81"/>
        <v>-10.094668302758146</v>
      </c>
      <c r="B103" s="2217">
        <f t="shared" si="63"/>
        <v>8667.6936966508129</v>
      </c>
      <c r="C103" s="2217">
        <f t="shared" si="71"/>
        <v>1.0481145193407428</v>
      </c>
      <c r="D103" s="2212">
        <v>232</v>
      </c>
      <c r="E103" s="2219"/>
      <c r="F103" s="2213"/>
      <c r="G103" s="2219"/>
      <c r="H103" s="2213"/>
      <c r="I103" s="2213"/>
      <c r="J103" s="2213"/>
      <c r="K103" s="2213"/>
      <c r="L103" s="2213"/>
      <c r="M103" s="2217">
        <f t="shared" si="82"/>
        <v>-10.021300286404294</v>
      </c>
      <c r="N103" s="2217">
        <f t="shared" si="64"/>
        <v>8667.6936966508129</v>
      </c>
      <c r="O103" s="2217">
        <f t="shared" si="72"/>
        <v>1.0481145193407428</v>
      </c>
      <c r="P103" s="2212">
        <v>232</v>
      </c>
      <c r="Q103" s="2219"/>
      <c r="R103" s="2213"/>
      <c r="S103" s="2219"/>
      <c r="T103" s="2213"/>
      <c r="U103" s="2213"/>
      <c r="V103" s="2213"/>
      <c r="W103" s="2213"/>
      <c r="X103" s="2213"/>
      <c r="Y103" s="2217">
        <f t="shared" si="83"/>
        <v>-9.9269699796636282</v>
      </c>
      <c r="Z103" s="2217">
        <f t="shared" si="73"/>
        <v>8667.6936966508129</v>
      </c>
      <c r="AA103" s="2217">
        <f t="shared" si="74"/>
        <v>1.0481145193407428</v>
      </c>
      <c r="AB103" s="2212">
        <v>232</v>
      </c>
      <c r="AC103" s="2219"/>
      <c r="AD103" s="2213"/>
      <c r="AE103" s="2219"/>
      <c r="AF103" s="2213"/>
      <c r="AG103" s="2213"/>
      <c r="AH103" s="2213"/>
      <c r="AI103" s="2213"/>
      <c r="AJ103" s="2213"/>
      <c r="AK103" s="2217">
        <f t="shared" si="84"/>
        <v>-10.377659222980148</v>
      </c>
      <c r="AL103" s="2217">
        <f t="shared" si="65"/>
        <v>8667.6936966508129</v>
      </c>
      <c r="AM103" s="2217">
        <f t="shared" si="75"/>
        <v>1.0481145193407428</v>
      </c>
      <c r="AN103" s="2212">
        <v>232</v>
      </c>
      <c r="AO103" s="2219"/>
      <c r="AP103" s="2213"/>
      <c r="AQ103" s="2219"/>
      <c r="AR103" s="2213"/>
      <c r="AS103" s="2213"/>
      <c r="AT103" s="2213"/>
      <c r="AU103" s="2213"/>
      <c r="AV103" s="2213"/>
      <c r="AW103" s="2217">
        <f t="shared" si="85"/>
        <v>-40.59142834917813</v>
      </c>
      <c r="AX103" s="2217">
        <f t="shared" si="76"/>
        <v>5231.0477022005407</v>
      </c>
      <c r="AY103" s="2217">
        <f t="shared" si="66"/>
        <v>-27.633422970922766</v>
      </c>
      <c r="AZ103" s="2212">
        <v>232</v>
      </c>
      <c r="BA103" s="2208"/>
      <c r="BB103" s="263"/>
      <c r="BC103" s="2208"/>
      <c r="BD103" s="263"/>
      <c r="BE103" s="263"/>
      <c r="BF103" s="263"/>
      <c r="BG103" s="263"/>
      <c r="BH103" s="2208"/>
      <c r="BI103" s="2217">
        <f t="shared" si="86"/>
        <v>-49.15778947016419</v>
      </c>
      <c r="BJ103" s="2217">
        <f t="shared" si="77"/>
        <v>5231.0477022005407</v>
      </c>
      <c r="BK103" s="2217">
        <f t="shared" si="67"/>
        <v>-27.633422970922766</v>
      </c>
      <c r="BL103" s="2212">
        <v>232</v>
      </c>
      <c r="BM103" s="2208"/>
      <c r="BN103" s="263"/>
      <c r="BO103" s="2208"/>
      <c r="BP103" s="263"/>
      <c r="BQ103" s="263"/>
      <c r="BR103" s="263"/>
      <c r="BS103" s="263"/>
      <c r="BT103" s="2208"/>
      <c r="BU103" s="2217">
        <f t="shared" si="87"/>
        <v>-10.377659222980148</v>
      </c>
      <c r="BV103" s="2217">
        <f t="shared" si="68"/>
        <v>8667.6936966508129</v>
      </c>
      <c r="BW103" s="2217">
        <f t="shared" si="78"/>
        <v>1.0481145193407428</v>
      </c>
      <c r="BX103" s="2212">
        <v>232</v>
      </c>
      <c r="BY103" s="2219"/>
      <c r="BZ103" s="2213"/>
      <c r="CA103" s="2219"/>
      <c r="CB103" s="2213"/>
      <c r="CC103" s="2213"/>
      <c r="CD103" s="2213"/>
      <c r="CE103" s="2213"/>
      <c r="CF103" s="2208"/>
      <c r="CG103" s="2217">
        <f t="shared" si="88"/>
        <v>-10.251885480659258</v>
      </c>
      <c r="CH103" s="2217">
        <f t="shared" si="69"/>
        <v>8667.6936966508129</v>
      </c>
      <c r="CI103" s="2217">
        <f t="shared" si="79"/>
        <v>1.0481145193407428</v>
      </c>
      <c r="CJ103" s="2212">
        <v>232</v>
      </c>
      <c r="CK103" s="2219"/>
      <c r="CL103" s="2213"/>
      <c r="CM103" s="2219"/>
      <c r="CN103" s="2213"/>
      <c r="CO103" s="2213"/>
      <c r="CP103" s="2213"/>
      <c r="CQ103" s="2213"/>
      <c r="CR103" s="2208"/>
      <c r="CS103" s="2217">
        <f t="shared" si="89"/>
        <v>-48.605121010745734</v>
      </c>
      <c r="CT103" s="2217">
        <f t="shared" si="80"/>
        <v>5231.0477022005407</v>
      </c>
      <c r="CU103" s="2217">
        <f t="shared" si="70"/>
        <v>-27.633422970922766</v>
      </c>
      <c r="CV103" s="2212">
        <v>232</v>
      </c>
      <c r="CW103" s="2208"/>
      <c r="CX103" s="263"/>
      <c r="CY103" s="2208"/>
      <c r="CZ103" s="263"/>
      <c r="DA103" s="263"/>
      <c r="DB103" s="263"/>
      <c r="DC103" s="263"/>
      <c r="DD103" s="2208"/>
    </row>
    <row r="104" spans="1:108">
      <c r="A104" s="2217">
        <f t="shared" si="81"/>
        <v>-9.9688002136987972</v>
      </c>
      <c r="B104" s="2217">
        <f t="shared" si="63"/>
        <v>8666.6455821314721</v>
      </c>
      <c r="C104" s="2217">
        <f t="shared" si="71"/>
        <v>1.1575650315662642</v>
      </c>
      <c r="D104" s="2212">
        <v>231</v>
      </c>
      <c r="E104" s="2219"/>
      <c r="F104" s="2213"/>
      <c r="G104" s="2219"/>
      <c r="H104" s="2213"/>
      <c r="I104" s="2213"/>
      <c r="J104" s="2213"/>
      <c r="K104" s="2213"/>
      <c r="L104" s="2213"/>
      <c r="M104" s="2217">
        <f t="shared" si="82"/>
        <v>-9.8877706614891583</v>
      </c>
      <c r="N104" s="2217">
        <f t="shared" si="64"/>
        <v>8666.6455821314721</v>
      </c>
      <c r="O104" s="2217">
        <f t="shared" si="72"/>
        <v>1.1575650315662642</v>
      </c>
      <c r="P104" s="2212">
        <v>231</v>
      </c>
      <c r="Q104" s="2219"/>
      <c r="R104" s="2213"/>
      <c r="S104" s="2219"/>
      <c r="T104" s="2213"/>
      <c r="U104" s="2213"/>
      <c r="V104" s="2213"/>
      <c r="W104" s="2213"/>
      <c r="X104" s="2213"/>
      <c r="Y104" s="2217">
        <f t="shared" si="83"/>
        <v>-9.7835898086481947</v>
      </c>
      <c r="Z104" s="2217">
        <f t="shared" si="73"/>
        <v>8666.6455821314721</v>
      </c>
      <c r="AA104" s="2217">
        <f t="shared" si="74"/>
        <v>1.1575650315662642</v>
      </c>
      <c r="AB104" s="2212">
        <v>231</v>
      </c>
      <c r="AC104" s="2219"/>
      <c r="AD104" s="2213"/>
      <c r="AE104" s="2219"/>
      <c r="AF104" s="2213"/>
      <c r="AG104" s="2213"/>
      <c r="AH104" s="2213"/>
      <c r="AI104" s="2213"/>
      <c r="AJ104" s="2213"/>
      <c r="AK104" s="2217">
        <f t="shared" si="84"/>
        <v>-10.281342772221688</v>
      </c>
      <c r="AL104" s="2217">
        <f t="shared" si="65"/>
        <v>8666.6455821314721</v>
      </c>
      <c r="AM104" s="2217">
        <f t="shared" si="75"/>
        <v>1.1575650315662642</v>
      </c>
      <c r="AN104" s="2212">
        <v>231</v>
      </c>
      <c r="AO104" s="2219"/>
      <c r="AP104" s="2213"/>
      <c r="AQ104" s="2219"/>
      <c r="AR104" s="2213"/>
      <c r="AS104" s="2213"/>
      <c r="AT104" s="2213"/>
      <c r="AU104" s="2213"/>
      <c r="AV104" s="2213"/>
      <c r="AW104" s="2217">
        <f t="shared" si="85"/>
        <v>-40.23584647348369</v>
      </c>
      <c r="AX104" s="2217">
        <f t="shared" si="76"/>
        <v>5258.6811251714635</v>
      </c>
      <c r="AY104" s="2217">
        <f t="shared" si="66"/>
        <v>-27.297968371211027</v>
      </c>
      <c r="AZ104" s="2212">
        <v>231</v>
      </c>
      <c r="BA104" s="2208"/>
      <c r="BB104" s="263"/>
      <c r="BC104" s="2208"/>
      <c r="BD104" s="263"/>
      <c r="BE104" s="263"/>
      <c r="BF104" s="263"/>
      <c r="BG104" s="263"/>
      <c r="BH104" s="2208"/>
      <c r="BI104" s="2217">
        <f t="shared" si="86"/>
        <v>-48.698216668559112</v>
      </c>
      <c r="BJ104" s="2217">
        <f t="shared" si="77"/>
        <v>5258.6811251714635</v>
      </c>
      <c r="BK104" s="2217">
        <f t="shared" si="67"/>
        <v>-27.297968371211027</v>
      </c>
      <c r="BL104" s="2212">
        <v>231</v>
      </c>
      <c r="BM104" s="2208"/>
      <c r="BN104" s="263"/>
      <c r="BO104" s="2208"/>
      <c r="BP104" s="263"/>
      <c r="BQ104" s="263"/>
      <c r="BR104" s="263"/>
      <c r="BS104" s="263"/>
      <c r="BT104" s="2208"/>
      <c r="BU104" s="2217">
        <f t="shared" si="87"/>
        <v>-10.281342772221688</v>
      </c>
      <c r="BV104" s="2217">
        <f t="shared" si="68"/>
        <v>8666.6455821314721</v>
      </c>
      <c r="BW104" s="2217">
        <f t="shared" si="78"/>
        <v>1.1575650315662642</v>
      </c>
      <c r="BX104" s="2212">
        <v>231</v>
      </c>
      <c r="BY104" s="2219"/>
      <c r="BZ104" s="2213"/>
      <c r="CA104" s="2219"/>
      <c r="CB104" s="2213"/>
      <c r="CC104" s="2213"/>
      <c r="CD104" s="2213"/>
      <c r="CE104" s="2213"/>
      <c r="CF104" s="2208"/>
      <c r="CG104" s="2217">
        <f t="shared" si="88"/>
        <v>-10.142434968433736</v>
      </c>
      <c r="CH104" s="2217">
        <f t="shared" si="69"/>
        <v>8666.6455821314721</v>
      </c>
      <c r="CI104" s="2217">
        <f t="shared" si="79"/>
        <v>1.1575650315662642</v>
      </c>
      <c r="CJ104" s="2212">
        <v>231</v>
      </c>
      <c r="CK104" s="2219"/>
      <c r="CL104" s="2213"/>
      <c r="CM104" s="2219"/>
      <c r="CN104" s="2213"/>
      <c r="CO104" s="2213"/>
      <c r="CP104" s="2213"/>
      <c r="CQ104" s="2213"/>
      <c r="CR104" s="2208"/>
      <c r="CS104" s="2217">
        <f t="shared" si="89"/>
        <v>-48.152257301134895</v>
      </c>
      <c r="CT104" s="2217">
        <f t="shared" si="80"/>
        <v>5258.6811251714635</v>
      </c>
      <c r="CU104" s="2217">
        <f t="shared" si="70"/>
        <v>-27.297968371211027</v>
      </c>
      <c r="CV104" s="2212">
        <v>231</v>
      </c>
      <c r="CW104" s="2208"/>
      <c r="CX104" s="263"/>
      <c r="CY104" s="2208"/>
      <c r="CZ104" s="263"/>
      <c r="DA104" s="263"/>
      <c r="DB104" s="263"/>
      <c r="DC104" s="263"/>
      <c r="DD104" s="2208"/>
    </row>
    <row r="105" spans="1:108">
      <c r="A105" s="2217">
        <f t="shared" si="81"/>
        <v>-9.841963217128523</v>
      </c>
      <c r="B105" s="2217">
        <f t="shared" si="63"/>
        <v>8665.4880170999058</v>
      </c>
      <c r="C105" s="2217">
        <f t="shared" si="71"/>
        <v>1.267858072062154</v>
      </c>
      <c r="D105" s="2212">
        <v>230</v>
      </c>
      <c r="E105" s="2219"/>
      <c r="F105" s="2213"/>
      <c r="G105" s="2219"/>
      <c r="H105" s="2213"/>
      <c r="I105" s="2213"/>
      <c r="J105" s="2213"/>
      <c r="K105" s="2213"/>
      <c r="L105" s="2213"/>
      <c r="M105" s="2217">
        <f t="shared" si="82"/>
        <v>-9.7532131520841734</v>
      </c>
      <c r="N105" s="2217">
        <f t="shared" si="64"/>
        <v>8665.4880170999058</v>
      </c>
      <c r="O105" s="2217">
        <f t="shared" si="72"/>
        <v>1.267858072062154</v>
      </c>
      <c r="P105" s="2212">
        <v>230</v>
      </c>
      <c r="Q105" s="2219"/>
      <c r="R105" s="2213"/>
      <c r="S105" s="2219"/>
      <c r="T105" s="2213"/>
      <c r="U105" s="2213"/>
      <c r="V105" s="2213"/>
      <c r="W105" s="2213"/>
      <c r="X105" s="2213"/>
      <c r="Y105" s="2217">
        <f t="shared" si="83"/>
        <v>-9.639105925598578</v>
      </c>
      <c r="Z105" s="2217">
        <f t="shared" si="73"/>
        <v>8665.4880170999058</v>
      </c>
      <c r="AA105" s="2217">
        <f t="shared" si="74"/>
        <v>1.267858072062154</v>
      </c>
      <c r="AB105" s="2212">
        <v>230</v>
      </c>
      <c r="AC105" s="2219"/>
      <c r="AD105" s="2213"/>
      <c r="AE105" s="2219"/>
      <c r="AF105" s="2213"/>
      <c r="AG105" s="2213"/>
      <c r="AH105" s="2213"/>
      <c r="AI105" s="2213"/>
      <c r="AJ105" s="2213"/>
      <c r="AK105" s="2217">
        <f t="shared" si="84"/>
        <v>-10.184284896585305</v>
      </c>
      <c r="AL105" s="2217">
        <f t="shared" si="65"/>
        <v>8665.4880170999058</v>
      </c>
      <c r="AM105" s="2217">
        <f t="shared" si="75"/>
        <v>1.267858072062154</v>
      </c>
      <c r="AN105" s="2212">
        <v>230</v>
      </c>
      <c r="AO105" s="2219"/>
      <c r="AP105" s="2213"/>
      <c r="AQ105" s="2219"/>
      <c r="AR105" s="2213"/>
      <c r="AS105" s="2213"/>
      <c r="AT105" s="2213"/>
      <c r="AU105" s="2213"/>
      <c r="AV105" s="2213"/>
      <c r="AW105" s="2217">
        <f t="shared" si="85"/>
        <v>-39.880429877756541</v>
      </c>
      <c r="AX105" s="2217">
        <f t="shared" si="76"/>
        <v>5285.9790935426745</v>
      </c>
      <c r="AY105" s="2217">
        <f t="shared" si="66"/>
        <v>-26.962669695996738</v>
      </c>
      <c r="AZ105" s="2212">
        <v>230</v>
      </c>
      <c r="BA105" s="2208"/>
      <c r="BB105" s="263"/>
      <c r="BC105" s="2208"/>
      <c r="BD105" s="263"/>
      <c r="BE105" s="263"/>
      <c r="BF105" s="263"/>
      <c r="BG105" s="263"/>
      <c r="BH105" s="2208"/>
      <c r="BI105" s="2217">
        <f t="shared" si="86"/>
        <v>-48.238857483515531</v>
      </c>
      <c r="BJ105" s="2217">
        <f t="shared" si="77"/>
        <v>5285.9790935426745</v>
      </c>
      <c r="BK105" s="2217">
        <f t="shared" si="67"/>
        <v>-26.962669695996738</v>
      </c>
      <c r="BL105" s="2212">
        <v>230</v>
      </c>
      <c r="BM105" s="2208"/>
      <c r="BN105" s="263"/>
      <c r="BO105" s="2208"/>
      <c r="BP105" s="263"/>
      <c r="BQ105" s="263"/>
      <c r="BR105" s="263"/>
      <c r="BS105" s="263"/>
      <c r="BT105" s="2208"/>
      <c r="BU105" s="2217">
        <f t="shared" si="87"/>
        <v>-10.184284896585305</v>
      </c>
      <c r="BV105" s="2217">
        <f t="shared" si="68"/>
        <v>8665.4880170999058</v>
      </c>
      <c r="BW105" s="2217">
        <f t="shared" si="78"/>
        <v>1.267858072062154</v>
      </c>
      <c r="BX105" s="2212">
        <v>230</v>
      </c>
      <c r="BY105" s="2219"/>
      <c r="BZ105" s="2213"/>
      <c r="CA105" s="2219"/>
      <c r="CB105" s="2213"/>
      <c r="CC105" s="2213"/>
      <c r="CD105" s="2213"/>
      <c r="CE105" s="2213"/>
      <c r="CF105" s="2208"/>
      <c r="CG105" s="2217">
        <f t="shared" si="88"/>
        <v>-10.032141927937847</v>
      </c>
      <c r="CH105" s="2217">
        <f t="shared" si="69"/>
        <v>8665.4880170999058</v>
      </c>
      <c r="CI105" s="2217">
        <f t="shared" si="79"/>
        <v>1.267858072062154</v>
      </c>
      <c r="CJ105" s="2212">
        <v>230</v>
      </c>
      <c r="CK105" s="2219"/>
      <c r="CL105" s="2213"/>
      <c r="CM105" s="2219"/>
      <c r="CN105" s="2213"/>
      <c r="CO105" s="2213"/>
      <c r="CP105" s="2213"/>
      <c r="CQ105" s="2213"/>
      <c r="CR105" s="2208"/>
      <c r="CS105" s="2217">
        <f t="shared" si="89"/>
        <v>-47.699604089595596</v>
      </c>
      <c r="CT105" s="2217">
        <f t="shared" si="80"/>
        <v>5285.9790935426745</v>
      </c>
      <c r="CU105" s="2217">
        <f t="shared" si="70"/>
        <v>-26.962669695996738</v>
      </c>
      <c r="CV105" s="2212">
        <v>230</v>
      </c>
      <c r="CW105" s="2208"/>
      <c r="CX105" s="263"/>
      <c r="CY105" s="2208"/>
      <c r="CZ105" s="263"/>
      <c r="DA105" s="263"/>
      <c r="DB105" s="263"/>
      <c r="DC105" s="263"/>
      <c r="DD105" s="2208"/>
    </row>
    <row r="106" spans="1:108">
      <c r="A106" s="2217">
        <f t="shared" si="81"/>
        <v>-9.7141573130473269</v>
      </c>
      <c r="B106" s="2217">
        <f t="shared" si="63"/>
        <v>8664.2201590278437</v>
      </c>
      <c r="C106" s="2217">
        <f t="shared" si="71"/>
        <v>1.378993640828412</v>
      </c>
      <c r="D106" s="2212">
        <v>229</v>
      </c>
      <c r="E106" s="2219"/>
      <c r="F106" s="2213"/>
      <c r="G106" s="2219"/>
      <c r="H106" s="2213"/>
      <c r="I106" s="2213"/>
      <c r="J106" s="2213"/>
      <c r="K106" s="2213"/>
      <c r="L106" s="2213"/>
      <c r="M106" s="2217">
        <f t="shared" si="82"/>
        <v>-9.6176277581893377</v>
      </c>
      <c r="N106" s="2217">
        <f t="shared" si="64"/>
        <v>8664.2201590278437</v>
      </c>
      <c r="O106" s="2217">
        <f t="shared" si="72"/>
        <v>1.378993640828412</v>
      </c>
      <c r="P106" s="2212">
        <v>229</v>
      </c>
      <c r="Q106" s="2219"/>
      <c r="R106" s="2213"/>
      <c r="S106" s="2219"/>
      <c r="T106" s="2213"/>
      <c r="U106" s="2213"/>
      <c r="V106" s="2213"/>
      <c r="W106" s="2213"/>
      <c r="X106" s="2213"/>
      <c r="Y106" s="2217">
        <f t="shared" si="83"/>
        <v>-9.4935183305147817</v>
      </c>
      <c r="Z106" s="2217">
        <f t="shared" si="73"/>
        <v>8664.2201590278437</v>
      </c>
      <c r="AA106" s="2217">
        <f t="shared" si="74"/>
        <v>1.378993640828412</v>
      </c>
      <c r="AB106" s="2212">
        <v>229</v>
      </c>
      <c r="AC106" s="2219"/>
      <c r="AD106" s="2213"/>
      <c r="AE106" s="2219"/>
      <c r="AF106" s="2213"/>
      <c r="AG106" s="2213"/>
      <c r="AH106" s="2213"/>
      <c r="AI106" s="2213"/>
      <c r="AJ106" s="2213"/>
      <c r="AK106" s="2217">
        <f t="shared" si="84"/>
        <v>-10.086485596070998</v>
      </c>
      <c r="AL106" s="2217">
        <f t="shared" si="65"/>
        <v>8664.2201590278437</v>
      </c>
      <c r="AM106" s="2217">
        <f t="shared" si="75"/>
        <v>1.378993640828412</v>
      </c>
      <c r="AN106" s="2212">
        <v>229</v>
      </c>
      <c r="AO106" s="2219"/>
      <c r="AP106" s="2213"/>
      <c r="AQ106" s="2219"/>
      <c r="AR106" s="2213"/>
      <c r="AS106" s="2213"/>
      <c r="AT106" s="2213"/>
      <c r="AU106" s="2213"/>
      <c r="AV106" s="2213"/>
      <c r="AW106" s="2217">
        <f t="shared" si="85"/>
        <v>-39.525178562001514</v>
      </c>
      <c r="AX106" s="2217">
        <f t="shared" si="76"/>
        <v>5312.9417632386712</v>
      </c>
      <c r="AY106" s="2217">
        <f t="shared" si="66"/>
        <v>-26.627526945284444</v>
      </c>
      <c r="AZ106" s="2212">
        <v>229</v>
      </c>
      <c r="BA106" s="2208"/>
      <c r="BB106" s="263"/>
      <c r="BC106" s="2208"/>
      <c r="BD106" s="263"/>
      <c r="BE106" s="263"/>
      <c r="BF106" s="263"/>
      <c r="BG106" s="263"/>
      <c r="BH106" s="2208"/>
      <c r="BI106" s="2217">
        <f t="shared" si="86"/>
        <v>-47.779711915039698</v>
      </c>
      <c r="BJ106" s="2217">
        <f t="shared" si="77"/>
        <v>5312.9417632386712</v>
      </c>
      <c r="BK106" s="2217">
        <f t="shared" si="67"/>
        <v>-26.627526945284444</v>
      </c>
      <c r="BL106" s="2212">
        <v>229</v>
      </c>
      <c r="BM106" s="2208"/>
      <c r="BN106" s="263"/>
      <c r="BO106" s="2208"/>
      <c r="BP106" s="263"/>
      <c r="BQ106" s="263"/>
      <c r="BR106" s="263"/>
      <c r="BS106" s="263"/>
      <c r="BT106" s="2208"/>
      <c r="BU106" s="2217">
        <f t="shared" si="87"/>
        <v>-10.086485596070998</v>
      </c>
      <c r="BV106" s="2217">
        <f t="shared" si="68"/>
        <v>8664.2201590278437</v>
      </c>
      <c r="BW106" s="2217">
        <f t="shared" si="78"/>
        <v>1.378993640828412</v>
      </c>
      <c r="BX106" s="2212">
        <v>229</v>
      </c>
      <c r="BY106" s="2219"/>
      <c r="BZ106" s="2213"/>
      <c r="CA106" s="2219"/>
      <c r="CB106" s="2213"/>
      <c r="CC106" s="2213"/>
      <c r="CD106" s="2213"/>
      <c r="CE106" s="2213"/>
      <c r="CF106" s="2208"/>
      <c r="CG106" s="2217">
        <f t="shared" si="88"/>
        <v>-9.9210063591715887</v>
      </c>
      <c r="CH106" s="2217">
        <f t="shared" si="69"/>
        <v>8664.2201590278437</v>
      </c>
      <c r="CI106" s="2217">
        <f t="shared" si="79"/>
        <v>1.378993640828412</v>
      </c>
      <c r="CJ106" s="2212">
        <v>229</v>
      </c>
      <c r="CK106" s="2219"/>
      <c r="CL106" s="2213"/>
      <c r="CM106" s="2219"/>
      <c r="CN106" s="2213"/>
      <c r="CO106" s="2213"/>
      <c r="CP106" s="2213"/>
      <c r="CQ106" s="2213"/>
      <c r="CR106" s="2208"/>
      <c r="CS106" s="2217">
        <f t="shared" si="89"/>
        <v>-47.247161376134002</v>
      </c>
      <c r="CT106" s="2217">
        <f t="shared" si="80"/>
        <v>5312.9417632386712</v>
      </c>
      <c r="CU106" s="2217">
        <f t="shared" si="70"/>
        <v>-26.627526945284444</v>
      </c>
      <c r="CV106" s="2212">
        <v>229</v>
      </c>
      <c r="CW106" s="2208"/>
      <c r="CX106" s="263"/>
      <c r="CY106" s="2208"/>
      <c r="CZ106" s="263"/>
      <c r="DA106" s="263"/>
      <c r="DB106" s="263"/>
      <c r="DC106" s="263"/>
      <c r="DD106" s="2208"/>
    </row>
    <row r="107" spans="1:108">
      <c r="A107" s="2217">
        <f t="shared" si="81"/>
        <v>-9.5853825014531147</v>
      </c>
      <c r="B107" s="2217">
        <f t="shared" si="63"/>
        <v>8662.8411653870153</v>
      </c>
      <c r="C107" s="2217">
        <f t="shared" si="71"/>
        <v>1.4909717378668574</v>
      </c>
      <c r="D107" s="2212">
        <v>228</v>
      </c>
      <c r="E107" s="2219"/>
      <c r="F107" s="2213"/>
      <c r="G107" s="2219"/>
      <c r="H107" s="2213"/>
      <c r="I107" s="2213"/>
      <c r="J107" s="2213"/>
      <c r="K107" s="2213"/>
      <c r="L107" s="2213"/>
      <c r="M107" s="2217">
        <f t="shared" si="82"/>
        <v>-9.4810144798024343</v>
      </c>
      <c r="N107" s="2217">
        <f t="shared" si="64"/>
        <v>8662.8411653870153</v>
      </c>
      <c r="O107" s="2217">
        <f t="shared" si="72"/>
        <v>1.4909717378668574</v>
      </c>
      <c r="P107" s="2212">
        <v>228</v>
      </c>
      <c r="Q107" s="2219"/>
      <c r="R107" s="2213"/>
      <c r="S107" s="2219"/>
      <c r="T107" s="2213"/>
      <c r="U107" s="2213"/>
      <c r="V107" s="2213"/>
      <c r="W107" s="2213"/>
      <c r="X107" s="2213"/>
      <c r="Y107" s="2217">
        <f t="shared" si="83"/>
        <v>-9.3468270233944182</v>
      </c>
      <c r="Z107" s="2217">
        <f t="shared" si="73"/>
        <v>8662.8411653870153</v>
      </c>
      <c r="AA107" s="2217">
        <f t="shared" si="74"/>
        <v>1.4909717378668574</v>
      </c>
      <c r="AB107" s="2212">
        <v>228</v>
      </c>
      <c r="AC107" s="2219"/>
      <c r="AD107" s="2213"/>
      <c r="AE107" s="2219"/>
      <c r="AF107" s="2213"/>
      <c r="AG107" s="2213"/>
      <c r="AH107" s="2213"/>
      <c r="AI107" s="2213"/>
      <c r="AJ107" s="2213"/>
      <c r="AK107" s="2217">
        <f t="shared" si="84"/>
        <v>-9.9879448706771665</v>
      </c>
      <c r="AL107" s="2217">
        <f t="shared" si="65"/>
        <v>8662.8411653870153</v>
      </c>
      <c r="AM107" s="2217">
        <f t="shared" si="75"/>
        <v>1.4909717378668574</v>
      </c>
      <c r="AN107" s="2212">
        <v>228</v>
      </c>
      <c r="AO107" s="2219"/>
      <c r="AP107" s="2213"/>
      <c r="AQ107" s="2219"/>
      <c r="AR107" s="2213"/>
      <c r="AS107" s="2213"/>
      <c r="AT107" s="2213"/>
      <c r="AU107" s="2213"/>
      <c r="AV107" s="2213"/>
      <c r="AW107" s="2217">
        <f t="shared" si="85"/>
        <v>-39.170092526216671</v>
      </c>
      <c r="AX107" s="2217">
        <f t="shared" si="76"/>
        <v>5339.5692901839557</v>
      </c>
      <c r="AY107" s="2217">
        <f t="shared" si="66"/>
        <v>-26.292540119072328</v>
      </c>
      <c r="AZ107" s="2212">
        <v>228</v>
      </c>
      <c r="BA107" s="2208"/>
      <c r="BB107" s="263"/>
      <c r="BC107" s="2208"/>
      <c r="BD107" s="263"/>
      <c r="BE107" s="263"/>
      <c r="BF107" s="263"/>
      <c r="BG107" s="263"/>
      <c r="BH107" s="2208"/>
      <c r="BI107" s="2217">
        <f t="shared" si="86"/>
        <v>-47.320779963129098</v>
      </c>
      <c r="BJ107" s="2217">
        <f t="shared" si="77"/>
        <v>5339.5692901839557</v>
      </c>
      <c r="BK107" s="2217">
        <f t="shared" si="67"/>
        <v>-26.292540119072328</v>
      </c>
      <c r="BL107" s="2212">
        <v>228</v>
      </c>
      <c r="BM107" s="2208"/>
      <c r="BN107" s="263"/>
      <c r="BO107" s="2208"/>
      <c r="BP107" s="263"/>
      <c r="BQ107" s="263"/>
      <c r="BR107" s="263"/>
      <c r="BS107" s="263"/>
      <c r="BT107" s="2208"/>
      <c r="BU107" s="2217">
        <f t="shared" si="87"/>
        <v>-9.9879448706771665</v>
      </c>
      <c r="BV107" s="2217">
        <f t="shared" si="68"/>
        <v>8662.8411653870153</v>
      </c>
      <c r="BW107" s="2217">
        <f t="shared" si="78"/>
        <v>1.4909717378668574</v>
      </c>
      <c r="BX107" s="2212">
        <v>228</v>
      </c>
      <c r="BY107" s="2219"/>
      <c r="BZ107" s="2213"/>
      <c r="CA107" s="2219"/>
      <c r="CB107" s="2213"/>
      <c r="CC107" s="2213"/>
      <c r="CD107" s="2213"/>
      <c r="CE107" s="2213"/>
      <c r="CF107" s="2208"/>
      <c r="CG107" s="2217">
        <f t="shared" si="88"/>
        <v>-9.8090282621331433</v>
      </c>
      <c r="CH107" s="2217">
        <f t="shared" si="69"/>
        <v>8662.8411653870153</v>
      </c>
      <c r="CI107" s="2217">
        <f t="shared" si="79"/>
        <v>1.4909717378668574</v>
      </c>
      <c r="CJ107" s="2212">
        <v>228</v>
      </c>
      <c r="CK107" s="2219"/>
      <c r="CL107" s="2213"/>
      <c r="CM107" s="2219"/>
      <c r="CN107" s="2213"/>
      <c r="CO107" s="2213"/>
      <c r="CP107" s="2213"/>
      <c r="CQ107" s="2213"/>
      <c r="CR107" s="2208"/>
      <c r="CS107" s="2217">
        <f t="shared" si="89"/>
        <v>-46.794929160747643</v>
      </c>
      <c r="CT107" s="2217">
        <f t="shared" si="80"/>
        <v>5339.5692901839557</v>
      </c>
      <c r="CU107" s="2217">
        <f t="shared" si="70"/>
        <v>-26.292540119072328</v>
      </c>
      <c r="CV107" s="2212">
        <v>228</v>
      </c>
      <c r="CW107" s="2208"/>
      <c r="CX107" s="263"/>
      <c r="CY107" s="2208"/>
      <c r="CZ107" s="263"/>
      <c r="DA107" s="263"/>
      <c r="DB107" s="263"/>
      <c r="DC107" s="263"/>
      <c r="DD107" s="2208"/>
    </row>
    <row r="108" spans="1:108">
      <c r="A108" s="2217">
        <f t="shared" si="81"/>
        <v>-9.4556387823542547</v>
      </c>
      <c r="B108" s="2217">
        <f t="shared" si="63"/>
        <v>8661.3501936491484</v>
      </c>
      <c r="C108" s="2217">
        <f t="shared" si="71"/>
        <v>1.6037923631702142</v>
      </c>
      <c r="D108" s="2212">
        <v>227</v>
      </c>
      <c r="E108" s="2219"/>
      <c r="F108" s="2213"/>
      <c r="G108" s="2219"/>
      <c r="H108" s="2213"/>
      <c r="I108" s="2213"/>
      <c r="J108" s="2213"/>
      <c r="K108" s="2213"/>
      <c r="L108" s="2213"/>
      <c r="M108" s="2217">
        <f t="shared" si="82"/>
        <v>-9.3433733169323396</v>
      </c>
      <c r="N108" s="2217">
        <f t="shared" si="64"/>
        <v>8661.3501936491484</v>
      </c>
      <c r="O108" s="2217">
        <f t="shared" si="72"/>
        <v>1.6037923631702142</v>
      </c>
      <c r="P108" s="2212">
        <v>227</v>
      </c>
      <c r="Q108" s="2219"/>
      <c r="R108" s="2213"/>
      <c r="S108" s="2219"/>
      <c r="T108" s="2213"/>
      <c r="U108" s="2213"/>
      <c r="V108" s="2213"/>
      <c r="W108" s="2213"/>
      <c r="X108" s="2213"/>
      <c r="Y108" s="2217">
        <f t="shared" si="83"/>
        <v>-9.1990320042470195</v>
      </c>
      <c r="Z108" s="2217">
        <f t="shared" si="73"/>
        <v>8661.3501936491484</v>
      </c>
      <c r="AA108" s="2217">
        <f t="shared" si="74"/>
        <v>1.6037923631702142</v>
      </c>
      <c r="AB108" s="2212">
        <v>227</v>
      </c>
      <c r="AC108" s="2219"/>
      <c r="AD108" s="2213"/>
      <c r="AE108" s="2219"/>
      <c r="AF108" s="2213"/>
      <c r="AG108" s="2213"/>
      <c r="AH108" s="2213"/>
      <c r="AI108" s="2213"/>
      <c r="AJ108" s="2213"/>
      <c r="AK108" s="2217">
        <f t="shared" si="84"/>
        <v>-9.8886627204102133</v>
      </c>
      <c r="AL108" s="2217">
        <f t="shared" si="65"/>
        <v>8661.3501936491484</v>
      </c>
      <c r="AM108" s="2217">
        <f t="shared" si="75"/>
        <v>1.6037923631702142</v>
      </c>
      <c r="AN108" s="2212">
        <v>227</v>
      </c>
      <c r="AO108" s="2219"/>
      <c r="AP108" s="2213"/>
      <c r="AQ108" s="2219"/>
      <c r="AR108" s="2213"/>
      <c r="AS108" s="2213"/>
      <c r="AT108" s="2213"/>
      <c r="AU108" s="2213"/>
      <c r="AV108" s="2213"/>
      <c r="AW108" s="2217">
        <f t="shared" si="85"/>
        <v>-38.815171770399118</v>
      </c>
      <c r="AX108" s="2217">
        <f t="shared" si="76"/>
        <v>5365.861830303028</v>
      </c>
      <c r="AY108" s="2217">
        <f t="shared" si="66"/>
        <v>-25.95770921735766</v>
      </c>
      <c r="AZ108" s="2212">
        <v>227</v>
      </c>
      <c r="BA108" s="2208"/>
      <c r="BB108" s="263"/>
      <c r="BC108" s="2208"/>
      <c r="BD108" s="263"/>
      <c r="BE108" s="263"/>
      <c r="BF108" s="263"/>
      <c r="BG108" s="263"/>
      <c r="BH108" s="2208"/>
      <c r="BI108" s="2217">
        <f t="shared" si="86"/>
        <v>-46.862061627779994</v>
      </c>
      <c r="BJ108" s="2217">
        <f t="shared" si="77"/>
        <v>5365.861830303028</v>
      </c>
      <c r="BK108" s="2217">
        <f t="shared" si="67"/>
        <v>-25.95770921735766</v>
      </c>
      <c r="BL108" s="2212">
        <v>227</v>
      </c>
      <c r="BM108" s="2208"/>
      <c r="BN108" s="263"/>
      <c r="BO108" s="2208"/>
      <c r="BP108" s="263"/>
      <c r="BQ108" s="263"/>
      <c r="BR108" s="263"/>
      <c r="BS108" s="263"/>
      <c r="BT108" s="2208"/>
      <c r="BU108" s="2217">
        <f t="shared" si="87"/>
        <v>-9.8886627204102133</v>
      </c>
      <c r="BV108" s="2217">
        <f t="shared" si="68"/>
        <v>8661.3501936491484</v>
      </c>
      <c r="BW108" s="2217">
        <f t="shared" si="78"/>
        <v>1.6037923631702142</v>
      </c>
      <c r="BX108" s="2212">
        <v>227</v>
      </c>
      <c r="BY108" s="2219"/>
      <c r="BZ108" s="2213"/>
      <c r="CA108" s="2219"/>
      <c r="CB108" s="2213"/>
      <c r="CC108" s="2213"/>
      <c r="CD108" s="2213"/>
      <c r="CE108" s="2213"/>
      <c r="CF108" s="2208"/>
      <c r="CG108" s="2217">
        <f t="shared" si="88"/>
        <v>-9.6962076368297865</v>
      </c>
      <c r="CH108" s="2217">
        <f t="shared" si="69"/>
        <v>8661.3501936491484</v>
      </c>
      <c r="CI108" s="2217">
        <f t="shared" si="79"/>
        <v>1.6037923631702142</v>
      </c>
      <c r="CJ108" s="2212">
        <v>227</v>
      </c>
      <c r="CK108" s="2219"/>
      <c r="CL108" s="2213"/>
      <c r="CM108" s="2219"/>
      <c r="CN108" s="2213"/>
      <c r="CO108" s="2213"/>
      <c r="CP108" s="2213"/>
      <c r="CQ108" s="2213"/>
      <c r="CR108" s="2208"/>
      <c r="CS108" s="2217">
        <f t="shared" si="89"/>
        <v>-46.34290744343285</v>
      </c>
      <c r="CT108" s="2217">
        <f t="shared" si="80"/>
        <v>5365.861830303028</v>
      </c>
      <c r="CU108" s="2217">
        <f t="shared" si="70"/>
        <v>-25.95770921735766</v>
      </c>
      <c r="CV108" s="2212">
        <v>227</v>
      </c>
      <c r="CW108" s="2208"/>
      <c r="CX108" s="263"/>
      <c r="CY108" s="2208"/>
      <c r="CZ108" s="263"/>
      <c r="DA108" s="263"/>
      <c r="DB108" s="263"/>
      <c r="DC108" s="263"/>
      <c r="DD108" s="2208"/>
    </row>
    <row r="109" spans="1:108">
      <c r="A109" s="2217">
        <f t="shared" si="81"/>
        <v>-9.3249261557444711</v>
      </c>
      <c r="B109" s="2217">
        <f t="shared" si="63"/>
        <v>8659.7464012859782</v>
      </c>
      <c r="C109" s="2217">
        <f t="shared" si="71"/>
        <v>1.7174555167439394</v>
      </c>
      <c r="D109" s="2212">
        <v>226</v>
      </c>
      <c r="E109" s="2219"/>
      <c r="F109" s="2213"/>
      <c r="G109" s="2219"/>
      <c r="H109" s="2213"/>
      <c r="I109" s="2213"/>
      <c r="J109" s="2213"/>
      <c r="K109" s="2213"/>
      <c r="L109" s="2213"/>
      <c r="M109" s="2217">
        <f t="shared" si="82"/>
        <v>-9.2047042695723942</v>
      </c>
      <c r="N109" s="2217">
        <f t="shared" si="64"/>
        <v>8659.7464012859782</v>
      </c>
      <c r="O109" s="2217">
        <f t="shared" si="72"/>
        <v>1.7174555167439394</v>
      </c>
      <c r="P109" s="2212">
        <v>226</v>
      </c>
      <c r="Q109" s="2219"/>
      <c r="R109" s="2213"/>
      <c r="S109" s="2219"/>
      <c r="T109" s="2213"/>
      <c r="U109" s="2213"/>
      <c r="V109" s="2213"/>
      <c r="W109" s="2213"/>
      <c r="X109" s="2213"/>
      <c r="Y109" s="2217">
        <f t="shared" si="83"/>
        <v>-9.0501332730654411</v>
      </c>
      <c r="Z109" s="2217">
        <f t="shared" si="73"/>
        <v>8659.7464012859782</v>
      </c>
      <c r="AA109" s="2217">
        <f t="shared" si="74"/>
        <v>1.7174555167439394</v>
      </c>
      <c r="AB109" s="2212">
        <v>226</v>
      </c>
      <c r="AC109" s="2219"/>
      <c r="AD109" s="2213"/>
      <c r="AE109" s="2219"/>
      <c r="AF109" s="2213"/>
      <c r="AG109" s="2213"/>
      <c r="AH109" s="2213"/>
      <c r="AI109" s="2213"/>
      <c r="AJ109" s="2213"/>
      <c r="AK109" s="2217">
        <f t="shared" si="84"/>
        <v>-9.7886391452653339</v>
      </c>
      <c r="AL109" s="2217">
        <f t="shared" si="65"/>
        <v>8659.7464012859782</v>
      </c>
      <c r="AM109" s="2217">
        <f t="shared" si="75"/>
        <v>1.7174555167439394</v>
      </c>
      <c r="AN109" s="2212">
        <v>226</v>
      </c>
      <c r="AO109" s="2219"/>
      <c r="AP109" s="2213"/>
      <c r="AQ109" s="2219"/>
      <c r="AR109" s="2213"/>
      <c r="AS109" s="2213"/>
      <c r="AT109" s="2213"/>
      <c r="AU109" s="2213"/>
      <c r="AV109" s="2213"/>
      <c r="AW109" s="2217">
        <f t="shared" si="85"/>
        <v>-38.460416294557547</v>
      </c>
      <c r="AX109" s="2217">
        <f t="shared" si="76"/>
        <v>5391.8195395203857</v>
      </c>
      <c r="AY109" s="2217">
        <f t="shared" si="66"/>
        <v>-25.623034240148627</v>
      </c>
      <c r="AZ109" s="2212">
        <v>226</v>
      </c>
      <c r="BA109" s="2208"/>
      <c r="BB109" s="263"/>
      <c r="BC109" s="2208"/>
      <c r="BD109" s="263"/>
      <c r="BE109" s="263"/>
      <c r="BF109" s="263"/>
      <c r="BG109" s="263"/>
      <c r="BH109" s="2208"/>
      <c r="BI109" s="2217">
        <f t="shared" si="86"/>
        <v>-46.403556909003626</v>
      </c>
      <c r="BJ109" s="2217">
        <f t="shared" si="77"/>
        <v>5391.8195395203857</v>
      </c>
      <c r="BK109" s="2217">
        <f t="shared" si="67"/>
        <v>-25.623034240148627</v>
      </c>
      <c r="BL109" s="2212">
        <v>226</v>
      </c>
      <c r="BM109" s="2208"/>
      <c r="BN109" s="263"/>
      <c r="BO109" s="2208"/>
      <c r="BP109" s="263"/>
      <c r="BQ109" s="263"/>
      <c r="BR109" s="263"/>
      <c r="BS109" s="263"/>
      <c r="BT109" s="2208"/>
      <c r="BU109" s="2217">
        <f t="shared" si="87"/>
        <v>-9.7886391452653339</v>
      </c>
      <c r="BV109" s="2217">
        <f t="shared" si="68"/>
        <v>8659.7464012859782</v>
      </c>
      <c r="BW109" s="2217">
        <f t="shared" si="78"/>
        <v>1.7174555167439394</v>
      </c>
      <c r="BX109" s="2212">
        <v>226</v>
      </c>
      <c r="BY109" s="2219"/>
      <c r="BZ109" s="2213"/>
      <c r="CA109" s="2219"/>
      <c r="CB109" s="2213"/>
      <c r="CC109" s="2213"/>
      <c r="CD109" s="2213"/>
      <c r="CE109" s="2213"/>
      <c r="CF109" s="2208"/>
      <c r="CG109" s="2217">
        <f t="shared" si="88"/>
        <v>-9.5825444832560613</v>
      </c>
      <c r="CH109" s="2217">
        <f t="shared" si="69"/>
        <v>8659.7464012859782</v>
      </c>
      <c r="CI109" s="2217">
        <f t="shared" si="79"/>
        <v>1.7174555167439394</v>
      </c>
      <c r="CJ109" s="2212">
        <v>226</v>
      </c>
      <c r="CK109" s="2219"/>
      <c r="CL109" s="2213"/>
      <c r="CM109" s="2219"/>
      <c r="CN109" s="2213"/>
      <c r="CO109" s="2213"/>
      <c r="CP109" s="2213"/>
      <c r="CQ109" s="2213"/>
      <c r="CR109" s="2208"/>
      <c r="CS109" s="2217">
        <f t="shared" si="89"/>
        <v>-45.891096224200652</v>
      </c>
      <c r="CT109" s="2217">
        <f t="shared" si="80"/>
        <v>5391.8195395203857</v>
      </c>
      <c r="CU109" s="2217">
        <f t="shared" si="70"/>
        <v>-25.623034240148627</v>
      </c>
      <c r="CV109" s="2212">
        <v>226</v>
      </c>
      <c r="CW109" s="2208"/>
      <c r="CX109" s="263"/>
      <c r="CY109" s="2208"/>
      <c r="CZ109" s="263"/>
      <c r="DA109" s="263"/>
      <c r="DB109" s="263"/>
      <c r="DC109" s="263"/>
      <c r="DD109" s="2208"/>
    </row>
    <row r="110" spans="1:108">
      <c r="A110" s="2217">
        <f t="shared" si="81"/>
        <v>-9.1932446216216714</v>
      </c>
      <c r="B110" s="2217">
        <f t="shared" si="63"/>
        <v>8658.0289457692343</v>
      </c>
      <c r="C110" s="2217">
        <f t="shared" si="71"/>
        <v>1.8319611985898518</v>
      </c>
      <c r="D110" s="2212">
        <v>225</v>
      </c>
      <c r="E110" s="2219"/>
      <c r="F110" s="2213"/>
      <c r="G110" s="2219"/>
      <c r="H110" s="2213"/>
      <c r="I110" s="2213"/>
      <c r="J110" s="2213"/>
      <c r="K110" s="2213"/>
      <c r="L110" s="2213"/>
      <c r="M110" s="2217">
        <f t="shared" si="82"/>
        <v>-9.065007337720381</v>
      </c>
      <c r="N110" s="2217">
        <f t="shared" si="64"/>
        <v>8658.0289457692343</v>
      </c>
      <c r="O110" s="2217">
        <f t="shared" si="72"/>
        <v>1.8319611985898518</v>
      </c>
      <c r="P110" s="2212">
        <v>225</v>
      </c>
      <c r="Q110" s="2219"/>
      <c r="R110" s="2213"/>
      <c r="S110" s="2219"/>
      <c r="T110" s="2213"/>
      <c r="U110" s="2213"/>
      <c r="V110" s="2213"/>
      <c r="W110" s="2213"/>
      <c r="X110" s="2213"/>
      <c r="Y110" s="2217">
        <f t="shared" si="83"/>
        <v>-8.9001308298472956</v>
      </c>
      <c r="Z110" s="2217">
        <f t="shared" si="73"/>
        <v>8658.0289457692343</v>
      </c>
      <c r="AA110" s="2217">
        <f t="shared" si="74"/>
        <v>1.8319611985898518</v>
      </c>
      <c r="AB110" s="2212">
        <v>225</v>
      </c>
      <c r="AC110" s="2219"/>
      <c r="AD110" s="2213"/>
      <c r="AE110" s="2219"/>
      <c r="AF110" s="2213"/>
      <c r="AG110" s="2213"/>
      <c r="AH110" s="2213"/>
      <c r="AI110" s="2213"/>
      <c r="AJ110" s="2213"/>
      <c r="AK110" s="2217">
        <f t="shared" si="84"/>
        <v>-9.6878741452409312</v>
      </c>
      <c r="AL110" s="2217">
        <f t="shared" si="65"/>
        <v>8658.0289457692343</v>
      </c>
      <c r="AM110" s="2217">
        <f t="shared" si="75"/>
        <v>1.8319611985898518</v>
      </c>
      <c r="AN110" s="2212">
        <v>225</v>
      </c>
      <c r="AO110" s="2219"/>
      <c r="AP110" s="2213"/>
      <c r="AQ110" s="2219"/>
      <c r="AR110" s="2213"/>
      <c r="AS110" s="2213"/>
      <c r="AT110" s="2213"/>
      <c r="AU110" s="2213"/>
      <c r="AV110" s="2213"/>
      <c r="AW110" s="2217">
        <f t="shared" si="85"/>
        <v>-38.105826098681334</v>
      </c>
      <c r="AX110" s="2217">
        <f t="shared" si="76"/>
        <v>5417.4425737605343</v>
      </c>
      <c r="AY110" s="2217">
        <f t="shared" si="66"/>
        <v>-25.288515187435223</v>
      </c>
      <c r="AZ110" s="2212">
        <v>225</v>
      </c>
      <c r="BA110" s="2208"/>
      <c r="BB110" s="263"/>
      <c r="BC110" s="2208"/>
      <c r="BD110" s="263"/>
      <c r="BE110" s="263"/>
      <c r="BF110" s="263"/>
      <c r="BG110" s="263"/>
      <c r="BH110" s="2208"/>
      <c r="BI110" s="2217">
        <f t="shared" si="86"/>
        <v>-45.945265806786253</v>
      </c>
      <c r="BJ110" s="2217">
        <f t="shared" si="77"/>
        <v>5417.4425737605343</v>
      </c>
      <c r="BK110" s="2217">
        <f t="shared" si="67"/>
        <v>-25.288515187435223</v>
      </c>
      <c r="BL110" s="2212">
        <v>225</v>
      </c>
      <c r="BM110" s="2208"/>
      <c r="BN110" s="263"/>
      <c r="BO110" s="2208"/>
      <c r="BP110" s="263"/>
      <c r="BQ110" s="263"/>
      <c r="BR110" s="263"/>
      <c r="BS110" s="263"/>
      <c r="BT110" s="2208"/>
      <c r="BU110" s="2217">
        <f t="shared" si="87"/>
        <v>-9.6878741452409312</v>
      </c>
      <c r="BV110" s="2217">
        <f t="shared" si="68"/>
        <v>8658.0289457692343</v>
      </c>
      <c r="BW110" s="2217">
        <f t="shared" si="78"/>
        <v>1.8319611985898518</v>
      </c>
      <c r="BX110" s="2212">
        <v>225</v>
      </c>
      <c r="BY110" s="2219"/>
      <c r="BZ110" s="2213"/>
      <c r="CA110" s="2219"/>
      <c r="CB110" s="2213"/>
      <c r="CC110" s="2213"/>
      <c r="CD110" s="2213"/>
      <c r="CE110" s="2213"/>
      <c r="CF110" s="2208"/>
      <c r="CG110" s="2217">
        <f t="shared" si="88"/>
        <v>-9.4680388014101489</v>
      </c>
      <c r="CH110" s="2217">
        <f t="shared" si="69"/>
        <v>8658.0289457692343</v>
      </c>
      <c r="CI110" s="2217">
        <f t="shared" si="79"/>
        <v>1.8319611985898518</v>
      </c>
      <c r="CJ110" s="2212">
        <v>225</v>
      </c>
      <c r="CK110" s="2219"/>
      <c r="CL110" s="2213"/>
      <c r="CM110" s="2219"/>
      <c r="CN110" s="2213"/>
      <c r="CO110" s="2213"/>
      <c r="CP110" s="2213"/>
      <c r="CQ110" s="2213"/>
      <c r="CR110" s="2208"/>
      <c r="CS110" s="2217">
        <f t="shared" si="89"/>
        <v>-45.439495503037548</v>
      </c>
      <c r="CT110" s="2217">
        <f t="shared" si="80"/>
        <v>5417.4425737605343</v>
      </c>
      <c r="CU110" s="2217">
        <f t="shared" si="70"/>
        <v>-25.288515187435223</v>
      </c>
      <c r="CV110" s="2212">
        <v>225</v>
      </c>
      <c r="CW110" s="2208"/>
      <c r="CX110" s="263"/>
      <c r="CY110" s="2208"/>
      <c r="CZ110" s="263"/>
      <c r="DA110" s="263"/>
      <c r="DB110" s="263"/>
      <c r="DC110" s="263"/>
      <c r="DD110" s="2208"/>
    </row>
    <row r="111" spans="1:108">
      <c r="A111" s="2217">
        <f t="shared" si="81"/>
        <v>-9.0605941799879481</v>
      </c>
      <c r="B111" s="2217">
        <f t="shared" si="63"/>
        <v>8656.1969845706444</v>
      </c>
      <c r="C111" s="2217">
        <f t="shared" si="71"/>
        <v>1.9473094087061327</v>
      </c>
      <c r="D111" s="2212">
        <v>224</v>
      </c>
      <c r="E111" s="2219"/>
      <c r="F111" s="2213"/>
      <c r="G111" s="2219"/>
      <c r="H111" s="2213"/>
      <c r="I111" s="2213"/>
      <c r="J111" s="2213"/>
      <c r="K111" s="2213"/>
      <c r="L111" s="2213"/>
      <c r="M111" s="2217">
        <f t="shared" si="82"/>
        <v>-8.9242825213785189</v>
      </c>
      <c r="N111" s="2217">
        <f t="shared" si="64"/>
        <v>8656.1969845706444</v>
      </c>
      <c r="O111" s="2217">
        <f t="shared" si="72"/>
        <v>1.9473094087061327</v>
      </c>
      <c r="P111" s="2212">
        <v>224</v>
      </c>
      <c r="Q111" s="2219"/>
      <c r="R111" s="2213"/>
      <c r="S111" s="2219"/>
      <c r="T111" s="2213"/>
      <c r="U111" s="2213"/>
      <c r="V111" s="2213"/>
      <c r="W111" s="2213"/>
      <c r="X111" s="2213"/>
      <c r="Y111" s="2217">
        <f t="shared" si="83"/>
        <v>-8.7490246745949669</v>
      </c>
      <c r="Z111" s="2217">
        <f t="shared" si="73"/>
        <v>8656.1969845706444</v>
      </c>
      <c r="AA111" s="2217">
        <f t="shared" si="74"/>
        <v>1.9473094087061327</v>
      </c>
      <c r="AB111" s="2212">
        <v>224</v>
      </c>
      <c r="AC111" s="2219"/>
      <c r="AD111" s="2213"/>
      <c r="AE111" s="2219"/>
      <c r="AF111" s="2213"/>
      <c r="AG111" s="2213"/>
      <c r="AH111" s="2213"/>
      <c r="AI111" s="2213"/>
      <c r="AJ111" s="2213"/>
      <c r="AK111" s="2217">
        <f t="shared" si="84"/>
        <v>-9.586367720338604</v>
      </c>
      <c r="AL111" s="2217">
        <f t="shared" si="65"/>
        <v>8656.1969845706444</v>
      </c>
      <c r="AM111" s="2217">
        <f t="shared" si="75"/>
        <v>1.9473094087061327</v>
      </c>
      <c r="AN111" s="2212">
        <v>224</v>
      </c>
      <c r="AO111" s="2219"/>
      <c r="AP111" s="2213"/>
      <c r="AQ111" s="2219"/>
      <c r="AR111" s="2213"/>
      <c r="AS111" s="2213"/>
      <c r="AT111" s="2213"/>
      <c r="AU111" s="2213"/>
      <c r="AV111" s="2213"/>
      <c r="AW111" s="2217">
        <f t="shared" si="85"/>
        <v>-37.751401182780143</v>
      </c>
      <c r="AX111" s="2217">
        <f t="shared" si="76"/>
        <v>5442.7310889479695</v>
      </c>
      <c r="AY111" s="2217">
        <f t="shared" si="66"/>
        <v>-24.954152059226544</v>
      </c>
      <c r="AZ111" s="2212">
        <v>224</v>
      </c>
      <c r="BA111" s="2208"/>
      <c r="BB111" s="263"/>
      <c r="BC111" s="2208"/>
      <c r="BD111" s="263"/>
      <c r="BE111" s="263"/>
      <c r="BF111" s="263"/>
      <c r="BG111" s="263"/>
      <c r="BH111" s="2208"/>
      <c r="BI111" s="2217">
        <f t="shared" si="86"/>
        <v>-45.487188321140366</v>
      </c>
      <c r="BJ111" s="2217">
        <f t="shared" si="77"/>
        <v>5442.7310889479695</v>
      </c>
      <c r="BK111" s="2217">
        <f t="shared" si="67"/>
        <v>-24.954152059226544</v>
      </c>
      <c r="BL111" s="2212">
        <v>224</v>
      </c>
      <c r="BM111" s="2208"/>
      <c r="BN111" s="263"/>
      <c r="BO111" s="2208"/>
      <c r="BP111" s="263"/>
      <c r="BQ111" s="263"/>
      <c r="BR111" s="263"/>
      <c r="BS111" s="263"/>
      <c r="BT111" s="2208"/>
      <c r="BU111" s="2217">
        <f t="shared" si="87"/>
        <v>-9.586367720338604</v>
      </c>
      <c r="BV111" s="2217">
        <f t="shared" si="68"/>
        <v>8656.1969845706444</v>
      </c>
      <c r="BW111" s="2217">
        <f t="shared" si="78"/>
        <v>1.9473094087061327</v>
      </c>
      <c r="BX111" s="2212">
        <v>224</v>
      </c>
      <c r="BY111" s="2219"/>
      <c r="BZ111" s="2213"/>
      <c r="CA111" s="2219"/>
      <c r="CB111" s="2213"/>
      <c r="CC111" s="2213"/>
      <c r="CD111" s="2213"/>
      <c r="CE111" s="2213"/>
      <c r="CF111" s="2208"/>
      <c r="CG111" s="2217">
        <f t="shared" si="88"/>
        <v>-9.352690591293868</v>
      </c>
      <c r="CH111" s="2217">
        <f t="shared" si="69"/>
        <v>8656.1969845706444</v>
      </c>
      <c r="CI111" s="2217">
        <f t="shared" si="79"/>
        <v>1.9473094087061327</v>
      </c>
      <c r="CJ111" s="2212">
        <v>224</v>
      </c>
      <c r="CK111" s="2219"/>
      <c r="CL111" s="2213"/>
      <c r="CM111" s="2219"/>
      <c r="CN111" s="2213"/>
      <c r="CO111" s="2213"/>
      <c r="CP111" s="2213"/>
      <c r="CQ111" s="2213"/>
      <c r="CR111" s="2208"/>
      <c r="CS111" s="2217">
        <f t="shared" si="89"/>
        <v>-44.988105279955832</v>
      </c>
      <c r="CT111" s="2217">
        <f t="shared" si="80"/>
        <v>5442.7310889479695</v>
      </c>
      <c r="CU111" s="2217">
        <f t="shared" si="70"/>
        <v>-24.954152059226544</v>
      </c>
      <c r="CV111" s="2212">
        <v>224</v>
      </c>
      <c r="CW111" s="2208"/>
      <c r="CX111" s="263"/>
      <c r="CY111" s="2208"/>
      <c r="CZ111" s="263"/>
      <c r="DA111" s="263"/>
      <c r="DB111" s="263"/>
      <c r="DC111" s="263"/>
      <c r="DD111" s="2208"/>
    </row>
    <row r="112" spans="1:108">
      <c r="A112" s="2217">
        <f t="shared" si="81"/>
        <v>-8.9269748308516697</v>
      </c>
      <c r="B112" s="2217">
        <f t="shared" si="63"/>
        <v>8654.2496751619383</v>
      </c>
      <c r="C112" s="2217">
        <f t="shared" si="71"/>
        <v>2.0635001470855059</v>
      </c>
      <c r="D112" s="2212">
        <v>223</v>
      </c>
      <c r="E112" s="2219"/>
      <c r="F112" s="2213"/>
      <c r="G112" s="2219"/>
      <c r="H112" s="2213"/>
      <c r="I112" s="2213"/>
      <c r="J112" s="2213"/>
      <c r="K112" s="2213"/>
      <c r="L112" s="2213"/>
      <c r="M112" s="2217">
        <f t="shared" si="82"/>
        <v>-8.7825298205556841</v>
      </c>
      <c r="N112" s="2217">
        <f t="shared" si="64"/>
        <v>8654.2496751619383</v>
      </c>
      <c r="O112" s="2217">
        <f t="shared" si="72"/>
        <v>2.0635001470855059</v>
      </c>
      <c r="P112" s="2212">
        <v>223</v>
      </c>
      <c r="Q112" s="2219"/>
      <c r="R112" s="2213"/>
      <c r="S112" s="2219"/>
      <c r="T112" s="2213"/>
      <c r="U112" s="2213"/>
      <c r="V112" s="2213"/>
      <c r="W112" s="2213"/>
      <c r="X112" s="2213"/>
      <c r="Y112" s="2217">
        <f t="shared" si="83"/>
        <v>-8.5968148073179869</v>
      </c>
      <c r="Z112" s="2217">
        <f t="shared" si="73"/>
        <v>8654.2496751619383</v>
      </c>
      <c r="AA112" s="2217">
        <f t="shared" si="74"/>
        <v>2.0635001470855059</v>
      </c>
      <c r="AB112" s="2212">
        <v>223</v>
      </c>
      <c r="AC112" s="2219"/>
      <c r="AD112" s="2213"/>
      <c r="AE112" s="2219"/>
      <c r="AF112" s="2213"/>
      <c r="AG112" s="2213"/>
      <c r="AH112" s="2213"/>
      <c r="AI112" s="2213"/>
      <c r="AJ112" s="2213"/>
      <c r="AK112" s="2217">
        <f t="shared" si="84"/>
        <v>-9.484119870564756</v>
      </c>
      <c r="AL112" s="2217">
        <f t="shared" si="65"/>
        <v>8654.2496751619383</v>
      </c>
      <c r="AM112" s="2217">
        <f t="shared" si="75"/>
        <v>2.0635001470855059</v>
      </c>
      <c r="AN112" s="2212">
        <v>223</v>
      </c>
      <c r="AO112" s="2219"/>
      <c r="AP112" s="2213"/>
      <c r="AQ112" s="2219"/>
      <c r="AR112" s="2213"/>
      <c r="AS112" s="2213"/>
      <c r="AT112" s="2213"/>
      <c r="AU112" s="2213"/>
      <c r="AV112" s="2213"/>
      <c r="AW112" s="2217">
        <f t="shared" si="85"/>
        <v>-37.397141546846235</v>
      </c>
      <c r="AX112" s="2217">
        <f t="shared" si="76"/>
        <v>5467.6852410071961</v>
      </c>
      <c r="AY112" s="2217">
        <f t="shared" si="66"/>
        <v>-24.619944855515314</v>
      </c>
      <c r="AZ112" s="2212">
        <v>223</v>
      </c>
      <c r="BA112" s="2208"/>
      <c r="BB112" s="263"/>
      <c r="BC112" s="2208"/>
      <c r="BD112" s="263"/>
      <c r="BE112" s="263"/>
      <c r="BF112" s="263"/>
      <c r="BG112" s="263"/>
      <c r="BH112" s="2208"/>
      <c r="BI112" s="2217">
        <f t="shared" si="86"/>
        <v>-45.029324452055988</v>
      </c>
      <c r="BJ112" s="2217">
        <f t="shared" si="77"/>
        <v>5467.6852410071961</v>
      </c>
      <c r="BK112" s="2217">
        <f t="shared" si="67"/>
        <v>-24.619944855515314</v>
      </c>
      <c r="BL112" s="2212">
        <v>223</v>
      </c>
      <c r="BM112" s="2208"/>
      <c r="BN112" s="263"/>
      <c r="BO112" s="2208"/>
      <c r="BP112" s="263"/>
      <c r="BQ112" s="263"/>
      <c r="BR112" s="263"/>
      <c r="BS112" s="263"/>
      <c r="BT112" s="2208"/>
      <c r="BU112" s="2217">
        <f t="shared" si="87"/>
        <v>-9.484119870564756</v>
      </c>
      <c r="BV112" s="2217">
        <f t="shared" si="68"/>
        <v>8654.2496751619383</v>
      </c>
      <c r="BW112" s="2217">
        <f t="shared" si="78"/>
        <v>2.0635001470855059</v>
      </c>
      <c r="BX112" s="2212">
        <v>223</v>
      </c>
      <c r="BY112" s="2219"/>
      <c r="BZ112" s="2213"/>
      <c r="CA112" s="2219"/>
      <c r="CB112" s="2213"/>
      <c r="CC112" s="2213"/>
      <c r="CD112" s="2213"/>
      <c r="CE112" s="2213"/>
      <c r="CF112" s="2208"/>
      <c r="CG112" s="2217">
        <f t="shared" si="88"/>
        <v>-9.2364998529144948</v>
      </c>
      <c r="CH112" s="2217">
        <f t="shared" si="69"/>
        <v>8654.2496751619383</v>
      </c>
      <c r="CI112" s="2217">
        <f t="shared" si="79"/>
        <v>2.0635001470855059</v>
      </c>
      <c r="CJ112" s="2212">
        <v>223</v>
      </c>
      <c r="CK112" s="2219"/>
      <c r="CL112" s="2213"/>
      <c r="CM112" s="2219"/>
      <c r="CN112" s="2213"/>
      <c r="CO112" s="2213"/>
      <c r="CP112" s="2213"/>
      <c r="CQ112" s="2213"/>
      <c r="CR112" s="2208"/>
      <c r="CS112" s="2217">
        <f t="shared" si="89"/>
        <v>-44.536925554945682</v>
      </c>
      <c r="CT112" s="2217">
        <f t="shared" si="80"/>
        <v>5467.6852410071961</v>
      </c>
      <c r="CU112" s="2217">
        <f t="shared" si="70"/>
        <v>-24.619944855515314</v>
      </c>
      <c r="CV112" s="2212">
        <v>223</v>
      </c>
      <c r="CW112" s="2208"/>
      <c r="CX112" s="263"/>
      <c r="CY112" s="2208"/>
      <c r="CZ112" s="263"/>
      <c r="DA112" s="263"/>
      <c r="DB112" s="263"/>
      <c r="DC112" s="263"/>
      <c r="DD112" s="2208"/>
    </row>
    <row r="113" spans="1:108">
      <c r="A113" s="2217">
        <f t="shared" si="81"/>
        <v>-8.7923865741960991</v>
      </c>
      <c r="B113" s="2217">
        <f t="shared" si="63"/>
        <v>8652.1861750148528</v>
      </c>
      <c r="C113" s="2217">
        <f t="shared" si="71"/>
        <v>2.1805334137425234</v>
      </c>
      <c r="D113" s="2212">
        <v>222</v>
      </c>
      <c r="E113" s="2219"/>
      <c r="F113" s="2213"/>
      <c r="G113" s="2219"/>
      <c r="H113" s="2213"/>
      <c r="I113" s="2213"/>
      <c r="J113" s="2213"/>
      <c r="K113" s="2213"/>
      <c r="L113" s="2213"/>
      <c r="M113" s="2217">
        <f t="shared" si="82"/>
        <v>-8.6397492352341221</v>
      </c>
      <c r="N113" s="2217">
        <f t="shared" si="64"/>
        <v>8652.1861750148528</v>
      </c>
      <c r="O113" s="2217">
        <f t="shared" si="72"/>
        <v>2.1805334137425234</v>
      </c>
      <c r="P113" s="2212">
        <v>222</v>
      </c>
      <c r="Q113" s="2219"/>
      <c r="R113" s="2213"/>
      <c r="S113" s="2219"/>
      <c r="T113" s="2213"/>
      <c r="U113" s="2213"/>
      <c r="V113" s="2213"/>
      <c r="W113" s="2213"/>
      <c r="X113" s="2213"/>
      <c r="Y113" s="2217">
        <f t="shared" si="83"/>
        <v>-8.4435012279972952</v>
      </c>
      <c r="Z113" s="2217">
        <f t="shared" si="73"/>
        <v>8652.1861750148528</v>
      </c>
      <c r="AA113" s="2217">
        <f t="shared" si="74"/>
        <v>2.1805334137425234</v>
      </c>
      <c r="AB113" s="2212">
        <v>222</v>
      </c>
      <c r="AC113" s="2219"/>
      <c r="AD113" s="2213"/>
      <c r="AE113" s="2219"/>
      <c r="AF113" s="2213"/>
      <c r="AG113" s="2213"/>
      <c r="AH113" s="2213"/>
      <c r="AI113" s="2213"/>
      <c r="AJ113" s="2213"/>
      <c r="AK113" s="2217">
        <f t="shared" si="84"/>
        <v>-9.3811305959065798</v>
      </c>
      <c r="AL113" s="2217">
        <f t="shared" si="65"/>
        <v>8652.1861750148528</v>
      </c>
      <c r="AM113" s="2217">
        <f t="shared" si="75"/>
        <v>2.1805334137425234</v>
      </c>
      <c r="AN113" s="2212">
        <v>222</v>
      </c>
      <c r="AO113" s="2219"/>
      <c r="AP113" s="2213"/>
      <c r="AQ113" s="2219"/>
      <c r="AR113" s="2213"/>
      <c r="AS113" s="2213"/>
      <c r="AT113" s="2213"/>
      <c r="AU113" s="2213"/>
      <c r="AV113" s="2213"/>
      <c r="AW113" s="2217">
        <f t="shared" si="85"/>
        <v>-37.043047190884451</v>
      </c>
      <c r="AX113" s="2217">
        <f t="shared" si="76"/>
        <v>5492.3051858627114</v>
      </c>
      <c r="AY113" s="2217">
        <f t="shared" si="66"/>
        <v>-24.28589357630608</v>
      </c>
      <c r="AZ113" s="2212">
        <v>222</v>
      </c>
      <c r="BA113" s="2208"/>
      <c r="BB113" s="263"/>
      <c r="BC113" s="2208"/>
      <c r="BD113" s="263"/>
      <c r="BE113" s="263"/>
      <c r="BF113" s="263"/>
      <c r="BG113" s="263"/>
      <c r="BH113" s="2208"/>
      <c r="BI113" s="2217">
        <f t="shared" si="86"/>
        <v>-44.571674199539331</v>
      </c>
      <c r="BJ113" s="2217">
        <f t="shared" si="77"/>
        <v>5492.3051858627114</v>
      </c>
      <c r="BK113" s="2217">
        <f t="shared" si="67"/>
        <v>-24.28589357630608</v>
      </c>
      <c r="BL113" s="2212">
        <v>222</v>
      </c>
      <c r="BM113" s="2208"/>
      <c r="BN113" s="263"/>
      <c r="BO113" s="2208"/>
      <c r="BP113" s="263"/>
      <c r="BQ113" s="263"/>
      <c r="BR113" s="263"/>
      <c r="BS113" s="263"/>
      <c r="BT113" s="2208"/>
      <c r="BU113" s="2217">
        <f t="shared" si="87"/>
        <v>-9.3811305959065798</v>
      </c>
      <c r="BV113" s="2217">
        <f t="shared" si="68"/>
        <v>8652.1861750148528</v>
      </c>
      <c r="BW113" s="2217">
        <f t="shared" si="78"/>
        <v>2.1805334137425234</v>
      </c>
      <c r="BX113" s="2212">
        <v>222</v>
      </c>
      <c r="BY113" s="2219"/>
      <c r="BZ113" s="2213"/>
      <c r="CA113" s="2219"/>
      <c r="CB113" s="2213"/>
      <c r="CC113" s="2213"/>
      <c r="CD113" s="2213"/>
      <c r="CE113" s="2213"/>
      <c r="CF113" s="2208"/>
      <c r="CG113" s="2217">
        <f t="shared" si="88"/>
        <v>-9.1194665862574773</v>
      </c>
      <c r="CH113" s="2217">
        <f t="shared" si="69"/>
        <v>8652.1861750148528</v>
      </c>
      <c r="CI113" s="2217">
        <f t="shared" si="79"/>
        <v>2.1805334137425234</v>
      </c>
      <c r="CJ113" s="2212">
        <v>222</v>
      </c>
      <c r="CK113" s="2219"/>
      <c r="CL113" s="2213"/>
      <c r="CM113" s="2219"/>
      <c r="CN113" s="2213"/>
      <c r="CO113" s="2213"/>
      <c r="CP113" s="2213"/>
      <c r="CQ113" s="2213"/>
      <c r="CR113" s="2208"/>
      <c r="CS113" s="2217">
        <f t="shared" si="89"/>
        <v>-44.085956328013211</v>
      </c>
      <c r="CT113" s="2217">
        <f t="shared" si="80"/>
        <v>5492.3051858627114</v>
      </c>
      <c r="CU113" s="2217">
        <f t="shared" si="70"/>
        <v>-24.28589357630608</v>
      </c>
      <c r="CV113" s="2212">
        <v>222</v>
      </c>
      <c r="CW113" s="2208"/>
      <c r="CX113" s="263"/>
      <c r="CY113" s="2208"/>
      <c r="CZ113" s="263"/>
      <c r="DA113" s="263"/>
      <c r="DB113" s="263"/>
      <c r="DC113" s="263"/>
      <c r="DD113" s="2208"/>
    </row>
    <row r="114" spans="1:108">
      <c r="A114" s="2217">
        <f t="shared" si="81"/>
        <v>-8.6568294100337884</v>
      </c>
      <c r="B114" s="2217">
        <f t="shared" si="63"/>
        <v>8650.0056416011103</v>
      </c>
      <c r="C114" s="2217">
        <f t="shared" si="71"/>
        <v>2.2984092086662713</v>
      </c>
      <c r="D114" s="2212">
        <v>221</v>
      </c>
      <c r="E114" s="2219"/>
      <c r="F114" s="2213"/>
      <c r="G114" s="2219"/>
      <c r="H114" s="2213"/>
      <c r="I114" s="2213"/>
      <c r="J114" s="2213"/>
      <c r="K114" s="2213"/>
      <c r="L114" s="2213"/>
      <c r="M114" s="2217">
        <f t="shared" si="82"/>
        <v>-8.4959407654271502</v>
      </c>
      <c r="N114" s="2217">
        <f t="shared" si="64"/>
        <v>8650.0056416011103</v>
      </c>
      <c r="O114" s="2217">
        <f t="shared" si="72"/>
        <v>2.2984092086662713</v>
      </c>
      <c r="P114" s="2212">
        <v>221</v>
      </c>
      <c r="Q114" s="2219"/>
      <c r="R114" s="2213"/>
      <c r="S114" s="2219"/>
      <c r="T114" s="2213"/>
      <c r="U114" s="2213"/>
      <c r="V114" s="2213"/>
      <c r="W114" s="2213"/>
      <c r="X114" s="2213"/>
      <c r="Y114" s="2217">
        <f t="shared" si="83"/>
        <v>-8.2890839366471845</v>
      </c>
      <c r="Z114" s="2217">
        <f t="shared" si="73"/>
        <v>8650.0056416011103</v>
      </c>
      <c r="AA114" s="2217">
        <f t="shared" si="74"/>
        <v>2.2984092086662713</v>
      </c>
      <c r="AB114" s="2212">
        <v>221</v>
      </c>
      <c r="AC114" s="2219"/>
      <c r="AD114" s="2213"/>
      <c r="AE114" s="2219"/>
      <c r="AF114" s="2213"/>
      <c r="AG114" s="2213"/>
      <c r="AH114" s="2213"/>
      <c r="AI114" s="2213"/>
      <c r="AJ114" s="2213"/>
      <c r="AK114" s="2217">
        <f t="shared" si="84"/>
        <v>-9.2773998963736819</v>
      </c>
      <c r="AL114" s="2217">
        <f t="shared" si="65"/>
        <v>8650.0056416011103</v>
      </c>
      <c r="AM114" s="2217">
        <f t="shared" si="75"/>
        <v>2.2984092086662713</v>
      </c>
      <c r="AN114" s="2212">
        <v>221</v>
      </c>
      <c r="AO114" s="2219"/>
      <c r="AP114" s="2213"/>
      <c r="AQ114" s="2219"/>
      <c r="AR114" s="2213"/>
      <c r="AS114" s="2213"/>
      <c r="AT114" s="2213"/>
      <c r="AU114" s="2213"/>
      <c r="AV114" s="2213"/>
      <c r="AW114" s="2217">
        <f t="shared" si="85"/>
        <v>-36.689118114894775</v>
      </c>
      <c r="AX114" s="2217">
        <f t="shared" si="76"/>
        <v>5516.5910794390174</v>
      </c>
      <c r="AY114" s="2217">
        <f t="shared" si="66"/>
        <v>-23.951998221598842</v>
      </c>
      <c r="AZ114" s="2212">
        <v>221</v>
      </c>
      <c r="BA114" s="2208"/>
      <c r="BB114" s="263"/>
      <c r="BC114" s="2208"/>
      <c r="BD114" s="263"/>
      <c r="BE114" s="263"/>
      <c r="BF114" s="263"/>
      <c r="BG114" s="263"/>
      <c r="BH114" s="2208"/>
      <c r="BI114" s="2217">
        <f t="shared" si="86"/>
        <v>-44.114237563590422</v>
      </c>
      <c r="BJ114" s="2217">
        <f t="shared" si="77"/>
        <v>5516.5910794390174</v>
      </c>
      <c r="BK114" s="2217">
        <f t="shared" si="67"/>
        <v>-23.951998221598842</v>
      </c>
      <c r="BL114" s="2212">
        <v>221</v>
      </c>
      <c r="BM114" s="2208"/>
      <c r="BN114" s="263"/>
      <c r="BO114" s="2208"/>
      <c r="BP114" s="263"/>
      <c r="BQ114" s="263"/>
      <c r="BR114" s="263"/>
      <c r="BS114" s="263"/>
      <c r="BT114" s="2208"/>
      <c r="BU114" s="2217">
        <f t="shared" si="87"/>
        <v>-9.2773998963736819</v>
      </c>
      <c r="BV114" s="2217">
        <f t="shared" si="68"/>
        <v>8650.0056416011103</v>
      </c>
      <c r="BW114" s="2217">
        <f t="shared" si="78"/>
        <v>2.2984092086662713</v>
      </c>
      <c r="BX114" s="2212">
        <v>221</v>
      </c>
      <c r="BY114" s="2219"/>
      <c r="BZ114" s="2213"/>
      <c r="CA114" s="2219"/>
      <c r="CB114" s="2213"/>
      <c r="CC114" s="2213"/>
      <c r="CD114" s="2213"/>
      <c r="CE114" s="2213"/>
      <c r="CF114" s="2208"/>
      <c r="CG114" s="2217">
        <f t="shared" si="88"/>
        <v>-9.0015907913337294</v>
      </c>
      <c r="CH114" s="2217">
        <f t="shared" si="69"/>
        <v>8650.0056416011103</v>
      </c>
      <c r="CI114" s="2217">
        <f t="shared" si="79"/>
        <v>2.2984092086662713</v>
      </c>
      <c r="CJ114" s="2212">
        <v>221</v>
      </c>
      <c r="CK114" s="2219"/>
      <c r="CL114" s="2213"/>
      <c r="CM114" s="2219"/>
      <c r="CN114" s="2213"/>
      <c r="CO114" s="2213"/>
      <c r="CP114" s="2213"/>
      <c r="CQ114" s="2213"/>
      <c r="CR114" s="2208"/>
      <c r="CS114" s="2217">
        <f t="shared" si="89"/>
        <v>-43.635197599158445</v>
      </c>
      <c r="CT114" s="2217">
        <f t="shared" si="80"/>
        <v>5516.5910794390174</v>
      </c>
      <c r="CU114" s="2217">
        <f t="shared" si="70"/>
        <v>-23.951998221598842</v>
      </c>
      <c r="CV114" s="2212">
        <v>221</v>
      </c>
      <c r="CW114" s="2208"/>
      <c r="CX114" s="263"/>
      <c r="CY114" s="2208"/>
      <c r="CZ114" s="263"/>
      <c r="DA114" s="263"/>
      <c r="DB114" s="263"/>
      <c r="DC114" s="263"/>
      <c r="DD114" s="2208"/>
    </row>
    <row r="115" spans="1:108">
      <c r="A115" s="2217">
        <f t="shared" si="81"/>
        <v>-8.5203033383626465</v>
      </c>
      <c r="B115" s="2217">
        <f t="shared" si="63"/>
        <v>8647.707232392444</v>
      </c>
      <c r="C115" s="2217">
        <f t="shared" si="71"/>
        <v>2.4171275318585685</v>
      </c>
      <c r="D115" s="2212">
        <v>220</v>
      </c>
      <c r="E115" s="2219"/>
      <c r="F115" s="2213"/>
      <c r="G115" s="2219"/>
      <c r="H115" s="2213"/>
      <c r="I115" s="2213"/>
      <c r="J115" s="2213"/>
      <c r="K115" s="2213"/>
      <c r="L115" s="2213"/>
      <c r="M115" s="2217">
        <f t="shared" si="82"/>
        <v>-8.3511044111325461</v>
      </c>
      <c r="N115" s="2217">
        <f t="shared" si="64"/>
        <v>8647.707232392444</v>
      </c>
      <c r="O115" s="2217">
        <f t="shared" si="72"/>
        <v>2.4171275318585685</v>
      </c>
      <c r="P115" s="2212">
        <v>220</v>
      </c>
      <c r="Q115" s="2219"/>
      <c r="R115" s="2213"/>
      <c r="S115" s="2219"/>
      <c r="T115" s="2213"/>
      <c r="U115" s="2213"/>
      <c r="V115" s="2213"/>
      <c r="W115" s="2213"/>
      <c r="X115" s="2213"/>
      <c r="Y115" s="2217">
        <f t="shared" si="83"/>
        <v>-8.1335629332652761</v>
      </c>
      <c r="Z115" s="2217">
        <f t="shared" si="73"/>
        <v>8647.707232392444</v>
      </c>
      <c r="AA115" s="2217">
        <f t="shared" si="74"/>
        <v>2.4171275318585685</v>
      </c>
      <c r="AB115" s="2212">
        <v>220</v>
      </c>
      <c r="AC115" s="2219"/>
      <c r="AD115" s="2213"/>
      <c r="AE115" s="2219"/>
      <c r="AF115" s="2213"/>
      <c r="AG115" s="2213"/>
      <c r="AH115" s="2213"/>
      <c r="AI115" s="2213"/>
      <c r="AJ115" s="2213"/>
      <c r="AK115" s="2217">
        <f t="shared" si="84"/>
        <v>-9.17292777196446</v>
      </c>
      <c r="AL115" s="2217">
        <f t="shared" si="65"/>
        <v>8647.707232392444</v>
      </c>
      <c r="AM115" s="2217">
        <f t="shared" si="75"/>
        <v>2.4171275318585685</v>
      </c>
      <c r="AN115" s="2212">
        <v>220</v>
      </c>
      <c r="AO115" s="2219"/>
      <c r="AP115" s="2213"/>
      <c r="AQ115" s="2219"/>
      <c r="AR115" s="2213"/>
      <c r="AS115" s="2213"/>
      <c r="AT115" s="2213"/>
      <c r="AU115" s="2213"/>
      <c r="AV115" s="2213"/>
      <c r="AW115" s="2217">
        <f t="shared" si="85"/>
        <v>-36.335354318870472</v>
      </c>
      <c r="AX115" s="2217">
        <f t="shared" si="76"/>
        <v>5540.5430776606163</v>
      </c>
      <c r="AY115" s="2217">
        <f t="shared" si="66"/>
        <v>-23.618258791387234</v>
      </c>
      <c r="AZ115" s="2212">
        <v>220</v>
      </c>
      <c r="BA115" s="2208"/>
      <c r="BB115" s="263"/>
      <c r="BC115" s="2208"/>
      <c r="BD115" s="263"/>
      <c r="BE115" s="263"/>
      <c r="BF115" s="263"/>
      <c r="BG115" s="263"/>
      <c r="BH115" s="2208"/>
      <c r="BI115" s="2217">
        <f t="shared" si="86"/>
        <v>-43.657014544200507</v>
      </c>
      <c r="BJ115" s="2217">
        <f t="shared" si="77"/>
        <v>5540.5430776606163</v>
      </c>
      <c r="BK115" s="2217">
        <f t="shared" si="67"/>
        <v>-23.618258791387234</v>
      </c>
      <c r="BL115" s="2212">
        <v>220</v>
      </c>
      <c r="BM115" s="2208"/>
      <c r="BN115" s="263"/>
      <c r="BO115" s="2208"/>
      <c r="BP115" s="263"/>
      <c r="BQ115" s="263"/>
      <c r="BR115" s="263"/>
      <c r="BS115" s="263"/>
      <c r="BT115" s="2208"/>
      <c r="BU115" s="2217">
        <f t="shared" si="87"/>
        <v>-9.17292777196446</v>
      </c>
      <c r="BV115" s="2217">
        <f t="shared" si="68"/>
        <v>8647.707232392444</v>
      </c>
      <c r="BW115" s="2217">
        <f t="shared" si="78"/>
        <v>2.4171275318585685</v>
      </c>
      <c r="BX115" s="2212">
        <v>220</v>
      </c>
      <c r="BY115" s="2219"/>
      <c r="BZ115" s="2213"/>
      <c r="CA115" s="2219"/>
      <c r="CB115" s="2213"/>
      <c r="CC115" s="2213"/>
      <c r="CD115" s="2213"/>
      <c r="CE115" s="2213"/>
      <c r="CF115" s="2208"/>
      <c r="CG115" s="2217">
        <f t="shared" si="88"/>
        <v>-8.8828724681414322</v>
      </c>
      <c r="CH115" s="2217">
        <f t="shared" si="69"/>
        <v>8647.707232392444</v>
      </c>
      <c r="CI115" s="2217">
        <f t="shared" si="79"/>
        <v>2.4171275318585685</v>
      </c>
      <c r="CJ115" s="2212">
        <v>220</v>
      </c>
      <c r="CK115" s="2219"/>
      <c r="CL115" s="2213"/>
      <c r="CM115" s="2219"/>
      <c r="CN115" s="2213"/>
      <c r="CO115" s="2213"/>
      <c r="CP115" s="2213"/>
      <c r="CQ115" s="2213"/>
      <c r="CR115" s="2208"/>
      <c r="CS115" s="2217">
        <f t="shared" si="89"/>
        <v>-43.184649368372767</v>
      </c>
      <c r="CT115" s="2217">
        <f t="shared" si="80"/>
        <v>5540.5430776606163</v>
      </c>
      <c r="CU115" s="2217">
        <f t="shared" si="70"/>
        <v>-23.618258791387234</v>
      </c>
      <c r="CV115" s="2212">
        <v>220</v>
      </c>
      <c r="CW115" s="2208"/>
      <c r="CX115" s="263"/>
      <c r="CY115" s="2208"/>
      <c r="CZ115" s="263"/>
      <c r="DA115" s="263"/>
      <c r="DB115" s="263"/>
      <c r="DC115" s="263"/>
      <c r="DD115" s="2208"/>
    </row>
    <row r="116" spans="1:108">
      <c r="A116" s="2217">
        <f t="shared" si="81"/>
        <v>-8.3828083591847644</v>
      </c>
      <c r="B116" s="2217">
        <f t="shared" si="63"/>
        <v>8645.2901048605854</v>
      </c>
      <c r="C116" s="2217">
        <f t="shared" si="71"/>
        <v>2.5366883833175962</v>
      </c>
      <c r="D116" s="2212">
        <v>219</v>
      </c>
      <c r="E116" s="2219"/>
      <c r="F116" s="2213"/>
      <c r="G116" s="2219"/>
      <c r="H116" s="2213"/>
      <c r="I116" s="2213"/>
      <c r="J116" s="2213"/>
      <c r="K116" s="2213"/>
      <c r="L116" s="2213"/>
      <c r="M116" s="2217">
        <f t="shared" si="82"/>
        <v>-8.2052401723525339</v>
      </c>
      <c r="N116" s="2217">
        <f t="shared" si="64"/>
        <v>8645.2901048605854</v>
      </c>
      <c r="O116" s="2217">
        <f t="shared" si="72"/>
        <v>2.5366883833175962</v>
      </c>
      <c r="P116" s="2212">
        <v>219</v>
      </c>
      <c r="Q116" s="2219"/>
      <c r="R116" s="2213"/>
      <c r="S116" s="2219"/>
      <c r="T116" s="2213"/>
      <c r="U116" s="2213"/>
      <c r="V116" s="2213"/>
      <c r="W116" s="2213"/>
      <c r="X116" s="2213"/>
      <c r="Y116" s="2217">
        <f t="shared" si="83"/>
        <v>-7.9769382178539496</v>
      </c>
      <c r="Z116" s="2217">
        <f t="shared" si="73"/>
        <v>8645.2901048605854</v>
      </c>
      <c r="AA116" s="2217">
        <f t="shared" si="74"/>
        <v>2.5366883833175962</v>
      </c>
      <c r="AB116" s="2212">
        <v>219</v>
      </c>
      <c r="AC116" s="2219"/>
      <c r="AD116" s="2213"/>
      <c r="AE116" s="2219"/>
      <c r="AF116" s="2213"/>
      <c r="AG116" s="2213"/>
      <c r="AH116" s="2213"/>
      <c r="AI116" s="2213"/>
      <c r="AJ116" s="2213"/>
      <c r="AK116" s="2217">
        <f t="shared" si="84"/>
        <v>-9.0677142226805163</v>
      </c>
      <c r="AL116" s="2217">
        <f t="shared" si="65"/>
        <v>8645.2901048605854</v>
      </c>
      <c r="AM116" s="2217">
        <f t="shared" si="75"/>
        <v>2.5366883833175962</v>
      </c>
      <c r="AN116" s="2212">
        <v>219</v>
      </c>
      <c r="AO116" s="2219"/>
      <c r="AP116" s="2213"/>
      <c r="AQ116" s="2219"/>
      <c r="AR116" s="2213"/>
      <c r="AS116" s="2213"/>
      <c r="AT116" s="2213"/>
      <c r="AU116" s="2213"/>
      <c r="AV116" s="2213"/>
      <c r="AW116" s="2217">
        <f t="shared" si="85"/>
        <v>-35.981755802822136</v>
      </c>
      <c r="AX116" s="2217">
        <f t="shared" si="76"/>
        <v>5564.1613364520035</v>
      </c>
      <c r="AY116" s="2217">
        <f t="shared" si="66"/>
        <v>-23.28467528568126</v>
      </c>
      <c r="AZ116" s="2212">
        <v>219</v>
      </c>
      <c r="BA116" s="2208"/>
      <c r="BB116" s="263"/>
      <c r="BC116" s="2208"/>
      <c r="BD116" s="263"/>
      <c r="BE116" s="263"/>
      <c r="BF116" s="263"/>
      <c r="BG116" s="263"/>
      <c r="BH116" s="2208"/>
      <c r="BI116" s="2217">
        <f t="shared" si="86"/>
        <v>-43.200005141383329</v>
      </c>
      <c r="BJ116" s="2217">
        <f t="shared" si="77"/>
        <v>5564.1613364520035</v>
      </c>
      <c r="BK116" s="2217">
        <f t="shared" si="67"/>
        <v>-23.28467528568126</v>
      </c>
      <c r="BL116" s="2212">
        <v>219</v>
      </c>
      <c r="BM116" s="2208"/>
      <c r="BN116" s="263"/>
      <c r="BO116" s="2208"/>
      <c r="BP116" s="263"/>
      <c r="BQ116" s="263"/>
      <c r="BR116" s="263"/>
      <c r="BS116" s="263"/>
      <c r="BT116" s="2208"/>
      <c r="BU116" s="2217">
        <f t="shared" si="87"/>
        <v>-9.0677142226805163</v>
      </c>
      <c r="BV116" s="2217">
        <f t="shared" si="68"/>
        <v>8645.2901048605854</v>
      </c>
      <c r="BW116" s="2217">
        <f t="shared" si="78"/>
        <v>2.5366883833175962</v>
      </c>
      <c r="BX116" s="2212">
        <v>219</v>
      </c>
      <c r="BY116" s="2219"/>
      <c r="BZ116" s="2213"/>
      <c r="CA116" s="2219"/>
      <c r="CB116" s="2213"/>
      <c r="CC116" s="2213"/>
      <c r="CD116" s="2213"/>
      <c r="CE116" s="2213"/>
      <c r="CF116" s="2208"/>
      <c r="CG116" s="2217">
        <f t="shared" si="88"/>
        <v>-8.7633116166824045</v>
      </c>
      <c r="CH116" s="2217">
        <f t="shared" si="69"/>
        <v>8645.2901048605854</v>
      </c>
      <c r="CI116" s="2217">
        <f t="shared" si="79"/>
        <v>2.5366883833175962</v>
      </c>
      <c r="CJ116" s="2212">
        <v>219</v>
      </c>
      <c r="CK116" s="2219"/>
      <c r="CL116" s="2213"/>
      <c r="CM116" s="2219"/>
      <c r="CN116" s="2213"/>
      <c r="CO116" s="2213"/>
      <c r="CP116" s="2213"/>
      <c r="CQ116" s="2213"/>
      <c r="CR116" s="2208"/>
      <c r="CS116" s="2217">
        <f t="shared" si="89"/>
        <v>-42.734311635669705</v>
      </c>
      <c r="CT116" s="2217">
        <f t="shared" si="80"/>
        <v>5564.1613364520035</v>
      </c>
      <c r="CU116" s="2217">
        <f t="shared" si="70"/>
        <v>-23.28467528568126</v>
      </c>
      <c r="CV116" s="2212">
        <v>219</v>
      </c>
      <c r="CW116" s="2208"/>
      <c r="CX116" s="263"/>
      <c r="CY116" s="2208"/>
      <c r="CZ116" s="263"/>
      <c r="DA116" s="263"/>
      <c r="DB116" s="263"/>
      <c r="DC116" s="263"/>
      <c r="DD116" s="2208"/>
    </row>
    <row r="117" spans="1:108">
      <c r="A117" s="2217">
        <f t="shared" si="81"/>
        <v>-8.2443444724896846</v>
      </c>
      <c r="B117" s="2217">
        <f t="shared" si="63"/>
        <v>8642.7534164772678</v>
      </c>
      <c r="C117" s="2217">
        <f t="shared" si="71"/>
        <v>2.6570917630524491</v>
      </c>
      <c r="D117" s="2212">
        <v>218</v>
      </c>
      <c r="E117" s="2219"/>
      <c r="F117" s="2213"/>
      <c r="G117" s="2219"/>
      <c r="H117" s="2213"/>
      <c r="I117" s="2213"/>
      <c r="J117" s="2213"/>
      <c r="K117" s="2213"/>
      <c r="L117" s="2213"/>
      <c r="M117" s="2217">
        <f t="shared" si="82"/>
        <v>-8.0583480490760131</v>
      </c>
      <c r="N117" s="2217">
        <f t="shared" si="64"/>
        <v>8642.7534164772678</v>
      </c>
      <c r="O117" s="2217">
        <f t="shared" si="72"/>
        <v>2.6570917630524491</v>
      </c>
      <c r="P117" s="2212">
        <v>218</v>
      </c>
      <c r="Q117" s="2219"/>
      <c r="R117" s="2213"/>
      <c r="S117" s="2219"/>
      <c r="T117" s="2213"/>
      <c r="U117" s="2213"/>
      <c r="V117" s="2213"/>
      <c r="W117" s="2213"/>
      <c r="X117" s="2213"/>
      <c r="Y117" s="2217">
        <f t="shared" si="83"/>
        <v>-7.8192097904012918</v>
      </c>
      <c r="Z117" s="2217">
        <f t="shared" si="73"/>
        <v>8642.7534164772678</v>
      </c>
      <c r="AA117" s="2217">
        <f t="shared" si="74"/>
        <v>2.6570917630524491</v>
      </c>
      <c r="AB117" s="2212">
        <v>218</v>
      </c>
      <c r="AC117" s="2219"/>
      <c r="AD117" s="2213"/>
      <c r="AE117" s="2219"/>
      <c r="AF117" s="2213"/>
      <c r="AG117" s="2213"/>
      <c r="AH117" s="2213"/>
      <c r="AI117" s="2213"/>
      <c r="AJ117" s="2213"/>
      <c r="AK117" s="2217">
        <f t="shared" si="84"/>
        <v>-8.9617592485138466</v>
      </c>
      <c r="AL117" s="2217">
        <f t="shared" si="65"/>
        <v>8642.7534164772678</v>
      </c>
      <c r="AM117" s="2217">
        <f t="shared" si="75"/>
        <v>2.6570917630524491</v>
      </c>
      <c r="AN117" s="2212">
        <v>218</v>
      </c>
      <c r="AO117" s="2219"/>
      <c r="AP117" s="2213"/>
      <c r="AQ117" s="2219"/>
      <c r="AR117" s="2213"/>
      <c r="AS117" s="2213"/>
      <c r="AT117" s="2213"/>
      <c r="AU117" s="2213"/>
      <c r="AV117" s="2213"/>
      <c r="AW117" s="2217">
        <f t="shared" si="85"/>
        <v>-35.628322566740138</v>
      </c>
      <c r="AX117" s="2217">
        <f t="shared" si="76"/>
        <v>5587.4460117376848</v>
      </c>
      <c r="AY117" s="2217">
        <f t="shared" si="66"/>
        <v>-22.951247704471825</v>
      </c>
      <c r="AZ117" s="2212">
        <v>218</v>
      </c>
      <c r="BA117" s="2208"/>
      <c r="BB117" s="263"/>
      <c r="BC117" s="2208"/>
      <c r="BD117" s="263"/>
      <c r="BE117" s="263"/>
      <c r="BF117" s="263"/>
      <c r="BG117" s="263"/>
      <c r="BH117" s="2208"/>
      <c r="BI117" s="2217">
        <f t="shared" si="86"/>
        <v>-42.743209355126403</v>
      </c>
      <c r="BJ117" s="2217">
        <f t="shared" si="77"/>
        <v>5587.4460117376848</v>
      </c>
      <c r="BK117" s="2217">
        <f t="shared" si="67"/>
        <v>-22.951247704471825</v>
      </c>
      <c r="BL117" s="2212">
        <v>218</v>
      </c>
      <c r="BM117" s="2208"/>
      <c r="BN117" s="263"/>
      <c r="BO117" s="2208"/>
      <c r="BP117" s="263"/>
      <c r="BQ117" s="263"/>
      <c r="BR117" s="263"/>
      <c r="BS117" s="263"/>
      <c r="BT117" s="2208"/>
      <c r="BU117" s="2217">
        <f t="shared" si="87"/>
        <v>-8.9617592485138466</v>
      </c>
      <c r="BV117" s="2217">
        <f t="shared" si="68"/>
        <v>8642.7534164772678</v>
      </c>
      <c r="BW117" s="2217">
        <f t="shared" si="78"/>
        <v>2.6570917630524491</v>
      </c>
      <c r="BX117" s="2212">
        <v>218</v>
      </c>
      <c r="BY117" s="2219"/>
      <c r="BZ117" s="2213"/>
      <c r="CA117" s="2219"/>
      <c r="CB117" s="2213"/>
      <c r="CC117" s="2213"/>
      <c r="CD117" s="2213"/>
      <c r="CE117" s="2213"/>
      <c r="CF117" s="2208"/>
      <c r="CG117" s="2217">
        <f t="shared" si="88"/>
        <v>-8.6429082369475516</v>
      </c>
      <c r="CH117" s="2217">
        <f t="shared" si="69"/>
        <v>8642.7534164772678</v>
      </c>
      <c r="CI117" s="2217">
        <f t="shared" si="79"/>
        <v>2.6570917630524491</v>
      </c>
      <c r="CJ117" s="2212">
        <v>218</v>
      </c>
      <c r="CK117" s="2219"/>
      <c r="CL117" s="2213"/>
      <c r="CM117" s="2219"/>
      <c r="CN117" s="2213"/>
      <c r="CO117" s="2213"/>
      <c r="CP117" s="2213"/>
      <c r="CQ117" s="2213"/>
      <c r="CR117" s="2208"/>
      <c r="CS117" s="2217">
        <f t="shared" si="89"/>
        <v>-42.284184401036967</v>
      </c>
      <c r="CT117" s="2217">
        <f t="shared" si="80"/>
        <v>5587.4460117376848</v>
      </c>
      <c r="CU117" s="2217">
        <f t="shared" si="70"/>
        <v>-22.951247704471825</v>
      </c>
      <c r="CV117" s="2212">
        <v>218</v>
      </c>
      <c r="CW117" s="2208"/>
      <c r="CX117" s="263"/>
      <c r="CY117" s="2208"/>
      <c r="CZ117" s="263"/>
      <c r="DA117" s="263"/>
      <c r="DB117" s="263"/>
      <c r="DC117" s="263"/>
      <c r="DD117" s="2208"/>
    </row>
    <row r="118" spans="1:108">
      <c r="A118" s="2217">
        <f t="shared" si="81"/>
        <v>-8.104911678285772</v>
      </c>
      <c r="B118" s="2217">
        <f t="shared" si="63"/>
        <v>8640.0963247142154</v>
      </c>
      <c r="C118" s="2217">
        <f t="shared" si="71"/>
        <v>2.7783376710558514</v>
      </c>
      <c r="D118" s="2212">
        <v>217</v>
      </c>
      <c r="E118" s="2219"/>
      <c r="F118" s="2213"/>
      <c r="G118" s="2219"/>
      <c r="H118" s="2213"/>
      <c r="I118" s="2213"/>
      <c r="J118" s="2213"/>
      <c r="K118" s="2213"/>
      <c r="L118" s="2213"/>
      <c r="M118" s="2217">
        <f t="shared" si="82"/>
        <v>-7.9104280413118619</v>
      </c>
      <c r="N118" s="2217">
        <f t="shared" si="64"/>
        <v>8640.0963247142154</v>
      </c>
      <c r="O118" s="2217">
        <f t="shared" si="72"/>
        <v>2.7783376710558514</v>
      </c>
      <c r="P118" s="2212">
        <v>217</v>
      </c>
      <c r="Q118" s="2219"/>
      <c r="R118" s="2213"/>
      <c r="S118" s="2219"/>
      <c r="T118" s="2213"/>
      <c r="U118" s="2213"/>
      <c r="V118" s="2213"/>
      <c r="W118" s="2213"/>
      <c r="X118" s="2213"/>
      <c r="Y118" s="2217">
        <f t="shared" si="83"/>
        <v>-7.6603776509168355</v>
      </c>
      <c r="Z118" s="2217">
        <f t="shared" si="73"/>
        <v>8640.0963247142154</v>
      </c>
      <c r="AA118" s="2217">
        <f t="shared" si="74"/>
        <v>2.7783376710558514</v>
      </c>
      <c r="AB118" s="2212">
        <v>217</v>
      </c>
      <c r="AC118" s="2219"/>
      <c r="AD118" s="2213"/>
      <c r="AE118" s="2219"/>
      <c r="AF118" s="2213"/>
      <c r="AG118" s="2213"/>
      <c r="AH118" s="2213"/>
      <c r="AI118" s="2213"/>
      <c r="AJ118" s="2213"/>
      <c r="AK118" s="2217">
        <f t="shared" si="84"/>
        <v>-8.8550628494708512</v>
      </c>
      <c r="AL118" s="2217">
        <f t="shared" si="65"/>
        <v>8640.0963247142154</v>
      </c>
      <c r="AM118" s="2217">
        <f t="shared" si="75"/>
        <v>2.7783376710558514</v>
      </c>
      <c r="AN118" s="2212">
        <v>217</v>
      </c>
      <c r="AO118" s="2219"/>
      <c r="AP118" s="2213"/>
      <c r="AQ118" s="2219"/>
      <c r="AR118" s="2213"/>
      <c r="AS118" s="2213"/>
      <c r="AT118" s="2213"/>
      <c r="AU118" s="2213"/>
      <c r="AV118" s="2213"/>
      <c r="AW118" s="2217">
        <f t="shared" si="85"/>
        <v>-35.275054610633148</v>
      </c>
      <c r="AX118" s="2217">
        <f t="shared" si="76"/>
        <v>5610.3972594421566</v>
      </c>
      <c r="AY118" s="2217">
        <f t="shared" si="66"/>
        <v>-22.617976047767115</v>
      </c>
      <c r="AZ118" s="2212">
        <v>217</v>
      </c>
      <c r="BA118" s="2208"/>
      <c r="BB118" s="263"/>
      <c r="BC118" s="2208"/>
      <c r="BD118" s="263"/>
      <c r="BE118" s="263"/>
      <c r="BF118" s="263"/>
      <c r="BG118" s="263"/>
      <c r="BH118" s="2208"/>
      <c r="BI118" s="2217">
        <f t="shared" si="86"/>
        <v>-42.286627185440949</v>
      </c>
      <c r="BJ118" s="2217">
        <f t="shared" si="77"/>
        <v>5610.3972594421566</v>
      </c>
      <c r="BK118" s="2217">
        <f t="shared" si="67"/>
        <v>-22.617976047767115</v>
      </c>
      <c r="BL118" s="2212">
        <v>217</v>
      </c>
      <c r="BM118" s="2208"/>
      <c r="BN118" s="263"/>
      <c r="BO118" s="2208"/>
      <c r="BP118" s="263"/>
      <c r="BQ118" s="263"/>
      <c r="BR118" s="263"/>
      <c r="BS118" s="263"/>
      <c r="BT118" s="2208"/>
      <c r="BU118" s="2217">
        <f t="shared" si="87"/>
        <v>-8.8550628494708512</v>
      </c>
      <c r="BV118" s="2217">
        <f t="shared" si="68"/>
        <v>8640.0963247142154</v>
      </c>
      <c r="BW118" s="2217">
        <f t="shared" si="78"/>
        <v>2.7783376710558514</v>
      </c>
      <c r="BX118" s="2212">
        <v>217</v>
      </c>
      <c r="BY118" s="2219"/>
      <c r="BZ118" s="2213"/>
      <c r="CA118" s="2219"/>
      <c r="CB118" s="2213"/>
      <c r="CC118" s="2213"/>
      <c r="CD118" s="2213"/>
      <c r="CE118" s="2213"/>
      <c r="CF118" s="2208"/>
      <c r="CG118" s="2217">
        <f t="shared" si="88"/>
        <v>-8.5216623289441493</v>
      </c>
      <c r="CH118" s="2217">
        <f t="shared" si="69"/>
        <v>8640.0963247142154</v>
      </c>
      <c r="CI118" s="2217">
        <f t="shared" si="79"/>
        <v>2.7783376710558514</v>
      </c>
      <c r="CJ118" s="2212">
        <v>217</v>
      </c>
      <c r="CK118" s="2219"/>
      <c r="CL118" s="2213"/>
      <c r="CM118" s="2219"/>
      <c r="CN118" s="2213"/>
      <c r="CO118" s="2213"/>
      <c r="CP118" s="2213"/>
      <c r="CQ118" s="2213"/>
      <c r="CR118" s="2208"/>
      <c r="CS118" s="2217">
        <f t="shared" si="89"/>
        <v>-41.834267664485608</v>
      </c>
      <c r="CT118" s="2217">
        <f t="shared" si="80"/>
        <v>5610.3972594421566</v>
      </c>
      <c r="CU118" s="2217">
        <f t="shared" si="70"/>
        <v>-22.617976047767115</v>
      </c>
      <c r="CV118" s="2212">
        <v>217</v>
      </c>
      <c r="CW118" s="2208"/>
      <c r="CX118" s="263"/>
      <c r="CY118" s="2208"/>
      <c r="CZ118" s="263"/>
      <c r="DA118" s="263"/>
      <c r="DB118" s="263"/>
      <c r="DC118" s="263"/>
      <c r="DD118" s="2208"/>
    </row>
    <row r="119" spans="1:108">
      <c r="A119" s="2217">
        <f t="shared" si="81"/>
        <v>-7.9645099765793024</v>
      </c>
      <c r="B119" s="2217">
        <f t="shared" si="63"/>
        <v>8637.3179870431595</v>
      </c>
      <c r="C119" s="2217">
        <f t="shared" si="71"/>
        <v>2.9004261073223461</v>
      </c>
      <c r="D119" s="2212">
        <v>216</v>
      </c>
      <c r="E119" s="2219"/>
      <c r="F119" s="2213"/>
      <c r="G119" s="2219"/>
      <c r="H119" s="2213"/>
      <c r="I119" s="2213"/>
      <c r="J119" s="2213"/>
      <c r="K119" s="2213"/>
      <c r="L119" s="2213"/>
      <c r="M119" s="2217">
        <f t="shared" si="82"/>
        <v>-7.7614801490667382</v>
      </c>
      <c r="N119" s="2217">
        <f t="shared" si="64"/>
        <v>8637.3179870431595</v>
      </c>
      <c r="O119" s="2217">
        <f t="shared" si="72"/>
        <v>2.9004261073223461</v>
      </c>
      <c r="P119" s="2212">
        <v>216</v>
      </c>
      <c r="Q119" s="2219"/>
      <c r="R119" s="2213"/>
      <c r="S119" s="2219"/>
      <c r="T119" s="2213"/>
      <c r="U119" s="2213"/>
      <c r="V119" s="2213"/>
      <c r="W119" s="2213"/>
      <c r="X119" s="2213"/>
      <c r="Y119" s="2217">
        <f t="shared" si="83"/>
        <v>-7.500441799407727</v>
      </c>
      <c r="Z119" s="2217">
        <f t="shared" si="73"/>
        <v>8637.3179870431595</v>
      </c>
      <c r="AA119" s="2217">
        <f t="shared" si="74"/>
        <v>2.9004261073223461</v>
      </c>
      <c r="AB119" s="2212">
        <v>216</v>
      </c>
      <c r="AC119" s="2219"/>
      <c r="AD119" s="2213"/>
      <c r="AE119" s="2219"/>
      <c r="AF119" s="2213"/>
      <c r="AG119" s="2213"/>
      <c r="AH119" s="2213"/>
      <c r="AI119" s="2213"/>
      <c r="AJ119" s="2213"/>
      <c r="AK119" s="2217">
        <f t="shared" si="84"/>
        <v>-8.7476250255563368</v>
      </c>
      <c r="AL119" s="2217">
        <f t="shared" si="65"/>
        <v>8637.3179870431595</v>
      </c>
      <c r="AM119" s="2217">
        <f t="shared" si="75"/>
        <v>2.9004261073223461</v>
      </c>
      <c r="AN119" s="2212">
        <v>216</v>
      </c>
      <c r="AO119" s="2219"/>
      <c r="AP119" s="2213"/>
      <c r="AQ119" s="2219"/>
      <c r="AR119" s="2213"/>
      <c r="AS119" s="2213"/>
      <c r="AT119" s="2213"/>
      <c r="AU119" s="2213"/>
      <c r="AV119" s="2213"/>
      <c r="AW119" s="2217">
        <f t="shared" si="85"/>
        <v>-34.921951934490551</v>
      </c>
      <c r="AX119" s="2217">
        <f t="shared" si="76"/>
        <v>5633.0152354899237</v>
      </c>
      <c r="AY119" s="2217">
        <f t="shared" si="66"/>
        <v>-22.284860315557125</v>
      </c>
      <c r="AZ119" s="2212">
        <v>216</v>
      </c>
      <c r="BA119" s="2208"/>
      <c r="BB119" s="263"/>
      <c r="BC119" s="2208"/>
      <c r="BD119" s="263"/>
      <c r="BE119" s="263"/>
      <c r="BF119" s="263"/>
      <c r="BG119" s="263"/>
      <c r="BH119" s="2208"/>
      <c r="BI119" s="2217">
        <f t="shared" si="86"/>
        <v>-41.83025863231326</v>
      </c>
      <c r="BJ119" s="2217">
        <f t="shared" si="77"/>
        <v>5633.0152354899237</v>
      </c>
      <c r="BK119" s="2217">
        <f t="shared" si="67"/>
        <v>-22.284860315557125</v>
      </c>
      <c r="BL119" s="2212">
        <v>216</v>
      </c>
      <c r="BM119" s="2208"/>
      <c r="BN119" s="263"/>
      <c r="BO119" s="2208"/>
      <c r="BP119" s="263"/>
      <c r="BQ119" s="263"/>
      <c r="BR119" s="263"/>
      <c r="BS119" s="263"/>
      <c r="BT119" s="2208"/>
      <c r="BU119" s="2217">
        <f t="shared" si="87"/>
        <v>-8.7476250255563368</v>
      </c>
      <c r="BV119" s="2217">
        <f t="shared" si="68"/>
        <v>8637.3179870431595</v>
      </c>
      <c r="BW119" s="2217">
        <f t="shared" si="78"/>
        <v>2.9004261073223461</v>
      </c>
      <c r="BX119" s="2212">
        <v>216</v>
      </c>
      <c r="BY119" s="2219"/>
      <c r="BZ119" s="2213"/>
      <c r="CA119" s="2219"/>
      <c r="CB119" s="2213"/>
      <c r="CC119" s="2213"/>
      <c r="CD119" s="2213"/>
      <c r="CE119" s="2213"/>
      <c r="CF119" s="2208"/>
      <c r="CG119" s="2217">
        <f t="shared" si="88"/>
        <v>-8.3995738926776546</v>
      </c>
      <c r="CH119" s="2217">
        <f t="shared" si="69"/>
        <v>8637.3179870431595</v>
      </c>
      <c r="CI119" s="2217">
        <f t="shared" si="79"/>
        <v>2.9004261073223461</v>
      </c>
      <c r="CJ119" s="2212">
        <v>216</v>
      </c>
      <c r="CK119" s="2219"/>
      <c r="CL119" s="2213"/>
      <c r="CM119" s="2219"/>
      <c r="CN119" s="2213"/>
      <c r="CO119" s="2213"/>
      <c r="CP119" s="2213"/>
      <c r="CQ119" s="2213"/>
      <c r="CR119" s="2208"/>
      <c r="CS119" s="2217">
        <f t="shared" si="89"/>
        <v>-41.384561426002122</v>
      </c>
      <c r="CT119" s="2217">
        <f t="shared" si="80"/>
        <v>5633.0152354899237</v>
      </c>
      <c r="CU119" s="2217">
        <f t="shared" si="70"/>
        <v>-22.284860315557125</v>
      </c>
      <c r="CV119" s="2212">
        <v>216</v>
      </c>
      <c r="CW119" s="2208"/>
      <c r="CX119" s="263"/>
      <c r="CY119" s="2208"/>
      <c r="CZ119" s="263"/>
      <c r="DA119" s="263"/>
      <c r="DB119" s="263"/>
      <c r="DC119" s="263"/>
      <c r="DD119" s="2208"/>
    </row>
    <row r="120" spans="1:108">
      <c r="A120" s="2217">
        <f t="shared" si="81"/>
        <v>-7.8231393673535425</v>
      </c>
      <c r="B120" s="2217">
        <f t="shared" si="63"/>
        <v>8634.4175609358372</v>
      </c>
      <c r="C120" s="2217">
        <f t="shared" si="71"/>
        <v>3.0233570718664851</v>
      </c>
      <c r="D120" s="2212">
        <v>215</v>
      </c>
      <c r="E120" s="2219"/>
      <c r="F120" s="2213"/>
      <c r="G120" s="2219"/>
      <c r="H120" s="2213"/>
      <c r="I120" s="2213"/>
      <c r="J120" s="2213"/>
      <c r="K120" s="2213"/>
      <c r="L120" s="2213"/>
      <c r="M120" s="2217">
        <f t="shared" si="82"/>
        <v>-7.611504372322889</v>
      </c>
      <c r="N120" s="2217">
        <f t="shared" si="64"/>
        <v>8634.4175609358372</v>
      </c>
      <c r="O120" s="2217">
        <f t="shared" si="72"/>
        <v>3.0233570718664851</v>
      </c>
      <c r="P120" s="2212">
        <v>215</v>
      </c>
      <c r="Q120" s="2219"/>
      <c r="R120" s="2213"/>
      <c r="S120" s="2219"/>
      <c r="T120" s="2213"/>
      <c r="U120" s="2213"/>
      <c r="V120" s="2213"/>
      <c r="W120" s="2213"/>
      <c r="X120" s="2213"/>
      <c r="Y120" s="2217">
        <f t="shared" si="83"/>
        <v>-7.3394022358549051</v>
      </c>
      <c r="Z120" s="2217">
        <f t="shared" si="73"/>
        <v>8634.4175609358372</v>
      </c>
      <c r="AA120" s="2217">
        <f t="shared" si="74"/>
        <v>3.0233570718664851</v>
      </c>
      <c r="AB120" s="2212">
        <v>215</v>
      </c>
      <c r="AC120" s="2219"/>
      <c r="AD120" s="2213"/>
      <c r="AE120" s="2219"/>
      <c r="AF120" s="2213"/>
      <c r="AG120" s="2213"/>
      <c r="AH120" s="2213"/>
      <c r="AI120" s="2213"/>
      <c r="AJ120" s="2213"/>
      <c r="AK120" s="2217">
        <f t="shared" si="84"/>
        <v>-8.6394457767574941</v>
      </c>
      <c r="AL120" s="2217">
        <f t="shared" si="65"/>
        <v>8634.4175609358372</v>
      </c>
      <c r="AM120" s="2217">
        <f t="shared" si="75"/>
        <v>3.0233570718664851</v>
      </c>
      <c r="AN120" s="2212">
        <v>215</v>
      </c>
      <c r="AO120" s="2219"/>
      <c r="AP120" s="2213"/>
      <c r="AQ120" s="2219"/>
      <c r="AR120" s="2213"/>
      <c r="AS120" s="2213"/>
      <c r="AT120" s="2213"/>
      <c r="AU120" s="2213"/>
      <c r="AV120" s="2213"/>
      <c r="AW120" s="2217">
        <f t="shared" si="85"/>
        <v>-34.5690145383249</v>
      </c>
      <c r="AX120" s="2217">
        <f t="shared" si="76"/>
        <v>5655.3000958054809</v>
      </c>
      <c r="AY120" s="2217">
        <f t="shared" si="66"/>
        <v>-21.951900507853679</v>
      </c>
      <c r="AZ120" s="2212">
        <v>215</v>
      </c>
      <c r="BA120" s="2208"/>
      <c r="BB120" s="263"/>
      <c r="BC120" s="2208"/>
      <c r="BD120" s="263"/>
      <c r="BE120" s="263"/>
      <c r="BF120" s="263"/>
      <c r="BG120" s="263"/>
      <c r="BH120" s="2208"/>
      <c r="BI120" s="2217">
        <f t="shared" si="86"/>
        <v>-41.374103695759544</v>
      </c>
      <c r="BJ120" s="2217">
        <f t="shared" si="77"/>
        <v>5655.3000958054809</v>
      </c>
      <c r="BK120" s="2217">
        <f t="shared" si="67"/>
        <v>-21.951900507853679</v>
      </c>
      <c r="BL120" s="2212">
        <v>215</v>
      </c>
      <c r="BM120" s="2208"/>
      <c r="BN120" s="263"/>
      <c r="BO120" s="2208"/>
      <c r="BP120" s="263"/>
      <c r="BQ120" s="263"/>
      <c r="BR120" s="263"/>
      <c r="BS120" s="263"/>
      <c r="BT120" s="2208"/>
      <c r="BU120" s="2217">
        <f t="shared" si="87"/>
        <v>-8.6394457767574941</v>
      </c>
      <c r="BV120" s="2217">
        <f t="shared" si="68"/>
        <v>8634.4175609358372</v>
      </c>
      <c r="BW120" s="2217">
        <f t="shared" si="78"/>
        <v>3.0233570718664851</v>
      </c>
      <c r="BX120" s="2212">
        <v>215</v>
      </c>
      <c r="BY120" s="2219"/>
      <c r="BZ120" s="2213"/>
      <c r="CA120" s="2219"/>
      <c r="CB120" s="2213"/>
      <c r="CC120" s="2213"/>
      <c r="CD120" s="2213"/>
      <c r="CE120" s="2213"/>
      <c r="CF120" s="2208"/>
      <c r="CG120" s="2217">
        <f t="shared" si="88"/>
        <v>-8.2766429281335157</v>
      </c>
      <c r="CH120" s="2217">
        <f t="shared" si="69"/>
        <v>8634.4175609358372</v>
      </c>
      <c r="CI120" s="2217">
        <f t="shared" si="79"/>
        <v>3.0233570718664851</v>
      </c>
      <c r="CJ120" s="2212">
        <v>215</v>
      </c>
      <c r="CK120" s="2219"/>
      <c r="CL120" s="2213"/>
      <c r="CM120" s="2219"/>
      <c r="CN120" s="2213"/>
      <c r="CO120" s="2213"/>
      <c r="CP120" s="2213"/>
      <c r="CQ120" s="2213"/>
      <c r="CR120" s="2208"/>
      <c r="CS120" s="2217">
        <f t="shared" si="89"/>
        <v>-40.935065685602467</v>
      </c>
      <c r="CT120" s="2217">
        <f t="shared" si="80"/>
        <v>5655.3000958054809</v>
      </c>
      <c r="CU120" s="2217">
        <f t="shared" si="70"/>
        <v>-21.951900507853679</v>
      </c>
      <c r="CV120" s="2212">
        <v>215</v>
      </c>
      <c r="CW120" s="2208"/>
      <c r="CX120" s="263"/>
      <c r="CY120" s="2208"/>
      <c r="CZ120" s="263"/>
      <c r="DA120" s="263"/>
      <c r="DB120" s="263"/>
      <c r="DC120" s="263"/>
      <c r="DD120" s="2208"/>
    </row>
    <row r="121" spans="1:108">
      <c r="A121" s="2217">
        <f t="shared" si="81"/>
        <v>-7.6807998506210433</v>
      </c>
      <c r="B121" s="2217">
        <f t="shared" si="63"/>
        <v>8631.3942038639707</v>
      </c>
      <c r="C121" s="2217">
        <f t="shared" si="71"/>
        <v>3.1471305646773544</v>
      </c>
      <c r="D121" s="2212">
        <v>214</v>
      </c>
      <c r="E121" s="2219"/>
      <c r="F121" s="2213"/>
      <c r="G121" s="2219"/>
      <c r="H121" s="2213"/>
      <c r="I121" s="2213"/>
      <c r="J121" s="2213"/>
      <c r="K121" s="2213"/>
      <c r="L121" s="2213"/>
      <c r="M121" s="2217">
        <f t="shared" si="82"/>
        <v>-7.4605007110936281</v>
      </c>
      <c r="N121" s="2217">
        <f t="shared" si="64"/>
        <v>8631.3942038639707</v>
      </c>
      <c r="O121" s="2217">
        <f t="shared" si="72"/>
        <v>3.1471305646773544</v>
      </c>
      <c r="P121" s="2212">
        <v>214</v>
      </c>
      <c r="Q121" s="2219"/>
      <c r="R121" s="2213"/>
      <c r="S121" s="2219"/>
      <c r="T121" s="2213"/>
      <c r="U121" s="2213"/>
      <c r="V121" s="2213"/>
      <c r="W121" s="2213"/>
      <c r="X121" s="2213"/>
      <c r="Y121" s="2217">
        <f t="shared" si="83"/>
        <v>-7.177258960272666</v>
      </c>
      <c r="Z121" s="2217">
        <f t="shared" si="73"/>
        <v>8631.3942038639707</v>
      </c>
      <c r="AA121" s="2217">
        <f t="shared" si="74"/>
        <v>3.1471305646773544</v>
      </c>
      <c r="AB121" s="2212">
        <v>214</v>
      </c>
      <c r="AC121" s="2219"/>
      <c r="AD121" s="2213"/>
      <c r="AE121" s="2219"/>
      <c r="AF121" s="2213"/>
      <c r="AG121" s="2213"/>
      <c r="AH121" s="2213"/>
      <c r="AI121" s="2213"/>
      <c r="AJ121" s="2213"/>
      <c r="AK121" s="2217">
        <f t="shared" si="84"/>
        <v>-8.5305251030839297</v>
      </c>
      <c r="AL121" s="2217">
        <f t="shared" si="65"/>
        <v>8631.3942038639707</v>
      </c>
      <c r="AM121" s="2217">
        <f t="shared" si="75"/>
        <v>3.1471305646773544</v>
      </c>
      <c r="AN121" s="2212">
        <v>214</v>
      </c>
      <c r="AO121" s="2219"/>
      <c r="AP121" s="2213"/>
      <c r="AQ121" s="2219"/>
      <c r="AR121" s="2213"/>
      <c r="AS121" s="2213"/>
      <c r="AT121" s="2213"/>
      <c r="AU121" s="2213"/>
      <c r="AV121" s="2213"/>
      <c r="AW121" s="2217">
        <f t="shared" si="85"/>
        <v>-34.216242422128474</v>
      </c>
      <c r="AX121" s="2217">
        <f t="shared" si="76"/>
        <v>5677.2519963133345</v>
      </c>
      <c r="AY121" s="2217">
        <f t="shared" si="66"/>
        <v>-21.619096624649501</v>
      </c>
      <c r="AZ121" s="2212">
        <v>214</v>
      </c>
      <c r="BA121" s="2208"/>
      <c r="BB121" s="263"/>
      <c r="BC121" s="2208"/>
      <c r="BD121" s="263"/>
      <c r="BE121" s="263"/>
      <c r="BF121" s="263"/>
      <c r="BG121" s="263"/>
      <c r="BH121" s="2208"/>
      <c r="BI121" s="2217">
        <f t="shared" si="86"/>
        <v>-40.918162375769818</v>
      </c>
      <c r="BJ121" s="2217">
        <f t="shared" si="77"/>
        <v>5677.2519963133345</v>
      </c>
      <c r="BK121" s="2217">
        <f t="shared" si="67"/>
        <v>-21.619096624649501</v>
      </c>
      <c r="BL121" s="2212">
        <v>214</v>
      </c>
      <c r="BM121" s="2208"/>
      <c r="BN121" s="263"/>
      <c r="BO121" s="2208"/>
      <c r="BP121" s="263"/>
      <c r="BQ121" s="263"/>
      <c r="BR121" s="263"/>
      <c r="BS121" s="263"/>
      <c r="BT121" s="2208"/>
      <c r="BU121" s="2217">
        <f t="shared" si="87"/>
        <v>-8.5305251030839297</v>
      </c>
      <c r="BV121" s="2217">
        <f t="shared" si="68"/>
        <v>8631.3942038639707</v>
      </c>
      <c r="BW121" s="2217">
        <f t="shared" si="78"/>
        <v>3.1471305646773544</v>
      </c>
      <c r="BX121" s="2212">
        <v>214</v>
      </c>
      <c r="BY121" s="2219"/>
      <c r="BZ121" s="2213"/>
      <c r="CA121" s="2219"/>
      <c r="CB121" s="2213"/>
      <c r="CC121" s="2213"/>
      <c r="CD121" s="2213"/>
      <c r="CE121" s="2213"/>
      <c r="CF121" s="2208"/>
      <c r="CG121" s="2217">
        <f t="shared" si="88"/>
        <v>-8.1528694353226463</v>
      </c>
      <c r="CH121" s="2217">
        <f t="shared" si="69"/>
        <v>8631.3942038639707</v>
      </c>
      <c r="CI121" s="2217">
        <f t="shared" si="79"/>
        <v>3.1471305646773544</v>
      </c>
      <c r="CJ121" s="2212">
        <v>214</v>
      </c>
      <c r="CK121" s="2219"/>
      <c r="CL121" s="2213"/>
      <c r="CM121" s="2219"/>
      <c r="CN121" s="2213"/>
      <c r="CO121" s="2213"/>
      <c r="CP121" s="2213"/>
      <c r="CQ121" s="2213"/>
      <c r="CR121" s="2208"/>
      <c r="CS121" s="2217">
        <f t="shared" si="89"/>
        <v>-40.48578044327683</v>
      </c>
      <c r="CT121" s="2217">
        <f t="shared" si="80"/>
        <v>5677.2519963133345</v>
      </c>
      <c r="CU121" s="2217">
        <f t="shared" si="70"/>
        <v>-21.619096624649501</v>
      </c>
      <c r="CV121" s="2212">
        <v>214</v>
      </c>
      <c r="CW121" s="2208"/>
      <c r="CX121" s="263"/>
      <c r="CY121" s="2208"/>
      <c r="CZ121" s="263"/>
      <c r="DA121" s="263"/>
      <c r="DB121" s="263"/>
      <c r="DC121" s="263"/>
      <c r="DD121" s="2208"/>
    </row>
    <row r="122" spans="1:108">
      <c r="A122" s="2217">
        <f t="shared" si="81"/>
        <v>-7.5374914263797113</v>
      </c>
      <c r="B122" s="2217">
        <f t="shared" si="63"/>
        <v>8628.2470732992933</v>
      </c>
      <c r="C122" s="2217">
        <f t="shared" si="71"/>
        <v>3.2717465857567731</v>
      </c>
      <c r="D122" s="2212">
        <v>213</v>
      </c>
      <c r="E122" s="2219"/>
      <c r="F122" s="2213"/>
      <c r="G122" s="2219"/>
      <c r="H122" s="2213"/>
      <c r="I122" s="2213"/>
      <c r="J122" s="2213"/>
      <c r="K122" s="2213"/>
      <c r="L122" s="2213"/>
      <c r="M122" s="2217">
        <f t="shared" si="82"/>
        <v>-7.3084691653767377</v>
      </c>
      <c r="N122" s="2217">
        <f t="shared" si="64"/>
        <v>8628.2470732992933</v>
      </c>
      <c r="O122" s="2217">
        <f t="shared" si="72"/>
        <v>3.2717465857567731</v>
      </c>
      <c r="P122" s="2212">
        <v>213</v>
      </c>
      <c r="Q122" s="2219"/>
      <c r="R122" s="2213"/>
      <c r="S122" s="2219"/>
      <c r="T122" s="2213"/>
      <c r="U122" s="2213"/>
      <c r="V122" s="2213"/>
      <c r="W122" s="2213"/>
      <c r="X122" s="2213"/>
      <c r="Y122" s="2217">
        <f t="shared" si="83"/>
        <v>-7.0140119726586274</v>
      </c>
      <c r="Z122" s="2217">
        <f t="shared" si="73"/>
        <v>8628.2470732992933</v>
      </c>
      <c r="AA122" s="2217">
        <f t="shared" si="74"/>
        <v>3.2717465857567731</v>
      </c>
      <c r="AB122" s="2212">
        <v>213</v>
      </c>
      <c r="AC122" s="2219"/>
      <c r="AD122" s="2213"/>
      <c r="AE122" s="2219"/>
      <c r="AF122" s="2213"/>
      <c r="AG122" s="2213"/>
      <c r="AH122" s="2213"/>
      <c r="AI122" s="2213"/>
      <c r="AJ122" s="2213"/>
      <c r="AK122" s="2217">
        <f t="shared" si="84"/>
        <v>-8.4208630045340414</v>
      </c>
      <c r="AL122" s="2217">
        <f t="shared" si="65"/>
        <v>8628.2470732992933</v>
      </c>
      <c r="AM122" s="2217">
        <f t="shared" si="75"/>
        <v>3.2717465857567731</v>
      </c>
      <c r="AN122" s="2212">
        <v>213</v>
      </c>
      <c r="AO122" s="2219"/>
      <c r="AP122" s="2213"/>
      <c r="AQ122" s="2219"/>
      <c r="AR122" s="2213"/>
      <c r="AS122" s="2213"/>
      <c r="AT122" s="2213"/>
      <c r="AU122" s="2213"/>
      <c r="AV122" s="2213"/>
      <c r="AW122" s="2217">
        <f t="shared" si="85"/>
        <v>-33.863635585897413</v>
      </c>
      <c r="AX122" s="2217">
        <f t="shared" si="76"/>
        <v>5698.871092937984</v>
      </c>
      <c r="AY122" s="2217">
        <f t="shared" si="66"/>
        <v>-21.286448665940952</v>
      </c>
      <c r="AZ122" s="2212">
        <v>213</v>
      </c>
      <c r="BA122" s="2208"/>
      <c r="BB122" s="263"/>
      <c r="BC122" s="2208"/>
      <c r="BD122" s="263"/>
      <c r="BE122" s="263"/>
      <c r="BF122" s="263"/>
      <c r="BG122" s="263"/>
      <c r="BH122" s="2208"/>
      <c r="BI122" s="2217">
        <f t="shared" si="86"/>
        <v>-40.462434672339107</v>
      </c>
      <c r="BJ122" s="2217">
        <f t="shared" si="77"/>
        <v>5698.871092937984</v>
      </c>
      <c r="BK122" s="2217">
        <f t="shared" si="67"/>
        <v>-21.286448665940952</v>
      </c>
      <c r="BL122" s="2212">
        <v>213</v>
      </c>
      <c r="BM122" s="2208"/>
      <c r="BN122" s="263"/>
      <c r="BO122" s="2208"/>
      <c r="BP122" s="263"/>
      <c r="BQ122" s="263"/>
      <c r="BR122" s="263"/>
      <c r="BS122" s="263"/>
      <c r="BT122" s="2208"/>
      <c r="BU122" s="2217">
        <f t="shared" si="87"/>
        <v>-8.4208630045340414</v>
      </c>
      <c r="BV122" s="2217">
        <f t="shared" si="68"/>
        <v>8628.2470732992933</v>
      </c>
      <c r="BW122" s="2217">
        <f t="shared" si="78"/>
        <v>3.2717465857567731</v>
      </c>
      <c r="BX122" s="2212">
        <v>213</v>
      </c>
      <c r="BY122" s="2219"/>
      <c r="BZ122" s="2213"/>
      <c r="CA122" s="2219"/>
      <c r="CB122" s="2213"/>
      <c r="CC122" s="2213"/>
      <c r="CD122" s="2213"/>
      <c r="CE122" s="2213"/>
      <c r="CF122" s="2208"/>
      <c r="CG122" s="2217">
        <f t="shared" si="88"/>
        <v>-8.0282534142432276</v>
      </c>
      <c r="CH122" s="2217">
        <f t="shared" si="69"/>
        <v>8628.2470732992933</v>
      </c>
      <c r="CI122" s="2217">
        <f t="shared" si="79"/>
        <v>3.2717465857567731</v>
      </c>
      <c r="CJ122" s="2212">
        <v>213</v>
      </c>
      <c r="CK122" s="2219"/>
      <c r="CL122" s="2213"/>
      <c r="CM122" s="2219"/>
      <c r="CN122" s="2213"/>
      <c r="CO122" s="2213"/>
      <c r="CP122" s="2213"/>
      <c r="CQ122" s="2213"/>
      <c r="CR122" s="2208"/>
      <c r="CS122" s="2217">
        <f t="shared" si="89"/>
        <v>-40.036705699020288</v>
      </c>
      <c r="CT122" s="2217">
        <f t="shared" si="80"/>
        <v>5698.871092937984</v>
      </c>
      <c r="CU122" s="2217">
        <f t="shared" si="70"/>
        <v>-21.286448665940952</v>
      </c>
      <c r="CV122" s="2212">
        <v>213</v>
      </c>
      <c r="CW122" s="2208"/>
      <c r="CX122" s="263"/>
      <c r="CY122" s="2208"/>
      <c r="CZ122" s="263"/>
      <c r="DA122" s="263"/>
      <c r="DB122" s="263"/>
      <c r="DC122" s="263"/>
      <c r="DD122" s="2208"/>
    </row>
    <row r="123" spans="1:108">
      <c r="A123" s="2217">
        <f t="shared" si="81"/>
        <v>-7.393214094629549</v>
      </c>
      <c r="B123" s="2217">
        <f t="shared" si="63"/>
        <v>8624.9753267135366</v>
      </c>
      <c r="C123" s="2217">
        <f t="shared" si="71"/>
        <v>3.3972051351047412</v>
      </c>
      <c r="D123" s="2212">
        <v>212</v>
      </c>
      <c r="E123" s="2219"/>
      <c r="F123" s="2213"/>
      <c r="G123" s="2219"/>
      <c r="H123" s="2213"/>
      <c r="I123" s="2213"/>
      <c r="J123" s="2213"/>
      <c r="K123" s="2213"/>
      <c r="L123" s="2213"/>
      <c r="M123" s="2217">
        <f t="shared" si="82"/>
        <v>-7.1554097351722161</v>
      </c>
      <c r="N123" s="2217">
        <f t="shared" si="64"/>
        <v>8624.9753267135366</v>
      </c>
      <c r="O123" s="2217">
        <f t="shared" si="72"/>
        <v>3.3972051351047412</v>
      </c>
      <c r="P123" s="2212">
        <v>212</v>
      </c>
      <c r="Q123" s="2219"/>
      <c r="R123" s="2213"/>
      <c r="S123" s="2219"/>
      <c r="T123" s="2213"/>
      <c r="U123" s="2213"/>
      <c r="V123" s="2213"/>
      <c r="W123" s="2213"/>
      <c r="X123" s="2213"/>
      <c r="Y123" s="2217">
        <f t="shared" si="83"/>
        <v>-6.8496612730127895</v>
      </c>
      <c r="Z123" s="2217">
        <f t="shared" si="73"/>
        <v>8624.9753267135366</v>
      </c>
      <c r="AA123" s="2217">
        <f t="shared" si="74"/>
        <v>3.3972051351047412</v>
      </c>
      <c r="AB123" s="2212">
        <v>212</v>
      </c>
      <c r="AC123" s="2219"/>
      <c r="AD123" s="2213"/>
      <c r="AE123" s="2219"/>
      <c r="AF123" s="2213"/>
      <c r="AG123" s="2213"/>
      <c r="AH123" s="2213"/>
      <c r="AI123" s="2213"/>
      <c r="AJ123" s="2213"/>
      <c r="AK123" s="2217">
        <f t="shared" si="84"/>
        <v>-8.3104594811078289</v>
      </c>
      <c r="AL123" s="2217">
        <f t="shared" si="65"/>
        <v>8624.9753267135366</v>
      </c>
      <c r="AM123" s="2217">
        <f t="shared" si="75"/>
        <v>3.3972051351047412</v>
      </c>
      <c r="AN123" s="2212">
        <v>212</v>
      </c>
      <c r="AO123" s="2219"/>
      <c r="AP123" s="2213"/>
      <c r="AQ123" s="2219"/>
      <c r="AR123" s="2213"/>
      <c r="AS123" s="2213"/>
      <c r="AT123" s="2213"/>
      <c r="AU123" s="2213"/>
      <c r="AV123" s="2213"/>
      <c r="AW123" s="2217">
        <f t="shared" si="85"/>
        <v>-33.511194029642326</v>
      </c>
      <c r="AX123" s="2217">
        <f t="shared" si="76"/>
        <v>5720.157541603925</v>
      </c>
      <c r="AY123" s="2217">
        <f t="shared" si="66"/>
        <v>-20.953956631738038</v>
      </c>
      <c r="AZ123" s="2212">
        <v>212</v>
      </c>
      <c r="BA123" s="2208"/>
      <c r="BB123" s="263"/>
      <c r="BC123" s="2208"/>
      <c r="BD123" s="263"/>
      <c r="BE123" s="263"/>
      <c r="BF123" s="263"/>
      <c r="BG123" s="263"/>
      <c r="BH123" s="2208"/>
      <c r="BI123" s="2217">
        <f t="shared" si="86"/>
        <v>-40.006920585481112</v>
      </c>
      <c r="BJ123" s="2217">
        <f t="shared" si="77"/>
        <v>5720.157541603925</v>
      </c>
      <c r="BK123" s="2217">
        <f t="shared" si="67"/>
        <v>-20.953956631738038</v>
      </c>
      <c r="BL123" s="2212">
        <v>212</v>
      </c>
      <c r="BM123" s="2208"/>
      <c r="BN123" s="263"/>
      <c r="BO123" s="2208"/>
      <c r="BP123" s="263"/>
      <c r="BQ123" s="263"/>
      <c r="BR123" s="263"/>
      <c r="BS123" s="263"/>
      <c r="BT123" s="2208"/>
      <c r="BU123" s="2217">
        <f t="shared" si="87"/>
        <v>-8.3104594811078289</v>
      </c>
      <c r="BV123" s="2217">
        <f t="shared" si="68"/>
        <v>8624.9753267135366</v>
      </c>
      <c r="BW123" s="2217">
        <f t="shared" si="78"/>
        <v>3.3972051351047412</v>
      </c>
      <c r="BX123" s="2212">
        <v>212</v>
      </c>
      <c r="BY123" s="2219"/>
      <c r="BZ123" s="2213"/>
      <c r="CA123" s="2219"/>
      <c r="CB123" s="2213"/>
      <c r="CC123" s="2213"/>
      <c r="CD123" s="2213"/>
      <c r="CE123" s="2213"/>
      <c r="CF123" s="2208"/>
      <c r="CG123" s="2217">
        <f t="shared" si="88"/>
        <v>-7.9027948648952595</v>
      </c>
      <c r="CH123" s="2217">
        <f t="shared" si="69"/>
        <v>8624.9753267135366</v>
      </c>
      <c r="CI123" s="2217">
        <f t="shared" si="79"/>
        <v>3.3972051351047412</v>
      </c>
      <c r="CJ123" s="2212">
        <v>212</v>
      </c>
      <c r="CK123" s="2219"/>
      <c r="CL123" s="2213"/>
      <c r="CM123" s="2219"/>
      <c r="CN123" s="2213"/>
      <c r="CO123" s="2213"/>
      <c r="CP123" s="2213"/>
      <c r="CQ123" s="2213"/>
      <c r="CR123" s="2208"/>
      <c r="CS123" s="2217">
        <f t="shared" si="89"/>
        <v>-39.587841452846355</v>
      </c>
      <c r="CT123" s="2217">
        <f t="shared" si="80"/>
        <v>5720.157541603925</v>
      </c>
      <c r="CU123" s="2217">
        <f t="shared" si="70"/>
        <v>-20.953956631738038</v>
      </c>
      <c r="CV123" s="2212">
        <v>212</v>
      </c>
      <c r="CW123" s="2208"/>
      <c r="CX123" s="263"/>
      <c r="CY123" s="2208"/>
      <c r="CZ123" s="263"/>
      <c r="DA123" s="263"/>
      <c r="DB123" s="263"/>
      <c r="DC123" s="263"/>
      <c r="DD123" s="2208"/>
    </row>
    <row r="124" spans="1:108">
      <c r="A124" s="2217">
        <f t="shared" si="81"/>
        <v>-7.2479678553642781</v>
      </c>
      <c r="B124" s="2217">
        <f t="shared" si="63"/>
        <v>8621.5781215784318</v>
      </c>
      <c r="C124" s="2217">
        <f t="shared" si="71"/>
        <v>3.5235062127267156</v>
      </c>
      <c r="D124" s="2212">
        <v>211</v>
      </c>
      <c r="E124" s="2219"/>
      <c r="F124" s="2213"/>
      <c r="G124" s="2219"/>
      <c r="H124" s="2213"/>
      <c r="I124" s="2213"/>
      <c r="J124" s="2213"/>
      <c r="K124" s="2213"/>
      <c r="L124" s="2213"/>
      <c r="M124" s="2217">
        <f t="shared" si="82"/>
        <v>-7.0013224204734081</v>
      </c>
      <c r="N124" s="2217">
        <f t="shared" si="64"/>
        <v>8621.5781215784318</v>
      </c>
      <c r="O124" s="2217">
        <f t="shared" si="72"/>
        <v>3.5235062127267156</v>
      </c>
      <c r="P124" s="2212">
        <v>211</v>
      </c>
      <c r="Q124" s="2219"/>
      <c r="R124" s="2213"/>
      <c r="S124" s="2219"/>
      <c r="T124" s="2213"/>
      <c r="U124" s="2213"/>
      <c r="V124" s="2213"/>
      <c r="W124" s="2213"/>
      <c r="X124" s="2213"/>
      <c r="Y124" s="2217">
        <f t="shared" si="83"/>
        <v>-6.6842068613280032</v>
      </c>
      <c r="Z124" s="2217">
        <f t="shared" si="73"/>
        <v>8621.5781215784318</v>
      </c>
      <c r="AA124" s="2217">
        <f t="shared" si="74"/>
        <v>3.5235062127267156</v>
      </c>
      <c r="AB124" s="2212">
        <v>211</v>
      </c>
      <c r="AC124" s="2219"/>
      <c r="AD124" s="2213"/>
      <c r="AE124" s="2219"/>
      <c r="AF124" s="2213"/>
      <c r="AG124" s="2213"/>
      <c r="AH124" s="2213"/>
      <c r="AI124" s="2213"/>
      <c r="AJ124" s="2213"/>
      <c r="AK124" s="2217">
        <f t="shared" si="84"/>
        <v>-8.1993145328004911</v>
      </c>
      <c r="AL124" s="2217">
        <f t="shared" si="65"/>
        <v>8621.5781215784318</v>
      </c>
      <c r="AM124" s="2217">
        <f t="shared" si="75"/>
        <v>3.5235062127267156</v>
      </c>
      <c r="AN124" s="2212">
        <v>211</v>
      </c>
      <c r="AO124" s="2219"/>
      <c r="AP124" s="2213"/>
      <c r="AQ124" s="2219"/>
      <c r="AR124" s="2213"/>
      <c r="AS124" s="2213"/>
      <c r="AT124" s="2213"/>
      <c r="AU124" s="2213"/>
      <c r="AV124" s="2213"/>
      <c r="AW124" s="2217">
        <f t="shared" si="85"/>
        <v>-33.15891775335453</v>
      </c>
      <c r="AX124" s="2217">
        <f t="shared" si="76"/>
        <v>5741.111498235663</v>
      </c>
      <c r="AY124" s="2217">
        <f t="shared" si="66"/>
        <v>-20.621620522032572</v>
      </c>
      <c r="AZ124" s="2212">
        <v>211</v>
      </c>
      <c r="BA124" s="2208"/>
      <c r="BB124" s="263"/>
      <c r="BC124" s="2208"/>
      <c r="BD124" s="263"/>
      <c r="BE124" s="263"/>
      <c r="BF124" s="263"/>
      <c r="BG124" s="263"/>
      <c r="BH124" s="2208"/>
      <c r="BI124" s="2217">
        <f t="shared" si="86"/>
        <v>-39.551620115184626</v>
      </c>
      <c r="BJ124" s="2217">
        <f t="shared" si="77"/>
        <v>5741.111498235663</v>
      </c>
      <c r="BK124" s="2217">
        <f t="shared" si="67"/>
        <v>-20.621620522032572</v>
      </c>
      <c r="BL124" s="2212">
        <v>211</v>
      </c>
      <c r="BM124" s="2208"/>
      <c r="BN124" s="263"/>
      <c r="BO124" s="2208"/>
      <c r="BP124" s="263"/>
      <c r="BQ124" s="263"/>
      <c r="BR124" s="263"/>
      <c r="BS124" s="263"/>
      <c r="BT124" s="2208"/>
      <c r="BU124" s="2217">
        <f t="shared" si="87"/>
        <v>-8.1993145328004911</v>
      </c>
      <c r="BV124" s="2217">
        <f t="shared" si="68"/>
        <v>8621.5781215784318</v>
      </c>
      <c r="BW124" s="2217">
        <f t="shared" si="78"/>
        <v>3.5235062127267156</v>
      </c>
      <c r="BX124" s="2212">
        <v>211</v>
      </c>
      <c r="BY124" s="2219"/>
      <c r="BZ124" s="2213"/>
      <c r="CA124" s="2219"/>
      <c r="CB124" s="2213"/>
      <c r="CC124" s="2213"/>
      <c r="CD124" s="2213"/>
      <c r="CE124" s="2213"/>
      <c r="CF124" s="2208"/>
      <c r="CG124" s="2217">
        <f t="shared" si="88"/>
        <v>-7.7764937872732851</v>
      </c>
      <c r="CH124" s="2217">
        <f t="shared" si="69"/>
        <v>8621.5781215784318</v>
      </c>
      <c r="CI124" s="2217">
        <f t="shared" si="79"/>
        <v>3.5235062127267156</v>
      </c>
      <c r="CJ124" s="2212">
        <v>211</v>
      </c>
      <c r="CK124" s="2219"/>
      <c r="CL124" s="2213"/>
      <c r="CM124" s="2219"/>
      <c r="CN124" s="2213"/>
      <c r="CO124" s="2213"/>
      <c r="CP124" s="2213"/>
      <c r="CQ124" s="2213"/>
      <c r="CR124" s="2208"/>
      <c r="CS124" s="2217">
        <f t="shared" si="89"/>
        <v>-39.139187704743975</v>
      </c>
      <c r="CT124" s="2217">
        <f t="shared" si="80"/>
        <v>5741.111498235663</v>
      </c>
      <c r="CU124" s="2217">
        <f t="shared" si="70"/>
        <v>-20.621620522032572</v>
      </c>
      <c r="CV124" s="2212">
        <v>211</v>
      </c>
      <c r="CW124" s="2208"/>
      <c r="CX124" s="263"/>
      <c r="CY124" s="2208"/>
      <c r="CZ124" s="263"/>
      <c r="DA124" s="263"/>
      <c r="DB124" s="263"/>
      <c r="DC124" s="263"/>
      <c r="DD124" s="2208"/>
    </row>
    <row r="125" spans="1:108">
      <c r="A125" s="2217">
        <f t="shared" si="81"/>
        <v>-7.1017527085922678</v>
      </c>
      <c r="B125" s="2217">
        <f t="shared" si="63"/>
        <v>8618.0546153657051</v>
      </c>
      <c r="C125" s="2217">
        <f t="shared" si="71"/>
        <v>3.6506498186154204</v>
      </c>
      <c r="D125" s="2212">
        <v>210</v>
      </c>
      <c r="E125" s="2219"/>
      <c r="F125" s="2213"/>
      <c r="G125" s="2219"/>
      <c r="H125" s="2213"/>
      <c r="I125" s="2213"/>
      <c r="J125" s="2213"/>
      <c r="K125" s="2213"/>
      <c r="L125" s="2213"/>
      <c r="M125" s="2217">
        <f t="shared" si="82"/>
        <v>-6.8462072212891876</v>
      </c>
      <c r="N125" s="2217">
        <f t="shared" si="64"/>
        <v>8618.0546153657051</v>
      </c>
      <c r="O125" s="2217">
        <f t="shared" si="72"/>
        <v>3.6506498186154204</v>
      </c>
      <c r="P125" s="2212">
        <v>210</v>
      </c>
      <c r="Q125" s="2219"/>
      <c r="R125" s="2213"/>
      <c r="S125" s="2219"/>
      <c r="T125" s="2213"/>
      <c r="U125" s="2213"/>
      <c r="V125" s="2213"/>
      <c r="W125" s="2213"/>
      <c r="X125" s="2213"/>
      <c r="Y125" s="2217">
        <f t="shared" si="83"/>
        <v>-6.5176487376137997</v>
      </c>
      <c r="Z125" s="2217">
        <f t="shared" si="73"/>
        <v>8618.0546153657051</v>
      </c>
      <c r="AA125" s="2217">
        <f t="shared" si="74"/>
        <v>3.6506498186154204</v>
      </c>
      <c r="AB125" s="2212">
        <v>210</v>
      </c>
      <c r="AC125" s="2219"/>
      <c r="AD125" s="2213"/>
      <c r="AE125" s="2219"/>
      <c r="AF125" s="2213"/>
      <c r="AG125" s="2213"/>
      <c r="AH125" s="2213"/>
      <c r="AI125" s="2213"/>
      <c r="AJ125" s="2213"/>
      <c r="AK125" s="2217">
        <f t="shared" si="84"/>
        <v>-8.0874281596184314</v>
      </c>
      <c r="AL125" s="2217">
        <f t="shared" si="65"/>
        <v>8618.0546153657051</v>
      </c>
      <c r="AM125" s="2217">
        <f t="shared" si="75"/>
        <v>3.6506498186154204</v>
      </c>
      <c r="AN125" s="2212">
        <v>210</v>
      </c>
      <c r="AO125" s="2219"/>
      <c r="AP125" s="2213"/>
      <c r="AQ125" s="2219"/>
      <c r="AR125" s="2213"/>
      <c r="AS125" s="2213"/>
      <c r="AT125" s="2213"/>
      <c r="AU125" s="2213"/>
      <c r="AV125" s="2213"/>
      <c r="AW125" s="2217">
        <f t="shared" si="85"/>
        <v>-32.806806757041741</v>
      </c>
      <c r="AX125" s="2217">
        <f t="shared" si="76"/>
        <v>5761.7331187576956</v>
      </c>
      <c r="AY125" s="2217">
        <f t="shared" si="66"/>
        <v>-20.289440336831831</v>
      </c>
      <c r="AZ125" s="2212">
        <v>210</v>
      </c>
      <c r="BA125" s="2208"/>
      <c r="BB125" s="263"/>
      <c r="BC125" s="2208"/>
      <c r="BD125" s="263"/>
      <c r="BE125" s="263"/>
      <c r="BF125" s="263"/>
      <c r="BG125" s="263"/>
      <c r="BH125" s="2208"/>
      <c r="BI125" s="2217">
        <f t="shared" si="86"/>
        <v>-39.096533261459612</v>
      </c>
      <c r="BJ125" s="2217">
        <f t="shared" si="77"/>
        <v>5761.7331187576956</v>
      </c>
      <c r="BK125" s="2217">
        <f t="shared" si="67"/>
        <v>-20.289440336831831</v>
      </c>
      <c r="BL125" s="2212">
        <v>210</v>
      </c>
      <c r="BM125" s="2208"/>
      <c r="BN125" s="263"/>
      <c r="BO125" s="2208"/>
      <c r="BP125" s="263"/>
      <c r="BQ125" s="263"/>
      <c r="BR125" s="263"/>
      <c r="BS125" s="263"/>
      <c r="BT125" s="2208"/>
      <c r="BU125" s="2217">
        <f t="shared" si="87"/>
        <v>-8.0874281596184314</v>
      </c>
      <c r="BV125" s="2217">
        <f t="shared" si="68"/>
        <v>8618.0546153657051</v>
      </c>
      <c r="BW125" s="2217">
        <f t="shared" si="78"/>
        <v>3.6506498186154204</v>
      </c>
      <c r="BX125" s="2212">
        <v>210</v>
      </c>
      <c r="BY125" s="2219"/>
      <c r="BZ125" s="2213"/>
      <c r="CA125" s="2219"/>
      <c r="CB125" s="2213"/>
      <c r="CC125" s="2213"/>
      <c r="CD125" s="2213"/>
      <c r="CE125" s="2213"/>
      <c r="CF125" s="2208"/>
      <c r="CG125" s="2217">
        <f t="shared" si="88"/>
        <v>-7.6493501813845803</v>
      </c>
      <c r="CH125" s="2217">
        <f t="shared" si="69"/>
        <v>8618.0546153657051</v>
      </c>
      <c r="CI125" s="2217">
        <f t="shared" si="79"/>
        <v>3.6506498186154204</v>
      </c>
      <c r="CJ125" s="2212">
        <v>210</v>
      </c>
      <c r="CK125" s="2219"/>
      <c r="CL125" s="2213"/>
      <c r="CM125" s="2219"/>
      <c r="CN125" s="2213"/>
      <c r="CO125" s="2213"/>
      <c r="CP125" s="2213"/>
      <c r="CQ125" s="2213"/>
      <c r="CR125" s="2208"/>
      <c r="CS125" s="2217">
        <f t="shared" si="89"/>
        <v>-38.690744454722974</v>
      </c>
      <c r="CT125" s="2217">
        <f t="shared" si="80"/>
        <v>5761.7331187576956</v>
      </c>
      <c r="CU125" s="2217">
        <f t="shared" si="70"/>
        <v>-20.289440336831831</v>
      </c>
      <c r="CV125" s="2212">
        <v>210</v>
      </c>
      <c r="CW125" s="2208"/>
      <c r="CX125" s="263"/>
      <c r="CY125" s="2208"/>
      <c r="CZ125" s="263"/>
      <c r="DA125" s="263"/>
      <c r="DB125" s="263"/>
      <c r="DC125" s="263"/>
      <c r="DD125" s="2208"/>
    </row>
    <row r="126" spans="1:108">
      <c r="A126" s="2217">
        <f t="shared" si="81"/>
        <v>-6.9545686543114256</v>
      </c>
      <c r="B126" s="2217">
        <f t="shared" si="63"/>
        <v>8614.4039655470897</v>
      </c>
      <c r="C126" s="2217">
        <f t="shared" si="71"/>
        <v>3.7786359527726745</v>
      </c>
      <c r="D126" s="2212">
        <v>209</v>
      </c>
      <c r="E126" s="2219"/>
      <c r="F126" s="2213"/>
      <c r="G126" s="2219"/>
      <c r="H126" s="2213"/>
      <c r="I126" s="2213"/>
      <c r="J126" s="2213"/>
      <c r="K126" s="2213"/>
      <c r="L126" s="2213"/>
      <c r="M126" s="2217">
        <f t="shared" si="82"/>
        <v>-6.6900641376173375</v>
      </c>
      <c r="N126" s="2217">
        <f t="shared" si="64"/>
        <v>8614.4039655470897</v>
      </c>
      <c r="O126" s="2217">
        <f t="shared" si="72"/>
        <v>3.7786359527726745</v>
      </c>
      <c r="P126" s="2212">
        <v>209</v>
      </c>
      <c r="Q126" s="2219"/>
      <c r="R126" s="2213"/>
      <c r="S126" s="2219"/>
      <c r="T126" s="2213"/>
      <c r="U126" s="2213"/>
      <c r="V126" s="2213"/>
      <c r="W126" s="2213"/>
      <c r="X126" s="2213"/>
      <c r="Y126" s="2217">
        <f t="shared" si="83"/>
        <v>-6.3499869018677968</v>
      </c>
      <c r="Z126" s="2217">
        <f t="shared" si="73"/>
        <v>8614.4039655470897</v>
      </c>
      <c r="AA126" s="2217">
        <f t="shared" si="74"/>
        <v>3.7786359527726745</v>
      </c>
      <c r="AB126" s="2212">
        <v>209</v>
      </c>
      <c r="AC126" s="2219"/>
      <c r="AD126" s="2213"/>
      <c r="AE126" s="2219"/>
      <c r="AF126" s="2213"/>
      <c r="AG126" s="2213"/>
      <c r="AH126" s="2213"/>
      <c r="AI126" s="2213"/>
      <c r="AJ126" s="2213"/>
      <c r="AK126" s="2217">
        <f t="shared" si="84"/>
        <v>-7.9748003615600478</v>
      </c>
      <c r="AL126" s="2217">
        <f t="shared" si="65"/>
        <v>8614.4039655470897</v>
      </c>
      <c r="AM126" s="2217">
        <f t="shared" si="75"/>
        <v>3.7786359527726745</v>
      </c>
      <c r="AN126" s="2212">
        <v>209</v>
      </c>
      <c r="AO126" s="2219"/>
      <c r="AP126" s="2213"/>
      <c r="AQ126" s="2219"/>
      <c r="AR126" s="2213"/>
      <c r="AS126" s="2213"/>
      <c r="AT126" s="2213"/>
      <c r="AU126" s="2213"/>
      <c r="AV126" s="2213"/>
      <c r="AW126" s="2217">
        <f t="shared" si="85"/>
        <v>-32.454861040693359</v>
      </c>
      <c r="AX126" s="2217">
        <f t="shared" si="76"/>
        <v>5782.0225590945274</v>
      </c>
      <c r="AY126" s="2217">
        <f t="shared" si="66"/>
        <v>-19.95741607612581</v>
      </c>
      <c r="AZ126" s="2212">
        <v>209</v>
      </c>
      <c r="BA126" s="2208"/>
      <c r="BB126" s="263"/>
      <c r="BC126" s="2208"/>
      <c r="BD126" s="263"/>
      <c r="BE126" s="263"/>
      <c r="BF126" s="263"/>
      <c r="BG126" s="263"/>
      <c r="BH126" s="2208"/>
      <c r="BI126" s="2217">
        <f t="shared" si="86"/>
        <v>-38.641660024292364</v>
      </c>
      <c r="BJ126" s="2217">
        <f t="shared" si="77"/>
        <v>5782.0225590945274</v>
      </c>
      <c r="BK126" s="2217">
        <f t="shared" si="67"/>
        <v>-19.95741607612581</v>
      </c>
      <c r="BL126" s="2212">
        <v>209</v>
      </c>
      <c r="BM126" s="2208"/>
      <c r="BN126" s="263"/>
      <c r="BO126" s="2208"/>
      <c r="BP126" s="263"/>
      <c r="BQ126" s="263"/>
      <c r="BR126" s="263"/>
      <c r="BS126" s="263"/>
      <c r="BT126" s="2208"/>
      <c r="BU126" s="2217">
        <f t="shared" si="87"/>
        <v>-7.9748003615600478</v>
      </c>
      <c r="BV126" s="2217">
        <f t="shared" si="68"/>
        <v>8614.4039655470897</v>
      </c>
      <c r="BW126" s="2217">
        <f t="shared" si="78"/>
        <v>3.7786359527726745</v>
      </c>
      <c r="BX126" s="2212">
        <v>209</v>
      </c>
      <c r="BY126" s="2219"/>
      <c r="BZ126" s="2213"/>
      <c r="CA126" s="2219"/>
      <c r="CB126" s="2213"/>
      <c r="CC126" s="2213"/>
      <c r="CD126" s="2213"/>
      <c r="CE126" s="2213"/>
      <c r="CF126" s="2208"/>
      <c r="CG126" s="2217">
        <f t="shared" si="88"/>
        <v>-7.5213640472273262</v>
      </c>
      <c r="CH126" s="2217">
        <f t="shared" si="69"/>
        <v>8614.4039655470897</v>
      </c>
      <c r="CI126" s="2217">
        <f t="shared" si="79"/>
        <v>3.7786359527726745</v>
      </c>
      <c r="CJ126" s="2212">
        <v>209</v>
      </c>
      <c r="CK126" s="2219"/>
      <c r="CL126" s="2213"/>
      <c r="CM126" s="2219"/>
      <c r="CN126" s="2213"/>
      <c r="CO126" s="2213"/>
      <c r="CP126" s="2213"/>
      <c r="CQ126" s="2213"/>
      <c r="CR126" s="2208"/>
      <c r="CS126" s="2217">
        <f t="shared" si="89"/>
        <v>-38.242511702769846</v>
      </c>
      <c r="CT126" s="2217">
        <f t="shared" si="80"/>
        <v>5782.0225590945274</v>
      </c>
      <c r="CU126" s="2217">
        <f t="shared" si="70"/>
        <v>-19.95741607612581</v>
      </c>
      <c r="CV126" s="2212">
        <v>209</v>
      </c>
      <c r="CW126" s="2208"/>
      <c r="CX126" s="263"/>
      <c r="CY126" s="2208"/>
      <c r="CZ126" s="263"/>
      <c r="DA126" s="263"/>
      <c r="DB126" s="263"/>
      <c r="DC126" s="263"/>
      <c r="DD126" s="2208"/>
    </row>
    <row r="127" spans="1:108">
      <c r="A127" s="2217">
        <f t="shared" si="81"/>
        <v>-6.8064156925175681</v>
      </c>
      <c r="B127" s="2217">
        <f t="shared" si="63"/>
        <v>8610.625329594317</v>
      </c>
      <c r="C127" s="2217">
        <f t="shared" si="71"/>
        <v>3.907464615202116</v>
      </c>
      <c r="D127" s="2212">
        <v>208</v>
      </c>
      <c r="E127" s="2219"/>
      <c r="F127" s="2213"/>
      <c r="G127" s="2219"/>
      <c r="H127" s="2213"/>
      <c r="I127" s="2213"/>
      <c r="J127" s="2213"/>
      <c r="K127" s="2213"/>
      <c r="L127" s="2213"/>
      <c r="M127" s="2217">
        <f t="shared" si="82"/>
        <v>-6.5328931694534189</v>
      </c>
      <c r="N127" s="2217">
        <f t="shared" si="64"/>
        <v>8610.625329594317</v>
      </c>
      <c r="O127" s="2217">
        <f t="shared" si="72"/>
        <v>3.907464615202116</v>
      </c>
      <c r="P127" s="2212">
        <v>208</v>
      </c>
      <c r="Q127" s="2219"/>
      <c r="R127" s="2213"/>
      <c r="S127" s="2219"/>
      <c r="T127" s="2213"/>
      <c r="U127" s="2213"/>
      <c r="V127" s="2213"/>
      <c r="W127" s="2213"/>
      <c r="X127" s="2213"/>
      <c r="Y127" s="2217">
        <f t="shared" si="83"/>
        <v>-6.1812213540852285</v>
      </c>
      <c r="Z127" s="2217">
        <f t="shared" si="73"/>
        <v>8610.625329594317</v>
      </c>
      <c r="AA127" s="2217">
        <f t="shared" si="74"/>
        <v>3.907464615202116</v>
      </c>
      <c r="AB127" s="2212">
        <v>208</v>
      </c>
      <c r="AC127" s="2219"/>
      <c r="AD127" s="2213"/>
      <c r="AE127" s="2219"/>
      <c r="AF127" s="2213"/>
      <c r="AG127" s="2213"/>
      <c r="AH127" s="2213"/>
      <c r="AI127" s="2213"/>
      <c r="AJ127" s="2213"/>
      <c r="AK127" s="2217">
        <f t="shared" si="84"/>
        <v>-7.8614311386221392</v>
      </c>
      <c r="AL127" s="2217">
        <f t="shared" si="65"/>
        <v>8610.625329594317</v>
      </c>
      <c r="AM127" s="2217">
        <f t="shared" si="75"/>
        <v>3.907464615202116</v>
      </c>
      <c r="AN127" s="2212">
        <v>208</v>
      </c>
      <c r="AO127" s="2219"/>
      <c r="AP127" s="2213"/>
      <c r="AQ127" s="2219"/>
      <c r="AR127" s="2213"/>
      <c r="AS127" s="2213"/>
      <c r="AT127" s="2213"/>
      <c r="AU127" s="2213"/>
      <c r="AV127" s="2213"/>
      <c r="AW127" s="2217">
        <f t="shared" si="85"/>
        <v>-32.103080604320951</v>
      </c>
      <c r="AX127" s="2217">
        <f t="shared" si="76"/>
        <v>5801.9799751706532</v>
      </c>
      <c r="AY127" s="2217">
        <f t="shared" si="66"/>
        <v>-19.625547739925423</v>
      </c>
      <c r="AZ127" s="2212">
        <v>208</v>
      </c>
      <c r="BA127" s="2208"/>
      <c r="BB127" s="263"/>
      <c r="BC127" s="2208"/>
      <c r="BD127" s="263"/>
      <c r="BE127" s="263"/>
      <c r="BF127" s="263"/>
      <c r="BG127" s="263"/>
      <c r="BH127" s="2208"/>
      <c r="BI127" s="2217">
        <f t="shared" si="86"/>
        <v>-38.187000403697837</v>
      </c>
      <c r="BJ127" s="2217">
        <f t="shared" si="77"/>
        <v>5801.9799751706532</v>
      </c>
      <c r="BK127" s="2217">
        <f t="shared" si="67"/>
        <v>-19.625547739925423</v>
      </c>
      <c r="BL127" s="2212">
        <v>208</v>
      </c>
      <c r="BM127" s="2208"/>
      <c r="BN127" s="263"/>
      <c r="BO127" s="2208"/>
      <c r="BP127" s="263"/>
      <c r="BQ127" s="263"/>
      <c r="BR127" s="263"/>
      <c r="BS127" s="263"/>
      <c r="BT127" s="2208"/>
      <c r="BU127" s="2217">
        <f t="shared" si="87"/>
        <v>-7.8614311386221392</v>
      </c>
      <c r="BV127" s="2217">
        <f t="shared" si="68"/>
        <v>8610.625329594317</v>
      </c>
      <c r="BW127" s="2217">
        <f t="shared" si="78"/>
        <v>3.907464615202116</v>
      </c>
      <c r="BX127" s="2212">
        <v>208</v>
      </c>
      <c r="BY127" s="2219"/>
      <c r="BZ127" s="2213"/>
      <c r="CA127" s="2219"/>
      <c r="CB127" s="2213"/>
      <c r="CC127" s="2213"/>
      <c r="CD127" s="2213"/>
      <c r="CE127" s="2213"/>
      <c r="CF127" s="2208"/>
      <c r="CG127" s="2217">
        <f t="shared" si="88"/>
        <v>-7.3925353847978847</v>
      </c>
      <c r="CH127" s="2217">
        <f t="shared" si="69"/>
        <v>8610.625329594317</v>
      </c>
      <c r="CI127" s="2217">
        <f t="shared" si="79"/>
        <v>3.907464615202116</v>
      </c>
      <c r="CJ127" s="2212">
        <v>208</v>
      </c>
      <c r="CK127" s="2219"/>
      <c r="CL127" s="2213"/>
      <c r="CM127" s="2219"/>
      <c r="CN127" s="2213"/>
      <c r="CO127" s="2213"/>
      <c r="CP127" s="2213"/>
      <c r="CQ127" s="2213"/>
      <c r="CR127" s="2208"/>
      <c r="CS127" s="2217">
        <f t="shared" si="89"/>
        <v>-37.794489448899327</v>
      </c>
      <c r="CT127" s="2217">
        <f t="shared" si="80"/>
        <v>5801.9799751706532</v>
      </c>
      <c r="CU127" s="2217">
        <f t="shared" si="70"/>
        <v>-19.625547739925423</v>
      </c>
      <c r="CV127" s="2212">
        <v>208</v>
      </c>
      <c r="CW127" s="2208"/>
      <c r="CX127" s="263"/>
      <c r="CY127" s="2208"/>
      <c r="CZ127" s="263"/>
      <c r="DA127" s="263"/>
      <c r="DB127" s="263"/>
      <c r="DC127" s="263"/>
      <c r="DD127" s="2208"/>
    </row>
    <row r="128" spans="1:108">
      <c r="A128" s="2217">
        <f t="shared" si="81"/>
        <v>-6.6572938232148786</v>
      </c>
      <c r="B128" s="2217">
        <f t="shared" si="63"/>
        <v>8606.7178649791149</v>
      </c>
      <c r="C128" s="2217">
        <f t="shared" si="71"/>
        <v>4.0371358059001068</v>
      </c>
      <c r="D128" s="2212">
        <v>207</v>
      </c>
      <c r="E128" s="2219"/>
      <c r="F128" s="2213"/>
      <c r="G128" s="2219"/>
      <c r="H128" s="2213"/>
      <c r="I128" s="2213"/>
      <c r="J128" s="2213"/>
      <c r="K128" s="2213"/>
      <c r="L128" s="2213"/>
      <c r="M128" s="2217">
        <f t="shared" si="82"/>
        <v>-6.3746943168018708</v>
      </c>
      <c r="N128" s="2217">
        <f t="shared" si="64"/>
        <v>8606.7178649791149</v>
      </c>
      <c r="O128" s="2217">
        <f t="shared" si="72"/>
        <v>4.0371358059001068</v>
      </c>
      <c r="P128" s="2212">
        <v>207</v>
      </c>
      <c r="Q128" s="2219"/>
      <c r="R128" s="2213"/>
      <c r="S128" s="2219"/>
      <c r="T128" s="2213"/>
      <c r="U128" s="2213"/>
      <c r="V128" s="2213"/>
      <c r="W128" s="2213"/>
      <c r="X128" s="2213"/>
      <c r="Y128" s="2217">
        <f t="shared" si="83"/>
        <v>-6.0113520942708609</v>
      </c>
      <c r="Z128" s="2217">
        <f t="shared" si="73"/>
        <v>8606.7178649791149</v>
      </c>
      <c r="AA128" s="2217">
        <f t="shared" si="74"/>
        <v>4.0371358059001068</v>
      </c>
      <c r="AB128" s="2212">
        <v>207</v>
      </c>
      <c r="AC128" s="2219"/>
      <c r="AD128" s="2213"/>
      <c r="AE128" s="2219"/>
      <c r="AF128" s="2213"/>
      <c r="AG128" s="2213"/>
      <c r="AH128" s="2213"/>
      <c r="AI128" s="2213"/>
      <c r="AJ128" s="2213"/>
      <c r="AK128" s="2217">
        <f t="shared" si="84"/>
        <v>-7.7473204908079065</v>
      </c>
      <c r="AL128" s="2217">
        <f t="shared" si="65"/>
        <v>8606.7178649791149</v>
      </c>
      <c r="AM128" s="2217">
        <f t="shared" si="75"/>
        <v>4.0371358059001068</v>
      </c>
      <c r="AN128" s="2212">
        <v>207</v>
      </c>
      <c r="AO128" s="2219"/>
      <c r="AP128" s="2213"/>
      <c r="AQ128" s="2219"/>
      <c r="AR128" s="2213"/>
      <c r="AS128" s="2213"/>
      <c r="AT128" s="2213"/>
      <c r="AU128" s="2213"/>
      <c r="AV128" s="2213"/>
      <c r="AW128" s="2217">
        <f t="shared" si="85"/>
        <v>-31.751465447917763</v>
      </c>
      <c r="AX128" s="2217">
        <f t="shared" si="76"/>
        <v>5821.6055229105787</v>
      </c>
      <c r="AY128" s="2217">
        <f t="shared" si="66"/>
        <v>-19.293835328224304</v>
      </c>
      <c r="AZ128" s="2212">
        <v>207</v>
      </c>
      <c r="BA128" s="2208"/>
      <c r="BB128" s="263"/>
      <c r="BC128" s="2208"/>
      <c r="BD128" s="263"/>
      <c r="BE128" s="263"/>
      <c r="BF128" s="263"/>
      <c r="BG128" s="263"/>
      <c r="BH128" s="2208"/>
      <c r="BI128" s="2217">
        <f t="shared" si="86"/>
        <v>-37.732554399667301</v>
      </c>
      <c r="BJ128" s="2217">
        <f t="shared" si="77"/>
        <v>5821.6055229105787</v>
      </c>
      <c r="BK128" s="2217">
        <f t="shared" si="67"/>
        <v>-19.293835328224304</v>
      </c>
      <c r="BL128" s="2212">
        <v>207</v>
      </c>
      <c r="BM128" s="2208"/>
      <c r="BN128" s="263"/>
      <c r="BO128" s="2208"/>
      <c r="BP128" s="263"/>
      <c r="BQ128" s="263"/>
      <c r="BR128" s="263"/>
      <c r="BS128" s="263"/>
      <c r="BT128" s="2208"/>
      <c r="BU128" s="2217">
        <f t="shared" si="87"/>
        <v>-7.7473204908079065</v>
      </c>
      <c r="BV128" s="2217">
        <f t="shared" si="68"/>
        <v>8606.7178649791149</v>
      </c>
      <c r="BW128" s="2217">
        <f t="shared" si="78"/>
        <v>4.0371358059001068</v>
      </c>
      <c r="BX128" s="2212">
        <v>207</v>
      </c>
      <c r="BY128" s="2219"/>
      <c r="BZ128" s="2213"/>
      <c r="CA128" s="2219"/>
      <c r="CB128" s="2213"/>
      <c r="CC128" s="2213"/>
      <c r="CD128" s="2213"/>
      <c r="CE128" s="2213"/>
      <c r="CF128" s="2208"/>
      <c r="CG128" s="2217">
        <f t="shared" si="88"/>
        <v>-7.2628641940998939</v>
      </c>
      <c r="CH128" s="2217">
        <f t="shared" si="69"/>
        <v>8606.7178649791149</v>
      </c>
      <c r="CI128" s="2217">
        <f t="shared" si="79"/>
        <v>4.0371358059001068</v>
      </c>
      <c r="CJ128" s="2212">
        <v>207</v>
      </c>
      <c r="CK128" s="2219"/>
      <c r="CL128" s="2213"/>
      <c r="CM128" s="2219"/>
      <c r="CN128" s="2213"/>
      <c r="CO128" s="2213"/>
      <c r="CP128" s="2213"/>
      <c r="CQ128" s="2213"/>
      <c r="CR128" s="2208"/>
      <c r="CS128" s="2217">
        <f t="shared" si="89"/>
        <v>-37.346677693102812</v>
      </c>
      <c r="CT128" s="2217">
        <f t="shared" si="80"/>
        <v>5821.6055229105787</v>
      </c>
      <c r="CU128" s="2217">
        <f t="shared" si="70"/>
        <v>-19.293835328224304</v>
      </c>
      <c r="CV128" s="2212">
        <v>207</v>
      </c>
      <c r="CW128" s="2208"/>
      <c r="CX128" s="263"/>
      <c r="CY128" s="2208"/>
      <c r="CZ128" s="263"/>
      <c r="DA128" s="263"/>
      <c r="DB128" s="263"/>
      <c r="DC128" s="263"/>
      <c r="DD128" s="2208"/>
    </row>
    <row r="129" spans="1:108">
      <c r="A129" s="2217">
        <f t="shared" si="81"/>
        <v>-6.5072030464033572</v>
      </c>
      <c r="B129" s="2217">
        <f t="shared" si="63"/>
        <v>8602.6807291732148</v>
      </c>
      <c r="C129" s="2217">
        <f t="shared" si="71"/>
        <v>4.167649524866647</v>
      </c>
      <c r="D129" s="2212">
        <v>206</v>
      </c>
      <c r="E129" s="2219"/>
      <c r="F129" s="2213"/>
      <c r="G129" s="2219"/>
      <c r="H129" s="2213"/>
      <c r="I129" s="2213"/>
      <c r="J129" s="2213"/>
      <c r="K129" s="2213"/>
      <c r="L129" s="2213"/>
      <c r="M129" s="2217">
        <f t="shared" si="82"/>
        <v>-6.2154675796626915</v>
      </c>
      <c r="N129" s="2217">
        <f t="shared" si="64"/>
        <v>8602.6807291732148</v>
      </c>
      <c r="O129" s="2217">
        <f t="shared" si="72"/>
        <v>4.167649524866647</v>
      </c>
      <c r="P129" s="2212">
        <v>206</v>
      </c>
      <c r="Q129" s="2219"/>
      <c r="R129" s="2213"/>
      <c r="S129" s="2219"/>
      <c r="T129" s="2213"/>
      <c r="U129" s="2213"/>
      <c r="V129" s="2213"/>
      <c r="W129" s="2213"/>
      <c r="X129" s="2213"/>
      <c r="Y129" s="2217">
        <f t="shared" si="83"/>
        <v>-5.840379122424693</v>
      </c>
      <c r="Z129" s="2217">
        <f t="shared" si="73"/>
        <v>8602.6807291732148</v>
      </c>
      <c r="AA129" s="2217">
        <f t="shared" si="74"/>
        <v>4.167649524866647</v>
      </c>
      <c r="AB129" s="2212">
        <v>206</v>
      </c>
      <c r="AC129" s="2219"/>
      <c r="AD129" s="2213"/>
      <c r="AE129" s="2219"/>
      <c r="AF129" s="2213"/>
      <c r="AG129" s="2213"/>
      <c r="AH129" s="2213"/>
      <c r="AI129" s="2213"/>
      <c r="AJ129" s="2213"/>
      <c r="AK129" s="2217">
        <f t="shared" si="84"/>
        <v>-7.6324684181173517</v>
      </c>
      <c r="AL129" s="2217">
        <f t="shared" si="65"/>
        <v>8602.6807291732148</v>
      </c>
      <c r="AM129" s="2217">
        <f t="shared" si="75"/>
        <v>4.167649524866647</v>
      </c>
      <c r="AN129" s="2212">
        <v>206</v>
      </c>
      <c r="AO129" s="2219"/>
      <c r="AP129" s="2213"/>
      <c r="AQ129" s="2219"/>
      <c r="AR129" s="2213"/>
      <c r="AS129" s="2213"/>
      <c r="AT129" s="2213"/>
      <c r="AU129" s="2213"/>
      <c r="AV129" s="2213"/>
      <c r="AW129" s="2217">
        <f t="shared" si="85"/>
        <v>-31.400015571479944</v>
      </c>
      <c r="AX129" s="2217">
        <f t="shared" si="76"/>
        <v>5840.899358238803</v>
      </c>
      <c r="AY129" s="2217">
        <f t="shared" si="66"/>
        <v>-18.962278841018815</v>
      </c>
      <c r="AZ129" s="2212">
        <v>206</v>
      </c>
      <c r="BA129" s="2208"/>
      <c r="BB129" s="263"/>
      <c r="BC129" s="2208"/>
      <c r="BD129" s="263"/>
      <c r="BE129" s="263"/>
      <c r="BF129" s="263"/>
      <c r="BG129" s="263"/>
      <c r="BH129" s="2208"/>
      <c r="BI129" s="2217">
        <f t="shared" si="86"/>
        <v>-37.27832201219578</v>
      </c>
      <c r="BJ129" s="2217">
        <f t="shared" si="77"/>
        <v>5840.899358238803</v>
      </c>
      <c r="BK129" s="2217">
        <f t="shared" si="67"/>
        <v>-18.962278841018815</v>
      </c>
      <c r="BL129" s="2212">
        <v>206</v>
      </c>
      <c r="BM129" s="2208"/>
      <c r="BN129" s="263"/>
      <c r="BO129" s="2208"/>
      <c r="BP129" s="263"/>
      <c r="BQ129" s="263"/>
      <c r="BR129" s="263"/>
      <c r="BS129" s="263"/>
      <c r="BT129" s="2208"/>
      <c r="BU129" s="2217">
        <f t="shared" si="87"/>
        <v>-7.6324684181173517</v>
      </c>
      <c r="BV129" s="2217">
        <f t="shared" si="68"/>
        <v>8602.6807291732148</v>
      </c>
      <c r="BW129" s="2217">
        <f t="shared" si="78"/>
        <v>4.167649524866647</v>
      </c>
      <c r="BX129" s="2212">
        <v>206</v>
      </c>
      <c r="BY129" s="2219"/>
      <c r="BZ129" s="2213"/>
      <c r="CA129" s="2219"/>
      <c r="CB129" s="2213"/>
      <c r="CC129" s="2213"/>
      <c r="CD129" s="2213"/>
      <c r="CE129" s="2213"/>
      <c r="CF129" s="2208"/>
      <c r="CG129" s="2217">
        <f t="shared" si="88"/>
        <v>-7.1323504751333537</v>
      </c>
      <c r="CH129" s="2217">
        <f t="shared" si="69"/>
        <v>8602.6807291732148</v>
      </c>
      <c r="CI129" s="2217">
        <f t="shared" si="79"/>
        <v>4.167649524866647</v>
      </c>
      <c r="CJ129" s="2212">
        <v>206</v>
      </c>
      <c r="CK129" s="2219"/>
      <c r="CL129" s="2213"/>
      <c r="CM129" s="2219"/>
      <c r="CN129" s="2213"/>
      <c r="CO129" s="2213"/>
      <c r="CP129" s="2213"/>
      <c r="CQ129" s="2213"/>
      <c r="CR129" s="2208"/>
      <c r="CS129" s="2217">
        <f t="shared" si="89"/>
        <v>-36.899076435375406</v>
      </c>
      <c r="CT129" s="2217">
        <f t="shared" si="80"/>
        <v>5840.899358238803</v>
      </c>
      <c r="CU129" s="2217">
        <f t="shared" si="70"/>
        <v>-18.962278841018815</v>
      </c>
      <c r="CV129" s="2212">
        <v>206</v>
      </c>
      <c r="CW129" s="2208"/>
      <c r="CX129" s="263"/>
      <c r="CY129" s="2208"/>
      <c r="CZ129" s="263"/>
      <c r="DA129" s="263"/>
      <c r="DB129" s="263"/>
      <c r="DC129" s="263"/>
      <c r="DD129" s="2208"/>
    </row>
    <row r="130" spans="1:108">
      <c r="A130" s="2217">
        <f t="shared" si="81"/>
        <v>-6.3561433620809122</v>
      </c>
      <c r="B130" s="2217">
        <f t="shared" si="63"/>
        <v>8598.5130796483481</v>
      </c>
      <c r="C130" s="2217">
        <f t="shared" si="71"/>
        <v>4.2990057721035555</v>
      </c>
      <c r="D130" s="2212">
        <v>205</v>
      </c>
      <c r="E130" s="2219"/>
      <c r="F130" s="2213"/>
      <c r="G130" s="2219"/>
      <c r="H130" s="2213"/>
      <c r="I130" s="2213"/>
      <c r="J130" s="2213"/>
      <c r="K130" s="2213"/>
      <c r="L130" s="2213"/>
      <c r="M130" s="2217">
        <f t="shared" si="82"/>
        <v>-6.0552129580336631</v>
      </c>
      <c r="N130" s="2217">
        <f t="shared" si="64"/>
        <v>8598.5130796483481</v>
      </c>
      <c r="O130" s="2217">
        <f t="shared" si="72"/>
        <v>4.2990057721035555</v>
      </c>
      <c r="P130" s="2212">
        <v>205</v>
      </c>
      <c r="Q130" s="2219"/>
      <c r="R130" s="2213"/>
      <c r="S130" s="2219"/>
      <c r="T130" s="2213"/>
      <c r="U130" s="2213"/>
      <c r="V130" s="2213"/>
      <c r="W130" s="2213"/>
      <c r="X130" s="2213"/>
      <c r="Y130" s="2217">
        <f t="shared" si="83"/>
        <v>-5.6683024385443428</v>
      </c>
      <c r="Z130" s="2217">
        <f t="shared" si="73"/>
        <v>8598.5130796483481</v>
      </c>
      <c r="AA130" s="2217">
        <f t="shared" si="74"/>
        <v>4.2990057721035555</v>
      </c>
      <c r="AB130" s="2212">
        <v>205</v>
      </c>
      <c r="AC130" s="2219"/>
      <c r="AD130" s="2213"/>
      <c r="AE130" s="2219"/>
      <c r="AF130" s="2213"/>
      <c r="AG130" s="2213"/>
      <c r="AH130" s="2213"/>
      <c r="AI130" s="2213"/>
      <c r="AJ130" s="2213"/>
      <c r="AK130" s="2217">
        <f t="shared" si="84"/>
        <v>-7.5168749205488723</v>
      </c>
      <c r="AL130" s="2217">
        <f t="shared" si="65"/>
        <v>8598.5130796483481</v>
      </c>
      <c r="AM130" s="2217">
        <f t="shared" si="75"/>
        <v>4.2990057721035555</v>
      </c>
      <c r="AN130" s="2212">
        <v>205</v>
      </c>
      <c r="AO130" s="2219"/>
      <c r="AP130" s="2213"/>
      <c r="AQ130" s="2219"/>
      <c r="AR130" s="2213"/>
      <c r="AS130" s="2213"/>
      <c r="AT130" s="2213"/>
      <c r="AU130" s="2213"/>
      <c r="AV130" s="2213"/>
      <c r="AW130" s="2217">
        <f t="shared" si="85"/>
        <v>-31.048730975020028</v>
      </c>
      <c r="AX130" s="2217">
        <f t="shared" si="76"/>
        <v>5859.8616370798218</v>
      </c>
      <c r="AY130" s="2217">
        <f t="shared" si="66"/>
        <v>-18.630878278320779</v>
      </c>
      <c r="AZ130" s="2212">
        <v>205</v>
      </c>
      <c r="BA130" s="2208"/>
      <c r="BB130" s="263"/>
      <c r="BC130" s="2208"/>
      <c r="BD130" s="263"/>
      <c r="BE130" s="263"/>
      <c r="BF130" s="263"/>
      <c r="BG130" s="263"/>
      <c r="BH130" s="2208"/>
      <c r="BI130" s="2217">
        <f t="shared" si="86"/>
        <v>-36.824303241299475</v>
      </c>
      <c r="BJ130" s="2217">
        <f t="shared" si="77"/>
        <v>5859.8616370798218</v>
      </c>
      <c r="BK130" s="2217">
        <f t="shared" si="67"/>
        <v>-18.630878278320779</v>
      </c>
      <c r="BL130" s="2212">
        <v>205</v>
      </c>
      <c r="BM130" s="2208"/>
      <c r="BN130" s="263"/>
      <c r="BO130" s="2208"/>
      <c r="BP130" s="263"/>
      <c r="BQ130" s="263"/>
      <c r="BR130" s="263"/>
      <c r="BS130" s="263"/>
      <c r="BT130" s="2208"/>
      <c r="BU130" s="2217">
        <f t="shared" si="87"/>
        <v>-7.5168749205488723</v>
      </c>
      <c r="BV130" s="2217">
        <f t="shared" si="68"/>
        <v>8598.5130796483481</v>
      </c>
      <c r="BW130" s="2217">
        <f t="shared" si="78"/>
        <v>4.2990057721035555</v>
      </c>
      <c r="BX130" s="2212">
        <v>205</v>
      </c>
      <c r="BY130" s="2219"/>
      <c r="BZ130" s="2213"/>
      <c r="CA130" s="2219"/>
      <c r="CB130" s="2213"/>
      <c r="CC130" s="2213"/>
      <c r="CD130" s="2213"/>
      <c r="CE130" s="2213"/>
      <c r="CF130" s="2208"/>
      <c r="CG130" s="2217">
        <f t="shared" si="88"/>
        <v>-7.0009942278964452</v>
      </c>
      <c r="CH130" s="2217">
        <f t="shared" si="69"/>
        <v>8598.5130796483481</v>
      </c>
      <c r="CI130" s="2217">
        <f t="shared" si="79"/>
        <v>4.2990057721035555</v>
      </c>
      <c r="CJ130" s="2212">
        <v>205</v>
      </c>
      <c r="CK130" s="2219"/>
      <c r="CL130" s="2213"/>
      <c r="CM130" s="2219"/>
      <c r="CN130" s="2213"/>
      <c r="CO130" s="2213"/>
      <c r="CP130" s="2213"/>
      <c r="CQ130" s="2213"/>
      <c r="CR130" s="2208"/>
      <c r="CS130" s="2217">
        <f t="shared" si="89"/>
        <v>-36.451685675733053</v>
      </c>
      <c r="CT130" s="2217">
        <f t="shared" si="80"/>
        <v>5859.8616370798218</v>
      </c>
      <c r="CU130" s="2217">
        <f t="shared" si="70"/>
        <v>-18.630878278320779</v>
      </c>
      <c r="CV130" s="2212">
        <v>205</v>
      </c>
      <c r="CW130" s="2208"/>
      <c r="CX130" s="263"/>
      <c r="CY130" s="2208"/>
      <c r="CZ130" s="263"/>
      <c r="DA130" s="263"/>
      <c r="DB130" s="263"/>
      <c r="DC130" s="263"/>
      <c r="DD130" s="2208"/>
    </row>
    <row r="131" spans="1:108">
      <c r="A131" s="2217">
        <f t="shared" si="81"/>
        <v>-6.2041147702475437</v>
      </c>
      <c r="B131" s="2217">
        <f t="shared" si="63"/>
        <v>8594.2140738762446</v>
      </c>
      <c r="C131" s="2217">
        <f t="shared" si="71"/>
        <v>4.4312045476108324</v>
      </c>
      <c r="D131" s="2212">
        <v>204</v>
      </c>
      <c r="E131" s="2219"/>
      <c r="F131" s="2213"/>
      <c r="G131" s="2219"/>
      <c r="H131" s="2213"/>
      <c r="I131" s="2213"/>
      <c r="J131" s="2213"/>
      <c r="K131" s="2213"/>
      <c r="L131" s="2213"/>
      <c r="M131" s="2217">
        <f t="shared" si="82"/>
        <v>-5.8939304519147857</v>
      </c>
      <c r="N131" s="2217">
        <f t="shared" si="64"/>
        <v>8594.2140738762446</v>
      </c>
      <c r="O131" s="2217">
        <f t="shared" si="72"/>
        <v>4.4312045476108324</v>
      </c>
      <c r="P131" s="2212">
        <v>204</v>
      </c>
      <c r="Q131" s="2219"/>
      <c r="R131" s="2213"/>
      <c r="S131" s="2219"/>
      <c r="T131" s="2213"/>
      <c r="U131" s="2213"/>
      <c r="V131" s="2213"/>
      <c r="W131" s="2213"/>
      <c r="X131" s="2213"/>
      <c r="Y131" s="2217">
        <f t="shared" si="83"/>
        <v>-5.4951220426298102</v>
      </c>
      <c r="Z131" s="2217">
        <f t="shared" si="73"/>
        <v>8594.2140738762446</v>
      </c>
      <c r="AA131" s="2217">
        <f t="shared" si="74"/>
        <v>4.4312045476108324</v>
      </c>
      <c r="AB131" s="2212">
        <v>204</v>
      </c>
      <c r="AC131" s="2219"/>
      <c r="AD131" s="2213"/>
      <c r="AE131" s="2219"/>
      <c r="AF131" s="2213"/>
      <c r="AG131" s="2213"/>
      <c r="AH131" s="2213"/>
      <c r="AI131" s="2213"/>
      <c r="AJ131" s="2213"/>
      <c r="AK131" s="2217">
        <f t="shared" si="84"/>
        <v>-7.4005399981024684</v>
      </c>
      <c r="AL131" s="2217">
        <f t="shared" si="65"/>
        <v>8594.2140738762446</v>
      </c>
      <c r="AM131" s="2217">
        <f t="shared" si="75"/>
        <v>4.4312045476108324</v>
      </c>
      <c r="AN131" s="2212">
        <v>204</v>
      </c>
      <c r="AO131" s="2219"/>
      <c r="AP131" s="2213"/>
      <c r="AQ131" s="2219"/>
      <c r="AR131" s="2213"/>
      <c r="AS131" s="2213"/>
      <c r="AT131" s="2213"/>
      <c r="AU131" s="2213"/>
      <c r="AV131" s="2213"/>
      <c r="AW131" s="2217">
        <f t="shared" si="85"/>
        <v>-30.697611658525478</v>
      </c>
      <c r="AX131" s="2217">
        <f t="shared" si="76"/>
        <v>5878.4925153581426</v>
      </c>
      <c r="AY131" s="2217">
        <f t="shared" si="66"/>
        <v>-18.299633640118373</v>
      </c>
      <c r="AZ131" s="2212">
        <v>204</v>
      </c>
      <c r="BA131" s="2208"/>
      <c r="BB131" s="263"/>
      <c r="BC131" s="2208"/>
      <c r="BD131" s="263"/>
      <c r="BE131" s="263"/>
      <c r="BF131" s="263"/>
      <c r="BG131" s="263"/>
      <c r="BH131" s="2208"/>
      <c r="BI131" s="2217">
        <f t="shared" si="86"/>
        <v>-36.370498086962172</v>
      </c>
      <c r="BJ131" s="2217">
        <f t="shared" si="77"/>
        <v>5878.4925153581426</v>
      </c>
      <c r="BK131" s="2217">
        <f t="shared" si="67"/>
        <v>-18.299633640118373</v>
      </c>
      <c r="BL131" s="2212">
        <v>204</v>
      </c>
      <c r="BM131" s="2208"/>
      <c r="BN131" s="263"/>
      <c r="BO131" s="2208"/>
      <c r="BP131" s="263"/>
      <c r="BQ131" s="263"/>
      <c r="BR131" s="263"/>
      <c r="BS131" s="263"/>
      <c r="BT131" s="2208"/>
      <c r="BU131" s="2217">
        <f t="shared" si="87"/>
        <v>-7.4005399981024684</v>
      </c>
      <c r="BV131" s="2217">
        <f t="shared" si="68"/>
        <v>8594.2140738762446</v>
      </c>
      <c r="BW131" s="2217">
        <f t="shared" si="78"/>
        <v>4.4312045476108324</v>
      </c>
      <c r="BX131" s="2212">
        <v>204</v>
      </c>
      <c r="BY131" s="2219"/>
      <c r="BZ131" s="2213"/>
      <c r="CA131" s="2219"/>
      <c r="CB131" s="2213"/>
      <c r="CC131" s="2213"/>
      <c r="CD131" s="2213"/>
      <c r="CE131" s="2213"/>
      <c r="CF131" s="2208"/>
      <c r="CG131" s="2217">
        <f t="shared" si="88"/>
        <v>-6.8687954523891683</v>
      </c>
      <c r="CH131" s="2217">
        <f t="shared" si="69"/>
        <v>8594.2140738762446</v>
      </c>
      <c r="CI131" s="2217">
        <f t="shared" si="79"/>
        <v>4.4312045476108324</v>
      </c>
      <c r="CJ131" s="2212">
        <v>204</v>
      </c>
      <c r="CK131" s="2219"/>
      <c r="CL131" s="2213"/>
      <c r="CM131" s="2219"/>
      <c r="CN131" s="2213"/>
      <c r="CO131" s="2213"/>
      <c r="CP131" s="2213"/>
      <c r="CQ131" s="2213"/>
      <c r="CR131" s="2208"/>
      <c r="CS131" s="2217">
        <f t="shared" si="89"/>
        <v>-36.004505414159809</v>
      </c>
      <c r="CT131" s="2217">
        <f t="shared" si="80"/>
        <v>5878.4925153581426</v>
      </c>
      <c r="CU131" s="2217">
        <f t="shared" si="70"/>
        <v>-18.299633640118373</v>
      </c>
      <c r="CV131" s="2212">
        <v>204</v>
      </c>
      <c r="CW131" s="2208"/>
      <c r="CX131" s="263"/>
      <c r="CY131" s="2208"/>
      <c r="CZ131" s="263"/>
      <c r="DA131" s="263"/>
      <c r="DB131" s="263"/>
      <c r="DC131" s="263"/>
      <c r="DD131" s="2208"/>
    </row>
    <row r="132" spans="1:108">
      <c r="A132" s="2217">
        <f t="shared" si="81"/>
        <v>-6.0511172709032515</v>
      </c>
      <c r="B132" s="2217">
        <f t="shared" si="63"/>
        <v>8589.7828693286338</v>
      </c>
      <c r="C132" s="2217">
        <f t="shared" si="71"/>
        <v>4.5642458513884776</v>
      </c>
      <c r="D132" s="2212">
        <v>203</v>
      </c>
      <c r="E132" s="2219"/>
      <c r="F132" s="2213"/>
      <c r="G132" s="2219"/>
      <c r="H132" s="2213"/>
      <c r="I132" s="2213"/>
      <c r="J132" s="2213"/>
      <c r="K132" s="2213"/>
      <c r="L132" s="2213"/>
      <c r="M132" s="2217">
        <f t="shared" si="82"/>
        <v>-5.7316200613060584</v>
      </c>
      <c r="N132" s="2217">
        <f t="shared" si="64"/>
        <v>8589.7828693286338</v>
      </c>
      <c r="O132" s="2217">
        <f t="shared" si="72"/>
        <v>4.5642458513884776</v>
      </c>
      <c r="P132" s="2212">
        <v>203</v>
      </c>
      <c r="Q132" s="2219"/>
      <c r="R132" s="2213"/>
      <c r="S132" s="2219"/>
      <c r="T132" s="2213"/>
      <c r="U132" s="2213"/>
      <c r="V132" s="2213"/>
      <c r="W132" s="2213"/>
      <c r="X132" s="2213"/>
      <c r="Y132" s="2217">
        <f t="shared" si="83"/>
        <v>-5.3208379346810952</v>
      </c>
      <c r="Z132" s="2217">
        <f t="shared" si="73"/>
        <v>8589.7828693286338</v>
      </c>
      <c r="AA132" s="2217">
        <f t="shared" si="74"/>
        <v>4.5642458513884776</v>
      </c>
      <c r="AB132" s="2212">
        <v>203</v>
      </c>
      <c r="AC132" s="2219"/>
      <c r="AD132" s="2213"/>
      <c r="AE132" s="2219"/>
      <c r="AF132" s="2213"/>
      <c r="AG132" s="2213"/>
      <c r="AH132" s="2213"/>
      <c r="AI132" s="2213"/>
      <c r="AJ132" s="2213"/>
      <c r="AK132" s="2217">
        <f t="shared" si="84"/>
        <v>-7.283463650778141</v>
      </c>
      <c r="AL132" s="2217">
        <f t="shared" si="65"/>
        <v>8589.7828693286338</v>
      </c>
      <c r="AM132" s="2217">
        <f t="shared" si="75"/>
        <v>4.5642458513884776</v>
      </c>
      <c r="AN132" s="2212">
        <v>203</v>
      </c>
      <c r="AO132" s="2219"/>
      <c r="AP132" s="2213"/>
      <c r="AQ132" s="2219"/>
      <c r="AR132" s="2213"/>
      <c r="AS132" s="2213"/>
      <c r="AT132" s="2213"/>
      <c r="AU132" s="2213"/>
      <c r="AV132" s="2213"/>
      <c r="AW132" s="2217">
        <f t="shared" si="85"/>
        <v>-30.346657622005935</v>
      </c>
      <c r="AX132" s="2217">
        <f t="shared" si="76"/>
        <v>5896.7921489982609</v>
      </c>
      <c r="AY132" s="2217">
        <f t="shared" si="66"/>
        <v>-17.968544926420691</v>
      </c>
      <c r="AZ132" s="2212">
        <v>203</v>
      </c>
      <c r="BA132" s="2208"/>
      <c r="BB132" s="263"/>
      <c r="BC132" s="2208"/>
      <c r="BD132" s="263"/>
      <c r="BE132" s="263"/>
      <c r="BF132" s="263"/>
      <c r="BG132" s="263"/>
      <c r="BH132" s="2208"/>
      <c r="BI132" s="2217">
        <f t="shared" si="86"/>
        <v>-35.916906549196348</v>
      </c>
      <c r="BJ132" s="2217">
        <f t="shared" si="77"/>
        <v>5896.7921489982609</v>
      </c>
      <c r="BK132" s="2217">
        <f t="shared" si="67"/>
        <v>-17.968544926420691</v>
      </c>
      <c r="BL132" s="2212">
        <v>203</v>
      </c>
      <c r="BM132" s="2208"/>
      <c r="BN132" s="263"/>
      <c r="BO132" s="2208"/>
      <c r="BP132" s="263"/>
      <c r="BQ132" s="263"/>
      <c r="BR132" s="263"/>
      <c r="BS132" s="263"/>
      <c r="BT132" s="2208"/>
      <c r="BU132" s="2217">
        <f t="shared" si="87"/>
        <v>-7.283463650778141</v>
      </c>
      <c r="BV132" s="2217">
        <f t="shared" si="68"/>
        <v>8589.7828693286338</v>
      </c>
      <c r="BW132" s="2217">
        <f t="shared" si="78"/>
        <v>4.5642458513884776</v>
      </c>
      <c r="BX132" s="2212">
        <v>203</v>
      </c>
      <c r="BY132" s="2219"/>
      <c r="BZ132" s="2213"/>
      <c r="CA132" s="2219"/>
      <c r="CB132" s="2213"/>
      <c r="CC132" s="2213"/>
      <c r="CD132" s="2213"/>
      <c r="CE132" s="2213"/>
      <c r="CF132" s="2208"/>
      <c r="CG132" s="2217">
        <f t="shared" si="88"/>
        <v>-6.7357541486115231</v>
      </c>
      <c r="CH132" s="2217">
        <f t="shared" si="69"/>
        <v>8589.7828693286338</v>
      </c>
      <c r="CI132" s="2217">
        <f t="shared" si="79"/>
        <v>4.5642458513884776</v>
      </c>
      <c r="CJ132" s="2212">
        <v>203</v>
      </c>
      <c r="CK132" s="2219"/>
      <c r="CL132" s="2213"/>
      <c r="CM132" s="2219"/>
      <c r="CN132" s="2213"/>
      <c r="CO132" s="2213"/>
      <c r="CP132" s="2213"/>
      <c r="CQ132" s="2213"/>
      <c r="CR132" s="2208"/>
      <c r="CS132" s="2217">
        <f t="shared" si="89"/>
        <v>-35.55753565066793</v>
      </c>
      <c r="CT132" s="2217">
        <f t="shared" si="80"/>
        <v>5896.7921489982609</v>
      </c>
      <c r="CU132" s="2217">
        <f t="shared" si="70"/>
        <v>-17.968544926420691</v>
      </c>
      <c r="CV132" s="2212">
        <v>203</v>
      </c>
      <c r="CW132" s="2208"/>
      <c r="CX132" s="263"/>
      <c r="CY132" s="2208"/>
      <c r="CZ132" s="263"/>
      <c r="DA132" s="263"/>
      <c r="DB132" s="263"/>
      <c r="DC132" s="263"/>
      <c r="DD132" s="2208"/>
    </row>
    <row r="133" spans="1:108">
      <c r="A133" s="2217">
        <f t="shared" si="81"/>
        <v>-5.8971508640522199</v>
      </c>
      <c r="B133" s="2217">
        <f t="shared" si="63"/>
        <v>8585.2186234772453</v>
      </c>
      <c r="C133" s="2217">
        <f t="shared" si="71"/>
        <v>4.6981296834328532</v>
      </c>
      <c r="D133" s="2212">
        <v>202</v>
      </c>
      <c r="E133" s="2219"/>
      <c r="F133" s="2213"/>
      <c r="G133" s="2219"/>
      <c r="H133" s="2213"/>
      <c r="I133" s="2213"/>
      <c r="J133" s="2213"/>
      <c r="K133" s="2213"/>
      <c r="L133" s="2213"/>
      <c r="M133" s="2217">
        <f t="shared" si="82"/>
        <v>-5.5682817862119203</v>
      </c>
      <c r="N133" s="2217">
        <f t="shared" si="64"/>
        <v>8585.2186234772453</v>
      </c>
      <c r="O133" s="2217">
        <f t="shared" si="72"/>
        <v>4.6981296834328532</v>
      </c>
      <c r="P133" s="2212">
        <v>202</v>
      </c>
      <c r="Q133" s="2219"/>
      <c r="R133" s="2213"/>
      <c r="S133" s="2219"/>
      <c r="T133" s="2213"/>
      <c r="U133" s="2213"/>
      <c r="V133" s="2213"/>
      <c r="W133" s="2213"/>
      <c r="X133" s="2213"/>
      <c r="Y133" s="2217">
        <f t="shared" si="83"/>
        <v>-5.145450114702963</v>
      </c>
      <c r="Z133" s="2217">
        <f t="shared" si="73"/>
        <v>8585.2186234772453</v>
      </c>
      <c r="AA133" s="2217">
        <f t="shared" si="74"/>
        <v>4.6981296834328532</v>
      </c>
      <c r="AB133" s="2212">
        <v>202</v>
      </c>
      <c r="AC133" s="2219"/>
      <c r="AD133" s="2213"/>
      <c r="AE133" s="2219"/>
      <c r="AF133" s="2213"/>
      <c r="AG133" s="2213"/>
      <c r="AH133" s="2213"/>
      <c r="AI133" s="2213"/>
      <c r="AJ133" s="2213"/>
      <c r="AK133" s="2217">
        <f t="shared" si="84"/>
        <v>-7.16564587857909</v>
      </c>
      <c r="AL133" s="2217">
        <f t="shared" si="65"/>
        <v>8585.2186234772453</v>
      </c>
      <c r="AM133" s="2217">
        <f t="shared" si="75"/>
        <v>4.6981296834328532</v>
      </c>
      <c r="AN133" s="2212">
        <v>202</v>
      </c>
      <c r="AO133" s="2219"/>
      <c r="AP133" s="2213"/>
      <c r="AQ133" s="2219"/>
      <c r="AR133" s="2213"/>
      <c r="AS133" s="2213"/>
      <c r="AT133" s="2213"/>
      <c r="AU133" s="2213"/>
      <c r="AV133" s="2213"/>
      <c r="AW133" s="2217">
        <f t="shared" si="85"/>
        <v>-29.995868865450795</v>
      </c>
      <c r="AX133" s="2217">
        <f t="shared" si="76"/>
        <v>5914.7606939246816</v>
      </c>
      <c r="AY133" s="2217">
        <f t="shared" si="66"/>
        <v>-17.637612137217729</v>
      </c>
      <c r="AZ133" s="2212">
        <v>202</v>
      </c>
      <c r="BA133" s="2208"/>
      <c r="BB133" s="263"/>
      <c r="BC133" s="2208"/>
      <c r="BD133" s="263"/>
      <c r="BE133" s="263"/>
      <c r="BF133" s="263"/>
      <c r="BG133" s="263"/>
      <c r="BH133" s="2208"/>
      <c r="BI133" s="2217">
        <f t="shared" si="86"/>
        <v>-35.463528627988296</v>
      </c>
      <c r="BJ133" s="2217">
        <f t="shared" si="77"/>
        <v>5914.7606939246816</v>
      </c>
      <c r="BK133" s="2217">
        <f t="shared" si="67"/>
        <v>-17.637612137217729</v>
      </c>
      <c r="BL133" s="2212">
        <v>202</v>
      </c>
      <c r="BM133" s="2208"/>
      <c r="BN133" s="263"/>
      <c r="BO133" s="2208"/>
      <c r="BP133" s="263"/>
      <c r="BQ133" s="263"/>
      <c r="BR133" s="263"/>
      <c r="BS133" s="263"/>
      <c r="BT133" s="2208"/>
      <c r="BU133" s="2217">
        <f t="shared" si="87"/>
        <v>-7.16564587857909</v>
      </c>
      <c r="BV133" s="2217">
        <f t="shared" si="68"/>
        <v>8585.2186234772453</v>
      </c>
      <c r="BW133" s="2217">
        <f t="shared" si="78"/>
        <v>4.6981296834328532</v>
      </c>
      <c r="BX133" s="2212">
        <v>202</v>
      </c>
      <c r="BY133" s="2219"/>
      <c r="BZ133" s="2213"/>
      <c r="CA133" s="2219"/>
      <c r="CB133" s="2213"/>
      <c r="CC133" s="2213"/>
      <c r="CD133" s="2213"/>
      <c r="CE133" s="2213"/>
      <c r="CF133" s="2208"/>
      <c r="CG133" s="2217">
        <f t="shared" si="88"/>
        <v>-6.6018703165671475</v>
      </c>
      <c r="CH133" s="2217">
        <f t="shared" si="69"/>
        <v>8585.2186234772453</v>
      </c>
      <c r="CI133" s="2217">
        <f t="shared" si="79"/>
        <v>4.6981296834328532</v>
      </c>
      <c r="CJ133" s="2212">
        <v>202</v>
      </c>
      <c r="CK133" s="2219"/>
      <c r="CL133" s="2213"/>
      <c r="CM133" s="2219"/>
      <c r="CN133" s="2213"/>
      <c r="CO133" s="2213"/>
      <c r="CP133" s="2213"/>
      <c r="CQ133" s="2213"/>
      <c r="CR133" s="2208"/>
      <c r="CS133" s="2217">
        <f t="shared" si="89"/>
        <v>-35.110776385243938</v>
      </c>
      <c r="CT133" s="2217">
        <f t="shared" si="80"/>
        <v>5914.7606939246816</v>
      </c>
      <c r="CU133" s="2217">
        <f t="shared" si="70"/>
        <v>-17.637612137217729</v>
      </c>
      <c r="CV133" s="2212">
        <v>202</v>
      </c>
      <c r="CW133" s="2208"/>
      <c r="CX133" s="263"/>
      <c r="CY133" s="2208"/>
      <c r="CZ133" s="263"/>
      <c r="DA133" s="263"/>
      <c r="DB133" s="263"/>
      <c r="DC133" s="263"/>
      <c r="DD133" s="2208"/>
    </row>
    <row r="134" spans="1:108">
      <c r="A134" s="2217">
        <f t="shared" si="81"/>
        <v>-5.7422155496902647</v>
      </c>
      <c r="B134" s="2217">
        <f t="shared" si="63"/>
        <v>8580.5204937938124</v>
      </c>
      <c r="C134" s="2217">
        <f t="shared" si="71"/>
        <v>4.8328560437475971</v>
      </c>
      <c r="D134" s="2212">
        <v>201</v>
      </c>
      <c r="E134" s="2219"/>
      <c r="F134" s="2213"/>
      <c r="G134" s="2219"/>
      <c r="H134" s="2213"/>
      <c r="I134" s="2213"/>
      <c r="J134" s="2213"/>
      <c r="K134" s="2213"/>
      <c r="L134" s="2213"/>
      <c r="M134" s="2217">
        <f t="shared" si="82"/>
        <v>-5.4039156266279322</v>
      </c>
      <c r="N134" s="2217">
        <f t="shared" si="64"/>
        <v>8580.5204937938124</v>
      </c>
      <c r="O134" s="2217">
        <f t="shared" si="72"/>
        <v>4.8328560437475971</v>
      </c>
      <c r="P134" s="2212">
        <v>201</v>
      </c>
      <c r="Q134" s="2219"/>
      <c r="R134" s="2213"/>
      <c r="S134" s="2219"/>
      <c r="T134" s="2213"/>
      <c r="U134" s="2213"/>
      <c r="V134" s="2213"/>
      <c r="W134" s="2213"/>
      <c r="X134" s="2213"/>
      <c r="Y134" s="2217">
        <f t="shared" si="83"/>
        <v>-4.9689585826906484</v>
      </c>
      <c r="Z134" s="2217">
        <f t="shared" si="73"/>
        <v>8580.5204937938124</v>
      </c>
      <c r="AA134" s="2217">
        <f t="shared" si="74"/>
        <v>4.8328560437475971</v>
      </c>
      <c r="AB134" s="2212">
        <v>201</v>
      </c>
      <c r="AC134" s="2219"/>
      <c r="AD134" s="2213"/>
      <c r="AE134" s="2219"/>
      <c r="AF134" s="2213"/>
      <c r="AG134" s="2213"/>
      <c r="AH134" s="2213"/>
      <c r="AI134" s="2213"/>
      <c r="AJ134" s="2213"/>
      <c r="AK134" s="2217">
        <f t="shared" si="84"/>
        <v>-7.0470866815021154</v>
      </c>
      <c r="AL134" s="2217">
        <f t="shared" si="65"/>
        <v>8580.5204937938124</v>
      </c>
      <c r="AM134" s="2217">
        <f t="shared" si="75"/>
        <v>4.8328560437475971</v>
      </c>
      <c r="AN134" s="2212">
        <v>201</v>
      </c>
      <c r="AO134" s="2219"/>
      <c r="AP134" s="2213"/>
      <c r="AQ134" s="2219"/>
      <c r="AR134" s="2213"/>
      <c r="AS134" s="2213"/>
      <c r="AT134" s="2213"/>
      <c r="AU134" s="2213"/>
      <c r="AV134" s="2213"/>
      <c r="AW134" s="2217">
        <f t="shared" si="85"/>
        <v>-29.645245388872592</v>
      </c>
      <c r="AX134" s="2217">
        <f t="shared" si="76"/>
        <v>5932.3983060618993</v>
      </c>
      <c r="AY134" s="2217">
        <f t="shared" si="66"/>
        <v>-17.306835272521312</v>
      </c>
      <c r="AZ134" s="2212">
        <v>201</v>
      </c>
      <c r="BA134" s="2208"/>
      <c r="BB134" s="263"/>
      <c r="BC134" s="2208"/>
      <c r="BD134" s="263"/>
      <c r="BE134" s="263"/>
      <c r="BF134" s="263"/>
      <c r="BG134" s="263"/>
      <c r="BH134" s="2208"/>
      <c r="BI134" s="2217">
        <f t="shared" si="86"/>
        <v>-35.010364323354196</v>
      </c>
      <c r="BJ134" s="2217">
        <f t="shared" si="77"/>
        <v>5932.3983060618993</v>
      </c>
      <c r="BK134" s="2217">
        <f t="shared" si="67"/>
        <v>-17.306835272521312</v>
      </c>
      <c r="BL134" s="2212">
        <v>201</v>
      </c>
      <c r="BM134" s="2208"/>
      <c r="BN134" s="263"/>
      <c r="BO134" s="2208"/>
      <c r="BP134" s="263"/>
      <c r="BQ134" s="263"/>
      <c r="BR134" s="263"/>
      <c r="BS134" s="263"/>
      <c r="BT134" s="2208"/>
      <c r="BU134" s="2217">
        <f t="shared" si="87"/>
        <v>-7.0470866815021154</v>
      </c>
      <c r="BV134" s="2217">
        <f t="shared" si="68"/>
        <v>8580.5204937938124</v>
      </c>
      <c r="BW134" s="2217">
        <f t="shared" si="78"/>
        <v>4.8328560437475971</v>
      </c>
      <c r="BX134" s="2212">
        <v>201</v>
      </c>
      <c r="BY134" s="2219"/>
      <c r="BZ134" s="2213"/>
      <c r="CA134" s="2219"/>
      <c r="CB134" s="2213"/>
      <c r="CC134" s="2213"/>
      <c r="CD134" s="2213"/>
      <c r="CE134" s="2213"/>
      <c r="CF134" s="2208"/>
      <c r="CG134" s="2217">
        <f t="shared" si="88"/>
        <v>-6.4671439562524036</v>
      </c>
      <c r="CH134" s="2217">
        <f t="shared" si="69"/>
        <v>8580.5204937938124</v>
      </c>
      <c r="CI134" s="2217">
        <f t="shared" si="79"/>
        <v>4.8328560437475971</v>
      </c>
      <c r="CJ134" s="2212">
        <v>201</v>
      </c>
      <c r="CK134" s="2219"/>
      <c r="CL134" s="2213"/>
      <c r="CM134" s="2219"/>
      <c r="CN134" s="2213"/>
      <c r="CO134" s="2213"/>
      <c r="CP134" s="2213"/>
      <c r="CQ134" s="2213"/>
      <c r="CR134" s="2208"/>
      <c r="CS134" s="2217">
        <f t="shared" si="89"/>
        <v>-34.664227617903776</v>
      </c>
      <c r="CT134" s="2217">
        <f t="shared" si="80"/>
        <v>5932.3983060618993</v>
      </c>
      <c r="CU134" s="2217">
        <f t="shared" si="70"/>
        <v>-17.306835272521312</v>
      </c>
      <c r="CV134" s="2212">
        <v>201</v>
      </c>
      <c r="CW134" s="2208"/>
      <c r="CX134" s="263"/>
      <c r="CY134" s="2208"/>
      <c r="CZ134" s="263"/>
      <c r="DA134" s="263"/>
      <c r="DB134" s="263"/>
      <c r="DC134" s="263"/>
      <c r="DD134" s="2208"/>
    </row>
    <row r="135" spans="1:108">
      <c r="A135" s="2217">
        <f t="shared" si="81"/>
        <v>-5.5863113278152934</v>
      </c>
      <c r="B135" s="2217">
        <f t="shared" si="63"/>
        <v>8575.6876377500648</v>
      </c>
      <c r="C135" s="2217">
        <f t="shared" si="71"/>
        <v>4.9684249323345284</v>
      </c>
      <c r="D135" s="2212">
        <v>200</v>
      </c>
      <c r="E135" s="2219"/>
      <c r="F135" s="2213"/>
      <c r="G135" s="2219"/>
      <c r="H135" s="2213"/>
      <c r="I135" s="2213"/>
      <c r="J135" s="2213"/>
      <c r="K135" s="2213"/>
      <c r="L135" s="2213"/>
      <c r="M135" s="2217">
        <f t="shared" si="82"/>
        <v>-5.2385215825518765</v>
      </c>
      <c r="N135" s="2217">
        <f t="shared" si="64"/>
        <v>8575.6876377500648</v>
      </c>
      <c r="O135" s="2217">
        <f t="shared" si="72"/>
        <v>4.9684249323345284</v>
      </c>
      <c r="P135" s="2212">
        <v>200</v>
      </c>
      <c r="Q135" s="2219"/>
      <c r="R135" s="2213"/>
      <c r="S135" s="2219"/>
      <c r="T135" s="2213"/>
      <c r="U135" s="2213"/>
      <c r="V135" s="2213"/>
      <c r="W135" s="2213"/>
      <c r="X135" s="2213"/>
      <c r="Y135" s="2217">
        <f t="shared" si="83"/>
        <v>-4.7913633386417684</v>
      </c>
      <c r="Z135" s="2217">
        <f t="shared" si="73"/>
        <v>8575.6876377500648</v>
      </c>
      <c r="AA135" s="2217">
        <f t="shared" si="74"/>
        <v>4.9684249323345284</v>
      </c>
      <c r="AB135" s="2212">
        <v>200</v>
      </c>
      <c r="AC135" s="2219"/>
      <c r="AD135" s="2213"/>
      <c r="AE135" s="2219"/>
      <c r="AF135" s="2213"/>
      <c r="AG135" s="2213"/>
      <c r="AH135" s="2213"/>
      <c r="AI135" s="2213"/>
      <c r="AJ135" s="2213"/>
      <c r="AK135" s="2217">
        <f t="shared" si="84"/>
        <v>-6.9277860595456167</v>
      </c>
      <c r="AL135" s="2217">
        <f t="shared" si="65"/>
        <v>8575.6876377500648</v>
      </c>
      <c r="AM135" s="2217">
        <f t="shared" si="75"/>
        <v>4.9684249323345284</v>
      </c>
      <c r="AN135" s="2212">
        <v>200</v>
      </c>
      <c r="AO135" s="2219"/>
      <c r="AP135" s="2213"/>
      <c r="AQ135" s="2219"/>
      <c r="AR135" s="2213"/>
      <c r="AS135" s="2213"/>
      <c r="AT135" s="2213"/>
      <c r="AU135" s="2213"/>
      <c r="AV135" s="2213"/>
      <c r="AW135" s="2217">
        <f t="shared" si="85"/>
        <v>-29.29478719226265</v>
      </c>
      <c r="AX135" s="2217">
        <f t="shared" si="76"/>
        <v>5949.7051413344207</v>
      </c>
      <c r="AY135" s="2217">
        <f t="shared" si="66"/>
        <v>-16.976214332323252</v>
      </c>
      <c r="AZ135" s="2212">
        <v>200</v>
      </c>
      <c r="BA135" s="2208"/>
      <c r="BB135" s="263"/>
      <c r="BC135" s="2208"/>
      <c r="BD135" s="263"/>
      <c r="BE135" s="263"/>
      <c r="BF135" s="263"/>
      <c r="BG135" s="263"/>
      <c r="BH135" s="2208"/>
      <c r="BI135" s="2217">
        <f t="shared" si="86"/>
        <v>-34.557413635282856</v>
      </c>
      <c r="BJ135" s="2217">
        <f t="shared" si="77"/>
        <v>5949.7051413344207</v>
      </c>
      <c r="BK135" s="2217">
        <f t="shared" si="67"/>
        <v>-16.976214332323252</v>
      </c>
      <c r="BL135" s="2212">
        <v>200</v>
      </c>
      <c r="BM135" s="2208"/>
      <c r="BN135" s="263"/>
      <c r="BO135" s="2208"/>
      <c r="BP135" s="263"/>
      <c r="BQ135" s="263"/>
      <c r="BR135" s="263"/>
      <c r="BS135" s="263"/>
      <c r="BT135" s="2208"/>
      <c r="BU135" s="2217">
        <f t="shared" si="87"/>
        <v>-6.9277860595456167</v>
      </c>
      <c r="BV135" s="2217">
        <f t="shared" si="68"/>
        <v>8575.6876377500648</v>
      </c>
      <c r="BW135" s="2217">
        <f t="shared" si="78"/>
        <v>4.9684249323345284</v>
      </c>
      <c r="BX135" s="2212">
        <v>200</v>
      </c>
      <c r="BY135" s="2219"/>
      <c r="BZ135" s="2213"/>
      <c r="CA135" s="2219"/>
      <c r="CB135" s="2213"/>
      <c r="CC135" s="2213"/>
      <c r="CD135" s="2213"/>
      <c r="CE135" s="2213"/>
      <c r="CF135" s="2208"/>
      <c r="CG135" s="2217">
        <f t="shared" si="88"/>
        <v>-6.3315750676654723</v>
      </c>
      <c r="CH135" s="2217">
        <f t="shared" si="69"/>
        <v>8575.6876377500648</v>
      </c>
      <c r="CI135" s="2217">
        <f t="shared" si="79"/>
        <v>4.9684249323345284</v>
      </c>
      <c r="CJ135" s="2212">
        <v>200</v>
      </c>
      <c r="CK135" s="2219"/>
      <c r="CL135" s="2213"/>
      <c r="CM135" s="2219"/>
      <c r="CN135" s="2213"/>
      <c r="CO135" s="2213"/>
      <c r="CP135" s="2213"/>
      <c r="CQ135" s="2213"/>
      <c r="CR135" s="2208"/>
      <c r="CS135" s="2217">
        <f t="shared" si="89"/>
        <v>-34.21788934863639</v>
      </c>
      <c r="CT135" s="2217">
        <f t="shared" si="80"/>
        <v>5949.7051413344207</v>
      </c>
      <c r="CU135" s="2217">
        <f t="shared" si="70"/>
        <v>-16.976214332323252</v>
      </c>
      <c r="CV135" s="2212">
        <v>200</v>
      </c>
      <c r="CW135" s="2208"/>
      <c r="CX135" s="263"/>
      <c r="CY135" s="2208"/>
      <c r="CZ135" s="263"/>
      <c r="DA135" s="263"/>
      <c r="DB135" s="263"/>
      <c r="DC135" s="263"/>
      <c r="DD135" s="2208"/>
    </row>
    <row r="136" spans="1:108">
      <c r="A136" s="2217">
        <f t="shared" si="81"/>
        <v>-5.429438198431491</v>
      </c>
      <c r="B136" s="2217">
        <f t="shared" si="63"/>
        <v>8570.7192128177303</v>
      </c>
      <c r="C136" s="2217">
        <f t="shared" si="71"/>
        <v>5.1048363491900091</v>
      </c>
      <c r="D136" s="2212">
        <v>199</v>
      </c>
      <c r="E136" s="2219"/>
      <c r="F136" s="2213"/>
      <c r="G136" s="2219"/>
      <c r="H136" s="2213"/>
      <c r="I136" s="2213"/>
      <c r="J136" s="2213"/>
      <c r="K136" s="2213"/>
      <c r="L136" s="2213"/>
      <c r="M136" s="2217">
        <f t="shared" si="82"/>
        <v>-5.0720996539881895</v>
      </c>
      <c r="N136" s="2217">
        <f t="shared" si="64"/>
        <v>8570.7192128177303</v>
      </c>
      <c r="O136" s="2217">
        <f t="shared" si="72"/>
        <v>5.1048363491900091</v>
      </c>
      <c r="P136" s="2212">
        <v>199</v>
      </c>
      <c r="Q136" s="2219"/>
      <c r="R136" s="2213"/>
      <c r="S136" s="2219"/>
      <c r="T136" s="2213"/>
      <c r="U136" s="2213"/>
      <c r="V136" s="2213"/>
      <c r="W136" s="2213"/>
      <c r="X136" s="2213"/>
      <c r="Y136" s="2217">
        <f t="shared" si="83"/>
        <v>-4.6126643825610882</v>
      </c>
      <c r="Z136" s="2217">
        <f t="shared" si="73"/>
        <v>8570.7192128177303</v>
      </c>
      <c r="AA136" s="2217">
        <f t="shared" si="74"/>
        <v>5.1048363491900091</v>
      </c>
      <c r="AB136" s="2212">
        <v>199</v>
      </c>
      <c r="AC136" s="2219"/>
      <c r="AD136" s="2213"/>
      <c r="AE136" s="2219"/>
      <c r="AF136" s="2213"/>
      <c r="AG136" s="2213"/>
      <c r="AH136" s="2213"/>
      <c r="AI136" s="2213"/>
      <c r="AJ136" s="2213"/>
      <c r="AK136" s="2217">
        <f t="shared" si="84"/>
        <v>-6.8077440127127931</v>
      </c>
      <c r="AL136" s="2217">
        <f t="shared" si="65"/>
        <v>8570.7192128177303</v>
      </c>
      <c r="AM136" s="2217">
        <f t="shared" si="75"/>
        <v>5.1048363491900091</v>
      </c>
      <c r="AN136" s="2212">
        <v>199</v>
      </c>
      <c r="AO136" s="2219"/>
      <c r="AP136" s="2213"/>
      <c r="AQ136" s="2219"/>
      <c r="AR136" s="2213"/>
      <c r="AS136" s="2213"/>
      <c r="AT136" s="2213"/>
      <c r="AU136" s="2213"/>
      <c r="AV136" s="2213"/>
      <c r="AW136" s="2217">
        <f t="shared" si="85"/>
        <v>-28.944494275620002</v>
      </c>
      <c r="AX136" s="2217">
        <f t="shared" si="76"/>
        <v>5966.6813556667439</v>
      </c>
      <c r="AY136" s="2217">
        <f t="shared" si="66"/>
        <v>-16.645749316622641</v>
      </c>
      <c r="AZ136" s="2212">
        <v>199</v>
      </c>
      <c r="BA136" s="2208"/>
      <c r="BB136" s="263"/>
      <c r="BC136" s="2208"/>
      <c r="BD136" s="263"/>
      <c r="BE136" s="263"/>
      <c r="BF136" s="263"/>
      <c r="BG136" s="263"/>
      <c r="BH136" s="2208"/>
      <c r="BI136" s="2217">
        <f t="shared" si="86"/>
        <v>-34.104676563773026</v>
      </c>
      <c r="BJ136" s="2217">
        <f t="shared" si="77"/>
        <v>5966.6813556667439</v>
      </c>
      <c r="BK136" s="2217">
        <f t="shared" si="67"/>
        <v>-16.645749316622641</v>
      </c>
      <c r="BL136" s="2212">
        <v>199</v>
      </c>
      <c r="BM136" s="2208"/>
      <c r="BN136" s="263"/>
      <c r="BO136" s="2208"/>
      <c r="BP136" s="263"/>
      <c r="BQ136" s="263"/>
      <c r="BR136" s="263"/>
      <c r="BS136" s="263"/>
      <c r="BT136" s="2208"/>
      <c r="BU136" s="2217">
        <f t="shared" si="87"/>
        <v>-6.8077440127127931</v>
      </c>
      <c r="BV136" s="2217">
        <f t="shared" si="68"/>
        <v>8570.7192128177303</v>
      </c>
      <c r="BW136" s="2217">
        <f t="shared" si="78"/>
        <v>5.1048363491900091</v>
      </c>
      <c r="BX136" s="2212">
        <v>199</v>
      </c>
      <c r="BY136" s="2219"/>
      <c r="BZ136" s="2213"/>
      <c r="CA136" s="2219"/>
      <c r="CB136" s="2213"/>
      <c r="CC136" s="2213"/>
      <c r="CD136" s="2213"/>
      <c r="CE136" s="2213"/>
      <c r="CF136" s="2208"/>
      <c r="CG136" s="2217">
        <f t="shared" si="88"/>
        <v>-6.1951636508099917</v>
      </c>
      <c r="CH136" s="2217">
        <f t="shared" si="69"/>
        <v>8570.7192128177303</v>
      </c>
      <c r="CI136" s="2217">
        <f t="shared" si="79"/>
        <v>5.1048363491900091</v>
      </c>
      <c r="CJ136" s="2212">
        <v>199</v>
      </c>
      <c r="CK136" s="2219"/>
      <c r="CL136" s="2213"/>
      <c r="CM136" s="2219"/>
      <c r="CN136" s="2213"/>
      <c r="CO136" s="2213"/>
      <c r="CP136" s="2213"/>
      <c r="CQ136" s="2213"/>
      <c r="CR136" s="2208"/>
      <c r="CS136" s="2217">
        <f t="shared" si="89"/>
        <v>-33.771761577440572</v>
      </c>
      <c r="CT136" s="2217">
        <f t="shared" si="80"/>
        <v>5966.6813556667439</v>
      </c>
      <c r="CU136" s="2217">
        <f t="shared" si="70"/>
        <v>-16.645749316622641</v>
      </c>
      <c r="CV136" s="2212">
        <v>199</v>
      </c>
      <c r="CW136" s="2208"/>
      <c r="CX136" s="263"/>
      <c r="CY136" s="2208"/>
      <c r="CZ136" s="263"/>
      <c r="DA136" s="263"/>
      <c r="DB136" s="263"/>
      <c r="DC136" s="263"/>
      <c r="DD136" s="2208"/>
    </row>
    <row r="137" spans="1:108">
      <c r="A137" s="2217">
        <f t="shared" si="81"/>
        <v>-5.2715961615409483</v>
      </c>
      <c r="B137" s="2217">
        <f t="shared" si="63"/>
        <v>8565.6143764685403</v>
      </c>
      <c r="C137" s="2217">
        <f t="shared" si="71"/>
        <v>5.2420902943122201</v>
      </c>
      <c r="D137" s="2212">
        <v>198</v>
      </c>
      <c r="E137" s="2219"/>
      <c r="F137" s="2213"/>
      <c r="G137" s="2219"/>
      <c r="H137" s="2213"/>
      <c r="I137" s="2213"/>
      <c r="J137" s="2213"/>
      <c r="K137" s="2213"/>
      <c r="L137" s="2213"/>
      <c r="M137" s="2217">
        <f t="shared" si="82"/>
        <v>-4.9046498409390926</v>
      </c>
      <c r="N137" s="2217">
        <f t="shared" si="64"/>
        <v>8565.6143764685403</v>
      </c>
      <c r="O137" s="2217">
        <f t="shared" si="72"/>
        <v>5.2420902943122201</v>
      </c>
      <c r="P137" s="2212">
        <v>198</v>
      </c>
      <c r="Q137" s="2219"/>
      <c r="R137" s="2213"/>
      <c r="S137" s="2219"/>
      <c r="T137" s="2213"/>
      <c r="U137" s="2213"/>
      <c r="V137" s="2213"/>
      <c r="W137" s="2213"/>
      <c r="X137" s="2213"/>
      <c r="Y137" s="2217">
        <f t="shared" si="83"/>
        <v>-4.4328617144509925</v>
      </c>
      <c r="Z137" s="2217">
        <f t="shared" si="73"/>
        <v>8565.6143764685403</v>
      </c>
      <c r="AA137" s="2217">
        <f t="shared" si="74"/>
        <v>5.2420902943122201</v>
      </c>
      <c r="AB137" s="2212">
        <v>198</v>
      </c>
      <c r="AC137" s="2219"/>
      <c r="AD137" s="2213"/>
      <c r="AE137" s="2219"/>
      <c r="AF137" s="2213"/>
      <c r="AG137" s="2213"/>
      <c r="AH137" s="2213"/>
      <c r="AI137" s="2213"/>
      <c r="AJ137" s="2213"/>
      <c r="AK137" s="2217">
        <f t="shared" si="84"/>
        <v>-6.6869605410052477</v>
      </c>
      <c r="AL137" s="2217">
        <f t="shared" si="65"/>
        <v>8565.6143764685403</v>
      </c>
      <c r="AM137" s="2217">
        <f t="shared" si="75"/>
        <v>5.2420902943122201</v>
      </c>
      <c r="AN137" s="2212">
        <v>198</v>
      </c>
      <c r="AO137" s="2219"/>
      <c r="AP137" s="2213"/>
      <c r="AQ137" s="2219"/>
      <c r="AR137" s="2213"/>
      <c r="AS137" s="2213"/>
      <c r="AT137" s="2213"/>
      <c r="AU137" s="2213"/>
      <c r="AV137" s="2213"/>
      <c r="AW137" s="2217">
        <f t="shared" si="85"/>
        <v>-28.594366638952362</v>
      </c>
      <c r="AX137" s="2217">
        <f t="shared" si="76"/>
        <v>5983.3271049833666</v>
      </c>
      <c r="AY137" s="2217">
        <f t="shared" si="66"/>
        <v>-16.315440225426755</v>
      </c>
      <c r="AZ137" s="2212">
        <v>198</v>
      </c>
      <c r="BA137" s="2208"/>
      <c r="BB137" s="263"/>
      <c r="BC137" s="2208"/>
      <c r="BD137" s="263"/>
      <c r="BE137" s="263"/>
      <c r="BF137" s="263"/>
      <c r="BG137" s="263"/>
      <c r="BH137" s="2208"/>
      <c r="BI137" s="2217">
        <f t="shared" si="86"/>
        <v>-33.652153108834653</v>
      </c>
      <c r="BJ137" s="2217">
        <f t="shared" si="77"/>
        <v>5983.3271049833666</v>
      </c>
      <c r="BK137" s="2217">
        <f t="shared" si="67"/>
        <v>-16.315440225426755</v>
      </c>
      <c r="BL137" s="2212">
        <v>198</v>
      </c>
      <c r="BM137" s="2208"/>
      <c r="BN137" s="263"/>
      <c r="BO137" s="2208"/>
      <c r="BP137" s="263"/>
      <c r="BQ137" s="263"/>
      <c r="BR137" s="263"/>
      <c r="BS137" s="263"/>
      <c r="BT137" s="2208"/>
      <c r="BU137" s="2217">
        <f t="shared" si="87"/>
        <v>-6.6869605410052477</v>
      </c>
      <c r="BV137" s="2217">
        <f t="shared" si="68"/>
        <v>8565.6143764685403</v>
      </c>
      <c r="BW137" s="2217">
        <f t="shared" si="78"/>
        <v>5.2420902943122201</v>
      </c>
      <c r="BX137" s="2212">
        <v>198</v>
      </c>
      <c r="BY137" s="2219"/>
      <c r="BZ137" s="2213"/>
      <c r="CA137" s="2219"/>
      <c r="CB137" s="2213"/>
      <c r="CC137" s="2213"/>
      <c r="CD137" s="2213"/>
      <c r="CE137" s="2213"/>
      <c r="CF137" s="2208"/>
      <c r="CG137" s="2217">
        <f t="shared" si="88"/>
        <v>-6.0579097056877806</v>
      </c>
      <c r="CH137" s="2217">
        <f t="shared" si="69"/>
        <v>8565.6143764685403</v>
      </c>
      <c r="CI137" s="2217">
        <f t="shared" si="79"/>
        <v>5.2420902943122201</v>
      </c>
      <c r="CJ137" s="2212">
        <v>198</v>
      </c>
      <c r="CK137" s="2219"/>
      <c r="CL137" s="2213"/>
      <c r="CM137" s="2219"/>
      <c r="CN137" s="2213"/>
      <c r="CO137" s="2213"/>
      <c r="CP137" s="2213"/>
      <c r="CQ137" s="2213"/>
      <c r="CR137" s="2208"/>
      <c r="CS137" s="2217">
        <f t="shared" si="89"/>
        <v>-33.325844304326125</v>
      </c>
      <c r="CT137" s="2217">
        <f t="shared" si="80"/>
        <v>5983.3271049833666</v>
      </c>
      <c r="CU137" s="2217">
        <f t="shared" si="70"/>
        <v>-16.315440225426755</v>
      </c>
      <c r="CV137" s="2212">
        <v>198</v>
      </c>
      <c r="CW137" s="2208"/>
      <c r="CX137" s="263"/>
      <c r="CY137" s="2208"/>
      <c r="CZ137" s="263"/>
      <c r="DA137" s="263"/>
      <c r="DB137" s="263"/>
      <c r="DC137" s="263"/>
      <c r="DD137" s="2208"/>
    </row>
    <row r="138" spans="1:108">
      <c r="A138" s="2217">
        <f t="shared" si="81"/>
        <v>-5.1127852171352979</v>
      </c>
      <c r="B138" s="2217">
        <f t="shared" si="63"/>
        <v>8560.3722861742281</v>
      </c>
      <c r="C138" s="2217">
        <f t="shared" si="71"/>
        <v>5.3801867677084374</v>
      </c>
      <c r="D138" s="2212">
        <v>197</v>
      </c>
      <c r="E138" s="2219"/>
      <c r="F138" s="2213"/>
      <c r="G138" s="2219"/>
      <c r="H138" s="2213"/>
      <c r="I138" s="2213"/>
      <c r="J138" s="2213"/>
      <c r="K138" s="2213"/>
      <c r="L138" s="2213"/>
      <c r="M138" s="2217">
        <f t="shared" si="82"/>
        <v>-4.7361721433957076</v>
      </c>
      <c r="N138" s="2217">
        <f t="shared" si="64"/>
        <v>8560.3722861742281</v>
      </c>
      <c r="O138" s="2217">
        <f t="shared" si="72"/>
        <v>5.3801867677084374</v>
      </c>
      <c r="P138" s="2212">
        <v>197</v>
      </c>
      <c r="Q138" s="2219"/>
      <c r="R138" s="2213"/>
      <c r="S138" s="2219"/>
      <c r="T138" s="2213"/>
      <c r="U138" s="2213"/>
      <c r="V138" s="2213"/>
      <c r="W138" s="2213"/>
      <c r="X138" s="2213"/>
      <c r="Y138" s="2217">
        <f t="shared" si="83"/>
        <v>-4.2519553343019476</v>
      </c>
      <c r="Z138" s="2217">
        <f t="shared" si="73"/>
        <v>8560.3722861742281</v>
      </c>
      <c r="AA138" s="2217">
        <f t="shared" si="74"/>
        <v>5.3801867677084374</v>
      </c>
      <c r="AB138" s="2212">
        <v>197</v>
      </c>
      <c r="AC138" s="2219"/>
      <c r="AD138" s="2213"/>
      <c r="AE138" s="2219"/>
      <c r="AF138" s="2213"/>
      <c r="AG138" s="2213"/>
      <c r="AH138" s="2213"/>
      <c r="AI138" s="2213"/>
      <c r="AJ138" s="2213"/>
      <c r="AK138" s="2217">
        <f t="shared" si="84"/>
        <v>-6.565435644416576</v>
      </c>
      <c r="AL138" s="2217">
        <f t="shared" si="65"/>
        <v>8560.3722861742281</v>
      </c>
      <c r="AM138" s="2217">
        <f t="shared" si="75"/>
        <v>5.3801867677084374</v>
      </c>
      <c r="AN138" s="2212">
        <v>197</v>
      </c>
      <c r="AO138" s="2219"/>
      <c r="AP138" s="2213"/>
      <c r="AQ138" s="2219"/>
      <c r="AR138" s="2213"/>
      <c r="AS138" s="2213"/>
      <c r="AT138" s="2213"/>
      <c r="AU138" s="2213"/>
      <c r="AV138" s="2213"/>
      <c r="AW138" s="2217">
        <f t="shared" si="85"/>
        <v>-28.244404282252017</v>
      </c>
      <c r="AX138" s="2217">
        <f t="shared" si="76"/>
        <v>5999.6425452087933</v>
      </c>
      <c r="AY138" s="2217">
        <f t="shared" si="66"/>
        <v>-15.985287058728318</v>
      </c>
      <c r="AZ138" s="2212">
        <v>197</v>
      </c>
      <c r="BA138" s="2208"/>
      <c r="BB138" s="263"/>
      <c r="BC138" s="2208"/>
      <c r="BD138" s="263"/>
      <c r="BE138" s="263"/>
      <c r="BF138" s="263"/>
      <c r="BG138" s="263"/>
      <c r="BH138" s="2208"/>
      <c r="BI138" s="2217">
        <f t="shared" si="86"/>
        <v>-33.199843270457798</v>
      </c>
      <c r="BJ138" s="2217">
        <f t="shared" si="77"/>
        <v>5999.6425452087933</v>
      </c>
      <c r="BK138" s="2217">
        <f t="shared" si="67"/>
        <v>-15.985287058728318</v>
      </c>
      <c r="BL138" s="2212">
        <v>197</v>
      </c>
      <c r="BM138" s="2208"/>
      <c r="BN138" s="263"/>
      <c r="BO138" s="2208"/>
      <c r="BP138" s="263"/>
      <c r="BQ138" s="263"/>
      <c r="BR138" s="263"/>
      <c r="BS138" s="263"/>
      <c r="BT138" s="2208"/>
      <c r="BU138" s="2217">
        <f t="shared" si="87"/>
        <v>-6.565435644416576</v>
      </c>
      <c r="BV138" s="2217">
        <f t="shared" si="68"/>
        <v>8560.3722861742281</v>
      </c>
      <c r="BW138" s="2217">
        <f t="shared" si="78"/>
        <v>5.3801867677084374</v>
      </c>
      <c r="BX138" s="2212">
        <v>197</v>
      </c>
      <c r="BY138" s="2219"/>
      <c r="BZ138" s="2213"/>
      <c r="CA138" s="2219"/>
      <c r="CB138" s="2213"/>
      <c r="CC138" s="2213"/>
      <c r="CD138" s="2213"/>
      <c r="CE138" s="2213"/>
      <c r="CF138" s="2208"/>
      <c r="CG138" s="2217">
        <f t="shared" si="88"/>
        <v>-5.9198132322915633</v>
      </c>
      <c r="CH138" s="2217">
        <f t="shared" si="69"/>
        <v>8560.3722861742281</v>
      </c>
      <c r="CI138" s="2217">
        <f t="shared" si="79"/>
        <v>5.3801867677084374</v>
      </c>
      <c r="CJ138" s="2212">
        <v>197</v>
      </c>
      <c r="CK138" s="2219"/>
      <c r="CL138" s="2213"/>
      <c r="CM138" s="2219"/>
      <c r="CN138" s="2213"/>
      <c r="CO138" s="2213"/>
      <c r="CP138" s="2213"/>
      <c r="CQ138" s="2213"/>
      <c r="CR138" s="2208"/>
      <c r="CS138" s="2217">
        <f t="shared" si="89"/>
        <v>-32.880137529283232</v>
      </c>
      <c r="CT138" s="2217">
        <f t="shared" si="80"/>
        <v>5999.6425452087933</v>
      </c>
      <c r="CU138" s="2217">
        <f t="shared" si="70"/>
        <v>-15.985287058728318</v>
      </c>
      <c r="CV138" s="2212">
        <v>197</v>
      </c>
      <c r="CW138" s="2208"/>
      <c r="CX138" s="263"/>
      <c r="CY138" s="2208"/>
      <c r="CZ138" s="263"/>
      <c r="DA138" s="263"/>
      <c r="DB138" s="263"/>
      <c r="DC138" s="263"/>
      <c r="DD138" s="2208"/>
    </row>
    <row r="139" spans="1:108">
      <c r="A139" s="2217">
        <f t="shared" si="81"/>
        <v>-4.953005365222908</v>
      </c>
      <c r="B139" s="2217">
        <f t="shared" si="63"/>
        <v>8554.9920994065196</v>
      </c>
      <c r="C139" s="2217">
        <f t="shared" si="71"/>
        <v>5.5191257693713851</v>
      </c>
      <c r="D139" s="2212">
        <v>196</v>
      </c>
      <c r="E139" s="2219"/>
      <c r="F139" s="2213"/>
      <c r="G139" s="2219"/>
      <c r="H139" s="2213"/>
      <c r="I139" s="2213"/>
      <c r="J139" s="2213"/>
      <c r="K139" s="2213"/>
      <c r="L139" s="2213"/>
      <c r="M139" s="2217">
        <f t="shared" si="82"/>
        <v>-4.5666665613669108</v>
      </c>
      <c r="N139" s="2217">
        <f t="shared" si="64"/>
        <v>8554.9920994065196</v>
      </c>
      <c r="O139" s="2217">
        <f t="shared" si="72"/>
        <v>5.5191257693713851</v>
      </c>
      <c r="P139" s="2212">
        <v>196</v>
      </c>
      <c r="Q139" s="2219"/>
      <c r="R139" s="2213"/>
      <c r="S139" s="2219"/>
      <c r="T139" s="2213"/>
      <c r="U139" s="2213"/>
      <c r="V139" s="2213"/>
      <c r="W139" s="2213"/>
      <c r="X139" s="2213"/>
      <c r="Y139" s="2217">
        <f t="shared" si="83"/>
        <v>-4.0699452421234863</v>
      </c>
      <c r="Z139" s="2217">
        <f t="shared" si="73"/>
        <v>8554.9920994065196</v>
      </c>
      <c r="AA139" s="2217">
        <f t="shared" si="74"/>
        <v>5.5191257693713851</v>
      </c>
      <c r="AB139" s="2212">
        <v>196</v>
      </c>
      <c r="AC139" s="2219"/>
      <c r="AD139" s="2213"/>
      <c r="AE139" s="2219"/>
      <c r="AF139" s="2213"/>
      <c r="AG139" s="2213"/>
      <c r="AH139" s="2213"/>
      <c r="AI139" s="2213"/>
      <c r="AJ139" s="2213"/>
      <c r="AK139" s="2217">
        <f t="shared" si="84"/>
        <v>-6.4431693229531826</v>
      </c>
      <c r="AL139" s="2217">
        <f t="shared" si="65"/>
        <v>8554.9920994065196</v>
      </c>
      <c r="AM139" s="2217">
        <f t="shared" si="75"/>
        <v>5.5191257693713851</v>
      </c>
      <c r="AN139" s="2212">
        <v>196</v>
      </c>
      <c r="AO139" s="2219"/>
      <c r="AP139" s="2213"/>
      <c r="AQ139" s="2219"/>
      <c r="AR139" s="2213"/>
      <c r="AS139" s="2213"/>
      <c r="AT139" s="2213"/>
      <c r="AU139" s="2213"/>
      <c r="AV139" s="2213"/>
      <c r="AW139" s="2217">
        <f t="shared" si="85"/>
        <v>-27.89460720552572</v>
      </c>
      <c r="AX139" s="2217">
        <f t="shared" si="76"/>
        <v>6015.6278322675216</v>
      </c>
      <c r="AY139" s="2217">
        <f t="shared" si="66"/>
        <v>-15.655289816533696</v>
      </c>
      <c r="AZ139" s="2212">
        <v>196</v>
      </c>
      <c r="BA139" s="2208"/>
      <c r="BB139" s="263"/>
      <c r="BC139" s="2208"/>
      <c r="BD139" s="263"/>
      <c r="BE139" s="263"/>
      <c r="BF139" s="263"/>
      <c r="BG139" s="263"/>
      <c r="BH139" s="2208"/>
      <c r="BI139" s="2217">
        <f t="shared" si="86"/>
        <v>-32.747747048651163</v>
      </c>
      <c r="BJ139" s="2217">
        <f t="shared" si="77"/>
        <v>6015.6278322675216</v>
      </c>
      <c r="BK139" s="2217">
        <f t="shared" si="67"/>
        <v>-15.655289816533696</v>
      </c>
      <c r="BL139" s="2212">
        <v>196</v>
      </c>
      <c r="BM139" s="2208"/>
      <c r="BN139" s="263"/>
      <c r="BO139" s="2208"/>
      <c r="BP139" s="263"/>
      <c r="BQ139" s="263"/>
      <c r="BR139" s="263"/>
      <c r="BS139" s="263"/>
      <c r="BT139" s="2208"/>
      <c r="BU139" s="2217">
        <f t="shared" si="87"/>
        <v>-6.4431693229531826</v>
      </c>
      <c r="BV139" s="2217">
        <f t="shared" si="68"/>
        <v>8554.9920994065196</v>
      </c>
      <c r="BW139" s="2217">
        <f t="shared" si="78"/>
        <v>5.5191257693713851</v>
      </c>
      <c r="BX139" s="2212">
        <v>196</v>
      </c>
      <c r="BY139" s="2219"/>
      <c r="BZ139" s="2213"/>
      <c r="CA139" s="2219"/>
      <c r="CB139" s="2213"/>
      <c r="CC139" s="2213"/>
      <c r="CD139" s="2213"/>
      <c r="CE139" s="2213"/>
      <c r="CF139" s="2208"/>
      <c r="CG139" s="2217">
        <f t="shared" si="88"/>
        <v>-5.7808742306286156</v>
      </c>
      <c r="CH139" s="2217">
        <f t="shared" si="69"/>
        <v>8554.9920994065196</v>
      </c>
      <c r="CI139" s="2217">
        <f t="shared" si="79"/>
        <v>5.5191257693713851</v>
      </c>
      <c r="CJ139" s="2212">
        <v>196</v>
      </c>
      <c r="CK139" s="2219"/>
      <c r="CL139" s="2213"/>
      <c r="CM139" s="2219"/>
      <c r="CN139" s="2213"/>
      <c r="CO139" s="2213"/>
      <c r="CP139" s="2213"/>
      <c r="CQ139" s="2213"/>
      <c r="CR139" s="2208"/>
      <c r="CS139" s="2217">
        <f t="shared" si="89"/>
        <v>-32.434641252320489</v>
      </c>
      <c r="CT139" s="2217">
        <f t="shared" si="80"/>
        <v>6015.6278322675216</v>
      </c>
      <c r="CU139" s="2217">
        <f t="shared" si="70"/>
        <v>-15.655289816533696</v>
      </c>
      <c r="CV139" s="2212">
        <v>196</v>
      </c>
      <c r="CW139" s="2208"/>
      <c r="CX139" s="263"/>
      <c r="CY139" s="2208"/>
      <c r="CZ139" s="263"/>
      <c r="DA139" s="263"/>
      <c r="DB139" s="263"/>
      <c r="DC139" s="263"/>
      <c r="DD139" s="2208"/>
    </row>
    <row r="140" spans="1:108">
      <c r="A140" s="2217">
        <f t="shared" si="81"/>
        <v>-4.7922566057975029</v>
      </c>
      <c r="B140" s="2217">
        <f t="shared" si="63"/>
        <v>8549.4729736371482</v>
      </c>
      <c r="C140" s="2217">
        <f t="shared" si="71"/>
        <v>5.6589072993065201</v>
      </c>
      <c r="D140" s="2212">
        <v>195</v>
      </c>
      <c r="E140" s="2219"/>
      <c r="F140" s="2213"/>
      <c r="G140" s="2219"/>
      <c r="H140" s="2213"/>
      <c r="I140" s="2213"/>
      <c r="J140" s="2213"/>
      <c r="K140" s="2213"/>
      <c r="L140" s="2213"/>
      <c r="M140" s="2217">
        <f t="shared" si="82"/>
        <v>-4.3961330948460464</v>
      </c>
      <c r="N140" s="2217">
        <f t="shared" si="64"/>
        <v>8549.4729736371482</v>
      </c>
      <c r="O140" s="2217">
        <f t="shared" si="72"/>
        <v>5.6589072993065201</v>
      </c>
      <c r="P140" s="2212">
        <v>195</v>
      </c>
      <c r="Q140" s="2219"/>
      <c r="R140" s="2213"/>
      <c r="S140" s="2219"/>
      <c r="T140" s="2213"/>
      <c r="U140" s="2213"/>
      <c r="V140" s="2213"/>
      <c r="W140" s="2213"/>
      <c r="X140" s="2213"/>
      <c r="Y140" s="2217">
        <f t="shared" si="83"/>
        <v>-3.8868314379084588</v>
      </c>
      <c r="Z140" s="2217">
        <f t="shared" si="73"/>
        <v>8549.4729736371482</v>
      </c>
      <c r="AA140" s="2217">
        <f t="shared" si="74"/>
        <v>5.6589072993065201</v>
      </c>
      <c r="AB140" s="2212">
        <v>195</v>
      </c>
      <c r="AC140" s="2219"/>
      <c r="AD140" s="2213"/>
      <c r="AE140" s="2219"/>
      <c r="AF140" s="2213"/>
      <c r="AG140" s="2213"/>
      <c r="AH140" s="2213"/>
      <c r="AI140" s="2213"/>
      <c r="AJ140" s="2213"/>
      <c r="AK140" s="2217">
        <f t="shared" si="84"/>
        <v>-6.3201615766102632</v>
      </c>
      <c r="AL140" s="2217">
        <f t="shared" si="65"/>
        <v>8549.4729736371482</v>
      </c>
      <c r="AM140" s="2217">
        <f t="shared" si="75"/>
        <v>5.6589072993065201</v>
      </c>
      <c r="AN140" s="2212">
        <v>195</v>
      </c>
      <c r="AO140" s="2219"/>
      <c r="AP140" s="2213"/>
      <c r="AQ140" s="2219"/>
      <c r="AR140" s="2213"/>
      <c r="AS140" s="2213"/>
      <c r="AT140" s="2213"/>
      <c r="AU140" s="2213"/>
      <c r="AV140" s="2213"/>
      <c r="AW140" s="2217">
        <f t="shared" si="85"/>
        <v>-27.544975408765751</v>
      </c>
      <c r="AX140" s="2217">
        <f t="shared" si="76"/>
        <v>6031.2831220840553</v>
      </c>
      <c r="AY140" s="2217">
        <f t="shared" si="66"/>
        <v>-15.325448498835613</v>
      </c>
      <c r="AZ140" s="2212">
        <v>195</v>
      </c>
      <c r="BA140" s="2208"/>
      <c r="BB140" s="263"/>
      <c r="BC140" s="2208"/>
      <c r="BD140" s="263"/>
      <c r="BE140" s="263"/>
      <c r="BF140" s="263"/>
      <c r="BG140" s="263"/>
      <c r="BH140" s="2208"/>
      <c r="BI140" s="2217">
        <f t="shared" si="86"/>
        <v>-32.295864443404795</v>
      </c>
      <c r="BJ140" s="2217">
        <f t="shared" si="77"/>
        <v>6031.2831220840553</v>
      </c>
      <c r="BK140" s="2217">
        <f t="shared" si="67"/>
        <v>-15.325448498835613</v>
      </c>
      <c r="BL140" s="2212">
        <v>195</v>
      </c>
      <c r="BM140" s="2208"/>
      <c r="BN140" s="263"/>
      <c r="BO140" s="2208"/>
      <c r="BP140" s="263"/>
      <c r="BQ140" s="263"/>
      <c r="BR140" s="263"/>
      <c r="BS140" s="263"/>
      <c r="BT140" s="2208"/>
      <c r="BU140" s="2217">
        <f t="shared" si="87"/>
        <v>-6.3201615766102632</v>
      </c>
      <c r="BV140" s="2217">
        <f t="shared" si="68"/>
        <v>8549.4729736371482</v>
      </c>
      <c r="BW140" s="2217">
        <f t="shared" si="78"/>
        <v>5.6589072993065201</v>
      </c>
      <c r="BX140" s="2212">
        <v>195</v>
      </c>
      <c r="BY140" s="2219"/>
      <c r="BZ140" s="2213"/>
      <c r="CA140" s="2219"/>
      <c r="CB140" s="2213"/>
      <c r="CC140" s="2213"/>
      <c r="CD140" s="2213"/>
      <c r="CE140" s="2213"/>
      <c r="CF140" s="2208"/>
      <c r="CG140" s="2217">
        <f t="shared" si="88"/>
        <v>-5.6410927006934806</v>
      </c>
      <c r="CH140" s="2217">
        <f t="shared" si="69"/>
        <v>8549.4729736371482</v>
      </c>
      <c r="CI140" s="2217">
        <f t="shared" si="79"/>
        <v>5.6589072993065201</v>
      </c>
      <c r="CJ140" s="2212">
        <v>195</v>
      </c>
      <c r="CK140" s="2219"/>
      <c r="CL140" s="2213"/>
      <c r="CM140" s="2219"/>
      <c r="CN140" s="2213"/>
      <c r="CO140" s="2213"/>
      <c r="CP140" s="2213"/>
      <c r="CQ140" s="2213"/>
      <c r="CR140" s="2208"/>
      <c r="CS140" s="2217">
        <f t="shared" si="89"/>
        <v>-31.989355473428081</v>
      </c>
      <c r="CT140" s="2217">
        <f t="shared" si="80"/>
        <v>6031.2831220840553</v>
      </c>
      <c r="CU140" s="2217">
        <f t="shared" si="70"/>
        <v>-15.325448498835613</v>
      </c>
      <c r="CV140" s="2212">
        <v>195</v>
      </c>
      <c r="CW140" s="2208"/>
      <c r="CX140" s="263"/>
      <c r="CY140" s="2208"/>
      <c r="CZ140" s="263"/>
      <c r="DA140" s="263"/>
      <c r="DB140" s="263"/>
      <c r="DC140" s="263"/>
      <c r="DD140" s="2208"/>
    </row>
    <row r="141" spans="1:108">
      <c r="A141" s="2217">
        <f t="shared" si="81"/>
        <v>-4.63053893886745</v>
      </c>
      <c r="B141" s="2217">
        <f t="shared" si="63"/>
        <v>8543.8140663378417</v>
      </c>
      <c r="C141" s="2217">
        <f t="shared" si="71"/>
        <v>5.7995313575065666</v>
      </c>
      <c r="D141" s="2212">
        <v>194</v>
      </c>
      <c r="E141" s="2219"/>
      <c r="F141" s="2213"/>
      <c r="G141" s="2219"/>
      <c r="H141" s="2213"/>
      <c r="I141" s="2213"/>
      <c r="J141" s="2213"/>
      <c r="K141" s="2213"/>
      <c r="L141" s="2213"/>
      <c r="M141" s="2217">
        <f t="shared" si="82"/>
        <v>-4.2245717438419899</v>
      </c>
      <c r="N141" s="2217">
        <f t="shared" si="64"/>
        <v>8543.8140663378417</v>
      </c>
      <c r="O141" s="2217">
        <f t="shared" si="72"/>
        <v>5.7995313575065666</v>
      </c>
      <c r="P141" s="2212">
        <v>194</v>
      </c>
      <c r="Q141" s="2219"/>
      <c r="R141" s="2213"/>
      <c r="S141" s="2219"/>
      <c r="T141" s="2213"/>
      <c r="U141" s="2213"/>
      <c r="V141" s="2213"/>
      <c r="W141" s="2213"/>
      <c r="X141" s="2213"/>
      <c r="Y141" s="2217">
        <f t="shared" si="83"/>
        <v>-3.7026139216663978</v>
      </c>
      <c r="Z141" s="2217">
        <f t="shared" si="73"/>
        <v>8543.8140663378417</v>
      </c>
      <c r="AA141" s="2217">
        <f t="shared" si="74"/>
        <v>5.7995313575065666</v>
      </c>
      <c r="AB141" s="2212">
        <v>194</v>
      </c>
      <c r="AC141" s="2219"/>
      <c r="AD141" s="2213"/>
      <c r="AE141" s="2219"/>
      <c r="AF141" s="2213"/>
      <c r="AG141" s="2213"/>
      <c r="AH141" s="2213"/>
      <c r="AI141" s="2213"/>
      <c r="AJ141" s="2213"/>
      <c r="AK141" s="2217">
        <f t="shared" si="84"/>
        <v>-6.1964124053942227</v>
      </c>
      <c r="AL141" s="2217">
        <f t="shared" si="65"/>
        <v>8543.8140663378417</v>
      </c>
      <c r="AM141" s="2217">
        <f t="shared" si="75"/>
        <v>5.7995313575065666</v>
      </c>
      <c r="AN141" s="2212">
        <v>194</v>
      </c>
      <c r="AO141" s="2219"/>
      <c r="AP141" s="2213"/>
      <c r="AQ141" s="2219"/>
      <c r="AR141" s="2213"/>
      <c r="AS141" s="2213"/>
      <c r="AT141" s="2213"/>
      <c r="AU141" s="2213"/>
      <c r="AV141" s="2213"/>
      <c r="AW141" s="2217">
        <f t="shared" si="85"/>
        <v>-27.195508891979827</v>
      </c>
      <c r="AX141" s="2217">
        <f t="shared" si="76"/>
        <v>6046.6085705828909</v>
      </c>
      <c r="AY141" s="2217">
        <f t="shared" si="66"/>
        <v>-14.995763105641345</v>
      </c>
      <c r="AZ141" s="2212">
        <v>194</v>
      </c>
      <c r="BA141" s="2208"/>
      <c r="BB141" s="263"/>
      <c r="BC141" s="2208"/>
      <c r="BD141" s="263"/>
      <c r="BE141" s="263"/>
      <c r="BF141" s="263"/>
      <c r="BG141" s="263"/>
      <c r="BH141" s="2208"/>
      <c r="BI141" s="2217">
        <f t="shared" si="86"/>
        <v>-31.844195454728645</v>
      </c>
      <c r="BJ141" s="2217">
        <f t="shared" si="77"/>
        <v>6046.6085705828909</v>
      </c>
      <c r="BK141" s="2217">
        <f t="shared" si="67"/>
        <v>-14.995763105641345</v>
      </c>
      <c r="BL141" s="2212">
        <v>194</v>
      </c>
      <c r="BM141" s="2208"/>
      <c r="BN141" s="263"/>
      <c r="BO141" s="2208"/>
      <c r="BP141" s="263"/>
      <c r="BQ141" s="263"/>
      <c r="BR141" s="263"/>
      <c r="BS141" s="263"/>
      <c r="BT141" s="2208"/>
      <c r="BU141" s="2217">
        <f t="shared" si="87"/>
        <v>-6.1964124053942227</v>
      </c>
      <c r="BV141" s="2217">
        <f t="shared" si="68"/>
        <v>8543.8140663378417</v>
      </c>
      <c r="BW141" s="2217">
        <f t="shared" si="78"/>
        <v>5.7995313575065666</v>
      </c>
      <c r="BX141" s="2212">
        <v>194</v>
      </c>
      <c r="BY141" s="2219"/>
      <c r="BZ141" s="2213"/>
      <c r="CA141" s="2219"/>
      <c r="CB141" s="2213"/>
      <c r="CC141" s="2213"/>
      <c r="CD141" s="2213"/>
      <c r="CE141" s="2213"/>
      <c r="CF141" s="2208"/>
      <c r="CG141" s="2217">
        <f t="shared" si="88"/>
        <v>-5.5004686424934341</v>
      </c>
      <c r="CH141" s="2217">
        <f t="shared" si="69"/>
        <v>8543.8140663378417</v>
      </c>
      <c r="CI141" s="2217">
        <f t="shared" si="79"/>
        <v>5.7995313575065666</v>
      </c>
      <c r="CJ141" s="2212">
        <v>194</v>
      </c>
      <c r="CK141" s="2219"/>
      <c r="CL141" s="2213"/>
      <c r="CM141" s="2219"/>
      <c r="CN141" s="2213"/>
      <c r="CO141" s="2213"/>
      <c r="CP141" s="2213"/>
      <c r="CQ141" s="2213"/>
      <c r="CR141" s="2208"/>
      <c r="CS141" s="2217">
        <f t="shared" si="89"/>
        <v>-31.544280192615819</v>
      </c>
      <c r="CT141" s="2217">
        <f t="shared" si="80"/>
        <v>6046.6085705828909</v>
      </c>
      <c r="CU141" s="2217">
        <f t="shared" si="70"/>
        <v>-14.995763105641345</v>
      </c>
      <c r="CV141" s="2212">
        <v>194</v>
      </c>
      <c r="CW141" s="2208"/>
      <c r="CX141" s="263"/>
      <c r="CY141" s="2208"/>
      <c r="CZ141" s="263"/>
      <c r="DA141" s="263"/>
      <c r="DB141" s="263"/>
      <c r="DC141" s="263"/>
      <c r="DD141" s="2208"/>
    </row>
    <row r="142" spans="1:108">
      <c r="A142" s="2217">
        <f t="shared" si="81"/>
        <v>-4.4678523644222894</v>
      </c>
      <c r="B142" s="2217">
        <f t="shared" si="63"/>
        <v>8538.0145349803352</v>
      </c>
      <c r="C142" s="2217">
        <f t="shared" si="71"/>
        <v>5.9409979439806193</v>
      </c>
      <c r="D142" s="2212">
        <v>193</v>
      </c>
      <c r="E142" s="2219"/>
      <c r="F142" s="2213"/>
      <c r="G142" s="2219"/>
      <c r="H142" s="2213"/>
      <c r="I142" s="2213"/>
      <c r="J142" s="2213"/>
      <c r="K142" s="2213"/>
      <c r="L142" s="2213"/>
      <c r="M142" s="2217">
        <f t="shared" si="82"/>
        <v>-4.0519825083436452</v>
      </c>
      <c r="N142" s="2217">
        <f t="shared" si="64"/>
        <v>8538.0145349803352</v>
      </c>
      <c r="O142" s="2217">
        <f t="shared" si="72"/>
        <v>5.9409979439806193</v>
      </c>
      <c r="P142" s="2212">
        <v>193</v>
      </c>
      <c r="Q142" s="2219"/>
      <c r="R142" s="2213"/>
      <c r="S142" s="2219"/>
      <c r="T142" s="2213"/>
      <c r="U142" s="2213"/>
      <c r="V142" s="2213"/>
      <c r="W142" s="2213"/>
      <c r="X142" s="2213"/>
      <c r="Y142" s="2217">
        <f t="shared" si="83"/>
        <v>-3.5172926933853894</v>
      </c>
      <c r="Z142" s="2217">
        <f t="shared" si="73"/>
        <v>8538.0145349803352</v>
      </c>
      <c r="AA142" s="2217">
        <f t="shared" si="74"/>
        <v>5.9409979439806193</v>
      </c>
      <c r="AB142" s="2212">
        <v>193</v>
      </c>
      <c r="AC142" s="2219"/>
      <c r="AD142" s="2213"/>
      <c r="AE142" s="2219"/>
      <c r="AF142" s="2213"/>
      <c r="AG142" s="2213"/>
      <c r="AH142" s="2213"/>
      <c r="AI142" s="2213"/>
      <c r="AJ142" s="2213"/>
      <c r="AK142" s="2217">
        <f t="shared" si="84"/>
        <v>-6.0719218092970566</v>
      </c>
      <c r="AL142" s="2217">
        <f t="shared" si="65"/>
        <v>8538.0145349803352</v>
      </c>
      <c r="AM142" s="2217">
        <f t="shared" si="75"/>
        <v>5.9409979439806193</v>
      </c>
      <c r="AN142" s="2212">
        <v>193</v>
      </c>
      <c r="AO142" s="2219"/>
      <c r="AP142" s="2213"/>
      <c r="AQ142" s="2219"/>
      <c r="AR142" s="2213"/>
      <c r="AS142" s="2213"/>
      <c r="AT142" s="2213"/>
      <c r="AU142" s="2213"/>
      <c r="AV142" s="2213"/>
      <c r="AW142" s="2217">
        <f t="shared" si="85"/>
        <v>-26.846207655161198</v>
      </c>
      <c r="AX142" s="2217">
        <f t="shared" si="76"/>
        <v>6061.6043336885323</v>
      </c>
      <c r="AY142" s="2217">
        <f t="shared" si="66"/>
        <v>-14.666233636944526</v>
      </c>
      <c r="AZ142" s="2212">
        <v>193</v>
      </c>
      <c r="BA142" s="2208"/>
      <c r="BB142" s="263"/>
      <c r="BC142" s="2208"/>
      <c r="BD142" s="263"/>
      <c r="BE142" s="263"/>
      <c r="BF142" s="263"/>
      <c r="BG142" s="263"/>
      <c r="BH142" s="2208"/>
      <c r="BI142" s="2217">
        <f t="shared" si="86"/>
        <v>-31.392740082614001</v>
      </c>
      <c r="BJ142" s="2217">
        <f t="shared" si="77"/>
        <v>6061.6043336885323</v>
      </c>
      <c r="BK142" s="2217">
        <f t="shared" si="67"/>
        <v>-14.666233636944526</v>
      </c>
      <c r="BL142" s="2212">
        <v>193</v>
      </c>
      <c r="BM142" s="2208"/>
      <c r="BN142" s="263"/>
      <c r="BO142" s="2208"/>
      <c r="BP142" s="263"/>
      <c r="BQ142" s="263"/>
      <c r="BR142" s="263"/>
      <c r="BS142" s="263"/>
      <c r="BT142" s="2208"/>
      <c r="BU142" s="2217">
        <f t="shared" si="87"/>
        <v>-6.0719218092970566</v>
      </c>
      <c r="BV142" s="2217">
        <f t="shared" si="68"/>
        <v>8538.0145349803352</v>
      </c>
      <c r="BW142" s="2217">
        <f t="shared" si="78"/>
        <v>5.9409979439806193</v>
      </c>
      <c r="BX142" s="2212">
        <v>193</v>
      </c>
      <c r="BY142" s="2219"/>
      <c r="BZ142" s="2213"/>
      <c r="CA142" s="2219"/>
      <c r="CB142" s="2213"/>
      <c r="CC142" s="2213"/>
      <c r="CD142" s="2213"/>
      <c r="CE142" s="2213"/>
      <c r="CF142" s="2208"/>
      <c r="CG142" s="2217">
        <f t="shared" si="88"/>
        <v>-5.3590020560193814</v>
      </c>
      <c r="CH142" s="2217">
        <f t="shared" si="69"/>
        <v>8538.0145349803352</v>
      </c>
      <c r="CI142" s="2217">
        <f t="shared" si="79"/>
        <v>5.9409979439806193</v>
      </c>
      <c r="CJ142" s="2212">
        <v>193</v>
      </c>
      <c r="CK142" s="2219"/>
      <c r="CL142" s="2213"/>
      <c r="CM142" s="2219"/>
      <c r="CN142" s="2213"/>
      <c r="CO142" s="2213"/>
      <c r="CP142" s="2213"/>
      <c r="CQ142" s="2213"/>
      <c r="CR142" s="2208"/>
      <c r="CS142" s="2217">
        <f t="shared" si="89"/>
        <v>-31.09941540987511</v>
      </c>
      <c r="CT142" s="2217">
        <f t="shared" si="80"/>
        <v>6061.6043336885323</v>
      </c>
      <c r="CU142" s="2217">
        <f t="shared" si="70"/>
        <v>-14.666233636944526</v>
      </c>
      <c r="CV142" s="2212">
        <v>193</v>
      </c>
      <c r="CW142" s="2208"/>
      <c r="CX142" s="263"/>
      <c r="CY142" s="2208"/>
      <c r="CZ142" s="263"/>
      <c r="DA142" s="263"/>
      <c r="DB142" s="263"/>
      <c r="DC142" s="263"/>
      <c r="DD142" s="2208"/>
    </row>
    <row r="143" spans="1:108">
      <c r="A143" s="2217">
        <f t="shared" si="81"/>
        <v>-4.3041968824703885</v>
      </c>
      <c r="B143" s="2217">
        <f t="shared" si="63"/>
        <v>8532.0735370363545</v>
      </c>
      <c r="C143" s="2217">
        <f t="shared" si="71"/>
        <v>6.0833070587214024</v>
      </c>
      <c r="D143" s="2212">
        <v>192</v>
      </c>
      <c r="E143" s="2219"/>
      <c r="F143" s="2213"/>
      <c r="G143" s="2219"/>
      <c r="H143" s="2213"/>
      <c r="I143" s="2213"/>
      <c r="J143" s="2213"/>
      <c r="K143" s="2213"/>
      <c r="L143" s="2213"/>
      <c r="M143" s="2217">
        <f t="shared" si="82"/>
        <v>-3.8783653883598896</v>
      </c>
      <c r="N143" s="2217">
        <f t="shared" si="64"/>
        <v>8532.0735370363545</v>
      </c>
      <c r="O143" s="2217">
        <f t="shared" si="72"/>
        <v>6.0833070587214024</v>
      </c>
      <c r="P143" s="2212">
        <v>192</v>
      </c>
      <c r="Q143" s="2219"/>
      <c r="R143" s="2213"/>
      <c r="S143" s="2219"/>
      <c r="T143" s="2213"/>
      <c r="U143" s="2213"/>
      <c r="V143" s="2213"/>
      <c r="W143" s="2213"/>
      <c r="X143" s="2213"/>
      <c r="Y143" s="2217">
        <f t="shared" si="83"/>
        <v>-3.3308677530749629</v>
      </c>
      <c r="Z143" s="2217">
        <f t="shared" si="73"/>
        <v>8532.0735370363545</v>
      </c>
      <c r="AA143" s="2217">
        <f t="shared" si="74"/>
        <v>6.0833070587214024</v>
      </c>
      <c r="AB143" s="2212">
        <v>192</v>
      </c>
      <c r="AC143" s="2219"/>
      <c r="AD143" s="2213"/>
      <c r="AE143" s="2219"/>
      <c r="AF143" s="2213"/>
      <c r="AG143" s="2213"/>
      <c r="AH143" s="2213"/>
      <c r="AI143" s="2213"/>
      <c r="AJ143" s="2213"/>
      <c r="AK143" s="2217">
        <f t="shared" si="84"/>
        <v>-5.946689788325167</v>
      </c>
      <c r="AL143" s="2217">
        <f t="shared" si="65"/>
        <v>8532.0735370363545</v>
      </c>
      <c r="AM143" s="2217">
        <f t="shared" si="75"/>
        <v>6.0833070587214024</v>
      </c>
      <c r="AN143" s="2212">
        <v>192</v>
      </c>
      <c r="AO143" s="2219"/>
      <c r="AP143" s="2213"/>
      <c r="AQ143" s="2219"/>
      <c r="AR143" s="2213"/>
      <c r="AS143" s="2213"/>
      <c r="AT143" s="2213"/>
      <c r="AU143" s="2213"/>
      <c r="AV143" s="2213"/>
      <c r="AW143" s="2217">
        <f t="shared" si="85"/>
        <v>-26.497071698318543</v>
      </c>
      <c r="AX143" s="2217">
        <f t="shared" si="76"/>
        <v>6076.2705673254768</v>
      </c>
      <c r="AY143" s="2217">
        <f t="shared" si="66"/>
        <v>-14.336860092753341</v>
      </c>
      <c r="AZ143" s="2212">
        <v>192</v>
      </c>
      <c r="BA143" s="2208"/>
      <c r="BB143" s="263"/>
      <c r="BC143" s="2208"/>
      <c r="BD143" s="263"/>
      <c r="BE143" s="263"/>
      <c r="BF143" s="263"/>
      <c r="BG143" s="263"/>
      <c r="BH143" s="2208"/>
      <c r="BI143" s="2217">
        <f t="shared" si="86"/>
        <v>-30.941498327072079</v>
      </c>
      <c r="BJ143" s="2217">
        <f t="shared" si="77"/>
        <v>6076.2705673254768</v>
      </c>
      <c r="BK143" s="2217">
        <f t="shared" si="67"/>
        <v>-14.336860092753341</v>
      </c>
      <c r="BL143" s="2212">
        <v>192</v>
      </c>
      <c r="BM143" s="2208"/>
      <c r="BN143" s="263"/>
      <c r="BO143" s="2208"/>
      <c r="BP143" s="263"/>
      <c r="BQ143" s="263"/>
      <c r="BR143" s="263"/>
      <c r="BS143" s="263"/>
      <c r="BT143" s="2208"/>
      <c r="BU143" s="2217">
        <f t="shared" si="87"/>
        <v>-5.946689788325167</v>
      </c>
      <c r="BV143" s="2217">
        <f t="shared" si="68"/>
        <v>8532.0735370363545</v>
      </c>
      <c r="BW143" s="2217">
        <f t="shared" si="78"/>
        <v>6.0833070587214024</v>
      </c>
      <c r="BX143" s="2212">
        <v>192</v>
      </c>
      <c r="BY143" s="2219"/>
      <c r="BZ143" s="2213"/>
      <c r="CA143" s="2219"/>
      <c r="CB143" s="2213"/>
      <c r="CC143" s="2213"/>
      <c r="CD143" s="2213"/>
      <c r="CE143" s="2213"/>
      <c r="CF143" s="2208"/>
      <c r="CG143" s="2217">
        <f t="shared" si="88"/>
        <v>-5.2166929412785983</v>
      </c>
      <c r="CH143" s="2217">
        <f t="shared" si="69"/>
        <v>8532.0735370363545</v>
      </c>
      <c r="CI143" s="2217">
        <f t="shared" si="79"/>
        <v>6.0833070587214024</v>
      </c>
      <c r="CJ143" s="2212">
        <v>192</v>
      </c>
      <c r="CK143" s="2219"/>
      <c r="CL143" s="2213"/>
      <c r="CM143" s="2219"/>
      <c r="CN143" s="2213"/>
      <c r="CO143" s="2213"/>
      <c r="CP143" s="2213"/>
      <c r="CQ143" s="2213"/>
      <c r="CR143" s="2208"/>
      <c r="CS143" s="2217">
        <f t="shared" si="89"/>
        <v>-30.654761125217011</v>
      </c>
      <c r="CT143" s="2217">
        <f t="shared" si="80"/>
        <v>6076.2705673254768</v>
      </c>
      <c r="CU143" s="2217">
        <f t="shared" si="70"/>
        <v>-14.336860092753341</v>
      </c>
      <c r="CV143" s="2212">
        <v>192</v>
      </c>
      <c r="CW143" s="2208"/>
      <c r="CX143" s="263"/>
      <c r="CY143" s="2208"/>
      <c r="CZ143" s="263"/>
      <c r="DA143" s="263"/>
      <c r="DB143" s="263"/>
      <c r="DC143" s="263"/>
      <c r="DD143" s="2208"/>
    </row>
    <row r="144" spans="1:108">
      <c r="A144" s="2217">
        <f t="shared" si="81"/>
        <v>-4.1395724930054723</v>
      </c>
      <c r="B144" s="2217">
        <f t="shared" si="63"/>
        <v>8525.9902299776331</v>
      </c>
      <c r="C144" s="2217">
        <f t="shared" si="71"/>
        <v>6.2264587017343729</v>
      </c>
      <c r="D144" s="2212">
        <v>191</v>
      </c>
      <c r="E144" s="2219"/>
      <c r="F144" s="2213"/>
      <c r="G144" s="2219"/>
      <c r="H144" s="2213"/>
      <c r="I144" s="2213"/>
      <c r="J144" s="2213"/>
      <c r="K144" s="2213"/>
      <c r="L144" s="2213"/>
      <c r="M144" s="2217">
        <f t="shared" si="82"/>
        <v>-3.7037203838840655</v>
      </c>
      <c r="N144" s="2217">
        <f t="shared" si="64"/>
        <v>8525.9902299776331</v>
      </c>
      <c r="O144" s="2217">
        <f t="shared" si="72"/>
        <v>6.2264587017343729</v>
      </c>
      <c r="P144" s="2212">
        <v>191</v>
      </c>
      <c r="Q144" s="2219"/>
      <c r="R144" s="2213"/>
      <c r="S144" s="2219"/>
      <c r="T144" s="2213"/>
      <c r="U144" s="2213"/>
      <c r="V144" s="2213"/>
      <c r="W144" s="2213"/>
      <c r="X144" s="2213"/>
      <c r="Y144" s="2217">
        <f t="shared" si="83"/>
        <v>-3.1433391007279727</v>
      </c>
      <c r="Z144" s="2217">
        <f t="shared" si="73"/>
        <v>8525.9902299776331</v>
      </c>
      <c r="AA144" s="2217">
        <f t="shared" si="74"/>
        <v>6.2264587017343729</v>
      </c>
      <c r="AB144" s="2212">
        <v>191</v>
      </c>
      <c r="AC144" s="2219"/>
      <c r="AD144" s="2213"/>
      <c r="AE144" s="2219"/>
      <c r="AF144" s="2213"/>
      <c r="AG144" s="2213"/>
      <c r="AH144" s="2213"/>
      <c r="AI144" s="2213"/>
      <c r="AJ144" s="2213"/>
      <c r="AK144" s="2217">
        <f t="shared" si="84"/>
        <v>-5.8207163424737534</v>
      </c>
      <c r="AL144" s="2217">
        <f t="shared" si="65"/>
        <v>8525.9902299776331</v>
      </c>
      <c r="AM144" s="2217">
        <f t="shared" si="75"/>
        <v>6.2264587017343729</v>
      </c>
      <c r="AN144" s="2212">
        <v>191</v>
      </c>
      <c r="AO144" s="2219"/>
      <c r="AP144" s="2213"/>
      <c r="AQ144" s="2219"/>
      <c r="AR144" s="2213"/>
      <c r="AS144" s="2213"/>
      <c r="AT144" s="2213"/>
      <c r="AU144" s="2213"/>
      <c r="AV144" s="2213"/>
      <c r="AW144" s="2217">
        <f t="shared" si="85"/>
        <v>-26.148101021441256</v>
      </c>
      <c r="AX144" s="2217">
        <f t="shared" si="76"/>
        <v>6090.6074274182301</v>
      </c>
      <c r="AY144" s="2217">
        <f t="shared" si="66"/>
        <v>-14.007642473057786</v>
      </c>
      <c r="AZ144" s="2212">
        <v>191</v>
      </c>
      <c r="BA144" s="2208"/>
      <c r="BB144" s="263"/>
      <c r="BC144" s="2208"/>
      <c r="BD144" s="263"/>
      <c r="BE144" s="263"/>
      <c r="BF144" s="263"/>
      <c r="BG144" s="263"/>
      <c r="BH144" s="2208"/>
      <c r="BI144" s="2217">
        <f t="shared" si="86"/>
        <v>-30.490470188089169</v>
      </c>
      <c r="BJ144" s="2217">
        <f t="shared" si="77"/>
        <v>6090.6074274182301</v>
      </c>
      <c r="BK144" s="2217">
        <f t="shared" si="67"/>
        <v>-14.007642473057786</v>
      </c>
      <c r="BL144" s="2212">
        <v>191</v>
      </c>
      <c r="BM144" s="2208"/>
      <c r="BN144" s="263"/>
      <c r="BO144" s="2208"/>
      <c r="BP144" s="263"/>
      <c r="BQ144" s="263"/>
      <c r="BR144" s="263"/>
      <c r="BS144" s="263"/>
      <c r="BT144" s="2208"/>
      <c r="BU144" s="2217">
        <f t="shared" si="87"/>
        <v>-5.8207163424737534</v>
      </c>
      <c r="BV144" s="2217">
        <f t="shared" si="68"/>
        <v>8525.9902299776331</v>
      </c>
      <c r="BW144" s="2217">
        <f t="shared" si="78"/>
        <v>6.2264587017343729</v>
      </c>
      <c r="BX144" s="2212">
        <v>191</v>
      </c>
      <c r="BY144" s="2219"/>
      <c r="BZ144" s="2213"/>
      <c r="CA144" s="2219"/>
      <c r="CB144" s="2213"/>
      <c r="CC144" s="2213"/>
      <c r="CD144" s="2213"/>
      <c r="CE144" s="2213"/>
      <c r="CF144" s="2208"/>
      <c r="CG144" s="2217">
        <f t="shared" si="88"/>
        <v>-5.0735412982656278</v>
      </c>
      <c r="CH144" s="2217">
        <f t="shared" si="69"/>
        <v>8525.9902299776331</v>
      </c>
      <c r="CI144" s="2217">
        <f t="shared" si="79"/>
        <v>6.2264587017343729</v>
      </c>
      <c r="CJ144" s="2212">
        <v>191</v>
      </c>
      <c r="CK144" s="2219"/>
      <c r="CL144" s="2213"/>
      <c r="CM144" s="2219"/>
      <c r="CN144" s="2213"/>
      <c r="CO144" s="2213"/>
      <c r="CP144" s="2213"/>
      <c r="CQ144" s="2213"/>
      <c r="CR144" s="2208"/>
      <c r="CS144" s="2217">
        <f t="shared" si="89"/>
        <v>-30.210317338628013</v>
      </c>
      <c r="CT144" s="2217">
        <f t="shared" si="80"/>
        <v>6090.6074274182301</v>
      </c>
      <c r="CU144" s="2217">
        <f t="shared" si="70"/>
        <v>-14.007642473057786</v>
      </c>
      <c r="CV144" s="2212">
        <v>191</v>
      </c>
      <c r="CW144" s="2208"/>
      <c r="CX144" s="263"/>
      <c r="CY144" s="2208"/>
      <c r="CZ144" s="263"/>
      <c r="DA144" s="263"/>
      <c r="DB144" s="263"/>
      <c r="DC144" s="263"/>
      <c r="DD144" s="2208"/>
    </row>
    <row r="145" spans="1:108">
      <c r="A145" s="2217">
        <f t="shared" si="81"/>
        <v>-3.973979196031725</v>
      </c>
      <c r="B145" s="2217">
        <f t="shared" si="63"/>
        <v>8519.7637712758988</v>
      </c>
      <c r="C145" s="2217">
        <f t="shared" si="71"/>
        <v>6.3704528730158927</v>
      </c>
      <c r="D145" s="2212">
        <v>190</v>
      </c>
      <c r="E145" s="2219"/>
      <c r="F145" s="2213"/>
      <c r="G145" s="2219"/>
      <c r="H145" s="2213"/>
      <c r="I145" s="2213"/>
      <c r="J145" s="2213"/>
      <c r="K145" s="2213"/>
      <c r="L145" s="2213"/>
      <c r="M145" s="2217">
        <f t="shared" si="82"/>
        <v>-3.528047494920612</v>
      </c>
      <c r="N145" s="2217">
        <f t="shared" si="64"/>
        <v>8519.7637712758988</v>
      </c>
      <c r="O145" s="2217">
        <f t="shared" si="72"/>
        <v>6.3704528730158927</v>
      </c>
      <c r="P145" s="2212">
        <v>190</v>
      </c>
      <c r="Q145" s="2219"/>
      <c r="R145" s="2213"/>
      <c r="S145" s="2219"/>
      <c r="T145" s="2213"/>
      <c r="U145" s="2213"/>
      <c r="V145" s="2213"/>
      <c r="W145" s="2213"/>
      <c r="X145" s="2213"/>
      <c r="Y145" s="2217">
        <f t="shared" si="83"/>
        <v>-2.9547067363491806</v>
      </c>
      <c r="Z145" s="2217">
        <f t="shared" si="73"/>
        <v>8519.7637712758988</v>
      </c>
      <c r="AA145" s="2217">
        <f t="shared" si="74"/>
        <v>6.3704528730158927</v>
      </c>
      <c r="AB145" s="2212">
        <v>190</v>
      </c>
      <c r="AC145" s="2219"/>
      <c r="AD145" s="2213"/>
      <c r="AE145" s="2219"/>
      <c r="AF145" s="2213"/>
      <c r="AG145" s="2213"/>
      <c r="AH145" s="2213"/>
      <c r="AI145" s="2213"/>
      <c r="AJ145" s="2213"/>
      <c r="AK145" s="2217">
        <f t="shared" si="84"/>
        <v>-5.6940014717460157</v>
      </c>
      <c r="AL145" s="2217">
        <f t="shared" si="65"/>
        <v>8519.7637712758988</v>
      </c>
      <c r="AM145" s="2217">
        <f t="shared" si="75"/>
        <v>6.3704528730158927</v>
      </c>
      <c r="AN145" s="2212">
        <v>190</v>
      </c>
      <c r="AO145" s="2219"/>
      <c r="AP145" s="2213"/>
      <c r="AQ145" s="2219"/>
      <c r="AR145" s="2213"/>
      <c r="AS145" s="2213"/>
      <c r="AT145" s="2213"/>
      <c r="AU145" s="2213"/>
      <c r="AV145" s="2213"/>
      <c r="AW145" s="2217">
        <f t="shared" si="85"/>
        <v>-25.799295624534153</v>
      </c>
      <c r="AX145" s="2217">
        <f t="shared" si="76"/>
        <v>6104.6150698912879</v>
      </c>
      <c r="AY145" s="2217">
        <f t="shared" si="66"/>
        <v>-13.678580777862408</v>
      </c>
      <c r="AZ145" s="2212">
        <v>190</v>
      </c>
      <c r="BA145" s="2208"/>
      <c r="BB145" s="263"/>
      <c r="BC145" s="2208"/>
      <c r="BD145" s="263"/>
      <c r="BE145" s="263"/>
      <c r="BF145" s="263"/>
      <c r="BG145" s="263"/>
      <c r="BH145" s="2208"/>
      <c r="BI145" s="2217">
        <f t="shared" si="86"/>
        <v>-30.0396556656715</v>
      </c>
      <c r="BJ145" s="2217">
        <f t="shared" si="77"/>
        <v>6104.6150698912879</v>
      </c>
      <c r="BK145" s="2217">
        <f t="shared" si="67"/>
        <v>-13.678580777862408</v>
      </c>
      <c r="BL145" s="2212">
        <v>190</v>
      </c>
      <c r="BM145" s="2208"/>
      <c r="BN145" s="263"/>
      <c r="BO145" s="2208"/>
      <c r="BP145" s="263"/>
      <c r="BQ145" s="263"/>
      <c r="BR145" s="263"/>
      <c r="BS145" s="263"/>
      <c r="BT145" s="2208"/>
      <c r="BU145" s="2217">
        <f t="shared" si="87"/>
        <v>-5.6940014717460157</v>
      </c>
      <c r="BV145" s="2217">
        <f t="shared" si="68"/>
        <v>8519.7637712758988</v>
      </c>
      <c r="BW145" s="2217">
        <f t="shared" si="78"/>
        <v>6.3704528730158927</v>
      </c>
      <c r="BX145" s="2212">
        <v>190</v>
      </c>
      <c r="BY145" s="2219"/>
      <c r="BZ145" s="2213"/>
      <c r="CA145" s="2219"/>
      <c r="CB145" s="2213"/>
      <c r="CC145" s="2213"/>
      <c r="CD145" s="2213"/>
      <c r="CE145" s="2213"/>
      <c r="CF145" s="2208"/>
      <c r="CG145" s="2217">
        <f t="shared" si="88"/>
        <v>-4.929547126984108</v>
      </c>
      <c r="CH145" s="2217">
        <f t="shared" si="69"/>
        <v>8519.7637712758988</v>
      </c>
      <c r="CI145" s="2217">
        <f t="shared" si="79"/>
        <v>6.3704528730158927</v>
      </c>
      <c r="CJ145" s="2212">
        <v>190</v>
      </c>
      <c r="CK145" s="2219"/>
      <c r="CL145" s="2213"/>
      <c r="CM145" s="2219"/>
      <c r="CN145" s="2213"/>
      <c r="CO145" s="2213"/>
      <c r="CP145" s="2213"/>
      <c r="CQ145" s="2213"/>
      <c r="CR145" s="2208"/>
      <c r="CS145" s="2217">
        <f t="shared" si="89"/>
        <v>-29.766084050114252</v>
      </c>
      <c r="CT145" s="2217">
        <f t="shared" si="80"/>
        <v>6104.6150698912879</v>
      </c>
      <c r="CU145" s="2217">
        <f t="shared" si="70"/>
        <v>-13.678580777862408</v>
      </c>
      <c r="CV145" s="2212">
        <v>190</v>
      </c>
      <c r="CW145" s="2208"/>
      <c r="CX145" s="263"/>
      <c r="CY145" s="2208"/>
      <c r="CZ145" s="263"/>
      <c r="DA145" s="263"/>
      <c r="DB145" s="263"/>
      <c r="DC145" s="263"/>
      <c r="DD145" s="2208"/>
    </row>
    <row r="146" spans="1:108">
      <c r="A146" s="2217">
        <f t="shared" si="81"/>
        <v>-3.8074169915470533</v>
      </c>
      <c r="B146" s="2217">
        <f t="shared" si="63"/>
        <v>8513.3933184028829</v>
      </c>
      <c r="C146" s="2217">
        <f t="shared" si="71"/>
        <v>6.5152895725677809</v>
      </c>
      <c r="D146" s="2212">
        <v>189</v>
      </c>
      <c r="E146" s="2219"/>
      <c r="F146" s="2213"/>
      <c r="G146" s="2219"/>
      <c r="H146" s="2213"/>
      <c r="I146" s="2213"/>
      <c r="J146" s="2213"/>
      <c r="K146" s="2213"/>
      <c r="L146" s="2213"/>
      <c r="M146" s="2217">
        <f t="shared" si="82"/>
        <v>-3.3513467214673085</v>
      </c>
      <c r="N146" s="2217">
        <f t="shared" si="64"/>
        <v>8513.3933184028829</v>
      </c>
      <c r="O146" s="2217">
        <f t="shared" si="72"/>
        <v>6.5152895725677809</v>
      </c>
      <c r="P146" s="2212">
        <v>189</v>
      </c>
      <c r="Q146" s="2219"/>
      <c r="R146" s="2213"/>
      <c r="S146" s="2219"/>
      <c r="T146" s="2213"/>
      <c r="U146" s="2213"/>
      <c r="V146" s="2213"/>
      <c r="W146" s="2213"/>
      <c r="X146" s="2213"/>
      <c r="Y146" s="2217">
        <f t="shared" si="83"/>
        <v>-2.7649706599362069</v>
      </c>
      <c r="Z146" s="2217">
        <f t="shared" si="73"/>
        <v>8513.3933184028829</v>
      </c>
      <c r="AA146" s="2217">
        <f t="shared" si="74"/>
        <v>6.5152895725677809</v>
      </c>
      <c r="AB146" s="2212">
        <v>189</v>
      </c>
      <c r="AC146" s="2219"/>
      <c r="AD146" s="2213"/>
      <c r="AE146" s="2219"/>
      <c r="AF146" s="2213"/>
      <c r="AG146" s="2213"/>
      <c r="AH146" s="2213"/>
      <c r="AI146" s="2213"/>
      <c r="AJ146" s="2213"/>
      <c r="AK146" s="2217">
        <f t="shared" si="84"/>
        <v>-5.5665451761403544</v>
      </c>
      <c r="AL146" s="2217">
        <f t="shared" si="65"/>
        <v>8513.3933184028829</v>
      </c>
      <c r="AM146" s="2217">
        <f t="shared" si="75"/>
        <v>6.5152895725677809</v>
      </c>
      <c r="AN146" s="2212">
        <v>189</v>
      </c>
      <c r="AO146" s="2219"/>
      <c r="AP146" s="2213"/>
      <c r="AQ146" s="2219"/>
      <c r="AR146" s="2213"/>
      <c r="AS146" s="2213"/>
      <c r="AT146" s="2213"/>
      <c r="AU146" s="2213"/>
      <c r="AV146" s="2213"/>
      <c r="AW146" s="2217">
        <f t="shared" si="85"/>
        <v>-25.450655507601098</v>
      </c>
      <c r="AX146" s="2217">
        <f t="shared" si="76"/>
        <v>6118.2936506691503</v>
      </c>
      <c r="AY146" s="2217">
        <f t="shared" si="66"/>
        <v>-13.349675007170845</v>
      </c>
      <c r="AZ146" s="2212">
        <v>189</v>
      </c>
      <c r="BA146" s="2208"/>
      <c r="BB146" s="263"/>
      <c r="BC146" s="2208"/>
      <c r="BD146" s="263"/>
      <c r="BE146" s="263"/>
      <c r="BF146" s="263"/>
      <c r="BG146" s="263"/>
      <c r="BH146" s="2208"/>
      <c r="BI146" s="2217">
        <f t="shared" si="86"/>
        <v>-29.589054759824059</v>
      </c>
      <c r="BJ146" s="2217">
        <f t="shared" si="77"/>
        <v>6118.2936506691503</v>
      </c>
      <c r="BK146" s="2217">
        <f t="shared" si="67"/>
        <v>-13.349675007170845</v>
      </c>
      <c r="BL146" s="2212">
        <v>189</v>
      </c>
      <c r="BM146" s="2208"/>
      <c r="BN146" s="263"/>
      <c r="BO146" s="2208"/>
      <c r="BP146" s="263"/>
      <c r="BQ146" s="263"/>
      <c r="BR146" s="263"/>
      <c r="BS146" s="263"/>
      <c r="BT146" s="2208"/>
      <c r="BU146" s="2217">
        <f t="shared" si="87"/>
        <v>-5.5665451761403544</v>
      </c>
      <c r="BV146" s="2217">
        <f t="shared" si="68"/>
        <v>8513.3933184028829</v>
      </c>
      <c r="BW146" s="2217">
        <f t="shared" si="78"/>
        <v>6.5152895725677809</v>
      </c>
      <c r="BX146" s="2212">
        <v>189</v>
      </c>
      <c r="BY146" s="2219"/>
      <c r="BZ146" s="2213"/>
      <c r="CA146" s="2219"/>
      <c r="CB146" s="2213"/>
      <c r="CC146" s="2213"/>
      <c r="CD146" s="2213"/>
      <c r="CE146" s="2213"/>
      <c r="CF146" s="2208"/>
      <c r="CG146" s="2217">
        <f t="shared" si="88"/>
        <v>-4.7847104274322199</v>
      </c>
      <c r="CH146" s="2217">
        <f t="shared" si="69"/>
        <v>8513.3933184028829</v>
      </c>
      <c r="CI146" s="2217">
        <f t="shared" si="79"/>
        <v>6.5152895725677809</v>
      </c>
      <c r="CJ146" s="2212">
        <v>189</v>
      </c>
      <c r="CK146" s="2219"/>
      <c r="CL146" s="2213"/>
      <c r="CM146" s="2219"/>
      <c r="CN146" s="2213"/>
      <c r="CO146" s="2213"/>
      <c r="CP146" s="2213"/>
      <c r="CQ146" s="2213"/>
      <c r="CR146" s="2208"/>
      <c r="CS146" s="2217">
        <f t="shared" si="89"/>
        <v>-29.322061259680641</v>
      </c>
      <c r="CT146" s="2217">
        <f t="shared" si="80"/>
        <v>6118.2936506691503</v>
      </c>
      <c r="CU146" s="2217">
        <f t="shared" si="70"/>
        <v>-13.349675007170845</v>
      </c>
      <c r="CV146" s="2212">
        <v>189</v>
      </c>
      <c r="CW146" s="2208"/>
      <c r="CX146" s="263"/>
      <c r="CY146" s="2208"/>
      <c r="CZ146" s="263"/>
      <c r="DA146" s="263"/>
      <c r="DB146" s="263"/>
      <c r="DC146" s="263"/>
      <c r="DD146" s="2208"/>
    </row>
    <row r="147" spans="1:108">
      <c r="A147" s="2217">
        <f t="shared" si="81"/>
        <v>-3.6398858795535505</v>
      </c>
      <c r="B147" s="2217">
        <f t="shared" si="63"/>
        <v>8506.8780288303151</v>
      </c>
      <c r="C147" s="2217">
        <f t="shared" si="71"/>
        <v>6.6609688003882184</v>
      </c>
      <c r="D147" s="2212">
        <v>188</v>
      </c>
      <c r="E147" s="2219"/>
      <c r="F147" s="2213"/>
      <c r="G147" s="2219"/>
      <c r="H147" s="2213"/>
      <c r="I147" s="2213"/>
      <c r="J147" s="2213"/>
      <c r="K147" s="2213"/>
      <c r="L147" s="2213"/>
      <c r="M147" s="2217">
        <f t="shared" si="82"/>
        <v>-3.1736180635263747</v>
      </c>
      <c r="N147" s="2217">
        <f t="shared" si="64"/>
        <v>8506.8780288303151</v>
      </c>
      <c r="O147" s="2217">
        <f t="shared" si="72"/>
        <v>6.6609688003882184</v>
      </c>
      <c r="P147" s="2212">
        <v>188</v>
      </c>
      <c r="Q147" s="2219"/>
      <c r="R147" s="2213"/>
      <c r="S147" s="2219"/>
      <c r="T147" s="2213"/>
      <c r="U147" s="2213"/>
      <c r="V147" s="2213"/>
      <c r="W147" s="2213"/>
      <c r="X147" s="2213"/>
      <c r="Y147" s="2217">
        <f t="shared" si="83"/>
        <v>-2.5741308714914339</v>
      </c>
      <c r="Z147" s="2217">
        <f t="shared" si="73"/>
        <v>8506.8780288303151</v>
      </c>
      <c r="AA147" s="2217">
        <f t="shared" si="74"/>
        <v>6.6609688003882184</v>
      </c>
      <c r="AB147" s="2212">
        <v>188</v>
      </c>
      <c r="AC147" s="2219"/>
      <c r="AD147" s="2213"/>
      <c r="AE147" s="2219"/>
      <c r="AF147" s="2213"/>
      <c r="AG147" s="2213"/>
      <c r="AH147" s="2213"/>
      <c r="AI147" s="2213"/>
      <c r="AJ147" s="2213"/>
      <c r="AK147" s="2217">
        <f t="shared" si="84"/>
        <v>-5.4383474556583691</v>
      </c>
      <c r="AL147" s="2217">
        <f t="shared" si="65"/>
        <v>8506.8780288303151</v>
      </c>
      <c r="AM147" s="2217">
        <f t="shared" si="75"/>
        <v>6.6609688003882184</v>
      </c>
      <c r="AN147" s="2212">
        <v>188</v>
      </c>
      <c r="AO147" s="2219"/>
      <c r="AP147" s="2213"/>
      <c r="AQ147" s="2219"/>
      <c r="AR147" s="2213"/>
      <c r="AS147" s="2213"/>
      <c r="AT147" s="2213"/>
      <c r="AU147" s="2213"/>
      <c r="AV147" s="2213"/>
      <c r="AW147" s="2217">
        <f t="shared" si="85"/>
        <v>-25.102180670636301</v>
      </c>
      <c r="AX147" s="2217">
        <f t="shared" si="76"/>
        <v>6131.6433256763212</v>
      </c>
      <c r="AY147" s="2217">
        <f t="shared" si="66"/>
        <v>-13.02092516097764</v>
      </c>
      <c r="AZ147" s="2212">
        <v>188</v>
      </c>
      <c r="BA147" s="2208"/>
      <c r="BB147" s="263"/>
      <c r="BC147" s="2208"/>
      <c r="BD147" s="263"/>
      <c r="BE147" s="263"/>
      <c r="BF147" s="263"/>
      <c r="BG147" s="263"/>
      <c r="BH147" s="2208"/>
      <c r="BI147" s="2217">
        <f t="shared" si="86"/>
        <v>-29.138667470539371</v>
      </c>
      <c r="BJ147" s="2217">
        <f t="shared" si="77"/>
        <v>6131.6433256763212</v>
      </c>
      <c r="BK147" s="2217">
        <f t="shared" si="67"/>
        <v>-13.02092516097764</v>
      </c>
      <c r="BL147" s="2212">
        <v>188</v>
      </c>
      <c r="BM147" s="2208"/>
      <c r="BN147" s="263"/>
      <c r="BO147" s="2208"/>
      <c r="BP147" s="263"/>
      <c r="BQ147" s="263"/>
      <c r="BR147" s="263"/>
      <c r="BS147" s="263"/>
      <c r="BT147" s="2208"/>
      <c r="BU147" s="2217">
        <f t="shared" si="87"/>
        <v>-5.4383474556583691</v>
      </c>
      <c r="BV147" s="2217">
        <f t="shared" si="68"/>
        <v>8506.8780288303151</v>
      </c>
      <c r="BW147" s="2217">
        <f t="shared" si="78"/>
        <v>6.6609688003882184</v>
      </c>
      <c r="BX147" s="2212">
        <v>188</v>
      </c>
      <c r="BY147" s="2219"/>
      <c r="BZ147" s="2213"/>
      <c r="CA147" s="2219"/>
      <c r="CB147" s="2213"/>
      <c r="CC147" s="2213"/>
      <c r="CD147" s="2213"/>
      <c r="CE147" s="2213"/>
      <c r="CF147" s="2208"/>
      <c r="CG147" s="2217">
        <f t="shared" si="88"/>
        <v>-4.6390311996117823</v>
      </c>
      <c r="CH147" s="2217">
        <f t="shared" si="69"/>
        <v>8506.8780288303151</v>
      </c>
      <c r="CI147" s="2217">
        <f t="shared" si="79"/>
        <v>6.6609688003882184</v>
      </c>
      <c r="CJ147" s="2212">
        <v>188</v>
      </c>
      <c r="CK147" s="2219"/>
      <c r="CL147" s="2213"/>
      <c r="CM147" s="2219"/>
      <c r="CN147" s="2213"/>
      <c r="CO147" s="2213"/>
      <c r="CP147" s="2213"/>
      <c r="CQ147" s="2213"/>
      <c r="CR147" s="2208"/>
      <c r="CS147" s="2217">
        <f t="shared" si="89"/>
        <v>-28.878248967319816</v>
      </c>
      <c r="CT147" s="2217">
        <f t="shared" si="80"/>
        <v>6131.6433256763212</v>
      </c>
      <c r="CU147" s="2217">
        <f t="shared" si="70"/>
        <v>-13.02092516097764</v>
      </c>
      <c r="CV147" s="2212">
        <v>188</v>
      </c>
      <c r="CW147" s="2208"/>
      <c r="CX147" s="263"/>
      <c r="CY147" s="2208"/>
      <c r="CZ147" s="263"/>
      <c r="DA147" s="263"/>
      <c r="DB147" s="263"/>
      <c r="DC147" s="263"/>
      <c r="DD147" s="2208"/>
    </row>
    <row r="148" spans="1:108">
      <c r="A148" s="2217">
        <f t="shared" si="81"/>
        <v>-3.4713858600533074</v>
      </c>
      <c r="B148" s="2217">
        <f t="shared" si="63"/>
        <v>8500.2170600299269</v>
      </c>
      <c r="C148" s="2217">
        <f t="shared" si="71"/>
        <v>6.8074905564753863</v>
      </c>
      <c r="D148" s="2212">
        <v>187</v>
      </c>
      <c r="E148" s="2219"/>
      <c r="F148" s="2213"/>
      <c r="G148" s="2219"/>
      <c r="H148" s="2213"/>
      <c r="I148" s="2213"/>
      <c r="J148" s="2213"/>
      <c r="K148" s="2213"/>
      <c r="L148" s="2213"/>
      <c r="M148" s="2217">
        <f t="shared" si="82"/>
        <v>-2.9948615211000291</v>
      </c>
      <c r="N148" s="2217">
        <f t="shared" si="64"/>
        <v>8500.2170600299269</v>
      </c>
      <c r="O148" s="2217">
        <f t="shared" si="72"/>
        <v>6.8074905564753863</v>
      </c>
      <c r="P148" s="2212">
        <v>187</v>
      </c>
      <c r="Q148" s="2219"/>
      <c r="R148" s="2213"/>
      <c r="S148" s="2219"/>
      <c r="T148" s="2213"/>
      <c r="U148" s="2213"/>
      <c r="V148" s="2213"/>
      <c r="W148" s="2213"/>
      <c r="X148" s="2213"/>
      <c r="Y148" s="2217">
        <f t="shared" si="83"/>
        <v>-2.3821873710172436</v>
      </c>
      <c r="Z148" s="2217">
        <f t="shared" si="73"/>
        <v>8500.2170600299269</v>
      </c>
      <c r="AA148" s="2217">
        <f t="shared" si="74"/>
        <v>6.8074905564753863</v>
      </c>
      <c r="AB148" s="2212">
        <v>187</v>
      </c>
      <c r="AC148" s="2219"/>
      <c r="AD148" s="2213"/>
      <c r="AE148" s="2219"/>
      <c r="AF148" s="2213"/>
      <c r="AG148" s="2213"/>
      <c r="AH148" s="2213"/>
      <c r="AI148" s="2213"/>
      <c r="AJ148" s="2213"/>
      <c r="AK148" s="2217">
        <f t="shared" si="84"/>
        <v>-5.3094083103016612</v>
      </c>
      <c r="AL148" s="2217">
        <f t="shared" si="65"/>
        <v>8500.2170600299269</v>
      </c>
      <c r="AM148" s="2217">
        <f t="shared" si="75"/>
        <v>6.8074905564753863</v>
      </c>
      <c r="AN148" s="2212">
        <v>187</v>
      </c>
      <c r="AO148" s="2219"/>
      <c r="AP148" s="2213"/>
      <c r="AQ148" s="2219"/>
      <c r="AR148" s="2213"/>
      <c r="AS148" s="2213"/>
      <c r="AT148" s="2213"/>
      <c r="AU148" s="2213"/>
      <c r="AV148" s="2213"/>
      <c r="AW148" s="2217">
        <f t="shared" si="85"/>
        <v>-24.753871113644585</v>
      </c>
      <c r="AX148" s="2217">
        <f t="shared" si="76"/>
        <v>6144.6642508372988</v>
      </c>
      <c r="AY148" s="2217">
        <f t="shared" si="66"/>
        <v>-12.692331239287341</v>
      </c>
      <c r="AZ148" s="2212">
        <v>187</v>
      </c>
      <c r="BA148" s="2208"/>
      <c r="BB148" s="263"/>
      <c r="BC148" s="2208"/>
      <c r="BD148" s="263"/>
      <c r="BE148" s="263"/>
      <c r="BF148" s="263"/>
      <c r="BG148" s="263"/>
      <c r="BH148" s="2208"/>
      <c r="BI148" s="2217">
        <f t="shared" si="86"/>
        <v>-28.688493797823661</v>
      </c>
      <c r="BJ148" s="2217">
        <f t="shared" si="77"/>
        <v>6144.6642508372988</v>
      </c>
      <c r="BK148" s="2217">
        <f t="shared" si="67"/>
        <v>-12.692331239287341</v>
      </c>
      <c r="BL148" s="2212">
        <v>187</v>
      </c>
      <c r="BM148" s="2208"/>
      <c r="BN148" s="263"/>
      <c r="BO148" s="2208"/>
      <c r="BP148" s="263"/>
      <c r="BQ148" s="263"/>
      <c r="BR148" s="263"/>
      <c r="BS148" s="263"/>
      <c r="BT148" s="2208"/>
      <c r="BU148" s="2217">
        <f t="shared" si="87"/>
        <v>-5.3094083103016612</v>
      </c>
      <c r="BV148" s="2217">
        <f t="shared" si="68"/>
        <v>8500.2170600299269</v>
      </c>
      <c r="BW148" s="2217">
        <f t="shared" si="78"/>
        <v>6.8074905564753863</v>
      </c>
      <c r="BX148" s="2212">
        <v>187</v>
      </c>
      <c r="BY148" s="2219"/>
      <c r="BZ148" s="2213"/>
      <c r="CA148" s="2219"/>
      <c r="CB148" s="2213"/>
      <c r="CC148" s="2213"/>
      <c r="CD148" s="2213"/>
      <c r="CE148" s="2213"/>
      <c r="CF148" s="2208"/>
      <c r="CG148" s="2217">
        <f t="shared" si="88"/>
        <v>-4.4925094435246145</v>
      </c>
      <c r="CH148" s="2217">
        <f t="shared" si="69"/>
        <v>8500.2170600299269</v>
      </c>
      <c r="CI148" s="2217">
        <f t="shared" si="79"/>
        <v>6.8074905564753863</v>
      </c>
      <c r="CJ148" s="2212">
        <v>187</v>
      </c>
      <c r="CK148" s="2219"/>
      <c r="CL148" s="2213"/>
      <c r="CM148" s="2219"/>
      <c r="CN148" s="2213"/>
      <c r="CO148" s="2213"/>
      <c r="CP148" s="2213"/>
      <c r="CQ148" s="2213"/>
      <c r="CR148" s="2208"/>
      <c r="CS148" s="2217">
        <f t="shared" si="89"/>
        <v>-28.434647173037913</v>
      </c>
      <c r="CT148" s="2217">
        <f t="shared" si="80"/>
        <v>6144.6642508372988</v>
      </c>
      <c r="CU148" s="2217">
        <f t="shared" si="70"/>
        <v>-12.692331239287341</v>
      </c>
      <c r="CV148" s="2212">
        <v>187</v>
      </c>
      <c r="CW148" s="2208"/>
      <c r="CX148" s="263"/>
      <c r="CY148" s="2208"/>
      <c r="CZ148" s="263"/>
      <c r="DA148" s="263"/>
      <c r="DB148" s="263"/>
      <c r="DC148" s="263"/>
      <c r="DD148" s="2208"/>
    </row>
    <row r="149" spans="1:108">
      <c r="A149" s="2217">
        <f t="shared" si="81"/>
        <v>-3.3019169330358649</v>
      </c>
      <c r="B149" s="2217">
        <f t="shared" si="63"/>
        <v>8493.4095694734515</v>
      </c>
      <c r="C149" s="2217">
        <f t="shared" si="71"/>
        <v>6.9548548408383795</v>
      </c>
      <c r="D149" s="2212">
        <v>186</v>
      </c>
      <c r="E149" s="2219"/>
      <c r="F149" s="2213"/>
      <c r="G149" s="2219"/>
      <c r="H149" s="2213"/>
      <c r="I149" s="2213"/>
      <c r="J149" s="2213"/>
      <c r="K149" s="2213"/>
      <c r="L149" s="2213"/>
      <c r="M149" s="2217">
        <f t="shared" si="82"/>
        <v>-2.8150770941771786</v>
      </c>
      <c r="N149" s="2217">
        <f t="shared" si="64"/>
        <v>8493.4095694734515</v>
      </c>
      <c r="O149" s="2217">
        <f t="shared" si="72"/>
        <v>6.9548548408383795</v>
      </c>
      <c r="P149" s="2212">
        <v>186</v>
      </c>
      <c r="Q149" s="2219"/>
      <c r="R149" s="2213"/>
      <c r="S149" s="2219"/>
      <c r="T149" s="2213"/>
      <c r="U149" s="2213"/>
      <c r="V149" s="2213"/>
      <c r="W149" s="2213"/>
      <c r="X149" s="2213"/>
      <c r="Y149" s="2217">
        <f t="shared" si="83"/>
        <v>-2.1891401585017238</v>
      </c>
      <c r="Z149" s="2217">
        <f t="shared" si="73"/>
        <v>8493.4095694734515</v>
      </c>
      <c r="AA149" s="2217">
        <f t="shared" si="74"/>
        <v>6.9548548408383795</v>
      </c>
      <c r="AB149" s="2212">
        <v>186</v>
      </c>
      <c r="AC149" s="2219"/>
      <c r="AD149" s="2213"/>
      <c r="AE149" s="2219"/>
      <c r="AF149" s="2213"/>
      <c r="AG149" s="2213"/>
      <c r="AH149" s="2213"/>
      <c r="AI149" s="2213"/>
      <c r="AJ149" s="2213"/>
      <c r="AK149" s="2217">
        <f t="shared" si="84"/>
        <v>-5.1797277400622272</v>
      </c>
      <c r="AL149" s="2217">
        <f t="shared" si="65"/>
        <v>8493.4095694734515</v>
      </c>
      <c r="AM149" s="2217">
        <f t="shared" si="75"/>
        <v>6.9548548408383795</v>
      </c>
      <c r="AN149" s="2212">
        <v>186</v>
      </c>
      <c r="AO149" s="2219"/>
      <c r="AP149" s="2213"/>
      <c r="AQ149" s="2219"/>
      <c r="AR149" s="2213"/>
      <c r="AS149" s="2213"/>
      <c r="AT149" s="2213"/>
      <c r="AU149" s="2213"/>
      <c r="AV149" s="2213"/>
      <c r="AW149" s="2217">
        <f t="shared" si="85"/>
        <v>-24.405726836618236</v>
      </c>
      <c r="AX149" s="2217">
        <f t="shared" si="76"/>
        <v>6157.3565820765862</v>
      </c>
      <c r="AY149" s="2217">
        <f t="shared" si="66"/>
        <v>-12.363893242092672</v>
      </c>
      <c r="AZ149" s="2212">
        <v>186</v>
      </c>
      <c r="BA149" s="2208"/>
      <c r="BB149" s="263"/>
      <c r="BC149" s="2208"/>
      <c r="BD149" s="263"/>
      <c r="BE149" s="263"/>
      <c r="BF149" s="263"/>
      <c r="BG149" s="263"/>
      <c r="BH149" s="2208"/>
      <c r="BI149" s="2217">
        <f t="shared" si="86"/>
        <v>-28.238533741666963</v>
      </c>
      <c r="BJ149" s="2217">
        <f t="shared" si="77"/>
        <v>6157.3565820765862</v>
      </c>
      <c r="BK149" s="2217">
        <f t="shared" si="67"/>
        <v>-12.363893242092672</v>
      </c>
      <c r="BL149" s="2212">
        <v>186</v>
      </c>
      <c r="BM149" s="2208"/>
      <c r="BN149" s="263"/>
      <c r="BO149" s="2208"/>
      <c r="BP149" s="263"/>
      <c r="BQ149" s="263"/>
      <c r="BR149" s="263"/>
      <c r="BS149" s="263"/>
      <c r="BT149" s="2208"/>
      <c r="BU149" s="2217">
        <f t="shared" si="87"/>
        <v>-5.1797277400622272</v>
      </c>
      <c r="BV149" s="2217">
        <f t="shared" si="68"/>
        <v>8493.4095694734515</v>
      </c>
      <c r="BW149" s="2217">
        <f t="shared" si="78"/>
        <v>6.9548548408383795</v>
      </c>
      <c r="BX149" s="2212">
        <v>186</v>
      </c>
      <c r="BY149" s="2219"/>
      <c r="BZ149" s="2213"/>
      <c r="CA149" s="2219"/>
      <c r="CB149" s="2213"/>
      <c r="CC149" s="2213"/>
      <c r="CD149" s="2213"/>
      <c r="CE149" s="2213"/>
      <c r="CF149" s="2208"/>
      <c r="CG149" s="2217">
        <f t="shared" si="88"/>
        <v>-4.3451451591616213</v>
      </c>
      <c r="CH149" s="2217">
        <f t="shared" si="69"/>
        <v>8493.4095694734515</v>
      </c>
      <c r="CI149" s="2217">
        <f t="shared" si="79"/>
        <v>6.9548548408383795</v>
      </c>
      <c r="CJ149" s="2212">
        <v>186</v>
      </c>
      <c r="CK149" s="2219"/>
      <c r="CL149" s="2213"/>
      <c r="CM149" s="2219"/>
      <c r="CN149" s="2213"/>
      <c r="CO149" s="2213"/>
      <c r="CP149" s="2213"/>
      <c r="CQ149" s="2213"/>
      <c r="CR149" s="2208"/>
      <c r="CS149" s="2217">
        <f t="shared" si="89"/>
        <v>-27.991255876825111</v>
      </c>
      <c r="CT149" s="2217">
        <f t="shared" si="80"/>
        <v>6157.3565820765862</v>
      </c>
      <c r="CU149" s="2217">
        <f t="shared" si="70"/>
        <v>-12.363893242092672</v>
      </c>
      <c r="CV149" s="2212">
        <v>186</v>
      </c>
      <c r="CW149" s="2208"/>
      <c r="CX149" s="263"/>
      <c r="CY149" s="2208"/>
      <c r="CZ149" s="263"/>
      <c r="DA149" s="263"/>
      <c r="DB149" s="263"/>
      <c r="DC149" s="263"/>
      <c r="DD149" s="2208"/>
    </row>
    <row r="150" spans="1:108">
      <c r="A150" s="2217">
        <f t="shared" si="81"/>
        <v>-3.1314790985116829</v>
      </c>
      <c r="B150" s="2217">
        <f t="shared" si="63"/>
        <v>8486.4547146326131</v>
      </c>
      <c r="C150" s="2217">
        <f t="shared" si="71"/>
        <v>7.103061653468103</v>
      </c>
      <c r="D150" s="2212">
        <v>185</v>
      </c>
      <c r="E150" s="2219"/>
      <c r="F150" s="2213"/>
      <c r="G150" s="2219"/>
      <c r="H150" s="2213"/>
      <c r="I150" s="2213"/>
      <c r="J150" s="2213"/>
      <c r="K150" s="2213"/>
      <c r="L150" s="2213"/>
      <c r="M150" s="2217">
        <f t="shared" si="82"/>
        <v>-2.6342647827689145</v>
      </c>
      <c r="N150" s="2217">
        <f t="shared" si="64"/>
        <v>8486.4547146326131</v>
      </c>
      <c r="O150" s="2217">
        <f t="shared" si="72"/>
        <v>7.103061653468103</v>
      </c>
      <c r="P150" s="2212">
        <v>185</v>
      </c>
      <c r="Q150" s="2219"/>
      <c r="R150" s="2213"/>
      <c r="S150" s="2219"/>
      <c r="T150" s="2213"/>
      <c r="U150" s="2213"/>
      <c r="V150" s="2213"/>
      <c r="W150" s="2213"/>
      <c r="X150" s="2213"/>
      <c r="Y150" s="2217">
        <f t="shared" si="83"/>
        <v>-1.994989233956785</v>
      </c>
      <c r="Z150" s="2217">
        <f t="shared" si="73"/>
        <v>8486.4547146326131</v>
      </c>
      <c r="AA150" s="2217">
        <f t="shared" si="74"/>
        <v>7.103061653468103</v>
      </c>
      <c r="AB150" s="2212">
        <v>185</v>
      </c>
      <c r="AC150" s="2219"/>
      <c r="AD150" s="2213"/>
      <c r="AE150" s="2219"/>
      <c r="AF150" s="2213"/>
      <c r="AG150" s="2213"/>
      <c r="AH150" s="2213"/>
      <c r="AI150" s="2213"/>
      <c r="AJ150" s="2213"/>
      <c r="AK150" s="2217">
        <f t="shared" si="84"/>
        <v>-5.0493057449480707</v>
      </c>
      <c r="AL150" s="2217">
        <f t="shared" si="65"/>
        <v>8486.4547146326131</v>
      </c>
      <c r="AM150" s="2217">
        <f t="shared" si="75"/>
        <v>7.103061653468103</v>
      </c>
      <c r="AN150" s="2212">
        <v>185</v>
      </c>
      <c r="AO150" s="2219"/>
      <c r="AP150" s="2213"/>
      <c r="AQ150" s="2219"/>
      <c r="AR150" s="2213"/>
      <c r="AS150" s="2213"/>
      <c r="AT150" s="2213"/>
      <c r="AU150" s="2213"/>
      <c r="AV150" s="2213"/>
      <c r="AW150" s="2217">
        <f t="shared" si="85"/>
        <v>-24.057747839568819</v>
      </c>
      <c r="AX150" s="2217">
        <f t="shared" si="76"/>
        <v>6169.7204753186788</v>
      </c>
      <c r="AY150" s="2217">
        <f t="shared" si="66"/>
        <v>-12.035611169404547</v>
      </c>
      <c r="AZ150" s="2212">
        <v>185</v>
      </c>
      <c r="BA150" s="2208"/>
      <c r="BB150" s="263"/>
      <c r="BC150" s="2208"/>
      <c r="BD150" s="263"/>
      <c r="BE150" s="263"/>
      <c r="BF150" s="263"/>
      <c r="BG150" s="263"/>
      <c r="BH150" s="2208"/>
      <c r="BI150" s="2217">
        <f t="shared" si="86"/>
        <v>-27.788787302084231</v>
      </c>
      <c r="BJ150" s="2217">
        <f t="shared" si="77"/>
        <v>6169.7204753186788</v>
      </c>
      <c r="BK150" s="2217">
        <f t="shared" si="67"/>
        <v>-12.035611169404547</v>
      </c>
      <c r="BL150" s="2212">
        <v>185</v>
      </c>
      <c r="BM150" s="2208"/>
      <c r="BN150" s="263"/>
      <c r="BO150" s="2208"/>
      <c r="BP150" s="263"/>
      <c r="BQ150" s="263"/>
      <c r="BR150" s="263"/>
      <c r="BS150" s="263"/>
      <c r="BT150" s="2208"/>
      <c r="BU150" s="2217">
        <f t="shared" si="87"/>
        <v>-5.0493057449480707</v>
      </c>
      <c r="BV150" s="2217">
        <f t="shared" si="68"/>
        <v>8486.4547146326131</v>
      </c>
      <c r="BW150" s="2217">
        <f t="shared" si="78"/>
        <v>7.103061653468103</v>
      </c>
      <c r="BX150" s="2212">
        <v>185</v>
      </c>
      <c r="BY150" s="2219"/>
      <c r="BZ150" s="2213"/>
      <c r="CA150" s="2219"/>
      <c r="CB150" s="2213"/>
      <c r="CC150" s="2213"/>
      <c r="CD150" s="2213"/>
      <c r="CE150" s="2213"/>
      <c r="CF150" s="2208"/>
      <c r="CG150" s="2217">
        <f t="shared" si="88"/>
        <v>-4.1969383465318977</v>
      </c>
      <c r="CH150" s="2217">
        <f t="shared" si="69"/>
        <v>8486.4547146326131</v>
      </c>
      <c r="CI150" s="2217">
        <f t="shared" si="79"/>
        <v>7.103061653468103</v>
      </c>
      <c r="CJ150" s="2212">
        <v>185</v>
      </c>
      <c r="CK150" s="2219"/>
      <c r="CL150" s="2213"/>
      <c r="CM150" s="2219"/>
      <c r="CN150" s="2213"/>
      <c r="CO150" s="2213"/>
      <c r="CP150" s="2213"/>
      <c r="CQ150" s="2213"/>
      <c r="CR150" s="2208"/>
      <c r="CS150" s="2217">
        <f t="shared" si="89"/>
        <v>-27.54807507869614</v>
      </c>
      <c r="CT150" s="2217">
        <f t="shared" si="80"/>
        <v>6169.7204753186788</v>
      </c>
      <c r="CU150" s="2217">
        <f t="shared" si="70"/>
        <v>-12.035611169404547</v>
      </c>
      <c r="CV150" s="2212">
        <v>185</v>
      </c>
      <c r="CW150" s="2208"/>
      <c r="CX150" s="263"/>
      <c r="CY150" s="2208"/>
      <c r="CZ150" s="263"/>
      <c r="DA150" s="263"/>
      <c r="DB150" s="263"/>
      <c r="DC150" s="263"/>
      <c r="DD150" s="2208"/>
    </row>
    <row r="151" spans="1:108">
      <c r="A151" s="2217">
        <f t="shared" si="81"/>
        <v>-2.9600723564786691</v>
      </c>
      <c r="B151" s="2217">
        <f t="shared" si="63"/>
        <v>8479.351652979145</v>
      </c>
      <c r="C151" s="2217">
        <f t="shared" si="71"/>
        <v>7.252110994366376</v>
      </c>
      <c r="D151" s="2212">
        <v>184</v>
      </c>
      <c r="E151" s="2219"/>
      <c r="F151" s="2213"/>
      <c r="G151" s="2219"/>
      <c r="H151" s="2213"/>
      <c r="I151" s="2213"/>
      <c r="J151" s="2213"/>
      <c r="K151" s="2213"/>
      <c r="L151" s="2213"/>
      <c r="M151" s="2217">
        <f t="shared" si="82"/>
        <v>-2.4524245868730219</v>
      </c>
      <c r="N151" s="2217">
        <f t="shared" si="64"/>
        <v>8479.351652979145</v>
      </c>
      <c r="O151" s="2217">
        <f t="shared" si="72"/>
        <v>7.252110994366376</v>
      </c>
      <c r="P151" s="2212">
        <v>184</v>
      </c>
      <c r="Q151" s="2219"/>
      <c r="R151" s="2213"/>
      <c r="S151" s="2219"/>
      <c r="T151" s="2213"/>
      <c r="U151" s="2213"/>
      <c r="V151" s="2213"/>
      <c r="W151" s="2213"/>
      <c r="X151" s="2213"/>
      <c r="Y151" s="2217">
        <f t="shared" si="83"/>
        <v>-1.7997345973800485</v>
      </c>
      <c r="Z151" s="2217">
        <f t="shared" si="73"/>
        <v>8479.351652979145</v>
      </c>
      <c r="AA151" s="2217">
        <f t="shared" si="74"/>
        <v>7.252110994366376</v>
      </c>
      <c r="AB151" s="2212">
        <v>184</v>
      </c>
      <c r="AC151" s="2219"/>
      <c r="AD151" s="2213"/>
      <c r="AE151" s="2219"/>
      <c r="AF151" s="2213"/>
      <c r="AG151" s="2213"/>
      <c r="AH151" s="2213"/>
      <c r="AI151" s="2213"/>
      <c r="AJ151" s="2213"/>
      <c r="AK151" s="2217">
        <f t="shared" si="84"/>
        <v>-4.9181423249575911</v>
      </c>
      <c r="AL151" s="2217">
        <f t="shared" si="65"/>
        <v>8479.351652979145</v>
      </c>
      <c r="AM151" s="2217">
        <f t="shared" si="75"/>
        <v>7.252110994366376</v>
      </c>
      <c r="AN151" s="2212">
        <v>184</v>
      </c>
      <c r="AO151" s="2219"/>
      <c r="AP151" s="2213"/>
      <c r="AQ151" s="2219"/>
      <c r="AR151" s="2213"/>
      <c r="AS151" s="2213"/>
      <c r="AT151" s="2213"/>
      <c r="AU151" s="2213"/>
      <c r="AV151" s="2213"/>
      <c r="AW151" s="2217">
        <f t="shared" si="85"/>
        <v>-23.709934122486704</v>
      </c>
      <c r="AX151" s="2217">
        <f t="shared" si="76"/>
        <v>6181.7560864880834</v>
      </c>
      <c r="AY151" s="2217">
        <f t="shared" si="66"/>
        <v>-11.70748502121387</v>
      </c>
      <c r="AZ151" s="2212">
        <v>184</v>
      </c>
      <c r="BA151" s="2208"/>
      <c r="BB151" s="263"/>
      <c r="BC151" s="2208"/>
      <c r="BD151" s="263"/>
      <c r="BE151" s="263"/>
      <c r="BF151" s="263"/>
      <c r="BG151" s="263"/>
      <c r="BH151" s="2208"/>
      <c r="BI151" s="2217">
        <f t="shared" si="86"/>
        <v>-27.339254479063005</v>
      </c>
      <c r="BJ151" s="2217">
        <f t="shared" si="77"/>
        <v>6181.7560864880834</v>
      </c>
      <c r="BK151" s="2217">
        <f t="shared" si="67"/>
        <v>-11.70748502121387</v>
      </c>
      <c r="BL151" s="2212">
        <v>184</v>
      </c>
      <c r="BM151" s="2208"/>
      <c r="BN151" s="263"/>
      <c r="BO151" s="2208"/>
      <c r="BP151" s="263"/>
      <c r="BQ151" s="263"/>
      <c r="BR151" s="263"/>
      <c r="BS151" s="263"/>
      <c r="BT151" s="2208"/>
      <c r="BU151" s="2217">
        <f t="shared" si="87"/>
        <v>-4.9181423249575911</v>
      </c>
      <c r="BV151" s="2217">
        <f t="shared" si="68"/>
        <v>8479.351652979145</v>
      </c>
      <c r="BW151" s="2217">
        <f t="shared" si="78"/>
        <v>7.252110994366376</v>
      </c>
      <c r="BX151" s="2212">
        <v>184</v>
      </c>
      <c r="BY151" s="2219"/>
      <c r="BZ151" s="2213"/>
      <c r="CA151" s="2219"/>
      <c r="CB151" s="2213"/>
      <c r="CC151" s="2213"/>
      <c r="CD151" s="2213"/>
      <c r="CE151" s="2213"/>
      <c r="CF151" s="2208"/>
      <c r="CG151" s="2217">
        <f t="shared" si="88"/>
        <v>-4.0478890056336247</v>
      </c>
      <c r="CH151" s="2217">
        <f t="shared" si="69"/>
        <v>8479.351652979145</v>
      </c>
      <c r="CI151" s="2217">
        <f t="shared" si="79"/>
        <v>7.252110994366376</v>
      </c>
      <c r="CJ151" s="2212">
        <v>184</v>
      </c>
      <c r="CK151" s="2219"/>
      <c r="CL151" s="2213"/>
      <c r="CM151" s="2219"/>
      <c r="CN151" s="2213"/>
      <c r="CO151" s="2213"/>
      <c r="CP151" s="2213"/>
      <c r="CQ151" s="2213"/>
      <c r="CR151" s="2208"/>
      <c r="CS151" s="2217">
        <f t="shared" si="89"/>
        <v>-27.105104778638726</v>
      </c>
      <c r="CT151" s="2217">
        <f t="shared" si="80"/>
        <v>6181.7560864880834</v>
      </c>
      <c r="CU151" s="2217">
        <f t="shared" si="70"/>
        <v>-11.70748502121387</v>
      </c>
      <c r="CV151" s="2212">
        <v>184</v>
      </c>
      <c r="CW151" s="2208"/>
      <c r="CX151" s="263"/>
      <c r="CY151" s="2208"/>
      <c r="CZ151" s="263"/>
      <c r="DA151" s="263"/>
      <c r="DB151" s="263"/>
      <c r="DC151" s="263"/>
      <c r="DD151" s="2208"/>
    </row>
    <row r="152" spans="1:108">
      <c r="A152" s="2217">
        <f t="shared" si="81"/>
        <v>-2.7876967069347316</v>
      </c>
      <c r="B152" s="2217">
        <f t="shared" si="63"/>
        <v>8472.0995419847786</v>
      </c>
      <c r="C152" s="2217">
        <f t="shared" si="71"/>
        <v>7.4020028635350172</v>
      </c>
      <c r="D152" s="2212">
        <v>183</v>
      </c>
      <c r="E152" s="2219"/>
      <c r="F152" s="2213"/>
      <c r="G152" s="2219"/>
      <c r="H152" s="2213"/>
      <c r="I152" s="2213"/>
      <c r="J152" s="2213"/>
      <c r="K152" s="2213"/>
      <c r="L152" s="2213"/>
      <c r="M152" s="2217">
        <f t="shared" si="82"/>
        <v>-2.2695565064872802</v>
      </c>
      <c r="N152" s="2217">
        <f t="shared" si="64"/>
        <v>8472.0995419847786</v>
      </c>
      <c r="O152" s="2217">
        <f t="shared" si="72"/>
        <v>7.4020028635350172</v>
      </c>
      <c r="P152" s="2212">
        <v>183</v>
      </c>
      <c r="Q152" s="2219"/>
      <c r="R152" s="2213"/>
      <c r="S152" s="2219"/>
      <c r="T152" s="2213"/>
      <c r="U152" s="2213"/>
      <c r="V152" s="2213"/>
      <c r="W152" s="2213"/>
      <c r="X152" s="2213"/>
      <c r="Y152" s="2217">
        <f t="shared" si="83"/>
        <v>-1.603376248769127</v>
      </c>
      <c r="Z152" s="2217">
        <f t="shared" si="73"/>
        <v>8472.0995419847786</v>
      </c>
      <c r="AA152" s="2217">
        <f t="shared" si="74"/>
        <v>7.4020028635350172</v>
      </c>
      <c r="AB152" s="2212">
        <v>183</v>
      </c>
      <c r="AC152" s="2219"/>
      <c r="AD152" s="2213"/>
      <c r="AE152" s="2219"/>
      <c r="AF152" s="2213"/>
      <c r="AG152" s="2213"/>
      <c r="AH152" s="2213"/>
      <c r="AI152" s="2213"/>
      <c r="AJ152" s="2213"/>
      <c r="AK152" s="2217">
        <f t="shared" si="84"/>
        <v>-4.786237480089186</v>
      </c>
      <c r="AL152" s="2217">
        <f t="shared" si="65"/>
        <v>8472.0995419847786</v>
      </c>
      <c r="AM152" s="2217">
        <f t="shared" si="75"/>
        <v>7.4020028635350172</v>
      </c>
      <c r="AN152" s="2212">
        <v>183</v>
      </c>
      <c r="AO152" s="2219"/>
      <c r="AP152" s="2213"/>
      <c r="AQ152" s="2219"/>
      <c r="AR152" s="2213"/>
      <c r="AS152" s="2213"/>
      <c r="AT152" s="2213"/>
      <c r="AU152" s="2213"/>
      <c r="AV152" s="2213"/>
      <c r="AW152" s="2217">
        <f t="shared" si="85"/>
        <v>-23.362285685372846</v>
      </c>
      <c r="AX152" s="2217">
        <f t="shared" si="76"/>
        <v>6193.4635715092973</v>
      </c>
      <c r="AY152" s="2217">
        <f t="shared" si="66"/>
        <v>-11.379514797521551</v>
      </c>
      <c r="AZ152" s="2212">
        <v>183</v>
      </c>
      <c r="BA152" s="2208"/>
      <c r="BB152" s="263"/>
      <c r="BC152" s="2208"/>
      <c r="BD152" s="263"/>
      <c r="BE152" s="263"/>
      <c r="BF152" s="263"/>
      <c r="BG152" s="263"/>
      <c r="BH152" s="2208"/>
      <c r="BI152" s="2217">
        <f t="shared" si="86"/>
        <v>-26.889935272604525</v>
      </c>
      <c r="BJ152" s="2217">
        <f t="shared" si="77"/>
        <v>6193.4635715092973</v>
      </c>
      <c r="BK152" s="2217">
        <f t="shared" si="67"/>
        <v>-11.379514797521551</v>
      </c>
      <c r="BL152" s="2212">
        <v>183</v>
      </c>
      <c r="BM152" s="2208"/>
      <c r="BN152" s="263"/>
      <c r="BO152" s="2208"/>
      <c r="BP152" s="263"/>
      <c r="BQ152" s="263"/>
      <c r="BR152" s="263"/>
      <c r="BS152" s="263"/>
      <c r="BT152" s="2208"/>
      <c r="BU152" s="2217">
        <f t="shared" si="87"/>
        <v>-4.786237480089186</v>
      </c>
      <c r="BV152" s="2217">
        <f t="shared" si="68"/>
        <v>8472.0995419847786</v>
      </c>
      <c r="BW152" s="2217">
        <f t="shared" si="78"/>
        <v>7.4020028635350172</v>
      </c>
      <c r="BX152" s="2212">
        <v>183</v>
      </c>
      <c r="BY152" s="2219"/>
      <c r="BZ152" s="2213"/>
      <c r="CA152" s="2219"/>
      <c r="CB152" s="2213"/>
      <c r="CC152" s="2213"/>
      <c r="CD152" s="2213"/>
      <c r="CE152" s="2213"/>
      <c r="CF152" s="2208"/>
      <c r="CG152" s="2217">
        <f t="shared" si="88"/>
        <v>-3.8979971364649835</v>
      </c>
      <c r="CH152" s="2217">
        <f t="shared" si="69"/>
        <v>8472.0995419847786</v>
      </c>
      <c r="CI152" s="2217">
        <f t="shared" si="79"/>
        <v>7.4020028635350172</v>
      </c>
      <c r="CJ152" s="2212">
        <v>183</v>
      </c>
      <c r="CK152" s="2219"/>
      <c r="CL152" s="2213"/>
      <c r="CM152" s="2219"/>
      <c r="CN152" s="2213"/>
      <c r="CO152" s="2213"/>
      <c r="CP152" s="2213"/>
      <c r="CQ152" s="2213"/>
      <c r="CR152" s="2208"/>
      <c r="CS152" s="2217">
        <f t="shared" si="89"/>
        <v>-26.662344976654097</v>
      </c>
      <c r="CT152" s="2217">
        <f t="shared" si="80"/>
        <v>6193.4635715092973</v>
      </c>
      <c r="CU152" s="2217">
        <f t="shared" si="70"/>
        <v>-11.379514797521551</v>
      </c>
      <c r="CV152" s="2212">
        <v>183</v>
      </c>
      <c r="CW152" s="2208"/>
      <c r="CX152" s="263"/>
      <c r="CY152" s="2208"/>
      <c r="CZ152" s="263"/>
      <c r="DA152" s="263"/>
      <c r="DB152" s="263"/>
      <c r="DC152" s="263"/>
      <c r="DD152" s="2208"/>
    </row>
    <row r="153" spans="1:108">
      <c r="A153" s="2217">
        <f t="shared" si="81"/>
        <v>-2.614352149877778</v>
      </c>
      <c r="B153" s="2217">
        <f t="shared" si="63"/>
        <v>8464.6975391212436</v>
      </c>
      <c r="C153" s="2217">
        <f t="shared" si="71"/>
        <v>7.5527372609758459</v>
      </c>
      <c r="D153" s="2212">
        <v>182</v>
      </c>
      <c r="E153" s="2219"/>
      <c r="F153" s="2213"/>
      <c r="G153" s="2219"/>
      <c r="H153" s="2213"/>
      <c r="I153" s="2213"/>
      <c r="J153" s="2213"/>
      <c r="K153" s="2213"/>
      <c r="L153" s="2213"/>
      <c r="M153" s="2217">
        <f t="shared" si="82"/>
        <v>-2.0856605416094691</v>
      </c>
      <c r="N153" s="2217">
        <f t="shared" si="64"/>
        <v>8464.6975391212436</v>
      </c>
      <c r="O153" s="2217">
        <f t="shared" si="72"/>
        <v>7.5527372609758459</v>
      </c>
      <c r="P153" s="2212">
        <v>182</v>
      </c>
      <c r="Q153" s="2219"/>
      <c r="R153" s="2213"/>
      <c r="S153" s="2219"/>
      <c r="T153" s="2213"/>
      <c r="U153" s="2213"/>
      <c r="V153" s="2213"/>
      <c r="W153" s="2213"/>
      <c r="X153" s="2213"/>
      <c r="Y153" s="2217">
        <f t="shared" si="83"/>
        <v>-1.4059141881216419</v>
      </c>
      <c r="Z153" s="2217">
        <f t="shared" si="73"/>
        <v>8464.6975391212436</v>
      </c>
      <c r="AA153" s="2217">
        <f t="shared" si="74"/>
        <v>7.5527372609758459</v>
      </c>
      <c r="AB153" s="2212">
        <v>182</v>
      </c>
      <c r="AC153" s="2219"/>
      <c r="AD153" s="2213"/>
      <c r="AE153" s="2219"/>
      <c r="AF153" s="2213"/>
      <c r="AG153" s="2213"/>
      <c r="AH153" s="2213"/>
      <c r="AI153" s="2213"/>
      <c r="AJ153" s="2213"/>
      <c r="AK153" s="2217">
        <f t="shared" si="84"/>
        <v>-4.6535912103412569</v>
      </c>
      <c r="AL153" s="2217">
        <f t="shared" si="65"/>
        <v>8464.6975391212436</v>
      </c>
      <c r="AM153" s="2217">
        <f t="shared" si="75"/>
        <v>7.5527372609758459</v>
      </c>
      <c r="AN153" s="2212">
        <v>182</v>
      </c>
      <c r="AO153" s="2219"/>
      <c r="AP153" s="2213"/>
      <c r="AQ153" s="2219"/>
      <c r="AR153" s="2213"/>
      <c r="AS153" s="2213"/>
      <c r="AT153" s="2213"/>
      <c r="AU153" s="2213"/>
      <c r="AV153" s="2213"/>
      <c r="AW153" s="2217">
        <f t="shared" si="85"/>
        <v>-23.014802528233034</v>
      </c>
      <c r="AX153" s="2217">
        <f t="shared" si="76"/>
        <v>6204.8430863068188</v>
      </c>
      <c r="AY153" s="2217">
        <f t="shared" si="66"/>
        <v>-11.051700498333048</v>
      </c>
      <c r="AZ153" s="2212">
        <v>182</v>
      </c>
      <c r="BA153" s="2208"/>
      <c r="BB153" s="263"/>
      <c r="BC153" s="2208"/>
      <c r="BD153" s="263"/>
      <c r="BE153" s="263"/>
      <c r="BF153" s="263"/>
      <c r="BG153" s="263"/>
      <c r="BH153" s="2208"/>
      <c r="BI153" s="2217">
        <f t="shared" si="86"/>
        <v>-26.440829682716277</v>
      </c>
      <c r="BJ153" s="2217">
        <f t="shared" si="77"/>
        <v>6204.8430863068188</v>
      </c>
      <c r="BK153" s="2217">
        <f t="shared" si="67"/>
        <v>-11.051700498333048</v>
      </c>
      <c r="BL153" s="2212">
        <v>182</v>
      </c>
      <c r="BM153" s="2208"/>
      <c r="BN153" s="263"/>
      <c r="BO153" s="2208"/>
      <c r="BP153" s="263"/>
      <c r="BQ153" s="263"/>
      <c r="BR153" s="263"/>
      <c r="BS153" s="263"/>
      <c r="BT153" s="2208"/>
      <c r="BU153" s="2217">
        <f t="shared" si="87"/>
        <v>-4.6535912103412569</v>
      </c>
      <c r="BV153" s="2217">
        <f t="shared" si="68"/>
        <v>8464.6975391212436</v>
      </c>
      <c r="BW153" s="2217">
        <f t="shared" si="78"/>
        <v>7.5527372609758459</v>
      </c>
      <c r="BX153" s="2212">
        <v>182</v>
      </c>
      <c r="BY153" s="2219"/>
      <c r="BZ153" s="2213"/>
      <c r="CA153" s="2219"/>
      <c r="CB153" s="2213"/>
      <c r="CC153" s="2213"/>
      <c r="CD153" s="2213"/>
      <c r="CE153" s="2213"/>
      <c r="CF153" s="2208"/>
      <c r="CG153" s="2217">
        <f t="shared" si="88"/>
        <v>-3.7472627390241549</v>
      </c>
      <c r="CH153" s="2217">
        <f t="shared" si="69"/>
        <v>8464.6975391212436</v>
      </c>
      <c r="CI153" s="2217">
        <f t="shared" si="79"/>
        <v>7.5527372609758459</v>
      </c>
      <c r="CJ153" s="2212">
        <v>182</v>
      </c>
      <c r="CK153" s="2219"/>
      <c r="CL153" s="2213"/>
      <c r="CM153" s="2219"/>
      <c r="CN153" s="2213"/>
      <c r="CO153" s="2213"/>
      <c r="CP153" s="2213"/>
      <c r="CQ153" s="2213"/>
      <c r="CR153" s="2208"/>
      <c r="CS153" s="2217">
        <f t="shared" si="89"/>
        <v>-26.219795672749619</v>
      </c>
      <c r="CT153" s="2217">
        <f t="shared" si="80"/>
        <v>6204.8430863068188</v>
      </c>
      <c r="CU153" s="2217">
        <f t="shared" si="70"/>
        <v>-11.051700498333048</v>
      </c>
      <c r="CV153" s="2212">
        <v>182</v>
      </c>
      <c r="CW153" s="2208"/>
      <c r="CX153" s="263"/>
      <c r="CY153" s="2208"/>
      <c r="CZ153" s="263"/>
      <c r="DA153" s="263"/>
      <c r="DB153" s="263"/>
      <c r="DC153" s="263"/>
      <c r="DD153" s="2208"/>
    </row>
    <row r="154" spans="1:108">
      <c r="A154" s="2217">
        <f t="shared" si="81"/>
        <v>-2.4400386853161784</v>
      </c>
      <c r="B154" s="2217">
        <f t="shared" si="63"/>
        <v>8457.1448018602678</v>
      </c>
      <c r="C154" s="2217">
        <f t="shared" si="71"/>
        <v>7.7043141866815859</v>
      </c>
      <c r="D154" s="2212">
        <v>181</v>
      </c>
      <c r="E154" s="2219"/>
      <c r="F154" s="2213"/>
      <c r="G154" s="2219"/>
      <c r="H154" s="2213"/>
      <c r="I154" s="2213"/>
      <c r="J154" s="2213"/>
      <c r="K154" s="2213"/>
      <c r="L154" s="2213"/>
      <c r="M154" s="2217">
        <f t="shared" si="82"/>
        <v>-1.9007366922484668</v>
      </c>
      <c r="N154" s="2217">
        <f t="shared" si="64"/>
        <v>8457.1448018602678</v>
      </c>
      <c r="O154" s="2217">
        <f t="shared" si="72"/>
        <v>7.7043141866815859</v>
      </c>
      <c r="P154" s="2212">
        <v>181</v>
      </c>
      <c r="Q154" s="2219"/>
      <c r="R154" s="2213"/>
      <c r="S154" s="2219"/>
      <c r="T154" s="2213"/>
      <c r="U154" s="2213"/>
      <c r="V154" s="2213"/>
      <c r="W154" s="2213"/>
      <c r="X154" s="2213"/>
      <c r="Y154" s="2217">
        <f t="shared" si="83"/>
        <v>-1.2073484154471235</v>
      </c>
      <c r="Z154" s="2217">
        <f t="shared" si="73"/>
        <v>8457.1448018602678</v>
      </c>
      <c r="AA154" s="2217">
        <f t="shared" si="74"/>
        <v>7.7043141866815859</v>
      </c>
      <c r="AB154" s="2212">
        <v>181</v>
      </c>
      <c r="AC154" s="2219"/>
      <c r="AD154" s="2213"/>
      <c r="AE154" s="2219"/>
      <c r="AF154" s="2213"/>
      <c r="AG154" s="2213"/>
      <c r="AH154" s="2213"/>
      <c r="AI154" s="2213"/>
      <c r="AJ154" s="2213"/>
      <c r="AK154" s="2217">
        <f t="shared" si="84"/>
        <v>-4.5202035157202056</v>
      </c>
      <c r="AL154" s="2217">
        <f t="shared" si="65"/>
        <v>8457.1448018602678</v>
      </c>
      <c r="AM154" s="2217">
        <f t="shared" si="75"/>
        <v>7.7043141866815859</v>
      </c>
      <c r="AN154" s="2212">
        <v>181</v>
      </c>
      <c r="AO154" s="2219"/>
      <c r="AP154" s="2213"/>
      <c r="AQ154" s="2219"/>
      <c r="AR154" s="2213"/>
      <c r="AS154" s="2213"/>
      <c r="AT154" s="2213"/>
      <c r="AU154" s="2213"/>
      <c r="AV154" s="2213"/>
      <c r="AW154" s="2217">
        <f t="shared" si="85"/>
        <v>-22.667484651062445</v>
      </c>
      <c r="AX154" s="2217">
        <f t="shared" si="76"/>
        <v>6215.8947868051519</v>
      </c>
      <c r="AY154" s="2217">
        <f t="shared" si="66"/>
        <v>-10.724042123643812</v>
      </c>
      <c r="AZ154" s="2212">
        <v>181</v>
      </c>
      <c r="BA154" s="2208"/>
      <c r="BB154" s="263"/>
      <c r="BC154" s="2208"/>
      <c r="BD154" s="263"/>
      <c r="BE154" s="263"/>
      <c r="BF154" s="263"/>
      <c r="BG154" s="263"/>
      <c r="BH154" s="2208"/>
      <c r="BI154" s="2217">
        <f t="shared" si="86"/>
        <v>-25.991937709392026</v>
      </c>
      <c r="BJ154" s="2217">
        <f t="shared" si="77"/>
        <v>6215.8947868051519</v>
      </c>
      <c r="BK154" s="2217">
        <f t="shared" si="67"/>
        <v>-10.724042123643812</v>
      </c>
      <c r="BL154" s="2212">
        <v>181</v>
      </c>
      <c r="BM154" s="2208"/>
      <c r="BN154" s="263"/>
      <c r="BO154" s="2208"/>
      <c r="BP154" s="263"/>
      <c r="BQ154" s="263"/>
      <c r="BR154" s="263"/>
      <c r="BS154" s="263"/>
      <c r="BT154" s="2208"/>
      <c r="BU154" s="2217">
        <f t="shared" si="87"/>
        <v>-4.5202035157202056</v>
      </c>
      <c r="BV154" s="2217">
        <f t="shared" si="68"/>
        <v>8457.1448018602678</v>
      </c>
      <c r="BW154" s="2217">
        <f t="shared" si="78"/>
        <v>7.7043141866815859</v>
      </c>
      <c r="BX154" s="2212">
        <v>181</v>
      </c>
      <c r="BY154" s="2219"/>
      <c r="BZ154" s="2213"/>
      <c r="CA154" s="2219"/>
      <c r="CB154" s="2213"/>
      <c r="CC154" s="2213"/>
      <c r="CD154" s="2213"/>
      <c r="CE154" s="2213"/>
      <c r="CF154" s="2208"/>
      <c r="CG154" s="2217">
        <f t="shared" si="88"/>
        <v>-3.5956858133184149</v>
      </c>
      <c r="CH154" s="2217">
        <f t="shared" si="69"/>
        <v>8457.1448018602678</v>
      </c>
      <c r="CI154" s="2217">
        <f t="shared" si="79"/>
        <v>7.7043141866815859</v>
      </c>
      <c r="CJ154" s="2212">
        <v>181</v>
      </c>
      <c r="CK154" s="2219"/>
      <c r="CL154" s="2213"/>
      <c r="CM154" s="2219"/>
      <c r="CN154" s="2213"/>
      <c r="CO154" s="2213"/>
      <c r="CP154" s="2213"/>
      <c r="CQ154" s="2213"/>
      <c r="CR154" s="2208"/>
      <c r="CS154" s="2217">
        <f t="shared" si="89"/>
        <v>-25.777456866919149</v>
      </c>
      <c r="CT154" s="2217">
        <f t="shared" si="80"/>
        <v>6215.8947868051519</v>
      </c>
      <c r="CU154" s="2217">
        <f t="shared" si="70"/>
        <v>-10.724042123643812</v>
      </c>
      <c r="CV154" s="2212">
        <v>181</v>
      </c>
      <c r="CW154" s="2208"/>
      <c r="CX154" s="263"/>
      <c r="CY154" s="2208"/>
      <c r="CZ154" s="263"/>
      <c r="DA154" s="263"/>
      <c r="DB154" s="263"/>
      <c r="DC154" s="263"/>
      <c r="DD154" s="2208"/>
    </row>
    <row r="155" spans="1:108">
      <c r="A155" s="2217">
        <f t="shared" si="81"/>
        <v>-2.2647563132415609</v>
      </c>
      <c r="B155" s="2217">
        <f t="shared" si="63"/>
        <v>8449.4404876735862</v>
      </c>
      <c r="C155" s="2217">
        <f t="shared" si="71"/>
        <v>7.8567336406595132</v>
      </c>
      <c r="D155" s="2212">
        <v>180</v>
      </c>
      <c r="E155" s="2219"/>
      <c r="F155" s="2213"/>
      <c r="G155" s="2219"/>
      <c r="H155" s="2213"/>
      <c r="I155" s="2213"/>
      <c r="J155" s="2213"/>
      <c r="K155" s="2213"/>
      <c r="L155" s="2213"/>
      <c r="M155" s="2217">
        <f t="shared" si="82"/>
        <v>-1.7147849583953949</v>
      </c>
      <c r="N155" s="2217">
        <f t="shared" si="64"/>
        <v>8449.4404876735862</v>
      </c>
      <c r="O155" s="2217">
        <f t="shared" si="72"/>
        <v>7.8567336406595132</v>
      </c>
      <c r="P155" s="2212">
        <v>180</v>
      </c>
      <c r="Q155" s="2219"/>
      <c r="R155" s="2213"/>
      <c r="S155" s="2219"/>
      <c r="T155" s="2213"/>
      <c r="U155" s="2213"/>
      <c r="V155" s="2213"/>
      <c r="W155" s="2213"/>
      <c r="X155" s="2213"/>
      <c r="Y155" s="2217">
        <f t="shared" si="83"/>
        <v>-1.0076789307360379</v>
      </c>
      <c r="Z155" s="2217">
        <f t="shared" si="73"/>
        <v>8449.4404876735862</v>
      </c>
      <c r="AA155" s="2217">
        <f t="shared" si="74"/>
        <v>7.8567336406595132</v>
      </c>
      <c r="AB155" s="2212">
        <v>180</v>
      </c>
      <c r="AC155" s="2219"/>
      <c r="AD155" s="2213"/>
      <c r="AE155" s="2219"/>
      <c r="AF155" s="2213"/>
      <c r="AG155" s="2213"/>
      <c r="AH155" s="2213"/>
      <c r="AI155" s="2213"/>
      <c r="AJ155" s="2213"/>
      <c r="AK155" s="2217">
        <f t="shared" si="84"/>
        <v>-4.3860743962196302</v>
      </c>
      <c r="AL155" s="2217">
        <f t="shared" si="65"/>
        <v>8449.4404876735862</v>
      </c>
      <c r="AM155" s="2217">
        <f t="shared" si="75"/>
        <v>7.8567336406595132</v>
      </c>
      <c r="AN155" s="2212">
        <v>180</v>
      </c>
      <c r="AO155" s="2219"/>
      <c r="AP155" s="2213"/>
      <c r="AQ155" s="2219"/>
      <c r="AR155" s="2213"/>
      <c r="AS155" s="2213"/>
      <c r="AT155" s="2213"/>
      <c r="AU155" s="2213"/>
      <c r="AV155" s="2213"/>
      <c r="AW155" s="2217">
        <f t="shared" si="85"/>
        <v>-22.320332053863968</v>
      </c>
      <c r="AX155" s="2217">
        <f t="shared" si="76"/>
        <v>6226.6188289287957</v>
      </c>
      <c r="AY155" s="2217">
        <f t="shared" si="66"/>
        <v>-10.396539673456573</v>
      </c>
      <c r="AZ155" s="2212">
        <v>180</v>
      </c>
      <c r="BA155" s="2208"/>
      <c r="BB155" s="263"/>
      <c r="BC155" s="2208"/>
      <c r="BD155" s="263"/>
      <c r="BE155" s="263"/>
      <c r="BF155" s="263"/>
      <c r="BG155" s="263"/>
      <c r="BH155" s="2208"/>
      <c r="BI155" s="2217">
        <f t="shared" si="86"/>
        <v>-25.543259352635509</v>
      </c>
      <c r="BJ155" s="2217">
        <f t="shared" si="77"/>
        <v>6226.6188289287957</v>
      </c>
      <c r="BK155" s="2217">
        <f t="shared" si="67"/>
        <v>-10.396539673456573</v>
      </c>
      <c r="BL155" s="2212">
        <v>180</v>
      </c>
      <c r="BM155" s="2208"/>
      <c r="BN155" s="263"/>
      <c r="BO155" s="2208"/>
      <c r="BP155" s="263"/>
      <c r="BQ155" s="263"/>
      <c r="BR155" s="263"/>
      <c r="BS155" s="263"/>
      <c r="BT155" s="2208"/>
      <c r="BU155" s="2217">
        <f t="shared" si="87"/>
        <v>-4.3860743962196302</v>
      </c>
      <c r="BV155" s="2217">
        <f t="shared" si="68"/>
        <v>8449.4404876735862</v>
      </c>
      <c r="BW155" s="2217">
        <f t="shared" si="78"/>
        <v>7.8567336406595132</v>
      </c>
      <c r="BX155" s="2212">
        <v>180</v>
      </c>
      <c r="BY155" s="2219"/>
      <c r="BZ155" s="2213"/>
      <c r="CA155" s="2219"/>
      <c r="CB155" s="2213"/>
      <c r="CC155" s="2213"/>
      <c r="CD155" s="2213"/>
      <c r="CE155" s="2213"/>
      <c r="CF155" s="2208"/>
      <c r="CG155" s="2217">
        <f t="shared" si="88"/>
        <v>-3.4432663593404875</v>
      </c>
      <c r="CH155" s="2217">
        <f t="shared" si="69"/>
        <v>8449.4404876735862</v>
      </c>
      <c r="CI155" s="2217">
        <f t="shared" si="79"/>
        <v>7.8567336406595132</v>
      </c>
      <c r="CJ155" s="2212">
        <v>180</v>
      </c>
      <c r="CK155" s="2219"/>
      <c r="CL155" s="2213"/>
      <c r="CM155" s="2219"/>
      <c r="CN155" s="2213"/>
      <c r="CO155" s="2213"/>
      <c r="CP155" s="2213"/>
      <c r="CQ155" s="2213"/>
      <c r="CR155" s="2208"/>
      <c r="CS155" s="2217">
        <f t="shared" si="89"/>
        <v>-25.335328559166378</v>
      </c>
      <c r="CT155" s="2217">
        <f t="shared" si="80"/>
        <v>6226.6188289287957</v>
      </c>
      <c r="CU155" s="2217">
        <f t="shared" si="70"/>
        <v>-10.396539673456573</v>
      </c>
      <c r="CV155" s="2212">
        <v>180</v>
      </c>
      <c r="CW155" s="2208"/>
      <c r="CX155" s="263"/>
      <c r="CY155" s="2208"/>
      <c r="CZ155" s="263"/>
      <c r="DA155" s="263"/>
      <c r="DB155" s="263"/>
      <c r="DC155" s="263"/>
      <c r="DD155" s="2208"/>
    </row>
    <row r="156" spans="1:108">
      <c r="A156" s="2217">
        <f t="shared" si="81"/>
        <v>-2.0885050336560216</v>
      </c>
      <c r="B156" s="2217">
        <f t="shared" si="63"/>
        <v>8441.5837540329267</v>
      </c>
      <c r="C156" s="2217">
        <f t="shared" si="71"/>
        <v>8.0099956229078089</v>
      </c>
      <c r="D156" s="2212">
        <v>179</v>
      </c>
      <c r="E156" s="2219"/>
      <c r="F156" s="2213"/>
      <c r="G156" s="2219"/>
      <c r="H156" s="2213"/>
      <c r="I156" s="2213"/>
      <c r="J156" s="2213"/>
      <c r="K156" s="2213"/>
      <c r="L156" s="2213"/>
      <c r="M156" s="2217">
        <f t="shared" si="82"/>
        <v>-1.527805340052474</v>
      </c>
      <c r="N156" s="2217">
        <f t="shared" si="64"/>
        <v>8441.5837540329267</v>
      </c>
      <c r="O156" s="2217">
        <f t="shared" si="72"/>
        <v>8.0099956229078089</v>
      </c>
      <c r="P156" s="2212">
        <v>179</v>
      </c>
      <c r="Q156" s="2219"/>
      <c r="R156" s="2213"/>
      <c r="S156" s="2219"/>
      <c r="T156" s="2213"/>
      <c r="U156" s="2213"/>
      <c r="V156" s="2213"/>
      <c r="W156" s="2213"/>
      <c r="X156" s="2213"/>
      <c r="Y156" s="2217">
        <f t="shared" si="83"/>
        <v>-0.80690573399077081</v>
      </c>
      <c r="Z156" s="2217">
        <f t="shared" si="73"/>
        <v>8441.5837540329267</v>
      </c>
      <c r="AA156" s="2217">
        <f t="shared" si="74"/>
        <v>8.0099956229078089</v>
      </c>
      <c r="AB156" s="2212">
        <v>179</v>
      </c>
      <c r="AC156" s="2219"/>
      <c r="AD156" s="2213"/>
      <c r="AE156" s="2219"/>
      <c r="AF156" s="2213"/>
      <c r="AG156" s="2213"/>
      <c r="AH156" s="2213"/>
      <c r="AI156" s="2213"/>
      <c r="AJ156" s="2213"/>
      <c r="AK156" s="2217">
        <f t="shared" si="84"/>
        <v>-4.2512038518411295</v>
      </c>
      <c r="AL156" s="2217">
        <f t="shared" si="65"/>
        <v>8441.5837540329267</v>
      </c>
      <c r="AM156" s="2217">
        <f t="shared" si="75"/>
        <v>8.0099956229078089</v>
      </c>
      <c r="AN156" s="2212">
        <v>179</v>
      </c>
      <c r="AO156" s="2219"/>
      <c r="AP156" s="2213"/>
      <c r="AQ156" s="2219"/>
      <c r="AR156" s="2213"/>
      <c r="AS156" s="2213"/>
      <c r="AT156" s="2213"/>
      <c r="AU156" s="2213"/>
      <c r="AV156" s="2213"/>
      <c r="AW156" s="2217">
        <f t="shared" si="85"/>
        <v>-21.973344736634719</v>
      </c>
      <c r="AX156" s="2217">
        <f t="shared" si="76"/>
        <v>6237.0153686022522</v>
      </c>
      <c r="AY156" s="2217">
        <f t="shared" si="66"/>
        <v>-10.069193147768601</v>
      </c>
      <c r="AZ156" s="2212">
        <v>179</v>
      </c>
      <c r="BA156" s="2208"/>
      <c r="BB156" s="263"/>
      <c r="BC156" s="2208"/>
      <c r="BD156" s="263"/>
      <c r="BE156" s="263"/>
      <c r="BF156" s="263"/>
      <c r="BG156" s="263"/>
      <c r="BH156" s="2208"/>
      <c r="BI156" s="2217">
        <f t="shared" si="86"/>
        <v>-25.094794612442985</v>
      </c>
      <c r="BJ156" s="2217">
        <f t="shared" si="77"/>
        <v>6237.0153686022522</v>
      </c>
      <c r="BK156" s="2217">
        <f t="shared" si="67"/>
        <v>-10.069193147768601</v>
      </c>
      <c r="BL156" s="2212">
        <v>179</v>
      </c>
      <c r="BM156" s="2208"/>
      <c r="BN156" s="263"/>
      <c r="BO156" s="2208"/>
      <c r="BP156" s="263"/>
      <c r="BQ156" s="263"/>
      <c r="BR156" s="263"/>
      <c r="BS156" s="263"/>
      <c r="BT156" s="2208"/>
      <c r="BU156" s="2217">
        <f t="shared" si="87"/>
        <v>-4.2512038518411295</v>
      </c>
      <c r="BV156" s="2217">
        <f t="shared" si="68"/>
        <v>8441.5837540329267</v>
      </c>
      <c r="BW156" s="2217">
        <f t="shared" si="78"/>
        <v>8.0099956229078089</v>
      </c>
      <c r="BX156" s="2212">
        <v>179</v>
      </c>
      <c r="BY156" s="2219"/>
      <c r="BZ156" s="2213"/>
      <c r="CA156" s="2219"/>
      <c r="CB156" s="2213"/>
      <c r="CC156" s="2213"/>
      <c r="CD156" s="2213"/>
      <c r="CE156" s="2213"/>
      <c r="CF156" s="2208"/>
      <c r="CG156" s="2217">
        <f t="shared" si="88"/>
        <v>-3.2900043770921918</v>
      </c>
      <c r="CH156" s="2217">
        <f t="shared" si="69"/>
        <v>8441.5837540329267</v>
      </c>
      <c r="CI156" s="2217">
        <f t="shared" si="79"/>
        <v>8.0099956229078089</v>
      </c>
      <c r="CJ156" s="2212">
        <v>179</v>
      </c>
      <c r="CK156" s="2219"/>
      <c r="CL156" s="2213"/>
      <c r="CM156" s="2219"/>
      <c r="CN156" s="2213"/>
      <c r="CO156" s="2213"/>
      <c r="CP156" s="2213"/>
      <c r="CQ156" s="2213"/>
      <c r="CR156" s="2208"/>
      <c r="CS156" s="2217">
        <f t="shared" si="89"/>
        <v>-24.893410749487614</v>
      </c>
      <c r="CT156" s="2217">
        <f t="shared" si="80"/>
        <v>6237.0153686022522</v>
      </c>
      <c r="CU156" s="2217">
        <f t="shared" si="70"/>
        <v>-10.069193147768601</v>
      </c>
      <c r="CV156" s="2212">
        <v>179</v>
      </c>
      <c r="CW156" s="2208"/>
      <c r="CX156" s="263"/>
      <c r="CY156" s="2208"/>
      <c r="CZ156" s="263"/>
      <c r="DA156" s="263"/>
      <c r="DB156" s="263"/>
      <c r="DC156" s="263"/>
      <c r="DD156" s="2208"/>
    </row>
    <row r="157" spans="1:108">
      <c r="A157" s="2217">
        <f t="shared" si="81"/>
        <v>-1.9112848465616494</v>
      </c>
      <c r="B157" s="2217">
        <f t="shared" si="63"/>
        <v>8433.5737584100189</v>
      </c>
      <c r="C157" s="2217">
        <f t="shared" si="71"/>
        <v>8.1641001334246539</v>
      </c>
      <c r="D157" s="2212">
        <v>178</v>
      </c>
      <c r="E157" s="2219"/>
      <c r="F157" s="2213"/>
      <c r="G157" s="2219"/>
      <c r="H157" s="2213"/>
      <c r="I157" s="2213"/>
      <c r="J157" s="2213"/>
      <c r="K157" s="2213"/>
      <c r="L157" s="2213"/>
      <c r="M157" s="2217">
        <f t="shared" si="82"/>
        <v>-1.3397978372219228</v>
      </c>
      <c r="N157" s="2217">
        <f t="shared" si="64"/>
        <v>8433.5737584100189</v>
      </c>
      <c r="O157" s="2217">
        <f t="shared" si="72"/>
        <v>8.1641001334246539</v>
      </c>
      <c r="P157" s="2212">
        <v>178</v>
      </c>
      <c r="Q157" s="2219"/>
      <c r="R157" s="2213"/>
      <c r="S157" s="2219"/>
      <c r="T157" s="2213"/>
      <c r="U157" s="2213"/>
      <c r="V157" s="2213"/>
      <c r="W157" s="2213"/>
      <c r="X157" s="2213"/>
      <c r="Y157" s="2217">
        <f t="shared" si="83"/>
        <v>-0.60502882521370438</v>
      </c>
      <c r="Z157" s="2217">
        <f t="shared" si="73"/>
        <v>8433.5737584100189</v>
      </c>
      <c r="AA157" s="2217">
        <f t="shared" si="74"/>
        <v>8.1641001334246539</v>
      </c>
      <c r="AB157" s="2212">
        <v>178</v>
      </c>
      <c r="AC157" s="2219"/>
      <c r="AD157" s="2213"/>
      <c r="AE157" s="2219"/>
      <c r="AF157" s="2213"/>
      <c r="AG157" s="2213"/>
      <c r="AH157" s="2213"/>
      <c r="AI157" s="2213"/>
      <c r="AJ157" s="2213"/>
      <c r="AK157" s="2217">
        <f t="shared" si="84"/>
        <v>-4.1155918825863065</v>
      </c>
      <c r="AL157" s="2217">
        <f t="shared" si="65"/>
        <v>8433.5737584100189</v>
      </c>
      <c r="AM157" s="2217">
        <f t="shared" si="75"/>
        <v>8.1641001334246539</v>
      </c>
      <c r="AN157" s="2212">
        <v>178</v>
      </c>
      <c r="AO157" s="2219"/>
      <c r="AP157" s="2213"/>
      <c r="AQ157" s="2219"/>
      <c r="AR157" s="2213"/>
      <c r="AS157" s="2213"/>
      <c r="AT157" s="2213"/>
      <c r="AU157" s="2213"/>
      <c r="AV157" s="2213"/>
      <c r="AW157" s="2217">
        <f t="shared" si="85"/>
        <v>-21.626522699372764</v>
      </c>
      <c r="AX157" s="2217">
        <f t="shared" si="76"/>
        <v>6247.0845617500208</v>
      </c>
      <c r="AY157" s="2217">
        <f t="shared" si="66"/>
        <v>-9.7420025465780782</v>
      </c>
      <c r="AZ157" s="2212">
        <v>178</v>
      </c>
      <c r="BA157" s="2208"/>
      <c r="BB157" s="263"/>
      <c r="BC157" s="2208"/>
      <c r="BD157" s="263"/>
      <c r="BE157" s="263"/>
      <c r="BF157" s="263"/>
      <c r="BG157" s="263"/>
      <c r="BH157" s="2208"/>
      <c r="BI157" s="2217">
        <f t="shared" si="86"/>
        <v>-24.646543488811968</v>
      </c>
      <c r="BJ157" s="2217">
        <f t="shared" si="77"/>
        <v>6247.0845617500208</v>
      </c>
      <c r="BK157" s="2217">
        <f t="shared" si="67"/>
        <v>-9.7420025465780782</v>
      </c>
      <c r="BL157" s="2212">
        <v>178</v>
      </c>
      <c r="BM157" s="2208"/>
      <c r="BN157" s="263"/>
      <c r="BO157" s="2208"/>
      <c r="BP157" s="263"/>
      <c r="BQ157" s="263"/>
      <c r="BR157" s="263"/>
      <c r="BS157" s="263"/>
      <c r="BT157" s="2208"/>
      <c r="BU157" s="2217">
        <f t="shared" si="87"/>
        <v>-4.1155918825863065</v>
      </c>
      <c r="BV157" s="2217">
        <f t="shared" si="68"/>
        <v>8433.5737584100189</v>
      </c>
      <c r="BW157" s="2217">
        <f t="shared" si="78"/>
        <v>8.1641001334246539</v>
      </c>
      <c r="BX157" s="2212">
        <v>178</v>
      </c>
      <c r="BY157" s="2219"/>
      <c r="BZ157" s="2213"/>
      <c r="CA157" s="2219"/>
      <c r="CB157" s="2213"/>
      <c r="CC157" s="2213"/>
      <c r="CD157" s="2213"/>
      <c r="CE157" s="2213"/>
      <c r="CF157" s="2208"/>
      <c r="CG157" s="2217">
        <f t="shared" si="88"/>
        <v>-3.1358998665753468</v>
      </c>
      <c r="CH157" s="2217">
        <f t="shared" si="69"/>
        <v>8433.5737584100189</v>
      </c>
      <c r="CI157" s="2217">
        <f t="shared" si="79"/>
        <v>8.1641001334246539</v>
      </c>
      <c r="CJ157" s="2212">
        <v>178</v>
      </c>
      <c r="CK157" s="2219"/>
      <c r="CL157" s="2213"/>
      <c r="CM157" s="2219"/>
      <c r="CN157" s="2213"/>
      <c r="CO157" s="2213"/>
      <c r="CP157" s="2213"/>
      <c r="CQ157" s="2213"/>
      <c r="CR157" s="2208"/>
      <c r="CS157" s="2217">
        <f t="shared" si="89"/>
        <v>-24.451703437880408</v>
      </c>
      <c r="CT157" s="2217">
        <f t="shared" si="80"/>
        <v>6247.0845617500208</v>
      </c>
      <c r="CU157" s="2217">
        <f t="shared" si="70"/>
        <v>-9.7420025465780782</v>
      </c>
      <c r="CV157" s="2212">
        <v>178</v>
      </c>
      <c r="CW157" s="2208"/>
      <c r="CX157" s="263"/>
      <c r="CY157" s="2208"/>
      <c r="CZ157" s="263"/>
      <c r="DA157" s="263"/>
      <c r="DB157" s="263"/>
      <c r="DC157" s="263"/>
      <c r="DD157" s="2208"/>
    </row>
    <row r="158" spans="1:108">
      <c r="A158" s="2217">
        <f t="shared" si="81"/>
        <v>-1.7330957519584462</v>
      </c>
      <c r="B158" s="2217">
        <f t="shared" si="63"/>
        <v>8425.4096582765942</v>
      </c>
      <c r="C158" s="2217">
        <f t="shared" si="71"/>
        <v>8.3190471722100483</v>
      </c>
      <c r="D158" s="2212">
        <v>177</v>
      </c>
      <c r="E158" s="2219"/>
      <c r="F158" s="2213"/>
      <c r="G158" s="2219"/>
      <c r="H158" s="2213"/>
      <c r="I158" s="2213"/>
      <c r="J158" s="2213"/>
      <c r="K158" s="2213"/>
      <c r="L158" s="2213"/>
      <c r="M158" s="2217">
        <f t="shared" si="82"/>
        <v>-1.1507624499037412</v>
      </c>
      <c r="N158" s="2217">
        <f t="shared" si="64"/>
        <v>8425.4096582765942</v>
      </c>
      <c r="O158" s="2217">
        <f t="shared" si="72"/>
        <v>8.3190471722100483</v>
      </c>
      <c r="P158" s="2212">
        <v>177</v>
      </c>
      <c r="Q158" s="2219"/>
      <c r="R158" s="2213"/>
      <c r="S158" s="2219"/>
      <c r="T158" s="2213"/>
      <c r="U158" s="2213"/>
      <c r="V158" s="2213"/>
      <c r="W158" s="2213"/>
      <c r="X158" s="2213"/>
      <c r="Y158" s="2217">
        <f t="shared" si="83"/>
        <v>-0.4020482044048368</v>
      </c>
      <c r="Z158" s="2217">
        <f t="shared" si="73"/>
        <v>8425.4096582765942</v>
      </c>
      <c r="AA158" s="2217">
        <f t="shared" si="74"/>
        <v>8.3190471722100483</v>
      </c>
      <c r="AB158" s="2212">
        <v>177</v>
      </c>
      <c r="AC158" s="2219"/>
      <c r="AD158" s="2213"/>
      <c r="AE158" s="2219"/>
      <c r="AF158" s="2213"/>
      <c r="AG158" s="2213"/>
      <c r="AH158" s="2213"/>
      <c r="AI158" s="2213"/>
      <c r="AJ158" s="2213"/>
      <c r="AK158" s="2217">
        <f t="shared" si="84"/>
        <v>-3.9792384884551595</v>
      </c>
      <c r="AL158" s="2217">
        <f t="shared" si="65"/>
        <v>8425.4096582765942</v>
      </c>
      <c r="AM158" s="2217">
        <f t="shared" si="75"/>
        <v>8.3190471722100483</v>
      </c>
      <c r="AN158" s="2212">
        <v>177</v>
      </c>
      <c r="AO158" s="2219"/>
      <c r="AP158" s="2213"/>
      <c r="AQ158" s="2219"/>
      <c r="AR158" s="2213"/>
      <c r="AS158" s="2213"/>
      <c r="AT158" s="2213"/>
      <c r="AU158" s="2213"/>
      <c r="AV158" s="2213"/>
      <c r="AW158" s="2217">
        <f t="shared" si="85"/>
        <v>-21.279865942086779</v>
      </c>
      <c r="AX158" s="2217">
        <f t="shared" si="76"/>
        <v>6256.8265642965989</v>
      </c>
      <c r="AY158" s="2217">
        <f t="shared" si="66"/>
        <v>-9.4149678698931893</v>
      </c>
      <c r="AZ158" s="2212">
        <v>177</v>
      </c>
      <c r="BA158" s="2208"/>
      <c r="BB158" s="263"/>
      <c r="BC158" s="2208"/>
      <c r="BD158" s="263"/>
      <c r="BE158" s="263"/>
      <c r="BF158" s="263"/>
      <c r="BG158" s="263"/>
      <c r="BH158" s="2208"/>
      <c r="BI158" s="2217">
        <f t="shared" si="86"/>
        <v>-24.198505981753669</v>
      </c>
      <c r="BJ158" s="2217">
        <f t="shared" si="77"/>
        <v>6256.8265642965989</v>
      </c>
      <c r="BK158" s="2217">
        <f t="shared" si="67"/>
        <v>-9.4149678698931893</v>
      </c>
      <c r="BL158" s="2212">
        <v>177</v>
      </c>
      <c r="BM158" s="2208"/>
      <c r="BN158" s="263"/>
      <c r="BO158" s="2208"/>
      <c r="BP158" s="263"/>
      <c r="BQ158" s="263"/>
      <c r="BR158" s="263"/>
      <c r="BS158" s="263"/>
      <c r="BT158" s="2208"/>
      <c r="BU158" s="2217">
        <f t="shared" si="87"/>
        <v>-3.9792384884551595</v>
      </c>
      <c r="BV158" s="2217">
        <f t="shared" si="68"/>
        <v>8425.4096582765942</v>
      </c>
      <c r="BW158" s="2217">
        <f t="shared" si="78"/>
        <v>8.3190471722100483</v>
      </c>
      <c r="BX158" s="2212">
        <v>177</v>
      </c>
      <c r="BY158" s="2219"/>
      <c r="BZ158" s="2213"/>
      <c r="CA158" s="2219"/>
      <c r="CB158" s="2213"/>
      <c r="CC158" s="2213"/>
      <c r="CD158" s="2213"/>
      <c r="CE158" s="2213"/>
      <c r="CF158" s="2208"/>
      <c r="CG158" s="2217">
        <f t="shared" si="88"/>
        <v>-2.9809528277899524</v>
      </c>
      <c r="CH158" s="2217">
        <f t="shared" si="69"/>
        <v>8425.4096582765942</v>
      </c>
      <c r="CI158" s="2217">
        <f t="shared" si="79"/>
        <v>8.3190471722100483</v>
      </c>
      <c r="CJ158" s="2212">
        <v>177</v>
      </c>
      <c r="CK158" s="2219"/>
      <c r="CL158" s="2213"/>
      <c r="CM158" s="2219"/>
      <c r="CN158" s="2213"/>
      <c r="CO158" s="2213"/>
      <c r="CP158" s="2213"/>
      <c r="CQ158" s="2213"/>
      <c r="CR158" s="2208"/>
      <c r="CS158" s="2217">
        <f t="shared" si="89"/>
        <v>-24.010206624355806</v>
      </c>
      <c r="CT158" s="2217">
        <f t="shared" si="80"/>
        <v>6256.8265642965989</v>
      </c>
      <c r="CU158" s="2217">
        <f t="shared" si="70"/>
        <v>-9.4149678698931893</v>
      </c>
      <c r="CV158" s="2212">
        <v>177</v>
      </c>
      <c r="CW158" s="2208"/>
      <c r="CX158" s="263"/>
      <c r="CY158" s="2208"/>
      <c r="CZ158" s="263"/>
      <c r="DA158" s="263"/>
      <c r="DB158" s="263"/>
      <c r="DC158" s="263"/>
      <c r="DD158" s="2208"/>
    </row>
    <row r="159" spans="1:108">
      <c r="A159" s="2217">
        <f t="shared" si="81"/>
        <v>-1.5539377498443194</v>
      </c>
      <c r="B159" s="2217">
        <f t="shared" si="63"/>
        <v>8417.0906111043842</v>
      </c>
      <c r="C159" s="2217">
        <f t="shared" si="71"/>
        <v>8.474836739265811</v>
      </c>
      <c r="D159" s="2212">
        <v>176</v>
      </c>
      <c r="E159" s="2219"/>
      <c r="F159" s="2213"/>
      <c r="G159" s="2219"/>
      <c r="H159" s="2213"/>
      <c r="I159" s="2213"/>
      <c r="J159" s="2213"/>
      <c r="K159" s="2213"/>
      <c r="L159" s="2213"/>
      <c r="M159" s="2217">
        <f t="shared" si="82"/>
        <v>-0.96069917809571059</v>
      </c>
      <c r="N159" s="2217">
        <f t="shared" si="64"/>
        <v>8417.0906111043842</v>
      </c>
      <c r="O159" s="2217">
        <f t="shared" si="72"/>
        <v>8.474836739265811</v>
      </c>
      <c r="P159" s="2212">
        <v>176</v>
      </c>
      <c r="Q159" s="2219"/>
      <c r="R159" s="2213"/>
      <c r="S159" s="2219"/>
      <c r="T159" s="2213"/>
      <c r="U159" s="2213"/>
      <c r="V159" s="2213"/>
      <c r="W159" s="2213"/>
      <c r="X159" s="2213"/>
      <c r="Y159" s="2217">
        <f t="shared" si="83"/>
        <v>-0.19796387156178774</v>
      </c>
      <c r="Z159" s="2217">
        <f t="shared" si="73"/>
        <v>8417.0906111043842</v>
      </c>
      <c r="AA159" s="2217">
        <f t="shared" si="74"/>
        <v>8.474836739265811</v>
      </c>
      <c r="AB159" s="2212">
        <v>176</v>
      </c>
      <c r="AC159" s="2219"/>
      <c r="AD159" s="2213"/>
      <c r="AE159" s="2219"/>
      <c r="AF159" s="2213"/>
      <c r="AG159" s="2213"/>
      <c r="AH159" s="2213"/>
      <c r="AI159" s="2213"/>
      <c r="AJ159" s="2213"/>
      <c r="AK159" s="2217">
        <f t="shared" si="84"/>
        <v>-3.842143669446088</v>
      </c>
      <c r="AL159" s="2217">
        <f t="shared" si="65"/>
        <v>8417.0906111043842</v>
      </c>
      <c r="AM159" s="2217">
        <f t="shared" si="75"/>
        <v>8.474836739265811</v>
      </c>
      <c r="AN159" s="2212">
        <v>176</v>
      </c>
      <c r="AO159" s="2219"/>
      <c r="AP159" s="2213"/>
      <c r="AQ159" s="2219"/>
      <c r="AR159" s="2213"/>
      <c r="AS159" s="2213"/>
      <c r="AT159" s="2213"/>
      <c r="AU159" s="2213"/>
      <c r="AV159" s="2213"/>
      <c r="AW159" s="2217">
        <f t="shared" si="85"/>
        <v>-20.933374464768093</v>
      </c>
      <c r="AX159" s="2217">
        <f t="shared" si="76"/>
        <v>6266.2415321664921</v>
      </c>
      <c r="AY159" s="2217">
        <f t="shared" si="66"/>
        <v>-9.0880891177057492</v>
      </c>
      <c r="AZ159" s="2212">
        <v>176</v>
      </c>
      <c r="BA159" s="2208"/>
      <c r="BB159" s="263"/>
      <c r="BC159" s="2208"/>
      <c r="BD159" s="263"/>
      <c r="BE159" s="263"/>
      <c r="BF159" s="263"/>
      <c r="BG159" s="263"/>
      <c r="BH159" s="2208"/>
      <c r="BI159" s="2217">
        <f t="shared" si="86"/>
        <v>-23.750682091256877</v>
      </c>
      <c r="BJ159" s="2217">
        <f t="shared" si="77"/>
        <v>6266.2415321664921</v>
      </c>
      <c r="BK159" s="2217">
        <f t="shared" si="67"/>
        <v>-9.0880891177057492</v>
      </c>
      <c r="BL159" s="2212">
        <v>176</v>
      </c>
      <c r="BM159" s="2208"/>
      <c r="BN159" s="263"/>
      <c r="BO159" s="2208"/>
      <c r="BP159" s="263"/>
      <c r="BQ159" s="263"/>
      <c r="BR159" s="263"/>
      <c r="BS159" s="263"/>
      <c r="BT159" s="2208"/>
      <c r="BU159" s="2217">
        <f t="shared" si="87"/>
        <v>-3.842143669446088</v>
      </c>
      <c r="BV159" s="2217">
        <f t="shared" si="68"/>
        <v>8417.0906111043842</v>
      </c>
      <c r="BW159" s="2217">
        <f t="shared" si="78"/>
        <v>8.474836739265811</v>
      </c>
      <c r="BX159" s="2212">
        <v>176</v>
      </c>
      <c r="BY159" s="2219"/>
      <c r="BZ159" s="2213"/>
      <c r="CA159" s="2219"/>
      <c r="CB159" s="2213"/>
      <c r="CC159" s="2213"/>
      <c r="CD159" s="2213"/>
      <c r="CE159" s="2213"/>
      <c r="CF159" s="2208"/>
      <c r="CG159" s="2217">
        <f t="shared" si="88"/>
        <v>-2.8251632607341897</v>
      </c>
      <c r="CH159" s="2217">
        <f t="shared" si="69"/>
        <v>8417.0906111043842</v>
      </c>
      <c r="CI159" s="2217">
        <f t="shared" si="79"/>
        <v>8.474836739265811</v>
      </c>
      <c r="CJ159" s="2212">
        <v>176</v>
      </c>
      <c r="CK159" s="2219"/>
      <c r="CL159" s="2213"/>
      <c r="CM159" s="2219"/>
      <c r="CN159" s="2213"/>
      <c r="CO159" s="2213"/>
      <c r="CP159" s="2213"/>
      <c r="CQ159" s="2213"/>
      <c r="CR159" s="2208"/>
      <c r="CS159" s="2217">
        <f t="shared" si="89"/>
        <v>-23.568920308902761</v>
      </c>
      <c r="CT159" s="2217">
        <f t="shared" si="80"/>
        <v>6266.2415321664921</v>
      </c>
      <c r="CU159" s="2217">
        <f t="shared" si="70"/>
        <v>-9.0880891177057492</v>
      </c>
      <c r="CV159" s="2212">
        <v>176</v>
      </c>
      <c r="CW159" s="2208"/>
      <c r="CX159" s="263"/>
      <c r="CY159" s="2208"/>
      <c r="CZ159" s="263"/>
      <c r="DA159" s="263"/>
      <c r="DB159" s="263"/>
      <c r="DC159" s="263"/>
      <c r="DD159" s="2208"/>
    </row>
    <row r="160" spans="1:108">
      <c r="A160" s="2217">
        <f t="shared" si="81"/>
        <v>-1.3738108402171765</v>
      </c>
      <c r="B160" s="2217">
        <f t="shared" si="63"/>
        <v>8408.6157743651183</v>
      </c>
      <c r="C160" s="2217">
        <f t="shared" si="71"/>
        <v>8.6314688345937611</v>
      </c>
      <c r="D160" s="2212">
        <v>175</v>
      </c>
      <c r="E160" s="2219"/>
      <c r="F160" s="2213"/>
      <c r="G160" s="2219"/>
      <c r="H160" s="2213"/>
      <c r="I160" s="2213"/>
      <c r="J160" s="2213"/>
      <c r="K160" s="2213"/>
      <c r="L160" s="2213"/>
      <c r="M160" s="2217">
        <f t="shared" si="82"/>
        <v>-0.76960802179561227</v>
      </c>
      <c r="N160" s="2217">
        <f t="shared" si="64"/>
        <v>8408.6157743651183</v>
      </c>
      <c r="O160" s="2217">
        <f t="shared" si="72"/>
        <v>8.6314688345937611</v>
      </c>
      <c r="P160" s="2212">
        <v>175</v>
      </c>
      <c r="Q160" s="2219"/>
      <c r="R160" s="2213"/>
      <c r="S160" s="2219"/>
      <c r="T160" s="2213"/>
      <c r="U160" s="2213"/>
      <c r="V160" s="2213"/>
      <c r="W160" s="2213"/>
      <c r="X160" s="2213"/>
      <c r="Y160" s="2217">
        <f t="shared" si="83"/>
        <v>7.2241733178266543E-3</v>
      </c>
      <c r="Z160" s="2217">
        <f t="shared" si="73"/>
        <v>8408.6157743651183</v>
      </c>
      <c r="AA160" s="2217">
        <f t="shared" si="74"/>
        <v>8.6314688345937611</v>
      </c>
      <c r="AB160" s="2212">
        <v>175</v>
      </c>
      <c r="AC160" s="2219"/>
      <c r="AD160" s="2213"/>
      <c r="AE160" s="2219"/>
      <c r="AF160" s="2213"/>
      <c r="AG160" s="2213"/>
      <c r="AH160" s="2213"/>
      <c r="AI160" s="2213"/>
      <c r="AJ160" s="2213"/>
      <c r="AK160" s="2217">
        <f t="shared" si="84"/>
        <v>-3.7043074255574915</v>
      </c>
      <c r="AL160" s="2217">
        <f t="shared" si="65"/>
        <v>8408.6157743651183</v>
      </c>
      <c r="AM160" s="2217">
        <f t="shared" si="75"/>
        <v>8.6314688345937611</v>
      </c>
      <c r="AN160" s="2212">
        <v>175</v>
      </c>
      <c r="AO160" s="2219"/>
      <c r="AP160" s="2213"/>
      <c r="AQ160" s="2219"/>
      <c r="AR160" s="2213"/>
      <c r="AS160" s="2213"/>
      <c r="AT160" s="2213"/>
      <c r="AU160" s="2213"/>
      <c r="AV160" s="2213"/>
      <c r="AW160" s="2217">
        <f t="shared" si="85"/>
        <v>-20.587048267422489</v>
      </c>
      <c r="AX160" s="2217">
        <f t="shared" si="76"/>
        <v>6275.3296212841979</v>
      </c>
      <c r="AY160" s="2217">
        <f t="shared" si="66"/>
        <v>-8.7613662900212148</v>
      </c>
      <c r="AZ160" s="2212">
        <v>175</v>
      </c>
      <c r="BA160" s="2208"/>
      <c r="BB160" s="263"/>
      <c r="BC160" s="2208"/>
      <c r="BD160" s="263"/>
      <c r="BE160" s="263"/>
      <c r="BF160" s="263"/>
      <c r="BG160" s="263"/>
      <c r="BH160" s="2208"/>
      <c r="BI160" s="2217">
        <f t="shared" si="86"/>
        <v>-23.303071817329066</v>
      </c>
      <c r="BJ160" s="2217">
        <f t="shared" si="77"/>
        <v>6275.3296212841979</v>
      </c>
      <c r="BK160" s="2217">
        <f t="shared" si="67"/>
        <v>-8.7613662900212148</v>
      </c>
      <c r="BL160" s="2212">
        <v>175</v>
      </c>
      <c r="BM160" s="2208"/>
      <c r="BN160" s="263"/>
      <c r="BO160" s="2208"/>
      <c r="BP160" s="263"/>
      <c r="BQ160" s="263"/>
      <c r="BR160" s="263"/>
      <c r="BS160" s="263"/>
      <c r="BT160" s="2208"/>
      <c r="BU160" s="2217">
        <f t="shared" si="87"/>
        <v>-3.7043074255574915</v>
      </c>
      <c r="BV160" s="2217">
        <f t="shared" si="68"/>
        <v>8408.6157743651183</v>
      </c>
      <c r="BW160" s="2217">
        <f t="shared" si="78"/>
        <v>8.6314688345937611</v>
      </c>
      <c r="BX160" s="2212">
        <v>175</v>
      </c>
      <c r="BY160" s="2219"/>
      <c r="BZ160" s="2213"/>
      <c r="CA160" s="2219"/>
      <c r="CB160" s="2213"/>
      <c r="CC160" s="2213"/>
      <c r="CD160" s="2213"/>
      <c r="CE160" s="2213"/>
      <c r="CF160" s="2208"/>
      <c r="CG160" s="2217">
        <f t="shared" si="88"/>
        <v>-2.6685311654062396</v>
      </c>
      <c r="CH160" s="2217">
        <f t="shared" si="69"/>
        <v>8408.6157743651183</v>
      </c>
      <c r="CI160" s="2217">
        <f t="shared" si="79"/>
        <v>8.6314688345937611</v>
      </c>
      <c r="CJ160" s="2212">
        <v>175</v>
      </c>
      <c r="CK160" s="2219"/>
      <c r="CL160" s="2213"/>
      <c r="CM160" s="2219"/>
      <c r="CN160" s="2213"/>
      <c r="CO160" s="2213"/>
      <c r="CP160" s="2213"/>
      <c r="CQ160" s="2213"/>
      <c r="CR160" s="2208"/>
      <c r="CS160" s="2217">
        <f t="shared" si="89"/>
        <v>-23.127844491528641</v>
      </c>
      <c r="CT160" s="2217">
        <f t="shared" si="80"/>
        <v>6275.3296212841979</v>
      </c>
      <c r="CU160" s="2217">
        <f t="shared" si="70"/>
        <v>-8.7613662900212148</v>
      </c>
      <c r="CV160" s="2212">
        <v>175</v>
      </c>
      <c r="CW160" s="2208"/>
      <c r="CX160" s="263"/>
      <c r="CY160" s="2208"/>
      <c r="CZ160" s="263"/>
      <c r="DA160" s="263"/>
      <c r="DB160" s="263"/>
      <c r="DC160" s="263"/>
      <c r="DD160" s="2208"/>
    </row>
    <row r="161" spans="1:108">
      <c r="A161" s="2217">
        <f t="shared" si="81"/>
        <v>-1.1927150230832932</v>
      </c>
      <c r="B161" s="2217">
        <f t="shared" si="63"/>
        <v>8399.9843055305246</v>
      </c>
      <c r="C161" s="2217">
        <f t="shared" si="71"/>
        <v>8.7889434581884416</v>
      </c>
      <c r="D161" s="2212">
        <v>174</v>
      </c>
      <c r="E161" s="2219"/>
      <c r="F161" s="2213"/>
      <c r="G161" s="2219"/>
      <c r="H161" s="2213"/>
      <c r="I161" s="2213"/>
      <c r="J161" s="2213"/>
      <c r="K161" s="2213"/>
      <c r="L161" s="2213"/>
      <c r="M161" s="2217">
        <f t="shared" si="82"/>
        <v>-0.57748898101010226</v>
      </c>
      <c r="N161" s="2217">
        <f t="shared" si="64"/>
        <v>8399.9843055305246</v>
      </c>
      <c r="O161" s="2217">
        <f t="shared" si="72"/>
        <v>8.7889434581884416</v>
      </c>
      <c r="P161" s="2212">
        <v>174</v>
      </c>
      <c r="Q161" s="2219"/>
      <c r="R161" s="2213"/>
      <c r="S161" s="2219"/>
      <c r="T161" s="2213"/>
      <c r="U161" s="2213"/>
      <c r="V161" s="2213"/>
      <c r="W161" s="2213"/>
      <c r="X161" s="2213"/>
      <c r="Y161" s="2217">
        <f t="shared" si="83"/>
        <v>0.21351593022685833</v>
      </c>
      <c r="Z161" s="2217">
        <f t="shared" si="73"/>
        <v>8399.9843055305246</v>
      </c>
      <c r="AA161" s="2217">
        <f t="shared" si="74"/>
        <v>8.7889434581884416</v>
      </c>
      <c r="AB161" s="2212">
        <v>174</v>
      </c>
      <c r="AC161" s="2219"/>
      <c r="AD161" s="2213"/>
      <c r="AE161" s="2219"/>
      <c r="AF161" s="2213"/>
      <c r="AG161" s="2213"/>
      <c r="AH161" s="2213"/>
      <c r="AI161" s="2213"/>
      <c r="AJ161" s="2213"/>
      <c r="AK161" s="2217">
        <f t="shared" si="84"/>
        <v>-3.5657297567941733</v>
      </c>
      <c r="AL161" s="2217">
        <f t="shared" si="65"/>
        <v>8399.9843055305246</v>
      </c>
      <c r="AM161" s="2217">
        <f t="shared" si="75"/>
        <v>8.7889434581884416</v>
      </c>
      <c r="AN161" s="2212">
        <v>174</v>
      </c>
      <c r="AO161" s="2219"/>
      <c r="AP161" s="2213"/>
      <c r="AQ161" s="2219"/>
      <c r="AR161" s="2213"/>
      <c r="AS161" s="2213"/>
      <c r="AT161" s="2213"/>
      <c r="AU161" s="2213"/>
      <c r="AV161" s="2213"/>
      <c r="AW161" s="2217">
        <f t="shared" si="85"/>
        <v>-20.240887350045142</v>
      </c>
      <c r="AX161" s="2217">
        <f t="shared" si="76"/>
        <v>6284.0909875742191</v>
      </c>
      <c r="AY161" s="2217">
        <f t="shared" si="66"/>
        <v>-8.4347993868350386</v>
      </c>
      <c r="AZ161" s="2212">
        <v>174</v>
      </c>
      <c r="BA161" s="2208"/>
      <c r="BB161" s="263"/>
      <c r="BC161" s="2208"/>
      <c r="BD161" s="263"/>
      <c r="BE161" s="263"/>
      <c r="BF161" s="263"/>
      <c r="BG161" s="263"/>
      <c r="BH161" s="2208"/>
      <c r="BI161" s="2217">
        <f t="shared" si="86"/>
        <v>-22.855675159964004</v>
      </c>
      <c r="BJ161" s="2217">
        <f t="shared" si="77"/>
        <v>6284.0909875742191</v>
      </c>
      <c r="BK161" s="2217">
        <f t="shared" si="67"/>
        <v>-8.4347993868350386</v>
      </c>
      <c r="BL161" s="2212">
        <v>174</v>
      </c>
      <c r="BM161" s="2208"/>
      <c r="BN161" s="263"/>
      <c r="BO161" s="2208"/>
      <c r="BP161" s="263"/>
      <c r="BQ161" s="263"/>
      <c r="BR161" s="263"/>
      <c r="BS161" s="263"/>
      <c r="BT161" s="2208"/>
      <c r="BU161" s="2217">
        <f t="shared" si="87"/>
        <v>-3.5657297567941733</v>
      </c>
      <c r="BV161" s="2217">
        <f t="shared" si="68"/>
        <v>8399.9843055305246</v>
      </c>
      <c r="BW161" s="2217">
        <f t="shared" si="78"/>
        <v>8.7889434581884416</v>
      </c>
      <c r="BX161" s="2212">
        <v>174</v>
      </c>
      <c r="BY161" s="2219"/>
      <c r="BZ161" s="2213"/>
      <c r="CA161" s="2219"/>
      <c r="CB161" s="2213"/>
      <c r="CC161" s="2213"/>
      <c r="CD161" s="2213"/>
      <c r="CE161" s="2213"/>
      <c r="CF161" s="2208"/>
      <c r="CG161" s="2217">
        <f t="shared" si="88"/>
        <v>-2.5110565418115591</v>
      </c>
      <c r="CH161" s="2217">
        <f t="shared" si="69"/>
        <v>8399.9843055305246</v>
      </c>
      <c r="CI161" s="2217">
        <f t="shared" si="79"/>
        <v>8.7889434581884416</v>
      </c>
      <c r="CJ161" s="2212">
        <v>174</v>
      </c>
      <c r="CK161" s="2219"/>
      <c r="CL161" s="2213"/>
      <c r="CM161" s="2219"/>
      <c r="CN161" s="2213"/>
      <c r="CO161" s="2213"/>
      <c r="CP161" s="2213"/>
      <c r="CQ161" s="2213"/>
      <c r="CR161" s="2208"/>
      <c r="CS161" s="2217">
        <f t="shared" si="89"/>
        <v>-22.686979172227304</v>
      </c>
      <c r="CT161" s="2217">
        <f t="shared" si="80"/>
        <v>6284.0909875742191</v>
      </c>
      <c r="CU161" s="2217">
        <f t="shared" si="70"/>
        <v>-8.4347993868350386</v>
      </c>
      <c r="CV161" s="2212">
        <v>174</v>
      </c>
      <c r="CW161" s="2208"/>
      <c r="CX161" s="263"/>
      <c r="CY161" s="2208"/>
      <c r="CZ161" s="263"/>
      <c r="DA161" s="263"/>
      <c r="DB161" s="263"/>
      <c r="DC161" s="263"/>
      <c r="DD161" s="2208"/>
    </row>
    <row r="162" spans="1:108">
      <c r="A162" s="2217">
        <f t="shared" si="81"/>
        <v>-1.010650298440579</v>
      </c>
      <c r="B162" s="2217">
        <f t="shared" si="63"/>
        <v>8391.1953620723361</v>
      </c>
      <c r="C162" s="2217">
        <f t="shared" si="71"/>
        <v>8.9472606100516714</v>
      </c>
      <c r="D162" s="2212">
        <v>173</v>
      </c>
      <c r="E162" s="2219"/>
      <c r="F162" s="2213"/>
      <c r="G162" s="2219"/>
      <c r="H162" s="2213"/>
      <c r="I162" s="2213"/>
      <c r="J162" s="2213"/>
      <c r="K162" s="2213"/>
      <c r="L162" s="2213"/>
      <c r="M162" s="2217">
        <f t="shared" si="82"/>
        <v>-0.3843420557369619</v>
      </c>
      <c r="N162" s="2217">
        <f t="shared" si="64"/>
        <v>8391.1953620723361</v>
      </c>
      <c r="O162" s="2217">
        <f t="shared" si="72"/>
        <v>8.9472606100516714</v>
      </c>
      <c r="P162" s="2212">
        <v>173</v>
      </c>
      <c r="Q162" s="2219"/>
      <c r="R162" s="2213"/>
      <c r="S162" s="2219"/>
      <c r="T162" s="2213"/>
      <c r="U162" s="2213"/>
      <c r="V162" s="2213"/>
      <c r="W162" s="2213"/>
      <c r="X162" s="2213"/>
      <c r="Y162" s="2217">
        <f t="shared" si="83"/>
        <v>0.42091139916768938</v>
      </c>
      <c r="Z162" s="2217">
        <f t="shared" si="73"/>
        <v>8391.1953620723361</v>
      </c>
      <c r="AA162" s="2217">
        <f t="shared" si="74"/>
        <v>8.9472606100516714</v>
      </c>
      <c r="AB162" s="2212">
        <v>173</v>
      </c>
      <c r="AC162" s="2219"/>
      <c r="AD162" s="2213"/>
      <c r="AE162" s="2219"/>
      <c r="AF162" s="2213"/>
      <c r="AG162" s="2213"/>
      <c r="AH162" s="2213"/>
      <c r="AI162" s="2213"/>
      <c r="AJ162" s="2213"/>
      <c r="AK162" s="2217">
        <f t="shared" si="84"/>
        <v>-3.426410663154531</v>
      </c>
      <c r="AL162" s="2217">
        <f t="shared" si="65"/>
        <v>8391.1953620723361</v>
      </c>
      <c r="AM162" s="2217">
        <f t="shared" si="75"/>
        <v>8.9472606100516714</v>
      </c>
      <c r="AN162" s="2212">
        <v>173</v>
      </c>
      <c r="AO162" s="2219"/>
      <c r="AP162" s="2213"/>
      <c r="AQ162" s="2219"/>
      <c r="AR162" s="2213"/>
      <c r="AS162" s="2213"/>
      <c r="AT162" s="2213"/>
      <c r="AU162" s="2213"/>
      <c r="AV162" s="2213"/>
      <c r="AW162" s="2217">
        <f t="shared" si="85"/>
        <v>-19.894891712637985</v>
      </c>
      <c r="AX162" s="2217">
        <f t="shared" si="76"/>
        <v>6292.5257869610541</v>
      </c>
      <c r="AY162" s="2217">
        <f t="shared" si="66"/>
        <v>-8.1083884081490396</v>
      </c>
      <c r="AZ162" s="2212">
        <v>173</v>
      </c>
      <c r="BA162" s="2208"/>
      <c r="BB162" s="263"/>
      <c r="BC162" s="2208"/>
      <c r="BD162" s="263"/>
      <c r="BE162" s="263"/>
      <c r="BF162" s="263"/>
      <c r="BG162" s="263"/>
      <c r="BH162" s="2208"/>
      <c r="BI162" s="2217">
        <f t="shared" si="86"/>
        <v>-22.408492119164187</v>
      </c>
      <c r="BJ162" s="2217">
        <f t="shared" si="77"/>
        <v>6292.5257869610541</v>
      </c>
      <c r="BK162" s="2217">
        <f t="shared" si="67"/>
        <v>-8.1083884081490396</v>
      </c>
      <c r="BL162" s="2212">
        <v>173</v>
      </c>
      <c r="BM162" s="2208"/>
      <c r="BN162" s="263"/>
      <c r="BO162" s="2208"/>
      <c r="BP162" s="263"/>
      <c r="BQ162" s="263"/>
      <c r="BR162" s="263"/>
      <c r="BS162" s="263"/>
      <c r="BT162" s="2208"/>
      <c r="BU162" s="2217">
        <f t="shared" si="87"/>
        <v>-3.426410663154531</v>
      </c>
      <c r="BV162" s="2217">
        <f t="shared" si="68"/>
        <v>8391.1953620723361</v>
      </c>
      <c r="BW162" s="2217">
        <f t="shared" si="78"/>
        <v>8.9472606100516714</v>
      </c>
      <c r="BX162" s="2212">
        <v>173</v>
      </c>
      <c r="BY162" s="2219"/>
      <c r="BZ162" s="2213"/>
      <c r="CA162" s="2219"/>
      <c r="CB162" s="2213"/>
      <c r="CC162" s="2213"/>
      <c r="CD162" s="2213"/>
      <c r="CE162" s="2213"/>
      <c r="CF162" s="2208"/>
      <c r="CG162" s="2217">
        <f t="shared" si="88"/>
        <v>-2.3527393899483293</v>
      </c>
      <c r="CH162" s="2217">
        <f t="shared" si="69"/>
        <v>8391.1953620723361</v>
      </c>
      <c r="CI162" s="2217">
        <f t="shared" si="79"/>
        <v>8.9472606100516714</v>
      </c>
      <c r="CJ162" s="2212">
        <v>173</v>
      </c>
      <c r="CK162" s="2219"/>
      <c r="CL162" s="2213"/>
      <c r="CM162" s="2219"/>
      <c r="CN162" s="2213"/>
      <c r="CO162" s="2213"/>
      <c r="CP162" s="2213"/>
      <c r="CQ162" s="2213"/>
      <c r="CR162" s="2208"/>
      <c r="CS162" s="2217">
        <f t="shared" si="89"/>
        <v>-22.246324351001206</v>
      </c>
      <c r="CT162" s="2217">
        <f t="shared" si="80"/>
        <v>6292.5257869610541</v>
      </c>
      <c r="CU162" s="2217">
        <f t="shared" si="70"/>
        <v>-8.1083884081490396</v>
      </c>
      <c r="CV162" s="2212">
        <v>173</v>
      </c>
      <c r="CW162" s="2208"/>
      <c r="CX162" s="263"/>
      <c r="CY162" s="2208"/>
      <c r="CZ162" s="263"/>
      <c r="DA162" s="263"/>
      <c r="DB162" s="263"/>
      <c r="DC162" s="263"/>
      <c r="DD162" s="2208"/>
    </row>
    <row r="163" spans="1:108">
      <c r="A163" s="2217">
        <f t="shared" si="81"/>
        <v>-0.82761666628275776</v>
      </c>
      <c r="B163" s="2217">
        <f t="shared" ref="B163:B226" si="90">B$27+(B$26*D163)-(B$25*(D163^2))+(B$24*(D163^3))</f>
        <v>8382.2481014622845</v>
      </c>
      <c r="C163" s="2217">
        <f t="shared" si="71"/>
        <v>9.1064202901889075</v>
      </c>
      <c r="D163" s="2212">
        <v>172</v>
      </c>
      <c r="E163" s="2219"/>
      <c r="F163" s="2213"/>
      <c r="G163" s="2219"/>
      <c r="H163" s="2213"/>
      <c r="I163" s="2213"/>
      <c r="J163" s="2213"/>
      <c r="K163" s="2213"/>
      <c r="L163" s="2213"/>
      <c r="M163" s="2217">
        <f t="shared" si="82"/>
        <v>-0.19016724596953338</v>
      </c>
      <c r="N163" s="2217">
        <f t="shared" ref="N163:N226" si="91">N$27+(N$26*P163)-(N$25*(P163^2))+(N$24*(P163^3))</f>
        <v>8382.2481014622845</v>
      </c>
      <c r="O163" s="2217">
        <f t="shared" si="72"/>
        <v>9.1064202901889075</v>
      </c>
      <c r="P163" s="2212">
        <v>172</v>
      </c>
      <c r="Q163" s="2219"/>
      <c r="R163" s="2213"/>
      <c r="S163" s="2219"/>
      <c r="T163" s="2213"/>
      <c r="U163" s="2213"/>
      <c r="V163" s="2213"/>
      <c r="W163" s="2213"/>
      <c r="X163" s="2213"/>
      <c r="Y163" s="2217">
        <f t="shared" si="83"/>
        <v>0.62941058014746787</v>
      </c>
      <c r="Z163" s="2217">
        <f t="shared" si="73"/>
        <v>8382.2481014622845</v>
      </c>
      <c r="AA163" s="2217">
        <f t="shared" si="74"/>
        <v>9.1064202901889075</v>
      </c>
      <c r="AB163" s="2212">
        <v>172</v>
      </c>
      <c r="AC163" s="2219"/>
      <c r="AD163" s="2213"/>
      <c r="AE163" s="2219"/>
      <c r="AF163" s="2213"/>
      <c r="AG163" s="2213"/>
      <c r="AH163" s="2213"/>
      <c r="AI163" s="2213"/>
      <c r="AJ163" s="2213"/>
      <c r="AK163" s="2217">
        <f t="shared" si="84"/>
        <v>-3.2863501446337633</v>
      </c>
      <c r="AL163" s="2217">
        <f t="shared" ref="AL163:AL226" si="92">AL$27+(AL$26*AN163)-(AL$25*(AN163^2))+(AL$24*(AN163^3))</f>
        <v>8382.2481014622845</v>
      </c>
      <c r="AM163" s="2217">
        <f t="shared" si="75"/>
        <v>9.1064202901889075</v>
      </c>
      <c r="AN163" s="2212">
        <v>172</v>
      </c>
      <c r="AO163" s="2219"/>
      <c r="AP163" s="2213"/>
      <c r="AQ163" s="2219"/>
      <c r="AR163" s="2213"/>
      <c r="AS163" s="2213"/>
      <c r="AT163" s="2213"/>
      <c r="AU163" s="2213"/>
      <c r="AV163" s="2213"/>
      <c r="AW163" s="2217">
        <f t="shared" si="85"/>
        <v>-19.549061355203904</v>
      </c>
      <c r="AX163" s="2217">
        <f t="shared" si="76"/>
        <v>6300.6341753692031</v>
      </c>
      <c r="AY163" s="2217">
        <f t="shared" ref="AY163:AY226" si="93">AX163-AX164</f>
        <v>-7.7821333539659463</v>
      </c>
      <c r="AZ163" s="2212">
        <v>172</v>
      </c>
      <c r="BA163" s="2208"/>
      <c r="BB163" s="263"/>
      <c r="BC163" s="2208"/>
      <c r="BD163" s="263"/>
      <c r="BE163" s="263"/>
      <c r="BF163" s="263"/>
      <c r="BG163" s="263"/>
      <c r="BH163" s="2208"/>
      <c r="BI163" s="2217">
        <f t="shared" si="86"/>
        <v>-21.96152269493335</v>
      </c>
      <c r="BJ163" s="2217">
        <f t="shared" si="77"/>
        <v>6300.6341753692031</v>
      </c>
      <c r="BK163" s="2217">
        <f t="shared" ref="BK163:BK226" si="94">BJ163-BJ164</f>
        <v>-7.7821333539659463</v>
      </c>
      <c r="BL163" s="2212">
        <v>172</v>
      </c>
      <c r="BM163" s="2208"/>
      <c r="BN163" s="263"/>
      <c r="BO163" s="2208"/>
      <c r="BP163" s="263"/>
      <c r="BQ163" s="263"/>
      <c r="BR163" s="263"/>
      <c r="BS163" s="263"/>
      <c r="BT163" s="2208"/>
      <c r="BU163" s="2217">
        <f t="shared" si="87"/>
        <v>-3.2863501446337633</v>
      </c>
      <c r="BV163" s="2217">
        <f t="shared" ref="BV163:BV226" si="95">BV$27+(BV$26*BX163)-(BV$25*(BX163^2))+(BV$24*(BX163^3))</f>
        <v>8382.2481014622845</v>
      </c>
      <c r="BW163" s="2217">
        <f t="shared" si="78"/>
        <v>9.1064202901889075</v>
      </c>
      <c r="BX163" s="2212">
        <v>172</v>
      </c>
      <c r="BY163" s="2219"/>
      <c r="BZ163" s="2213"/>
      <c r="CA163" s="2219"/>
      <c r="CB163" s="2213"/>
      <c r="CC163" s="2213"/>
      <c r="CD163" s="2213"/>
      <c r="CE163" s="2213"/>
      <c r="CF163" s="2208"/>
      <c r="CG163" s="2217">
        <f t="shared" si="88"/>
        <v>-2.1935797098110932</v>
      </c>
      <c r="CH163" s="2217">
        <f t="shared" ref="CH163:CH226" si="96">CH$27+(CH$26*CJ163)-(CH$25*(CJ163^2))+(CH$24*(CJ163^3))</f>
        <v>8382.2481014622845</v>
      </c>
      <c r="CI163" s="2217">
        <f t="shared" si="79"/>
        <v>9.1064202901889075</v>
      </c>
      <c r="CJ163" s="2212">
        <v>172</v>
      </c>
      <c r="CK163" s="2219"/>
      <c r="CL163" s="2213"/>
      <c r="CM163" s="2219"/>
      <c r="CN163" s="2213"/>
      <c r="CO163" s="2213"/>
      <c r="CP163" s="2213"/>
      <c r="CQ163" s="2213"/>
      <c r="CR163" s="2208"/>
      <c r="CS163" s="2217">
        <f t="shared" si="89"/>
        <v>-21.80588002785403</v>
      </c>
      <c r="CT163" s="2217">
        <f t="shared" si="80"/>
        <v>6300.6341753692031</v>
      </c>
      <c r="CU163" s="2217">
        <f t="shared" ref="CU163:CU226" si="97">CT163-CT164</f>
        <v>-7.7821333539659463</v>
      </c>
      <c r="CV163" s="2212">
        <v>172</v>
      </c>
      <c r="CW163" s="2208"/>
      <c r="CX163" s="263"/>
      <c r="CY163" s="2208"/>
      <c r="CZ163" s="263"/>
      <c r="DA163" s="263"/>
      <c r="DB163" s="263"/>
      <c r="DC163" s="263"/>
      <c r="DD163" s="2208"/>
    </row>
    <row r="164" spans="1:108">
      <c r="A164" s="2217">
        <f t="shared" si="81"/>
        <v>-0.64361412661819628</v>
      </c>
      <c r="B164" s="2217">
        <f t="shared" si="90"/>
        <v>8373.1416811720956</v>
      </c>
      <c r="C164" s="2217">
        <f t="shared" ref="C164:C227" si="98">B164-B165</f>
        <v>9.266422498592874</v>
      </c>
      <c r="D164" s="2212">
        <v>171</v>
      </c>
      <c r="E164" s="2219"/>
      <c r="F164" s="2213"/>
      <c r="G164" s="2219"/>
      <c r="H164" s="2213"/>
      <c r="I164" s="2213"/>
      <c r="J164" s="2213"/>
      <c r="K164" s="2213"/>
      <c r="L164" s="2213"/>
      <c r="M164" s="2217">
        <f t="shared" si="82"/>
        <v>5.035448283305044E-3</v>
      </c>
      <c r="N164" s="2217">
        <f t="shared" si="91"/>
        <v>8373.1416811720956</v>
      </c>
      <c r="O164" s="2217">
        <f t="shared" ref="O164:O227" si="99">N164-N165</f>
        <v>9.266422498592874</v>
      </c>
      <c r="P164" s="2212">
        <v>171</v>
      </c>
      <c r="Q164" s="2219"/>
      <c r="R164" s="2213"/>
      <c r="S164" s="2219"/>
      <c r="T164" s="2213"/>
      <c r="U164" s="2213"/>
      <c r="V164" s="2213"/>
      <c r="W164" s="2213"/>
      <c r="X164" s="2213"/>
      <c r="Y164" s="2217">
        <f t="shared" si="83"/>
        <v>0.83901347315666541</v>
      </c>
      <c r="Z164" s="2217">
        <f t="shared" ref="Z164:Z227" si="100">Z$27+(Z$26*AB164)-(Z$25*(AB164^2))+(Z$24*(AB164^3))</f>
        <v>8373.1416811720956</v>
      </c>
      <c r="AA164" s="2217">
        <f t="shared" ref="AA164:AA227" si="101">Z164-Z165</f>
        <v>9.266422498592874</v>
      </c>
      <c r="AB164" s="2212">
        <v>171</v>
      </c>
      <c r="AC164" s="2219"/>
      <c r="AD164" s="2213"/>
      <c r="AE164" s="2219"/>
      <c r="AF164" s="2213"/>
      <c r="AG164" s="2213"/>
      <c r="AH164" s="2213"/>
      <c r="AI164" s="2213"/>
      <c r="AJ164" s="2213"/>
      <c r="AK164" s="2217">
        <f t="shared" si="84"/>
        <v>-3.1455482012382721</v>
      </c>
      <c r="AL164" s="2217">
        <f t="shared" si="92"/>
        <v>8373.1416811720956</v>
      </c>
      <c r="AM164" s="2217">
        <f t="shared" ref="AM164:AM227" si="102">AL164-AL165</f>
        <v>9.266422498592874</v>
      </c>
      <c r="AN164" s="2212">
        <v>171</v>
      </c>
      <c r="AO164" s="2219"/>
      <c r="AP164" s="2213"/>
      <c r="AQ164" s="2219"/>
      <c r="AR164" s="2213"/>
      <c r="AS164" s="2213"/>
      <c r="AT164" s="2213"/>
      <c r="AU164" s="2213"/>
      <c r="AV164" s="2213"/>
      <c r="AW164" s="2217">
        <f t="shared" si="85"/>
        <v>-19.203396277736157</v>
      </c>
      <c r="AX164" s="2217">
        <f t="shared" ref="AX164:AX227" si="103">AX$27+(AX$26*AZ164)-(AX$25*(AZ164^2))+(AX$24*(AZ164^3))</f>
        <v>6308.4163087231691</v>
      </c>
      <c r="AY164" s="2217">
        <f t="shared" si="93"/>
        <v>-7.4560342242793922</v>
      </c>
      <c r="AZ164" s="2212">
        <v>171</v>
      </c>
      <c r="BA164" s="2208"/>
      <c r="BB164" s="263"/>
      <c r="BC164" s="2208"/>
      <c r="BD164" s="263"/>
      <c r="BE164" s="263"/>
      <c r="BF164" s="263"/>
      <c r="BG164" s="263"/>
      <c r="BH164" s="2208"/>
      <c r="BI164" s="2217">
        <f t="shared" si="86"/>
        <v>-21.514766887262766</v>
      </c>
      <c r="BJ164" s="2217">
        <f t="shared" ref="BJ164:BJ227" si="104">BJ$27+(BJ$26*BL164)-(BJ$25*(BL164^2))+(BJ$24*(BL164^3))</f>
        <v>6308.4163087231691</v>
      </c>
      <c r="BK164" s="2217">
        <f t="shared" si="94"/>
        <v>-7.4560342242793922</v>
      </c>
      <c r="BL164" s="2212">
        <v>171</v>
      </c>
      <c r="BM164" s="2208"/>
      <c r="BN164" s="263"/>
      <c r="BO164" s="2208"/>
      <c r="BP164" s="263"/>
      <c r="BQ164" s="263"/>
      <c r="BR164" s="263"/>
      <c r="BS164" s="263"/>
      <c r="BT164" s="2208"/>
      <c r="BU164" s="2217">
        <f t="shared" si="87"/>
        <v>-3.1455482012382721</v>
      </c>
      <c r="BV164" s="2217">
        <f t="shared" si="95"/>
        <v>8373.1416811720956</v>
      </c>
      <c r="BW164" s="2217">
        <f t="shared" ref="BW164:BW227" si="105">BV164-BV165</f>
        <v>9.266422498592874</v>
      </c>
      <c r="BX164" s="2212">
        <v>171</v>
      </c>
      <c r="BY164" s="2219"/>
      <c r="BZ164" s="2213"/>
      <c r="CA164" s="2219"/>
      <c r="CB164" s="2213"/>
      <c r="CC164" s="2213"/>
      <c r="CD164" s="2213"/>
      <c r="CE164" s="2213"/>
      <c r="CF164" s="2208"/>
      <c r="CG164" s="2217">
        <f t="shared" si="88"/>
        <v>-2.0335775014071267</v>
      </c>
      <c r="CH164" s="2217">
        <f t="shared" si="96"/>
        <v>8373.1416811720956</v>
      </c>
      <c r="CI164" s="2217">
        <f t="shared" ref="CI164:CI227" si="106">CH164-CH165</f>
        <v>9.266422498592874</v>
      </c>
      <c r="CJ164" s="2212">
        <v>171</v>
      </c>
      <c r="CK164" s="2219"/>
      <c r="CL164" s="2213"/>
      <c r="CM164" s="2219"/>
      <c r="CN164" s="2213"/>
      <c r="CO164" s="2213"/>
      <c r="CP164" s="2213"/>
      <c r="CQ164" s="2213"/>
      <c r="CR164" s="2208"/>
      <c r="CS164" s="2217">
        <f t="shared" si="89"/>
        <v>-21.365646202777182</v>
      </c>
      <c r="CT164" s="2217">
        <f t="shared" ref="CT164:CT227" si="107">CT$27+(CT$26*CV164)-(CT$25*(CV164^2))+(CT$24*(CV164^3))</f>
        <v>6308.4163087231691</v>
      </c>
      <c r="CU164" s="2217">
        <f t="shared" si="97"/>
        <v>-7.4560342242793922</v>
      </c>
      <c r="CV164" s="2212">
        <v>171</v>
      </c>
      <c r="CW164" s="2208"/>
      <c r="CX164" s="263"/>
      <c r="CY164" s="2208"/>
      <c r="CZ164" s="263"/>
      <c r="DA164" s="263"/>
      <c r="DB164" s="263"/>
      <c r="DC164" s="263"/>
      <c r="DD164" s="2208"/>
    </row>
    <row r="165" spans="1:108">
      <c r="A165" s="2217">
        <f t="shared" ref="A165:A228" si="108">(C165*(B$7-B$9))-B$8</f>
        <v>-0.4586426794427112</v>
      </c>
      <c r="B165" s="2217">
        <f t="shared" si="90"/>
        <v>8363.8752586735027</v>
      </c>
      <c r="C165" s="2217">
        <f t="shared" si="98"/>
        <v>9.4272672352672089</v>
      </c>
      <c r="D165" s="2212">
        <v>170</v>
      </c>
      <c r="E165" s="2219"/>
      <c r="F165" s="2213"/>
      <c r="G165" s="2219"/>
      <c r="H165" s="2213"/>
      <c r="I165" s="2213"/>
      <c r="J165" s="2213"/>
      <c r="K165" s="2213"/>
      <c r="L165" s="2213"/>
      <c r="M165" s="2217">
        <f t="shared" ref="M165:M228" si="109">(O165*(N$7-N$9))-N$8</f>
        <v>0.20126602702599428</v>
      </c>
      <c r="N165" s="2217">
        <f t="shared" si="91"/>
        <v>8363.8752586735027</v>
      </c>
      <c r="O165" s="2217">
        <f t="shared" si="99"/>
        <v>9.4272672352672089</v>
      </c>
      <c r="P165" s="2212">
        <v>170</v>
      </c>
      <c r="Q165" s="2219"/>
      <c r="R165" s="2213"/>
      <c r="S165" s="2219"/>
      <c r="T165" s="2213"/>
      <c r="U165" s="2213"/>
      <c r="V165" s="2213"/>
      <c r="W165" s="2213"/>
      <c r="X165" s="2213"/>
      <c r="Y165" s="2217">
        <f t="shared" ref="Y165:Y228" si="110">(AA165*(Z$7-Z$9))-Z$8</f>
        <v>1.0497200782000426</v>
      </c>
      <c r="Z165" s="2217">
        <f t="shared" si="100"/>
        <v>8363.8752586735027</v>
      </c>
      <c r="AA165" s="2217">
        <f t="shared" si="101"/>
        <v>9.4272672352672089</v>
      </c>
      <c r="AB165" s="2212">
        <v>170</v>
      </c>
      <c r="AC165" s="2219"/>
      <c r="AD165" s="2213"/>
      <c r="AE165" s="2219"/>
      <c r="AF165" s="2213"/>
      <c r="AG165" s="2213"/>
      <c r="AH165" s="2213"/>
      <c r="AI165" s="2213"/>
      <c r="AJ165" s="2213"/>
      <c r="AK165" s="2217">
        <f t="shared" ref="AK165:AK228" si="111">(AM165*(AL$7-AL$9))-AL$8</f>
        <v>-3.0040048329648581</v>
      </c>
      <c r="AL165" s="2217">
        <f t="shared" si="92"/>
        <v>8363.8752586735027</v>
      </c>
      <c r="AM165" s="2217">
        <f t="shared" si="102"/>
        <v>9.4272672352672089</v>
      </c>
      <c r="AN165" s="2212">
        <v>170</v>
      </c>
      <c r="AO165" s="2219"/>
      <c r="AP165" s="2213"/>
      <c r="AQ165" s="2219"/>
      <c r="AR165" s="2213"/>
      <c r="AS165" s="2213"/>
      <c r="AT165" s="2213"/>
      <c r="AU165" s="2213"/>
      <c r="AV165" s="2213"/>
      <c r="AW165" s="2217">
        <f t="shared" ref="AW165:AW228" si="112">AY165*(AX$7-AX$9)-AX$8</f>
        <v>-18.857896480244381</v>
      </c>
      <c r="AX165" s="2217">
        <f t="shared" si="103"/>
        <v>6315.8723429474485</v>
      </c>
      <c r="AY165" s="2217">
        <f t="shared" si="93"/>
        <v>-7.1300910190984723</v>
      </c>
      <c r="AZ165" s="2212">
        <v>170</v>
      </c>
      <c r="BA165" s="2208"/>
      <c r="BB165" s="263"/>
      <c r="BC165" s="2208"/>
      <c r="BD165" s="263"/>
      <c r="BE165" s="263"/>
      <c r="BF165" s="263"/>
      <c r="BG165" s="263"/>
      <c r="BH165" s="2208"/>
      <c r="BI165" s="2217">
        <f t="shared" ref="BI165:BI228" si="113">BK165*(BJ$7-BJ$9)-BJ$8</f>
        <v>-21.068224696164908</v>
      </c>
      <c r="BJ165" s="2217">
        <f t="shared" si="104"/>
        <v>6315.8723429474485</v>
      </c>
      <c r="BK165" s="2217">
        <f t="shared" si="94"/>
        <v>-7.1300910190984723</v>
      </c>
      <c r="BL165" s="2212">
        <v>170</v>
      </c>
      <c r="BM165" s="2208"/>
      <c r="BN165" s="263"/>
      <c r="BO165" s="2208"/>
      <c r="BP165" s="263"/>
      <c r="BQ165" s="263"/>
      <c r="BR165" s="263"/>
      <c r="BS165" s="263"/>
      <c r="BT165" s="2208"/>
      <c r="BU165" s="2217">
        <f t="shared" ref="BU165:BU228" si="114">(BW165*(BV$7-BV$9))-BV$8</f>
        <v>-3.0040048329648581</v>
      </c>
      <c r="BV165" s="2217">
        <f t="shared" si="95"/>
        <v>8363.8752586735027</v>
      </c>
      <c r="BW165" s="2217">
        <f t="shared" si="105"/>
        <v>9.4272672352672089</v>
      </c>
      <c r="BX165" s="2212">
        <v>170</v>
      </c>
      <c r="BY165" s="2219"/>
      <c r="BZ165" s="2213"/>
      <c r="CA165" s="2219"/>
      <c r="CB165" s="2213"/>
      <c r="CC165" s="2213"/>
      <c r="CD165" s="2213"/>
      <c r="CE165" s="2213"/>
      <c r="CF165" s="2208"/>
      <c r="CG165" s="2217">
        <f t="shared" ref="CG165:CG228" si="115">(CI165*(CH$7-CH$9))-CH$8</f>
        <v>-1.8727327647327918</v>
      </c>
      <c r="CH165" s="2217">
        <f t="shared" si="96"/>
        <v>8363.8752586735027</v>
      </c>
      <c r="CI165" s="2217">
        <f t="shared" si="106"/>
        <v>9.4272672352672089</v>
      </c>
      <c r="CJ165" s="2212">
        <v>170</v>
      </c>
      <c r="CK165" s="2219"/>
      <c r="CL165" s="2213"/>
      <c r="CM165" s="2219"/>
      <c r="CN165" s="2213"/>
      <c r="CO165" s="2213"/>
      <c r="CP165" s="2213"/>
      <c r="CQ165" s="2213"/>
      <c r="CR165" s="2208"/>
      <c r="CS165" s="2217">
        <f t="shared" ref="CS165:CS228" si="116">CU165*(CT$7-CT$9)-CT$8</f>
        <v>-20.925622875782938</v>
      </c>
      <c r="CT165" s="2217">
        <f t="shared" si="107"/>
        <v>6315.8723429474485</v>
      </c>
      <c r="CU165" s="2217">
        <f t="shared" si="97"/>
        <v>-7.1300910190984723</v>
      </c>
      <c r="CV165" s="2212">
        <v>170</v>
      </c>
      <c r="CW165" s="2208"/>
      <c r="CX165" s="263"/>
      <c r="CY165" s="2208"/>
      <c r="CZ165" s="263"/>
      <c r="DA165" s="263"/>
      <c r="DB165" s="263"/>
      <c r="DC165" s="263"/>
      <c r="DD165" s="2208"/>
    </row>
    <row r="166" spans="1:108">
      <c r="A166" s="2217">
        <f t="shared" si="108"/>
        <v>-0.27270232476257839</v>
      </c>
      <c r="B166" s="2217">
        <f t="shared" si="90"/>
        <v>8354.4479914382355</v>
      </c>
      <c r="C166" s="2217">
        <f t="shared" si="98"/>
        <v>9.5889545002064551</v>
      </c>
      <c r="D166" s="2212">
        <v>169</v>
      </c>
      <c r="E166" s="2219"/>
      <c r="F166" s="2213"/>
      <c r="G166" s="2219"/>
      <c r="H166" s="2213"/>
      <c r="I166" s="2213"/>
      <c r="J166" s="2213"/>
      <c r="K166" s="2213"/>
      <c r="L166" s="2213"/>
      <c r="M166" s="2217">
        <f t="shared" si="109"/>
        <v>0.39852449025187475</v>
      </c>
      <c r="N166" s="2217">
        <f t="shared" si="91"/>
        <v>8354.4479914382355</v>
      </c>
      <c r="O166" s="2217">
        <f t="shared" si="99"/>
        <v>9.5889545002064551</v>
      </c>
      <c r="P166" s="2212">
        <v>169</v>
      </c>
      <c r="Q166" s="2219"/>
      <c r="R166" s="2213"/>
      <c r="S166" s="2219"/>
      <c r="T166" s="2213"/>
      <c r="U166" s="2213"/>
      <c r="V166" s="2213"/>
      <c r="W166" s="2213"/>
      <c r="X166" s="2213"/>
      <c r="Y166" s="2217">
        <f t="shared" si="110"/>
        <v>1.2615303952704569</v>
      </c>
      <c r="Z166" s="2217">
        <f t="shared" si="100"/>
        <v>8354.4479914382355</v>
      </c>
      <c r="AA166" s="2217">
        <f t="shared" si="101"/>
        <v>9.5889545002064551</v>
      </c>
      <c r="AB166" s="2212">
        <v>169</v>
      </c>
      <c r="AC166" s="2219"/>
      <c r="AD166" s="2213"/>
      <c r="AE166" s="2219"/>
      <c r="AF166" s="2213"/>
      <c r="AG166" s="2213"/>
      <c r="AH166" s="2213"/>
      <c r="AI166" s="2213"/>
      <c r="AJ166" s="2213"/>
      <c r="AK166" s="2217">
        <f t="shared" si="111"/>
        <v>-2.8617200398183211</v>
      </c>
      <c r="AL166" s="2217">
        <f t="shared" si="92"/>
        <v>8354.4479914382355</v>
      </c>
      <c r="AM166" s="2217">
        <f t="shared" si="102"/>
        <v>9.5889545002064551</v>
      </c>
      <c r="AN166" s="2212">
        <v>169</v>
      </c>
      <c r="AO166" s="2219"/>
      <c r="AP166" s="2213"/>
      <c r="AQ166" s="2219"/>
      <c r="AR166" s="2213"/>
      <c r="AS166" s="2213"/>
      <c r="AT166" s="2213"/>
      <c r="AU166" s="2213"/>
      <c r="AV166" s="2213"/>
      <c r="AW166" s="2217">
        <f t="shared" si="112"/>
        <v>-18.512561962717974</v>
      </c>
      <c r="AX166" s="2217">
        <f t="shared" si="103"/>
        <v>6323.002433966547</v>
      </c>
      <c r="AY166" s="2217">
        <f t="shared" si="93"/>
        <v>-6.8043037384131821</v>
      </c>
      <c r="AZ166" s="2212">
        <v>169</v>
      </c>
      <c r="BA166" s="2208"/>
      <c r="BB166" s="263"/>
      <c r="BC166" s="2208"/>
      <c r="BD166" s="263"/>
      <c r="BE166" s="263"/>
      <c r="BF166" s="263"/>
      <c r="BG166" s="263"/>
      <c r="BH166" s="2208"/>
      <c r="BI166" s="2217">
        <f t="shared" si="113"/>
        <v>-20.621896121626062</v>
      </c>
      <c r="BJ166" s="2217">
        <f t="shared" si="104"/>
        <v>6323.002433966547</v>
      </c>
      <c r="BK166" s="2217">
        <f t="shared" si="94"/>
        <v>-6.8043037384131821</v>
      </c>
      <c r="BL166" s="2212">
        <v>169</v>
      </c>
      <c r="BM166" s="2208"/>
      <c r="BN166" s="263"/>
      <c r="BO166" s="2208"/>
      <c r="BP166" s="263"/>
      <c r="BQ166" s="263"/>
      <c r="BR166" s="263"/>
      <c r="BS166" s="263"/>
      <c r="BT166" s="2208"/>
      <c r="BU166" s="2217">
        <f t="shared" si="114"/>
        <v>-2.8617200398183211</v>
      </c>
      <c r="BV166" s="2217">
        <f t="shared" si="95"/>
        <v>8354.4479914382355</v>
      </c>
      <c r="BW166" s="2217">
        <f t="shared" si="105"/>
        <v>9.5889545002064551</v>
      </c>
      <c r="BX166" s="2212">
        <v>169</v>
      </c>
      <c r="BY166" s="2219"/>
      <c r="BZ166" s="2213"/>
      <c r="CA166" s="2219"/>
      <c r="CB166" s="2213"/>
      <c r="CC166" s="2213"/>
      <c r="CD166" s="2213"/>
      <c r="CE166" s="2213"/>
      <c r="CF166" s="2208"/>
      <c r="CG166" s="2217">
        <f t="shared" si="115"/>
        <v>-1.7110454997935456</v>
      </c>
      <c r="CH166" s="2217">
        <f t="shared" si="96"/>
        <v>8354.4479914382355</v>
      </c>
      <c r="CI166" s="2217">
        <f t="shared" si="106"/>
        <v>9.5889545002064551</v>
      </c>
      <c r="CJ166" s="2212">
        <v>169</v>
      </c>
      <c r="CK166" s="2219"/>
      <c r="CL166" s="2213"/>
      <c r="CM166" s="2219"/>
      <c r="CN166" s="2213"/>
      <c r="CO166" s="2213"/>
      <c r="CP166" s="2213"/>
      <c r="CQ166" s="2213"/>
      <c r="CR166" s="2208"/>
      <c r="CS166" s="2217">
        <f t="shared" si="116"/>
        <v>-20.485810046857797</v>
      </c>
      <c r="CT166" s="2217">
        <f t="shared" si="107"/>
        <v>6323.002433966547</v>
      </c>
      <c r="CU166" s="2217">
        <f t="shared" si="97"/>
        <v>-6.8043037384131821</v>
      </c>
      <c r="CV166" s="2212">
        <v>169</v>
      </c>
      <c r="CW166" s="2208"/>
      <c r="CX166" s="263"/>
      <c r="CY166" s="2208"/>
      <c r="CZ166" s="263"/>
      <c r="DA166" s="263"/>
      <c r="DB166" s="263"/>
      <c r="DC166" s="263"/>
      <c r="DD166" s="2208"/>
    </row>
    <row r="167" spans="1:108">
      <c r="A167" s="2217">
        <f t="shared" si="108"/>
        <v>-8.5793062561062783E-2</v>
      </c>
      <c r="B167" s="2217">
        <f t="shared" si="90"/>
        <v>8344.859036938029</v>
      </c>
      <c r="C167" s="2217">
        <f t="shared" si="98"/>
        <v>9.7514842934251647</v>
      </c>
      <c r="D167" s="2212">
        <v>168</v>
      </c>
      <c r="E167" s="2219"/>
      <c r="F167" s="2213"/>
      <c r="G167" s="2219"/>
      <c r="H167" s="2213"/>
      <c r="I167" s="2213"/>
      <c r="J167" s="2213"/>
      <c r="K167" s="2213"/>
      <c r="L167" s="2213"/>
      <c r="M167" s="2217">
        <f t="shared" si="109"/>
        <v>0.59681083797869938</v>
      </c>
      <c r="N167" s="2217">
        <f t="shared" si="91"/>
        <v>8344.859036938029</v>
      </c>
      <c r="O167" s="2217">
        <f t="shared" si="99"/>
        <v>9.7514842934251647</v>
      </c>
      <c r="P167" s="2212">
        <v>168</v>
      </c>
      <c r="Q167" s="2219"/>
      <c r="R167" s="2213"/>
      <c r="S167" s="2219"/>
      <c r="T167" s="2213"/>
      <c r="U167" s="2213"/>
      <c r="V167" s="2213"/>
      <c r="W167" s="2213"/>
      <c r="X167" s="2213"/>
      <c r="Y167" s="2217">
        <f t="shared" si="110"/>
        <v>1.4744444243869648</v>
      </c>
      <c r="Z167" s="2217">
        <f t="shared" si="100"/>
        <v>8344.859036938029</v>
      </c>
      <c r="AA167" s="2217">
        <f t="shared" si="101"/>
        <v>9.7514842934251647</v>
      </c>
      <c r="AB167" s="2212">
        <v>168</v>
      </c>
      <c r="AC167" s="2219"/>
      <c r="AD167" s="2213"/>
      <c r="AE167" s="2219"/>
      <c r="AF167" s="2213"/>
      <c r="AG167" s="2213"/>
      <c r="AH167" s="2213"/>
      <c r="AI167" s="2213"/>
      <c r="AJ167" s="2213"/>
      <c r="AK167" s="2217">
        <f t="shared" si="111"/>
        <v>-2.7186938217858572</v>
      </c>
      <c r="AL167" s="2217">
        <f t="shared" si="92"/>
        <v>8344.859036938029</v>
      </c>
      <c r="AM167" s="2217">
        <f t="shared" si="102"/>
        <v>9.7514842934251647</v>
      </c>
      <c r="AN167" s="2212">
        <v>168</v>
      </c>
      <c r="AO167" s="2219"/>
      <c r="AP167" s="2213"/>
      <c r="AQ167" s="2219"/>
      <c r="AR167" s="2213"/>
      <c r="AS167" s="2213"/>
      <c r="AT167" s="2213"/>
      <c r="AU167" s="2213"/>
      <c r="AV167" s="2213"/>
      <c r="AW167" s="2217">
        <f t="shared" si="112"/>
        <v>-18.167392725166575</v>
      </c>
      <c r="AX167" s="2217">
        <f t="shared" si="103"/>
        <v>6329.8067377049601</v>
      </c>
      <c r="AY167" s="2217">
        <f t="shared" si="93"/>
        <v>-6.4786723822326167</v>
      </c>
      <c r="AZ167" s="2212">
        <v>168</v>
      </c>
      <c r="BA167" s="2208"/>
      <c r="BB167" s="263"/>
      <c r="BC167" s="2208"/>
      <c r="BD167" s="263"/>
      <c r="BE167" s="263"/>
      <c r="BF167" s="263"/>
      <c r="BG167" s="263"/>
      <c r="BH167" s="2208"/>
      <c r="BI167" s="2217">
        <f t="shared" si="113"/>
        <v>-20.175781163658684</v>
      </c>
      <c r="BJ167" s="2217">
        <f t="shared" si="104"/>
        <v>6329.8067377049601</v>
      </c>
      <c r="BK167" s="2217">
        <f t="shared" si="94"/>
        <v>-6.4786723822326167</v>
      </c>
      <c r="BL167" s="2212">
        <v>168</v>
      </c>
      <c r="BM167" s="2208"/>
      <c r="BN167" s="263"/>
      <c r="BO167" s="2208"/>
      <c r="BP167" s="263"/>
      <c r="BQ167" s="263"/>
      <c r="BR167" s="263"/>
      <c r="BS167" s="263"/>
      <c r="BT167" s="2208"/>
      <c r="BU167" s="2217">
        <f t="shared" si="114"/>
        <v>-2.7186938217858572</v>
      </c>
      <c r="BV167" s="2217">
        <f t="shared" si="95"/>
        <v>8344.859036938029</v>
      </c>
      <c r="BW167" s="2217">
        <f t="shared" si="105"/>
        <v>9.7514842934251647</v>
      </c>
      <c r="BX167" s="2212">
        <v>168</v>
      </c>
      <c r="BY167" s="2219"/>
      <c r="BZ167" s="2213"/>
      <c r="CA167" s="2219"/>
      <c r="CB167" s="2213"/>
      <c r="CC167" s="2213"/>
      <c r="CD167" s="2213"/>
      <c r="CE167" s="2213"/>
      <c r="CF167" s="2208"/>
      <c r="CG167" s="2217">
        <f t="shared" si="115"/>
        <v>-1.5485157065748361</v>
      </c>
      <c r="CH167" s="2217">
        <f t="shared" si="96"/>
        <v>8344.859036938029</v>
      </c>
      <c r="CI167" s="2217">
        <f t="shared" si="106"/>
        <v>9.7514842934251647</v>
      </c>
      <c r="CJ167" s="2212">
        <v>168</v>
      </c>
      <c r="CK167" s="2219"/>
      <c r="CL167" s="2213"/>
      <c r="CM167" s="2219"/>
      <c r="CN167" s="2213"/>
      <c r="CO167" s="2213"/>
      <c r="CP167" s="2213"/>
      <c r="CQ167" s="2213"/>
      <c r="CR167" s="2208"/>
      <c r="CS167" s="2217">
        <f t="shared" si="116"/>
        <v>-20.046207716014035</v>
      </c>
      <c r="CT167" s="2217">
        <f t="shared" si="107"/>
        <v>6329.8067377049601</v>
      </c>
      <c r="CU167" s="2217">
        <f t="shared" si="97"/>
        <v>-6.4786723822326167</v>
      </c>
      <c r="CV167" s="2212">
        <v>168</v>
      </c>
      <c r="CW167" s="2208"/>
      <c r="CX167" s="263"/>
      <c r="CY167" s="2208"/>
      <c r="CZ167" s="263"/>
      <c r="DA167" s="263"/>
      <c r="DB167" s="263"/>
      <c r="DC167" s="263"/>
      <c r="DD167" s="2208"/>
    </row>
    <row r="168" spans="1:108">
      <c r="A168" s="2217">
        <f t="shared" si="108"/>
        <v>0.10208510713882646</v>
      </c>
      <c r="B168" s="2217">
        <f t="shared" si="90"/>
        <v>8335.1075526446039</v>
      </c>
      <c r="C168" s="2217">
        <f t="shared" si="98"/>
        <v>9.9148566149033286</v>
      </c>
      <c r="D168" s="2212">
        <v>167</v>
      </c>
      <c r="E168" s="2219"/>
      <c r="F168" s="2213"/>
      <c r="G168" s="2219"/>
      <c r="H168" s="2213"/>
      <c r="I168" s="2213"/>
      <c r="J168" s="2213"/>
      <c r="K168" s="2213"/>
      <c r="L168" s="2213"/>
      <c r="M168" s="2217">
        <f t="shared" si="109"/>
        <v>0.79612507018205925</v>
      </c>
      <c r="N168" s="2217">
        <f t="shared" si="91"/>
        <v>8335.1075526446039</v>
      </c>
      <c r="O168" s="2217">
        <f t="shared" si="99"/>
        <v>9.9148566149033286</v>
      </c>
      <c r="P168" s="2212">
        <v>167</v>
      </c>
      <c r="Q168" s="2219"/>
      <c r="R168" s="2213"/>
      <c r="S168" s="2219"/>
      <c r="T168" s="2213"/>
      <c r="U168" s="2213"/>
      <c r="V168" s="2213"/>
      <c r="W168" s="2213"/>
      <c r="X168" s="2213"/>
      <c r="Y168" s="2217">
        <f t="shared" si="110"/>
        <v>1.6884621655233598</v>
      </c>
      <c r="Z168" s="2217">
        <f t="shared" si="100"/>
        <v>8335.1075526446039</v>
      </c>
      <c r="AA168" s="2217">
        <f t="shared" si="101"/>
        <v>9.9148566149033286</v>
      </c>
      <c r="AB168" s="2212">
        <v>167</v>
      </c>
      <c r="AC168" s="2219"/>
      <c r="AD168" s="2213"/>
      <c r="AE168" s="2219"/>
      <c r="AF168" s="2213"/>
      <c r="AG168" s="2213"/>
      <c r="AH168" s="2213"/>
      <c r="AI168" s="2213"/>
      <c r="AJ168" s="2213"/>
      <c r="AK168" s="2217">
        <f t="shared" si="111"/>
        <v>-2.5749261788850735</v>
      </c>
      <c r="AL168" s="2217">
        <f t="shared" si="92"/>
        <v>8335.1075526446039</v>
      </c>
      <c r="AM168" s="2217">
        <f t="shared" si="102"/>
        <v>9.9148566149033286</v>
      </c>
      <c r="AN168" s="2212">
        <v>167</v>
      </c>
      <c r="AO168" s="2219"/>
      <c r="AP168" s="2213"/>
      <c r="AQ168" s="2219"/>
      <c r="AR168" s="2213"/>
      <c r="AS168" s="2213"/>
      <c r="AT168" s="2213"/>
      <c r="AU168" s="2213"/>
      <c r="AV168" s="2213"/>
      <c r="AW168" s="2217">
        <f t="shared" si="112"/>
        <v>-17.822388767582471</v>
      </c>
      <c r="AX168" s="2217">
        <f t="shared" si="103"/>
        <v>6336.2854100871928</v>
      </c>
      <c r="AY168" s="2217">
        <f t="shared" si="93"/>
        <v>-6.1531969505494999</v>
      </c>
      <c r="AZ168" s="2212">
        <v>167</v>
      </c>
      <c r="BA168" s="2208"/>
      <c r="BB168" s="263"/>
      <c r="BC168" s="2208"/>
      <c r="BD168" s="263"/>
      <c r="BE168" s="263"/>
      <c r="BF168" s="263"/>
      <c r="BG168" s="263"/>
      <c r="BH168" s="2208"/>
      <c r="BI168" s="2217">
        <f t="shared" si="113"/>
        <v>-19.729879822252816</v>
      </c>
      <c r="BJ168" s="2217">
        <f t="shared" si="104"/>
        <v>6336.2854100871928</v>
      </c>
      <c r="BK168" s="2217">
        <f t="shared" si="94"/>
        <v>-6.1531969505494999</v>
      </c>
      <c r="BL168" s="2212">
        <v>167</v>
      </c>
      <c r="BM168" s="2208"/>
      <c r="BN168" s="263"/>
      <c r="BO168" s="2208"/>
      <c r="BP168" s="263"/>
      <c r="BQ168" s="263"/>
      <c r="BR168" s="263"/>
      <c r="BS168" s="263"/>
      <c r="BT168" s="2208"/>
      <c r="BU168" s="2217">
        <f t="shared" si="114"/>
        <v>-2.5749261788850735</v>
      </c>
      <c r="BV168" s="2217">
        <f t="shared" si="95"/>
        <v>8335.1075526446039</v>
      </c>
      <c r="BW168" s="2217">
        <f t="shared" si="105"/>
        <v>9.9148566149033286</v>
      </c>
      <c r="BX168" s="2212">
        <v>167</v>
      </c>
      <c r="BY168" s="2219"/>
      <c r="BZ168" s="2213"/>
      <c r="CA168" s="2219"/>
      <c r="CB168" s="2213"/>
      <c r="CC168" s="2213"/>
      <c r="CD168" s="2213"/>
      <c r="CE168" s="2213"/>
      <c r="CF168" s="2208"/>
      <c r="CG168" s="2217">
        <f t="shared" si="115"/>
        <v>-1.3851433850966721</v>
      </c>
      <c r="CH168" s="2217">
        <f t="shared" si="96"/>
        <v>8335.1075526446039</v>
      </c>
      <c r="CI168" s="2217">
        <f t="shared" si="106"/>
        <v>9.9148566149033286</v>
      </c>
      <c r="CJ168" s="2212">
        <v>167</v>
      </c>
      <c r="CK168" s="2219"/>
      <c r="CL168" s="2213"/>
      <c r="CM168" s="2219"/>
      <c r="CN168" s="2213"/>
      <c r="CO168" s="2213"/>
      <c r="CP168" s="2213"/>
      <c r="CQ168" s="2213"/>
      <c r="CR168" s="2208"/>
      <c r="CS168" s="2217">
        <f t="shared" si="116"/>
        <v>-19.606815883241826</v>
      </c>
      <c r="CT168" s="2217">
        <f t="shared" si="107"/>
        <v>6336.2854100871928</v>
      </c>
      <c r="CU168" s="2217">
        <f t="shared" si="97"/>
        <v>-6.1531969505494999</v>
      </c>
      <c r="CV168" s="2212">
        <v>167</v>
      </c>
      <c r="CW168" s="2208"/>
      <c r="CX168" s="263"/>
      <c r="CY168" s="2208"/>
      <c r="CZ168" s="263"/>
      <c r="DA168" s="263"/>
      <c r="DB168" s="263"/>
      <c r="DC168" s="263"/>
      <c r="DD168" s="2208"/>
    </row>
    <row r="169" spans="1:108">
      <c r="A169" s="2217">
        <f t="shared" si="108"/>
        <v>0.29093218436009671</v>
      </c>
      <c r="B169" s="2217">
        <f t="shared" si="90"/>
        <v>8325.1926960297005</v>
      </c>
      <c r="C169" s="2217">
        <f t="shared" si="98"/>
        <v>10.079071464660956</v>
      </c>
      <c r="D169" s="2212">
        <v>166</v>
      </c>
      <c r="E169" s="2219"/>
      <c r="F169" s="2213"/>
      <c r="G169" s="2219"/>
      <c r="H169" s="2213"/>
      <c r="I169" s="2213"/>
      <c r="J169" s="2213"/>
      <c r="K169" s="2213"/>
      <c r="L169" s="2213"/>
      <c r="M169" s="2217">
        <f t="shared" si="109"/>
        <v>0.99646718688636504</v>
      </c>
      <c r="N169" s="2217">
        <f t="shared" si="91"/>
        <v>8325.1926960297005</v>
      </c>
      <c r="O169" s="2217">
        <f t="shared" si="99"/>
        <v>10.079071464660956</v>
      </c>
      <c r="P169" s="2212">
        <v>166</v>
      </c>
      <c r="Q169" s="2219"/>
      <c r="R169" s="2213"/>
      <c r="S169" s="2219"/>
      <c r="T169" s="2213"/>
      <c r="U169" s="2213"/>
      <c r="V169" s="2213"/>
      <c r="W169" s="2213"/>
      <c r="X169" s="2213"/>
      <c r="Y169" s="2217">
        <f t="shared" si="110"/>
        <v>1.9035836187058521</v>
      </c>
      <c r="Z169" s="2217">
        <f t="shared" si="100"/>
        <v>8325.1926960297005</v>
      </c>
      <c r="AA169" s="2217">
        <f t="shared" si="101"/>
        <v>10.079071464660956</v>
      </c>
      <c r="AB169" s="2212">
        <v>166</v>
      </c>
      <c r="AC169" s="2219"/>
      <c r="AD169" s="2213"/>
      <c r="AE169" s="2219"/>
      <c r="AF169" s="2213"/>
      <c r="AG169" s="2213"/>
      <c r="AH169" s="2213"/>
      <c r="AI169" s="2213"/>
      <c r="AJ169" s="2213"/>
      <c r="AK169" s="2217">
        <f t="shared" si="111"/>
        <v>-2.430417111098361</v>
      </c>
      <c r="AL169" s="2217">
        <f t="shared" si="92"/>
        <v>8325.1926960297005</v>
      </c>
      <c r="AM169" s="2217">
        <f t="shared" si="102"/>
        <v>10.079071464660956</v>
      </c>
      <c r="AN169" s="2212">
        <v>166</v>
      </c>
      <c r="AO169" s="2219"/>
      <c r="AP169" s="2213"/>
      <c r="AQ169" s="2219"/>
      <c r="AR169" s="2213"/>
      <c r="AS169" s="2213"/>
      <c r="AT169" s="2213"/>
      <c r="AU169" s="2213"/>
      <c r="AV169" s="2213"/>
      <c r="AW169" s="2217">
        <f t="shared" si="112"/>
        <v>-17.477550089969519</v>
      </c>
      <c r="AX169" s="2217">
        <f t="shared" si="103"/>
        <v>6342.4386070377423</v>
      </c>
      <c r="AY169" s="2217">
        <f t="shared" si="93"/>
        <v>-5.8278774433674698</v>
      </c>
      <c r="AZ169" s="2212">
        <v>166</v>
      </c>
      <c r="BA169" s="2208"/>
      <c r="BB169" s="263"/>
      <c r="BC169" s="2208"/>
      <c r="BD169" s="263"/>
      <c r="BE169" s="263"/>
      <c r="BF169" s="263"/>
      <c r="BG169" s="263"/>
      <c r="BH169" s="2208"/>
      <c r="BI169" s="2217">
        <f t="shared" si="113"/>
        <v>-19.284192097413435</v>
      </c>
      <c r="BJ169" s="2217">
        <f t="shared" si="104"/>
        <v>6342.4386070377423</v>
      </c>
      <c r="BK169" s="2217">
        <f t="shared" si="94"/>
        <v>-5.8278774433674698</v>
      </c>
      <c r="BL169" s="2212">
        <v>166</v>
      </c>
      <c r="BM169" s="2208"/>
      <c r="BN169" s="263"/>
      <c r="BO169" s="2208"/>
      <c r="BP169" s="263"/>
      <c r="BQ169" s="263"/>
      <c r="BR169" s="263"/>
      <c r="BS169" s="263"/>
      <c r="BT169" s="2208"/>
      <c r="BU169" s="2217">
        <f t="shared" si="114"/>
        <v>-2.430417111098361</v>
      </c>
      <c r="BV169" s="2217">
        <f t="shared" si="95"/>
        <v>8325.1926960297005</v>
      </c>
      <c r="BW169" s="2217">
        <f t="shared" si="105"/>
        <v>10.079071464660956</v>
      </c>
      <c r="BX169" s="2212">
        <v>166</v>
      </c>
      <c r="BY169" s="2219"/>
      <c r="BZ169" s="2213"/>
      <c r="CA169" s="2219"/>
      <c r="CB169" s="2213"/>
      <c r="CC169" s="2213"/>
      <c r="CD169" s="2213"/>
      <c r="CE169" s="2213"/>
      <c r="CF169" s="2208"/>
      <c r="CG169" s="2217">
        <f t="shared" si="115"/>
        <v>-1.2209285353390449</v>
      </c>
      <c r="CH169" s="2217">
        <f t="shared" si="96"/>
        <v>8325.1926960297005</v>
      </c>
      <c r="CI169" s="2217">
        <f t="shared" si="106"/>
        <v>10.079071464660956</v>
      </c>
      <c r="CJ169" s="2212">
        <v>166</v>
      </c>
      <c r="CK169" s="2219"/>
      <c r="CL169" s="2213"/>
      <c r="CM169" s="2219"/>
      <c r="CN169" s="2213"/>
      <c r="CO169" s="2213"/>
      <c r="CP169" s="2213"/>
      <c r="CQ169" s="2213"/>
      <c r="CR169" s="2208"/>
      <c r="CS169" s="2217">
        <f t="shared" si="116"/>
        <v>-19.167634548546086</v>
      </c>
      <c r="CT169" s="2217">
        <f t="shared" si="107"/>
        <v>6342.4386070377423</v>
      </c>
      <c r="CU169" s="2217">
        <f t="shared" si="97"/>
        <v>-5.8278774433674698</v>
      </c>
      <c r="CV169" s="2212">
        <v>166</v>
      </c>
      <c r="CW169" s="2208"/>
      <c r="CX169" s="263"/>
      <c r="CY169" s="2208"/>
      <c r="CZ169" s="263"/>
      <c r="DA169" s="263"/>
      <c r="DB169" s="263"/>
      <c r="DC169" s="263"/>
      <c r="DD169" s="2208"/>
    </row>
    <row r="170" spans="1:108">
      <c r="A170" s="2217">
        <f t="shared" si="108"/>
        <v>0.48074816907974061</v>
      </c>
      <c r="B170" s="2217">
        <f t="shared" si="90"/>
        <v>8315.1136245650396</v>
      </c>
      <c r="C170" s="2217">
        <f t="shared" si="98"/>
        <v>10.244128842678037</v>
      </c>
      <c r="D170" s="2212">
        <v>165</v>
      </c>
      <c r="E170" s="2219"/>
      <c r="F170" s="2213"/>
      <c r="G170" s="2219"/>
      <c r="H170" s="2213"/>
      <c r="I170" s="2213"/>
      <c r="J170" s="2213"/>
      <c r="K170" s="2213"/>
      <c r="L170" s="2213"/>
      <c r="M170" s="2217">
        <f t="shared" si="109"/>
        <v>1.1978371880672043</v>
      </c>
      <c r="N170" s="2217">
        <f t="shared" si="91"/>
        <v>8315.1136245650396</v>
      </c>
      <c r="O170" s="2217">
        <f t="shared" si="99"/>
        <v>10.244128842678037</v>
      </c>
      <c r="P170" s="2212">
        <v>165</v>
      </c>
      <c r="Q170" s="2219"/>
      <c r="R170" s="2213"/>
      <c r="S170" s="2219"/>
      <c r="T170" s="2213"/>
      <c r="U170" s="2213"/>
      <c r="V170" s="2213"/>
      <c r="W170" s="2213"/>
      <c r="X170" s="2213"/>
      <c r="Y170" s="2217">
        <f t="shared" si="110"/>
        <v>2.1198087839082298</v>
      </c>
      <c r="Z170" s="2217">
        <f t="shared" si="100"/>
        <v>8315.1136245650396</v>
      </c>
      <c r="AA170" s="2217">
        <f t="shared" si="101"/>
        <v>10.244128842678037</v>
      </c>
      <c r="AB170" s="2212">
        <v>165</v>
      </c>
      <c r="AC170" s="2219"/>
      <c r="AD170" s="2213"/>
      <c r="AE170" s="2219"/>
      <c r="AF170" s="2213"/>
      <c r="AG170" s="2213"/>
      <c r="AH170" s="2213"/>
      <c r="AI170" s="2213"/>
      <c r="AJ170" s="2213"/>
      <c r="AK170" s="2217">
        <f t="shared" si="111"/>
        <v>-2.2851666184433288</v>
      </c>
      <c r="AL170" s="2217">
        <f t="shared" si="92"/>
        <v>8315.1136245650396</v>
      </c>
      <c r="AM170" s="2217">
        <f t="shared" si="102"/>
        <v>10.244128842678037</v>
      </c>
      <c r="AN170" s="2212">
        <v>165</v>
      </c>
      <c r="AO170" s="2219"/>
      <c r="AP170" s="2213"/>
      <c r="AQ170" s="2219"/>
      <c r="AR170" s="2213"/>
      <c r="AS170" s="2213"/>
      <c r="AT170" s="2213"/>
      <c r="AU170" s="2213"/>
      <c r="AV170" s="2213"/>
      <c r="AW170" s="2217">
        <f t="shared" si="112"/>
        <v>-17.132876692329646</v>
      </c>
      <c r="AX170" s="2217">
        <f t="shared" si="103"/>
        <v>6348.2664844811097</v>
      </c>
      <c r="AY170" s="2217">
        <f t="shared" si="93"/>
        <v>-5.5027138606883454</v>
      </c>
      <c r="AZ170" s="2212">
        <v>165</v>
      </c>
      <c r="BA170" s="2208"/>
      <c r="BB170" s="263"/>
      <c r="BC170" s="2208"/>
      <c r="BD170" s="263"/>
      <c r="BE170" s="263"/>
      <c r="BF170" s="263"/>
      <c r="BG170" s="263"/>
      <c r="BH170" s="2208"/>
      <c r="BI170" s="2217">
        <f t="shared" si="113"/>
        <v>-18.838717989143035</v>
      </c>
      <c r="BJ170" s="2217">
        <f t="shared" si="104"/>
        <v>6348.2664844811097</v>
      </c>
      <c r="BK170" s="2217">
        <f t="shared" si="94"/>
        <v>-5.5027138606883454</v>
      </c>
      <c r="BL170" s="2212">
        <v>165</v>
      </c>
      <c r="BM170" s="2208"/>
      <c r="BN170" s="263"/>
      <c r="BO170" s="2208"/>
      <c r="BP170" s="263"/>
      <c r="BQ170" s="263"/>
      <c r="BR170" s="263"/>
      <c r="BS170" s="263"/>
      <c r="BT170" s="2208"/>
      <c r="BU170" s="2217">
        <f t="shared" si="114"/>
        <v>-2.2851666184433288</v>
      </c>
      <c r="BV170" s="2217">
        <f t="shared" si="95"/>
        <v>8315.1136245650396</v>
      </c>
      <c r="BW170" s="2217">
        <f t="shared" si="105"/>
        <v>10.244128842678037</v>
      </c>
      <c r="BX170" s="2212">
        <v>165</v>
      </c>
      <c r="BY170" s="2219"/>
      <c r="BZ170" s="2213"/>
      <c r="CA170" s="2219"/>
      <c r="CB170" s="2213"/>
      <c r="CC170" s="2213"/>
      <c r="CD170" s="2213"/>
      <c r="CE170" s="2213"/>
      <c r="CF170" s="2208"/>
      <c r="CG170" s="2217">
        <f t="shared" si="115"/>
        <v>-1.0558711573219632</v>
      </c>
      <c r="CH170" s="2217">
        <f t="shared" si="96"/>
        <v>8315.1136245650396</v>
      </c>
      <c r="CI170" s="2217">
        <f t="shared" si="106"/>
        <v>10.244128842678037</v>
      </c>
      <c r="CJ170" s="2212">
        <v>165</v>
      </c>
      <c r="CK170" s="2219"/>
      <c r="CL170" s="2213"/>
      <c r="CM170" s="2219"/>
      <c r="CN170" s="2213"/>
      <c r="CO170" s="2213"/>
      <c r="CP170" s="2213"/>
      <c r="CQ170" s="2213"/>
      <c r="CR170" s="2208"/>
      <c r="CS170" s="2217">
        <f t="shared" si="116"/>
        <v>-18.728663711929268</v>
      </c>
      <c r="CT170" s="2217">
        <f t="shared" si="107"/>
        <v>6348.2664844811097</v>
      </c>
      <c r="CU170" s="2217">
        <f t="shared" si="97"/>
        <v>-5.5027138606883454</v>
      </c>
      <c r="CV170" s="2212">
        <v>165</v>
      </c>
      <c r="CW170" s="2208"/>
      <c r="CX170" s="263"/>
      <c r="CY170" s="2208"/>
      <c r="CZ170" s="263"/>
      <c r="DA170" s="263"/>
      <c r="DB170" s="263"/>
      <c r="DC170" s="263"/>
      <c r="DD170" s="2208"/>
    </row>
    <row r="171" spans="1:108">
      <c r="A171" s="2217">
        <f t="shared" si="108"/>
        <v>0.67153306131867652</v>
      </c>
      <c r="B171" s="2217">
        <f t="shared" si="90"/>
        <v>8304.8694957223615</v>
      </c>
      <c r="C171" s="2217">
        <f t="shared" si="98"/>
        <v>10.410028748972763</v>
      </c>
      <c r="D171" s="2212">
        <v>164</v>
      </c>
      <c r="E171" s="2219"/>
      <c r="F171" s="2213"/>
      <c r="G171" s="2219"/>
      <c r="H171" s="2213"/>
      <c r="I171" s="2213"/>
      <c r="J171" s="2213"/>
      <c r="K171" s="2213"/>
      <c r="L171" s="2213"/>
      <c r="M171" s="2217">
        <f t="shared" si="109"/>
        <v>1.4002350737467708</v>
      </c>
      <c r="N171" s="2217">
        <f t="shared" si="91"/>
        <v>8304.8694957223615</v>
      </c>
      <c r="O171" s="2217">
        <f t="shared" si="99"/>
        <v>10.410028748972763</v>
      </c>
      <c r="P171" s="2212">
        <v>164</v>
      </c>
      <c r="Q171" s="2219"/>
      <c r="R171" s="2213"/>
      <c r="S171" s="2219"/>
      <c r="T171" s="2213"/>
      <c r="U171" s="2213"/>
      <c r="V171" s="2213"/>
      <c r="W171" s="2213"/>
      <c r="X171" s="2213"/>
      <c r="Y171" s="2217">
        <f t="shared" si="110"/>
        <v>2.3371376611543191</v>
      </c>
      <c r="Z171" s="2217">
        <f t="shared" si="100"/>
        <v>8304.8694957223615</v>
      </c>
      <c r="AA171" s="2217">
        <f t="shared" si="101"/>
        <v>10.410028748972763</v>
      </c>
      <c r="AB171" s="2212">
        <v>164</v>
      </c>
      <c r="AC171" s="2219"/>
      <c r="AD171" s="2213"/>
      <c r="AE171" s="2219"/>
      <c r="AF171" s="2213"/>
      <c r="AG171" s="2213"/>
      <c r="AH171" s="2213"/>
      <c r="AI171" s="2213"/>
      <c r="AJ171" s="2213"/>
      <c r="AK171" s="2217">
        <f t="shared" si="111"/>
        <v>-2.1391747009039701</v>
      </c>
      <c r="AL171" s="2217">
        <f t="shared" si="92"/>
        <v>8304.8694957223615</v>
      </c>
      <c r="AM171" s="2217">
        <f t="shared" si="102"/>
        <v>10.410028748972763</v>
      </c>
      <c r="AN171" s="2212">
        <v>164</v>
      </c>
      <c r="AO171" s="2219"/>
      <c r="AP171" s="2213"/>
      <c r="AQ171" s="2219"/>
      <c r="AR171" s="2213"/>
      <c r="AS171" s="2213"/>
      <c r="AT171" s="2213"/>
      <c r="AU171" s="2213"/>
      <c r="AV171" s="2213"/>
      <c r="AW171" s="2217">
        <f t="shared" si="112"/>
        <v>-16.788368574655145</v>
      </c>
      <c r="AX171" s="2217">
        <f t="shared" si="103"/>
        <v>6353.7691983417981</v>
      </c>
      <c r="AY171" s="2217">
        <f t="shared" si="93"/>
        <v>-5.1777062025048508</v>
      </c>
      <c r="AZ171" s="2212">
        <v>164</v>
      </c>
      <c r="BA171" s="2208"/>
      <c r="BB171" s="263"/>
      <c r="BC171" s="2208"/>
      <c r="BD171" s="263"/>
      <c r="BE171" s="263"/>
      <c r="BF171" s="263"/>
      <c r="BG171" s="263"/>
      <c r="BH171" s="2208"/>
      <c r="BI171" s="2217">
        <f t="shared" si="113"/>
        <v>-18.393457497431648</v>
      </c>
      <c r="BJ171" s="2217">
        <f t="shared" si="104"/>
        <v>6353.7691983417981</v>
      </c>
      <c r="BK171" s="2217">
        <f t="shared" si="94"/>
        <v>-5.1777062025048508</v>
      </c>
      <c r="BL171" s="2212">
        <v>164</v>
      </c>
      <c r="BM171" s="2208"/>
      <c r="BN171" s="263"/>
      <c r="BO171" s="2208"/>
      <c r="BP171" s="263"/>
      <c r="BQ171" s="263"/>
      <c r="BR171" s="263"/>
      <c r="BS171" s="263"/>
      <c r="BT171" s="2208"/>
      <c r="BU171" s="2217">
        <f t="shared" si="114"/>
        <v>-2.1391747009039701</v>
      </c>
      <c r="BV171" s="2217">
        <f t="shared" si="95"/>
        <v>8304.8694957223615</v>
      </c>
      <c r="BW171" s="2217">
        <f t="shared" si="105"/>
        <v>10.410028748972763</v>
      </c>
      <c r="BX171" s="2212">
        <v>164</v>
      </c>
      <c r="BY171" s="2219"/>
      <c r="BZ171" s="2213"/>
      <c r="CA171" s="2219"/>
      <c r="CB171" s="2213"/>
      <c r="CC171" s="2213"/>
      <c r="CD171" s="2213"/>
      <c r="CE171" s="2213"/>
      <c r="CF171" s="2208"/>
      <c r="CG171" s="2217">
        <f t="shared" si="115"/>
        <v>-0.88997125102723729</v>
      </c>
      <c r="CH171" s="2217">
        <f t="shared" si="96"/>
        <v>8304.8694957223615</v>
      </c>
      <c r="CI171" s="2217">
        <f t="shared" si="106"/>
        <v>10.410028748972763</v>
      </c>
      <c r="CJ171" s="2212">
        <v>164</v>
      </c>
      <c r="CK171" s="2219"/>
      <c r="CL171" s="2213"/>
      <c r="CM171" s="2219"/>
      <c r="CN171" s="2213"/>
      <c r="CO171" s="2213"/>
      <c r="CP171" s="2213"/>
      <c r="CQ171" s="2213"/>
      <c r="CR171" s="2208"/>
      <c r="CS171" s="2217">
        <f t="shared" si="116"/>
        <v>-18.289903373381549</v>
      </c>
      <c r="CT171" s="2217">
        <f t="shared" si="107"/>
        <v>6353.7691983417981</v>
      </c>
      <c r="CU171" s="2217">
        <f t="shared" si="97"/>
        <v>-5.1777062025048508</v>
      </c>
      <c r="CV171" s="2212">
        <v>164</v>
      </c>
      <c r="CW171" s="2208"/>
      <c r="CX171" s="263"/>
      <c r="CY171" s="2208"/>
      <c r="CZ171" s="263"/>
      <c r="DA171" s="263"/>
      <c r="DB171" s="263"/>
      <c r="DC171" s="263"/>
      <c r="DD171" s="2208"/>
    </row>
    <row r="172" spans="1:108">
      <c r="A172" s="2217">
        <f t="shared" si="108"/>
        <v>0.86328686106435093</v>
      </c>
      <c r="B172" s="2217">
        <f t="shared" si="90"/>
        <v>8294.4594669733888</v>
      </c>
      <c r="C172" s="2217">
        <f t="shared" si="98"/>
        <v>10.57677118353422</v>
      </c>
      <c r="D172" s="2212">
        <v>163</v>
      </c>
      <c r="E172" s="2219"/>
      <c r="F172" s="2213"/>
      <c r="G172" s="2219"/>
      <c r="H172" s="2213"/>
      <c r="I172" s="2213"/>
      <c r="J172" s="2213"/>
      <c r="K172" s="2213"/>
      <c r="L172" s="2213"/>
      <c r="M172" s="2217">
        <f t="shared" si="109"/>
        <v>1.6036608439117472</v>
      </c>
      <c r="N172" s="2217">
        <f t="shared" si="91"/>
        <v>8294.4594669733888</v>
      </c>
      <c r="O172" s="2217">
        <f t="shared" si="99"/>
        <v>10.57677118353422</v>
      </c>
      <c r="P172" s="2212">
        <v>163</v>
      </c>
      <c r="Q172" s="2219"/>
      <c r="R172" s="2213"/>
      <c r="S172" s="2219"/>
      <c r="T172" s="2213"/>
      <c r="U172" s="2213"/>
      <c r="V172" s="2213"/>
      <c r="W172" s="2213"/>
      <c r="X172" s="2213"/>
      <c r="Y172" s="2217">
        <f t="shared" si="110"/>
        <v>2.5555702504298274</v>
      </c>
      <c r="Z172" s="2217">
        <f t="shared" si="100"/>
        <v>8294.4594669733888</v>
      </c>
      <c r="AA172" s="2217">
        <f t="shared" si="101"/>
        <v>10.57677118353422</v>
      </c>
      <c r="AB172" s="2212">
        <v>163</v>
      </c>
      <c r="AC172" s="2219"/>
      <c r="AD172" s="2213"/>
      <c r="AE172" s="2219"/>
      <c r="AF172" s="2213"/>
      <c r="AG172" s="2213"/>
      <c r="AH172" s="2213"/>
      <c r="AI172" s="2213"/>
      <c r="AJ172" s="2213"/>
      <c r="AK172" s="2217">
        <f t="shared" si="111"/>
        <v>-1.9924413584898879</v>
      </c>
      <c r="AL172" s="2217">
        <f t="shared" si="92"/>
        <v>8294.4594669733888</v>
      </c>
      <c r="AM172" s="2217">
        <f t="shared" si="102"/>
        <v>10.57677118353422</v>
      </c>
      <c r="AN172" s="2212">
        <v>163</v>
      </c>
      <c r="AO172" s="2219"/>
      <c r="AP172" s="2213"/>
      <c r="AQ172" s="2219"/>
      <c r="AR172" s="2213"/>
      <c r="AS172" s="2213"/>
      <c r="AT172" s="2213"/>
      <c r="AU172" s="2213"/>
      <c r="AV172" s="2213"/>
      <c r="AW172" s="2217">
        <f t="shared" si="112"/>
        <v>-16.444025736957574</v>
      </c>
      <c r="AX172" s="2217">
        <f t="shared" si="103"/>
        <v>6358.9469045443029</v>
      </c>
      <c r="AY172" s="2217">
        <f t="shared" si="93"/>
        <v>-4.8528544688278998</v>
      </c>
      <c r="AZ172" s="2212">
        <v>163</v>
      </c>
      <c r="BA172" s="2208"/>
      <c r="BB172" s="263"/>
      <c r="BC172" s="2208"/>
      <c r="BD172" s="263"/>
      <c r="BE172" s="263"/>
      <c r="BF172" s="263"/>
      <c r="BG172" s="263"/>
      <c r="BH172" s="2208"/>
      <c r="BI172" s="2217">
        <f t="shared" si="113"/>
        <v>-17.948410622294226</v>
      </c>
      <c r="BJ172" s="2217">
        <f t="shared" si="104"/>
        <v>6358.9469045443029</v>
      </c>
      <c r="BK172" s="2217">
        <f t="shared" si="94"/>
        <v>-4.8528544688278998</v>
      </c>
      <c r="BL172" s="2212">
        <v>163</v>
      </c>
      <c r="BM172" s="2208"/>
      <c r="BN172" s="263"/>
      <c r="BO172" s="2208"/>
      <c r="BP172" s="263"/>
      <c r="BQ172" s="263"/>
      <c r="BR172" s="263"/>
      <c r="BS172" s="263"/>
      <c r="BT172" s="2208"/>
      <c r="BU172" s="2217">
        <f t="shared" si="114"/>
        <v>-1.9924413584898879</v>
      </c>
      <c r="BV172" s="2217">
        <f t="shared" si="95"/>
        <v>8294.4594669733888</v>
      </c>
      <c r="BW172" s="2217">
        <f t="shared" si="105"/>
        <v>10.57677118353422</v>
      </c>
      <c r="BX172" s="2212">
        <v>163</v>
      </c>
      <c r="BY172" s="2219"/>
      <c r="BZ172" s="2213"/>
      <c r="CA172" s="2219"/>
      <c r="CB172" s="2213"/>
      <c r="CC172" s="2213"/>
      <c r="CD172" s="2213"/>
      <c r="CE172" s="2213"/>
      <c r="CF172" s="2208"/>
      <c r="CG172" s="2217">
        <f t="shared" si="115"/>
        <v>-0.72322881646578097</v>
      </c>
      <c r="CH172" s="2217">
        <f t="shared" si="96"/>
        <v>8294.4594669733888</v>
      </c>
      <c r="CI172" s="2217">
        <f t="shared" si="106"/>
        <v>10.57677118353422</v>
      </c>
      <c r="CJ172" s="2212">
        <v>163</v>
      </c>
      <c r="CK172" s="2219"/>
      <c r="CL172" s="2213"/>
      <c r="CM172" s="2219"/>
      <c r="CN172" s="2213"/>
      <c r="CO172" s="2213"/>
      <c r="CP172" s="2213"/>
      <c r="CQ172" s="2213"/>
      <c r="CR172" s="2208"/>
      <c r="CS172" s="2217">
        <f t="shared" si="116"/>
        <v>-17.851353532917667</v>
      </c>
      <c r="CT172" s="2217">
        <f t="shared" si="107"/>
        <v>6358.9469045443029</v>
      </c>
      <c r="CU172" s="2217">
        <f t="shared" si="97"/>
        <v>-4.8528544688278998</v>
      </c>
      <c r="CV172" s="2212">
        <v>163</v>
      </c>
      <c r="CW172" s="2208"/>
      <c r="CX172" s="263"/>
      <c r="CY172" s="2208"/>
      <c r="CZ172" s="263"/>
      <c r="DA172" s="263"/>
      <c r="DB172" s="263"/>
      <c r="DC172" s="263"/>
      <c r="DD172" s="2208"/>
    </row>
    <row r="173" spans="1:108">
      <c r="A173" s="2217">
        <f t="shared" si="108"/>
        <v>1.0560095683167656</v>
      </c>
      <c r="B173" s="2217">
        <f t="shared" si="90"/>
        <v>8283.8826957898546</v>
      </c>
      <c r="C173" s="2217">
        <f t="shared" si="98"/>
        <v>10.744356146362406</v>
      </c>
      <c r="D173" s="2212">
        <v>162</v>
      </c>
      <c r="E173" s="2219"/>
      <c r="F173" s="2213"/>
      <c r="G173" s="2219"/>
      <c r="H173" s="2213"/>
      <c r="I173" s="2213"/>
      <c r="J173" s="2213"/>
      <c r="K173" s="2213"/>
      <c r="L173" s="2213"/>
      <c r="M173" s="2217">
        <f t="shared" si="109"/>
        <v>1.8081144985621354</v>
      </c>
      <c r="N173" s="2217">
        <f t="shared" si="91"/>
        <v>8283.8826957898546</v>
      </c>
      <c r="O173" s="2217">
        <f t="shared" si="99"/>
        <v>10.744356146362406</v>
      </c>
      <c r="P173" s="2212">
        <v>162</v>
      </c>
      <c r="Q173" s="2219"/>
      <c r="R173" s="2213"/>
      <c r="S173" s="2219"/>
      <c r="T173" s="2213"/>
      <c r="U173" s="2213"/>
      <c r="V173" s="2213"/>
      <c r="W173" s="2213"/>
      <c r="X173" s="2213"/>
      <c r="Y173" s="2217">
        <f t="shared" si="110"/>
        <v>2.7751065517347531</v>
      </c>
      <c r="Z173" s="2217">
        <f t="shared" si="100"/>
        <v>8283.8826957898546</v>
      </c>
      <c r="AA173" s="2217">
        <f t="shared" si="101"/>
        <v>10.744356146362406</v>
      </c>
      <c r="AB173" s="2212">
        <v>162</v>
      </c>
      <c r="AC173" s="2219"/>
      <c r="AD173" s="2213"/>
      <c r="AE173" s="2219"/>
      <c r="AF173" s="2213"/>
      <c r="AG173" s="2213"/>
      <c r="AH173" s="2213"/>
      <c r="AI173" s="2213"/>
      <c r="AJ173" s="2213"/>
      <c r="AK173" s="2217">
        <f t="shared" si="111"/>
        <v>-1.844966591201084</v>
      </c>
      <c r="AL173" s="2217">
        <f t="shared" si="92"/>
        <v>8283.8826957898546</v>
      </c>
      <c r="AM173" s="2217">
        <f t="shared" si="102"/>
        <v>10.744356146362406</v>
      </c>
      <c r="AN173" s="2212">
        <v>162</v>
      </c>
      <c r="AO173" s="2219"/>
      <c r="AP173" s="2213"/>
      <c r="AQ173" s="2219"/>
      <c r="AR173" s="2213"/>
      <c r="AS173" s="2213"/>
      <c r="AT173" s="2213"/>
      <c r="AU173" s="2213"/>
      <c r="AV173" s="2213"/>
      <c r="AW173" s="2217">
        <f t="shared" si="112"/>
        <v>-16.099848179224409</v>
      </c>
      <c r="AX173" s="2217">
        <f t="shared" si="103"/>
        <v>6363.7997590131308</v>
      </c>
      <c r="AY173" s="2217">
        <f t="shared" si="93"/>
        <v>-4.5281586596456691</v>
      </c>
      <c r="AZ173" s="2212">
        <v>162</v>
      </c>
      <c r="BA173" s="2208"/>
      <c r="BB173" s="263"/>
      <c r="BC173" s="2208"/>
      <c r="BD173" s="263"/>
      <c r="BE173" s="263"/>
      <c r="BF173" s="263"/>
      <c r="BG173" s="263"/>
      <c r="BH173" s="2208"/>
      <c r="BI173" s="2217">
        <f t="shared" si="113"/>
        <v>-17.50357736371457</v>
      </c>
      <c r="BJ173" s="2217">
        <f t="shared" si="104"/>
        <v>6363.7997590131308</v>
      </c>
      <c r="BK173" s="2217">
        <f t="shared" si="94"/>
        <v>-4.5281586596456691</v>
      </c>
      <c r="BL173" s="2212">
        <v>162</v>
      </c>
      <c r="BM173" s="2208"/>
      <c r="BN173" s="263"/>
      <c r="BO173" s="2208"/>
      <c r="BP173" s="263"/>
      <c r="BQ173" s="263"/>
      <c r="BR173" s="263"/>
      <c r="BS173" s="263"/>
      <c r="BT173" s="2208"/>
      <c r="BU173" s="2217">
        <f t="shared" si="114"/>
        <v>-1.844966591201084</v>
      </c>
      <c r="BV173" s="2217">
        <f t="shared" si="95"/>
        <v>8283.8826957898546</v>
      </c>
      <c r="BW173" s="2217">
        <f t="shared" si="105"/>
        <v>10.744356146362406</v>
      </c>
      <c r="BX173" s="2212">
        <v>162</v>
      </c>
      <c r="BY173" s="2219"/>
      <c r="BZ173" s="2213"/>
      <c r="CA173" s="2219"/>
      <c r="CB173" s="2213"/>
      <c r="CC173" s="2213"/>
      <c r="CD173" s="2213"/>
      <c r="CE173" s="2213"/>
      <c r="CF173" s="2208"/>
      <c r="CG173" s="2217">
        <f t="shared" si="115"/>
        <v>-0.55564385363759428</v>
      </c>
      <c r="CH173" s="2217">
        <f t="shared" si="96"/>
        <v>8283.8826957898546</v>
      </c>
      <c r="CI173" s="2217">
        <f t="shared" si="106"/>
        <v>10.744356146362406</v>
      </c>
      <c r="CJ173" s="2212">
        <v>162</v>
      </c>
      <c r="CK173" s="2219"/>
      <c r="CL173" s="2213"/>
      <c r="CM173" s="2219"/>
      <c r="CN173" s="2213"/>
      <c r="CO173" s="2213"/>
      <c r="CP173" s="2213"/>
      <c r="CQ173" s="2213"/>
      <c r="CR173" s="2208"/>
      <c r="CS173" s="2217">
        <f t="shared" si="116"/>
        <v>-17.413014190521654</v>
      </c>
      <c r="CT173" s="2217">
        <f t="shared" si="107"/>
        <v>6363.7997590131308</v>
      </c>
      <c r="CU173" s="2217">
        <f t="shared" si="97"/>
        <v>-4.5281586596456691</v>
      </c>
      <c r="CV173" s="2212">
        <v>162</v>
      </c>
      <c r="CW173" s="2208"/>
      <c r="CX173" s="263"/>
      <c r="CY173" s="2208"/>
      <c r="CZ173" s="263"/>
      <c r="DA173" s="263"/>
      <c r="DB173" s="263"/>
      <c r="DC173" s="263"/>
      <c r="DD173" s="2208"/>
    </row>
    <row r="174" spans="1:108">
      <c r="A174" s="2217">
        <f t="shared" si="108"/>
        <v>1.2497011830842872</v>
      </c>
      <c r="B174" s="2217">
        <f t="shared" si="90"/>
        <v>8273.1383396434921</v>
      </c>
      <c r="C174" s="2217">
        <f t="shared" si="98"/>
        <v>10.912783637464599</v>
      </c>
      <c r="D174" s="2212">
        <v>161</v>
      </c>
      <c r="E174" s="2219"/>
      <c r="F174" s="2213"/>
      <c r="G174" s="2219"/>
      <c r="H174" s="2213"/>
      <c r="I174" s="2213"/>
      <c r="J174" s="2213"/>
      <c r="K174" s="2213"/>
      <c r="L174" s="2213"/>
      <c r="M174" s="2217">
        <f t="shared" si="109"/>
        <v>2.0135960377068098</v>
      </c>
      <c r="N174" s="2217">
        <f t="shared" si="91"/>
        <v>8273.1383396434921</v>
      </c>
      <c r="O174" s="2217">
        <f t="shared" si="99"/>
        <v>10.912783637464599</v>
      </c>
      <c r="P174" s="2212">
        <v>161</v>
      </c>
      <c r="Q174" s="2219"/>
      <c r="R174" s="2213"/>
      <c r="S174" s="2219"/>
      <c r="T174" s="2213"/>
      <c r="U174" s="2213"/>
      <c r="V174" s="2213"/>
      <c r="W174" s="2213"/>
      <c r="X174" s="2213"/>
      <c r="Y174" s="2217">
        <f t="shared" si="110"/>
        <v>2.9957465650786244</v>
      </c>
      <c r="Z174" s="2217">
        <f t="shared" si="100"/>
        <v>8273.1383396434921</v>
      </c>
      <c r="AA174" s="2217">
        <f t="shared" si="101"/>
        <v>10.912783637464599</v>
      </c>
      <c r="AB174" s="2212">
        <v>161</v>
      </c>
      <c r="AC174" s="2219"/>
      <c r="AD174" s="2213"/>
      <c r="AE174" s="2219"/>
      <c r="AF174" s="2213"/>
      <c r="AG174" s="2213"/>
      <c r="AH174" s="2213"/>
      <c r="AI174" s="2213"/>
      <c r="AJ174" s="2213"/>
      <c r="AK174" s="2217">
        <f t="shared" si="111"/>
        <v>-1.6967503990311545</v>
      </c>
      <c r="AL174" s="2217">
        <f t="shared" si="92"/>
        <v>8273.1383396434921</v>
      </c>
      <c r="AM174" s="2217">
        <f t="shared" si="102"/>
        <v>10.912783637464599</v>
      </c>
      <c r="AN174" s="2212">
        <v>161</v>
      </c>
      <c r="AO174" s="2219"/>
      <c r="AP174" s="2213"/>
      <c r="AQ174" s="2219"/>
      <c r="AR174" s="2213"/>
      <c r="AS174" s="2213"/>
      <c r="AT174" s="2213"/>
      <c r="AU174" s="2213"/>
      <c r="AV174" s="2213"/>
      <c r="AW174" s="2217">
        <f t="shared" si="112"/>
        <v>-15.755835901467218</v>
      </c>
      <c r="AX174" s="2217">
        <f t="shared" si="103"/>
        <v>6368.3279176727765</v>
      </c>
      <c r="AY174" s="2217">
        <f t="shared" si="93"/>
        <v>-4.2036187749690725</v>
      </c>
      <c r="AZ174" s="2212">
        <v>161</v>
      </c>
      <c r="BA174" s="2208"/>
      <c r="BB174" s="263"/>
      <c r="BC174" s="2208"/>
      <c r="BD174" s="263"/>
      <c r="BE174" s="263"/>
      <c r="BF174" s="263"/>
      <c r="BG174" s="263"/>
      <c r="BH174" s="2208"/>
      <c r="BI174" s="2217">
        <f t="shared" si="113"/>
        <v>-17.058957721707632</v>
      </c>
      <c r="BJ174" s="2217">
        <f t="shared" si="104"/>
        <v>6368.3279176727765</v>
      </c>
      <c r="BK174" s="2217">
        <f t="shared" si="94"/>
        <v>-4.2036187749690725</v>
      </c>
      <c r="BL174" s="2212">
        <v>161</v>
      </c>
      <c r="BM174" s="2208"/>
      <c r="BN174" s="263"/>
      <c r="BO174" s="2208"/>
      <c r="BP174" s="263"/>
      <c r="BQ174" s="263"/>
      <c r="BR174" s="263"/>
      <c r="BS174" s="263"/>
      <c r="BT174" s="2208"/>
      <c r="BU174" s="2217">
        <f t="shared" si="114"/>
        <v>-1.6967503990311545</v>
      </c>
      <c r="BV174" s="2217">
        <f t="shared" si="95"/>
        <v>8273.1383396434921</v>
      </c>
      <c r="BW174" s="2217">
        <f t="shared" si="105"/>
        <v>10.912783637464599</v>
      </c>
      <c r="BX174" s="2212">
        <v>161</v>
      </c>
      <c r="BY174" s="2219"/>
      <c r="BZ174" s="2213"/>
      <c r="CA174" s="2219"/>
      <c r="CB174" s="2213"/>
      <c r="CC174" s="2213"/>
      <c r="CD174" s="2213"/>
      <c r="CE174" s="2213"/>
      <c r="CF174" s="2208"/>
      <c r="CG174" s="2217">
        <f t="shared" si="115"/>
        <v>-0.38721636253540126</v>
      </c>
      <c r="CH174" s="2217">
        <f t="shared" si="96"/>
        <v>8273.1383396434921</v>
      </c>
      <c r="CI174" s="2217">
        <f t="shared" si="106"/>
        <v>10.912783637464599</v>
      </c>
      <c r="CJ174" s="2212">
        <v>161</v>
      </c>
      <c r="CK174" s="2219"/>
      <c r="CL174" s="2213"/>
      <c r="CM174" s="2219"/>
      <c r="CN174" s="2213"/>
      <c r="CO174" s="2213"/>
      <c r="CP174" s="2213"/>
      <c r="CQ174" s="2213"/>
      <c r="CR174" s="2208"/>
      <c r="CS174" s="2217">
        <f t="shared" si="116"/>
        <v>-16.97488534620825</v>
      </c>
      <c r="CT174" s="2217">
        <f t="shared" si="107"/>
        <v>6368.3279176727765</v>
      </c>
      <c r="CU174" s="2217">
        <f t="shared" si="97"/>
        <v>-4.2036187749690725</v>
      </c>
      <c r="CV174" s="2212">
        <v>161</v>
      </c>
      <c r="CW174" s="2208"/>
      <c r="CX174" s="263"/>
      <c r="CY174" s="2208"/>
      <c r="CZ174" s="263"/>
      <c r="DA174" s="263"/>
      <c r="DB174" s="263"/>
      <c r="DC174" s="263"/>
      <c r="DD174" s="2208"/>
    </row>
    <row r="175" spans="1:108">
      <c r="A175" s="2217">
        <f t="shared" si="108"/>
        <v>1.4443617053606417</v>
      </c>
      <c r="B175" s="2217">
        <f t="shared" si="90"/>
        <v>8262.2255560060275</v>
      </c>
      <c r="C175" s="2217">
        <f t="shared" si="98"/>
        <v>11.082053656835342</v>
      </c>
      <c r="D175" s="2212">
        <v>160</v>
      </c>
      <c r="E175" s="2219"/>
      <c r="F175" s="2213"/>
      <c r="G175" s="2219"/>
      <c r="H175" s="2213"/>
      <c r="I175" s="2213"/>
      <c r="J175" s="2213"/>
      <c r="K175" s="2213"/>
      <c r="L175" s="2213"/>
      <c r="M175" s="2217">
        <f t="shared" si="109"/>
        <v>2.2201054613391165</v>
      </c>
      <c r="N175" s="2217">
        <f t="shared" si="91"/>
        <v>8262.2255560060275</v>
      </c>
      <c r="O175" s="2217">
        <f t="shared" si="99"/>
        <v>11.082053656835342</v>
      </c>
      <c r="P175" s="2212">
        <v>160</v>
      </c>
      <c r="Q175" s="2219"/>
      <c r="R175" s="2213"/>
      <c r="S175" s="2219"/>
      <c r="T175" s="2213"/>
      <c r="U175" s="2213"/>
      <c r="V175" s="2213"/>
      <c r="W175" s="2213"/>
      <c r="X175" s="2213"/>
      <c r="Y175" s="2217">
        <f t="shared" si="110"/>
        <v>3.2174902904542968</v>
      </c>
      <c r="Z175" s="2217">
        <f t="shared" si="100"/>
        <v>8262.2255560060275</v>
      </c>
      <c r="AA175" s="2217">
        <f t="shared" si="101"/>
        <v>11.082053656835342</v>
      </c>
      <c r="AB175" s="2212">
        <v>160</v>
      </c>
      <c r="AC175" s="2219"/>
      <c r="AD175" s="2213"/>
      <c r="AE175" s="2219"/>
      <c r="AF175" s="2213"/>
      <c r="AG175" s="2213"/>
      <c r="AH175" s="2213"/>
      <c r="AI175" s="2213"/>
      <c r="AJ175" s="2213"/>
      <c r="AK175" s="2217">
        <f t="shared" si="111"/>
        <v>-1.5477927819849011</v>
      </c>
      <c r="AL175" s="2217">
        <f t="shared" si="92"/>
        <v>8262.2255560060275</v>
      </c>
      <c r="AM175" s="2217">
        <f t="shared" si="102"/>
        <v>11.082053656835342</v>
      </c>
      <c r="AN175" s="2212">
        <v>160</v>
      </c>
      <c r="AO175" s="2219"/>
      <c r="AP175" s="2213"/>
      <c r="AQ175" s="2219"/>
      <c r="AR175" s="2213"/>
      <c r="AS175" s="2213"/>
      <c r="AT175" s="2213"/>
      <c r="AU175" s="2213"/>
      <c r="AV175" s="2213"/>
      <c r="AW175" s="2217">
        <f t="shared" si="112"/>
        <v>-15.411988903677322</v>
      </c>
      <c r="AX175" s="2217">
        <f t="shared" si="103"/>
        <v>6372.5315364477456</v>
      </c>
      <c r="AY175" s="2217">
        <f t="shared" si="93"/>
        <v>-3.8792348147899247</v>
      </c>
      <c r="AZ175" s="2212">
        <v>160</v>
      </c>
      <c r="BA175" s="2208"/>
      <c r="BB175" s="263"/>
      <c r="BC175" s="2208"/>
      <c r="BD175" s="263"/>
      <c r="BE175" s="263"/>
      <c r="BF175" s="263"/>
      <c r="BG175" s="263"/>
      <c r="BH175" s="2208"/>
      <c r="BI175" s="2217">
        <f t="shared" si="113"/>
        <v>-16.614551696262197</v>
      </c>
      <c r="BJ175" s="2217">
        <f t="shared" si="104"/>
        <v>6372.5315364477456</v>
      </c>
      <c r="BK175" s="2217">
        <f t="shared" si="94"/>
        <v>-3.8792348147899247</v>
      </c>
      <c r="BL175" s="2212">
        <v>160</v>
      </c>
      <c r="BM175" s="2208"/>
      <c r="BN175" s="263"/>
      <c r="BO175" s="2208"/>
      <c r="BP175" s="263"/>
      <c r="BQ175" s="263"/>
      <c r="BR175" s="263"/>
      <c r="BS175" s="263"/>
      <c r="BT175" s="2208"/>
      <c r="BU175" s="2217">
        <f t="shared" si="114"/>
        <v>-1.5477927819849011</v>
      </c>
      <c r="BV175" s="2217">
        <f t="shared" si="95"/>
        <v>8262.2255560060275</v>
      </c>
      <c r="BW175" s="2217">
        <f t="shared" si="105"/>
        <v>11.082053656835342</v>
      </c>
      <c r="BX175" s="2212">
        <v>160</v>
      </c>
      <c r="BY175" s="2219"/>
      <c r="BZ175" s="2213"/>
      <c r="CA175" s="2219"/>
      <c r="CB175" s="2213"/>
      <c r="CC175" s="2213"/>
      <c r="CD175" s="2213"/>
      <c r="CE175" s="2213"/>
      <c r="CF175" s="2208"/>
      <c r="CG175" s="2217">
        <f t="shared" si="115"/>
        <v>-0.21794634316465888</v>
      </c>
      <c r="CH175" s="2217">
        <f t="shared" si="96"/>
        <v>8262.2255560060275</v>
      </c>
      <c r="CI175" s="2217">
        <f t="shared" si="106"/>
        <v>11.082053656835342</v>
      </c>
      <c r="CJ175" s="2212">
        <v>160</v>
      </c>
      <c r="CK175" s="2219"/>
      <c r="CL175" s="2213"/>
      <c r="CM175" s="2219"/>
      <c r="CN175" s="2213"/>
      <c r="CO175" s="2213"/>
      <c r="CP175" s="2213"/>
      <c r="CQ175" s="2213"/>
      <c r="CR175" s="2208"/>
      <c r="CS175" s="2217">
        <f t="shared" si="116"/>
        <v>-16.536966999966399</v>
      </c>
      <c r="CT175" s="2217">
        <f t="shared" si="107"/>
        <v>6372.5315364477456</v>
      </c>
      <c r="CU175" s="2217">
        <f t="shared" si="97"/>
        <v>-3.8792348147899247</v>
      </c>
      <c r="CV175" s="2212">
        <v>160</v>
      </c>
      <c r="CW175" s="2208"/>
      <c r="CX175" s="263"/>
      <c r="CY175" s="2208"/>
      <c r="CZ175" s="263"/>
      <c r="DA175" s="263"/>
      <c r="DB175" s="263"/>
      <c r="DC175" s="263"/>
      <c r="DD175" s="2208"/>
    </row>
    <row r="176" spans="1:108">
      <c r="A176" s="2217">
        <f t="shared" si="108"/>
        <v>1.6399911351437346</v>
      </c>
      <c r="B176" s="2217">
        <f t="shared" si="90"/>
        <v>8251.1435023491922</v>
      </c>
      <c r="C176" s="2217">
        <f t="shared" si="98"/>
        <v>11.252166204472815</v>
      </c>
      <c r="D176" s="2212">
        <v>159</v>
      </c>
      <c r="E176" s="2219"/>
      <c r="F176" s="2213"/>
      <c r="G176" s="2219"/>
      <c r="H176" s="2213"/>
      <c r="I176" s="2213"/>
      <c r="J176" s="2213"/>
      <c r="K176" s="2213"/>
      <c r="L176" s="2213"/>
      <c r="M176" s="2217">
        <f t="shared" si="109"/>
        <v>2.427642769456833</v>
      </c>
      <c r="N176" s="2217">
        <f t="shared" si="91"/>
        <v>8251.1435023491922</v>
      </c>
      <c r="O176" s="2217">
        <f t="shared" si="99"/>
        <v>11.252166204472815</v>
      </c>
      <c r="P176" s="2212">
        <v>159</v>
      </c>
      <c r="Q176" s="2219"/>
      <c r="R176" s="2213"/>
      <c r="S176" s="2219"/>
      <c r="T176" s="2213"/>
      <c r="U176" s="2213"/>
      <c r="V176" s="2213"/>
      <c r="W176" s="2213"/>
      <c r="X176" s="2213"/>
      <c r="Y176" s="2217">
        <f t="shared" si="110"/>
        <v>3.4403377278593865</v>
      </c>
      <c r="Z176" s="2217">
        <f t="shared" si="100"/>
        <v>8251.1435023491922</v>
      </c>
      <c r="AA176" s="2217">
        <f t="shared" si="101"/>
        <v>11.252166204472815</v>
      </c>
      <c r="AB176" s="2212">
        <v>159</v>
      </c>
      <c r="AC176" s="2219"/>
      <c r="AD176" s="2213"/>
      <c r="AE176" s="2219"/>
      <c r="AF176" s="2213"/>
      <c r="AG176" s="2213"/>
      <c r="AH176" s="2213"/>
      <c r="AI176" s="2213"/>
      <c r="AJ176" s="2213"/>
      <c r="AK176" s="2217">
        <f t="shared" si="111"/>
        <v>-1.3980937400639259</v>
      </c>
      <c r="AL176" s="2217">
        <f t="shared" si="92"/>
        <v>8251.1435023491922</v>
      </c>
      <c r="AM176" s="2217">
        <f t="shared" si="102"/>
        <v>11.252166204472815</v>
      </c>
      <c r="AN176" s="2212">
        <v>159</v>
      </c>
      <c r="AO176" s="2219"/>
      <c r="AP176" s="2213"/>
      <c r="AQ176" s="2219"/>
      <c r="AR176" s="2213"/>
      <c r="AS176" s="2213"/>
      <c r="AT176" s="2213"/>
      <c r="AU176" s="2213"/>
      <c r="AV176" s="2213"/>
      <c r="AW176" s="2217">
        <f t="shared" si="112"/>
        <v>-15.068307185856648</v>
      </c>
      <c r="AX176" s="2217">
        <f t="shared" si="103"/>
        <v>6376.4107712625355</v>
      </c>
      <c r="AY176" s="2217">
        <f t="shared" si="93"/>
        <v>-3.5550067791100446</v>
      </c>
      <c r="AZ176" s="2212">
        <v>159</v>
      </c>
      <c r="BA176" s="2208"/>
      <c r="BB176" s="263"/>
      <c r="BC176" s="2208"/>
      <c r="BD176" s="263"/>
      <c r="BE176" s="263"/>
      <c r="BF176" s="263"/>
      <c r="BG176" s="263"/>
      <c r="BH176" s="2208"/>
      <c r="BI176" s="2217">
        <f t="shared" si="113"/>
        <v>-16.170359287380762</v>
      </c>
      <c r="BJ176" s="2217">
        <f t="shared" si="104"/>
        <v>6376.4107712625355</v>
      </c>
      <c r="BK176" s="2217">
        <f t="shared" si="94"/>
        <v>-3.5550067791100446</v>
      </c>
      <c r="BL176" s="2212">
        <v>159</v>
      </c>
      <c r="BM176" s="2208"/>
      <c r="BN176" s="263"/>
      <c r="BO176" s="2208"/>
      <c r="BP176" s="263"/>
      <c r="BQ176" s="263"/>
      <c r="BR176" s="263"/>
      <c r="BS176" s="263"/>
      <c r="BT176" s="2208"/>
      <c r="BU176" s="2217">
        <f t="shared" si="114"/>
        <v>-1.3980937400639259</v>
      </c>
      <c r="BV176" s="2217">
        <f t="shared" si="95"/>
        <v>8251.1435023491922</v>
      </c>
      <c r="BW176" s="2217">
        <f t="shared" si="105"/>
        <v>11.252166204472815</v>
      </c>
      <c r="BX176" s="2212">
        <v>159</v>
      </c>
      <c r="BY176" s="2219"/>
      <c r="BZ176" s="2213"/>
      <c r="CA176" s="2219"/>
      <c r="CB176" s="2213"/>
      <c r="CC176" s="2213"/>
      <c r="CD176" s="2213"/>
      <c r="CE176" s="2213"/>
      <c r="CF176" s="2208"/>
      <c r="CG176" s="2217">
        <f t="shared" si="115"/>
        <v>-4.783379552718614E-2</v>
      </c>
      <c r="CH176" s="2217">
        <f t="shared" si="96"/>
        <v>8251.1435023491922</v>
      </c>
      <c r="CI176" s="2217">
        <f t="shared" si="106"/>
        <v>11.252166204472815</v>
      </c>
      <c r="CJ176" s="2212">
        <v>159</v>
      </c>
      <c r="CK176" s="2219"/>
      <c r="CL176" s="2213"/>
      <c r="CM176" s="2219"/>
      <c r="CN176" s="2213"/>
      <c r="CO176" s="2213"/>
      <c r="CP176" s="2213"/>
      <c r="CQ176" s="2213"/>
      <c r="CR176" s="2208"/>
      <c r="CS176" s="2217">
        <f t="shared" si="116"/>
        <v>-16.099259151798563</v>
      </c>
      <c r="CT176" s="2217">
        <f t="shared" si="107"/>
        <v>6376.4107712625355</v>
      </c>
      <c r="CU176" s="2217">
        <f t="shared" si="97"/>
        <v>-3.5550067791100446</v>
      </c>
      <c r="CV176" s="2212">
        <v>159</v>
      </c>
      <c r="CW176" s="2208"/>
      <c r="CX176" s="263"/>
      <c r="CY176" s="2208"/>
      <c r="CZ176" s="263"/>
      <c r="DA176" s="263"/>
      <c r="DB176" s="263"/>
      <c r="DC176" s="263"/>
      <c r="DD176" s="2208"/>
    </row>
    <row r="177" spans="1:108">
      <c r="A177" s="2217">
        <f t="shared" si="108"/>
        <v>1.836589472444027</v>
      </c>
      <c r="B177" s="2217">
        <f t="shared" si="90"/>
        <v>8239.8913361447194</v>
      </c>
      <c r="C177" s="2217">
        <f t="shared" si="98"/>
        <v>11.423121280386113</v>
      </c>
      <c r="D177" s="2212">
        <v>158</v>
      </c>
      <c r="E177" s="2219"/>
      <c r="F177" s="2213"/>
      <c r="G177" s="2219"/>
      <c r="H177" s="2213"/>
      <c r="I177" s="2213"/>
      <c r="J177" s="2213"/>
      <c r="K177" s="2213"/>
      <c r="L177" s="2213"/>
      <c r="M177" s="2217">
        <f t="shared" si="109"/>
        <v>2.6362079620710563</v>
      </c>
      <c r="N177" s="2217">
        <f t="shared" si="91"/>
        <v>8239.8913361447194</v>
      </c>
      <c r="O177" s="2217">
        <f t="shared" si="99"/>
        <v>11.423121280386113</v>
      </c>
      <c r="P177" s="2212">
        <v>158</v>
      </c>
      <c r="Q177" s="2219"/>
      <c r="R177" s="2213"/>
      <c r="S177" s="2219"/>
      <c r="T177" s="2213"/>
      <c r="U177" s="2213"/>
      <c r="V177" s="2213"/>
      <c r="W177" s="2213"/>
      <c r="X177" s="2213"/>
      <c r="Y177" s="2217">
        <f t="shared" si="110"/>
        <v>3.6642888773058075</v>
      </c>
      <c r="Z177" s="2217">
        <f t="shared" si="100"/>
        <v>8239.8913361447194</v>
      </c>
      <c r="AA177" s="2217">
        <f t="shared" si="101"/>
        <v>11.423121280386113</v>
      </c>
      <c r="AB177" s="2212">
        <v>158</v>
      </c>
      <c r="AC177" s="2219"/>
      <c r="AD177" s="2213"/>
      <c r="AE177" s="2219"/>
      <c r="AF177" s="2213"/>
      <c r="AG177" s="2213"/>
      <c r="AH177" s="2213"/>
      <c r="AI177" s="2213"/>
      <c r="AJ177" s="2213"/>
      <c r="AK177" s="2217">
        <f t="shared" si="111"/>
        <v>-1.247653273260223</v>
      </c>
      <c r="AL177" s="2217">
        <f t="shared" si="92"/>
        <v>8239.8913361447194</v>
      </c>
      <c r="AM177" s="2217">
        <f t="shared" si="102"/>
        <v>11.423121280386113</v>
      </c>
      <c r="AN177" s="2212">
        <v>158</v>
      </c>
      <c r="AO177" s="2219"/>
      <c r="AP177" s="2213"/>
      <c r="AQ177" s="2219"/>
      <c r="AR177" s="2213"/>
      <c r="AS177" s="2213"/>
      <c r="AT177" s="2213"/>
      <c r="AU177" s="2213"/>
      <c r="AV177" s="2213"/>
      <c r="AW177" s="2217">
        <f t="shared" si="112"/>
        <v>-14.724790748010983</v>
      </c>
      <c r="AX177" s="2217">
        <f t="shared" si="103"/>
        <v>6379.9657780416455</v>
      </c>
      <c r="AY177" s="2217">
        <f t="shared" si="93"/>
        <v>-3.2309346679348891</v>
      </c>
      <c r="AZ177" s="2212">
        <v>158</v>
      </c>
      <c r="BA177" s="2208"/>
      <c r="BB177" s="263"/>
      <c r="BC177" s="2208"/>
      <c r="BD177" s="263"/>
      <c r="BE177" s="263"/>
      <c r="BF177" s="263"/>
      <c r="BG177" s="263"/>
      <c r="BH177" s="2208"/>
      <c r="BI177" s="2217">
        <f t="shared" si="113"/>
        <v>-15.726380495070799</v>
      </c>
      <c r="BJ177" s="2217">
        <f t="shared" si="104"/>
        <v>6379.9657780416455</v>
      </c>
      <c r="BK177" s="2217">
        <f t="shared" si="94"/>
        <v>-3.2309346679348891</v>
      </c>
      <c r="BL177" s="2212">
        <v>158</v>
      </c>
      <c r="BM177" s="2208"/>
      <c r="BN177" s="263"/>
      <c r="BO177" s="2208"/>
      <c r="BP177" s="263"/>
      <c r="BQ177" s="263"/>
      <c r="BR177" s="263"/>
      <c r="BS177" s="263"/>
      <c r="BT177" s="2208"/>
      <c r="BU177" s="2217">
        <f t="shared" si="114"/>
        <v>-1.247653273260223</v>
      </c>
      <c r="BV177" s="2217">
        <f t="shared" si="95"/>
        <v>8239.8913361447194</v>
      </c>
      <c r="BW177" s="2217">
        <f t="shared" si="105"/>
        <v>11.423121280386113</v>
      </c>
      <c r="BX177" s="2212">
        <v>158</v>
      </c>
      <c r="BY177" s="2219"/>
      <c r="BZ177" s="2213"/>
      <c r="CA177" s="2219"/>
      <c r="CB177" s="2213"/>
      <c r="CC177" s="2213"/>
      <c r="CD177" s="2213"/>
      <c r="CE177" s="2213"/>
      <c r="CF177" s="2208"/>
      <c r="CG177" s="2217">
        <f t="shared" si="115"/>
        <v>0.12312128038611192</v>
      </c>
      <c r="CH177" s="2217">
        <f t="shared" si="96"/>
        <v>8239.8913361447194</v>
      </c>
      <c r="CI177" s="2217">
        <f t="shared" si="106"/>
        <v>11.423121280386113</v>
      </c>
      <c r="CJ177" s="2212">
        <v>158</v>
      </c>
      <c r="CK177" s="2219"/>
      <c r="CL177" s="2213"/>
      <c r="CM177" s="2219"/>
      <c r="CN177" s="2213"/>
      <c r="CO177" s="2213"/>
      <c r="CP177" s="2213"/>
      <c r="CQ177" s="2213"/>
      <c r="CR177" s="2208"/>
      <c r="CS177" s="2217">
        <f t="shared" si="116"/>
        <v>-15.661761801712101</v>
      </c>
      <c r="CT177" s="2217">
        <f t="shared" si="107"/>
        <v>6379.9657780416455</v>
      </c>
      <c r="CU177" s="2217">
        <f t="shared" si="97"/>
        <v>-3.2309346679348891</v>
      </c>
      <c r="CV177" s="2212">
        <v>158</v>
      </c>
      <c r="CW177" s="2208"/>
      <c r="CX177" s="263"/>
      <c r="CY177" s="2208"/>
      <c r="CZ177" s="263"/>
      <c r="DA177" s="263"/>
      <c r="DB177" s="263"/>
      <c r="DC177" s="263"/>
      <c r="DD177" s="2208"/>
    </row>
    <row r="178" spans="1:108">
      <c r="A178" s="2217">
        <f t="shared" si="108"/>
        <v>2.0341567172468764</v>
      </c>
      <c r="B178" s="2217">
        <f t="shared" si="90"/>
        <v>8228.4682148643333</v>
      </c>
      <c r="C178" s="2217">
        <f t="shared" si="98"/>
        <v>11.594918884562503</v>
      </c>
      <c r="D178" s="2212">
        <v>157</v>
      </c>
      <c r="E178" s="2219"/>
      <c r="F178" s="2213"/>
      <c r="G178" s="2219"/>
      <c r="H178" s="2213"/>
      <c r="I178" s="2213"/>
      <c r="J178" s="2213"/>
      <c r="K178" s="2213"/>
      <c r="L178" s="2213"/>
      <c r="M178" s="2217">
        <f t="shared" si="109"/>
        <v>2.8458010391662523</v>
      </c>
      <c r="N178" s="2217">
        <f t="shared" si="91"/>
        <v>8228.4682148643333</v>
      </c>
      <c r="O178" s="2217">
        <f t="shared" si="99"/>
        <v>11.594918884562503</v>
      </c>
      <c r="P178" s="2212">
        <v>157</v>
      </c>
      <c r="Q178" s="2219"/>
      <c r="R178" s="2213"/>
      <c r="S178" s="2219"/>
      <c r="T178" s="2213"/>
      <c r="U178" s="2213"/>
      <c r="V178" s="2213"/>
      <c r="W178" s="2213"/>
      <c r="X178" s="2213"/>
      <c r="Y178" s="2217">
        <f t="shared" si="110"/>
        <v>3.8893437387768781</v>
      </c>
      <c r="Z178" s="2217">
        <f t="shared" si="100"/>
        <v>8228.4682148643333</v>
      </c>
      <c r="AA178" s="2217">
        <f t="shared" si="101"/>
        <v>11.594918884562503</v>
      </c>
      <c r="AB178" s="2212">
        <v>157</v>
      </c>
      <c r="AC178" s="2219"/>
      <c r="AD178" s="2213"/>
      <c r="AE178" s="2219"/>
      <c r="AF178" s="2213"/>
      <c r="AG178" s="2213"/>
      <c r="AH178" s="2213"/>
      <c r="AI178" s="2213"/>
      <c r="AJ178" s="2213"/>
      <c r="AK178" s="2217">
        <f t="shared" si="111"/>
        <v>-1.0964713815849993</v>
      </c>
      <c r="AL178" s="2217">
        <f t="shared" si="92"/>
        <v>8228.4682148643333</v>
      </c>
      <c r="AM178" s="2217">
        <f t="shared" si="102"/>
        <v>11.594918884562503</v>
      </c>
      <c r="AN178" s="2212">
        <v>157</v>
      </c>
      <c r="AO178" s="2219"/>
      <c r="AP178" s="2213"/>
      <c r="AQ178" s="2219"/>
      <c r="AR178" s="2213"/>
      <c r="AS178" s="2213"/>
      <c r="AT178" s="2213"/>
      <c r="AU178" s="2213"/>
      <c r="AV178" s="2213"/>
      <c r="AW178" s="2217">
        <f t="shared" si="112"/>
        <v>-14.381439590130686</v>
      </c>
      <c r="AX178" s="2217">
        <f t="shared" si="103"/>
        <v>6383.1967127095804</v>
      </c>
      <c r="AY178" s="2217">
        <f t="shared" si="93"/>
        <v>-2.9070184812553634</v>
      </c>
      <c r="AZ178" s="2212">
        <v>157</v>
      </c>
      <c r="BA178" s="2208"/>
      <c r="BB178" s="263"/>
      <c r="BC178" s="2208"/>
      <c r="BD178" s="263"/>
      <c r="BE178" s="263"/>
      <c r="BF178" s="263"/>
      <c r="BG178" s="263"/>
      <c r="BH178" s="2208"/>
      <c r="BI178" s="2217">
        <f t="shared" si="113"/>
        <v>-15.282615319319849</v>
      </c>
      <c r="BJ178" s="2217">
        <f t="shared" si="104"/>
        <v>6383.1967127095804</v>
      </c>
      <c r="BK178" s="2217">
        <f t="shared" si="94"/>
        <v>-2.9070184812553634</v>
      </c>
      <c r="BL178" s="2212">
        <v>157</v>
      </c>
      <c r="BM178" s="2208"/>
      <c r="BN178" s="263"/>
      <c r="BO178" s="2208"/>
      <c r="BP178" s="263"/>
      <c r="BQ178" s="263"/>
      <c r="BR178" s="263"/>
      <c r="BS178" s="263"/>
      <c r="BT178" s="2208"/>
      <c r="BU178" s="2217">
        <f t="shared" si="114"/>
        <v>-1.0964713815849993</v>
      </c>
      <c r="BV178" s="2217">
        <f t="shared" si="95"/>
        <v>8228.4682148643333</v>
      </c>
      <c r="BW178" s="2217">
        <f t="shared" si="105"/>
        <v>11.594918884562503</v>
      </c>
      <c r="BX178" s="2212">
        <v>157</v>
      </c>
      <c r="BY178" s="2219"/>
      <c r="BZ178" s="2213"/>
      <c r="CA178" s="2219"/>
      <c r="CB178" s="2213"/>
      <c r="CC178" s="2213"/>
      <c r="CD178" s="2213"/>
      <c r="CE178" s="2213"/>
      <c r="CF178" s="2208"/>
      <c r="CG178" s="2217">
        <f t="shared" si="115"/>
        <v>0.29491888456250237</v>
      </c>
      <c r="CH178" s="2217">
        <f t="shared" si="96"/>
        <v>8228.4682148643333</v>
      </c>
      <c r="CI178" s="2217">
        <f t="shared" si="106"/>
        <v>11.594918884562503</v>
      </c>
      <c r="CJ178" s="2212">
        <v>157</v>
      </c>
      <c r="CK178" s="2219"/>
      <c r="CL178" s="2213"/>
      <c r="CM178" s="2219"/>
      <c r="CN178" s="2213"/>
      <c r="CO178" s="2213"/>
      <c r="CP178" s="2213"/>
      <c r="CQ178" s="2213"/>
      <c r="CR178" s="2208"/>
      <c r="CS178" s="2217">
        <f t="shared" si="116"/>
        <v>-15.224474949694741</v>
      </c>
      <c r="CT178" s="2217">
        <f t="shared" si="107"/>
        <v>6383.1967127095804</v>
      </c>
      <c r="CU178" s="2217">
        <f t="shared" si="97"/>
        <v>-2.9070184812553634</v>
      </c>
      <c r="CV178" s="2212">
        <v>157</v>
      </c>
      <c r="CW178" s="2208"/>
      <c r="CX178" s="263"/>
      <c r="CY178" s="2208"/>
      <c r="CZ178" s="263"/>
      <c r="DA178" s="263"/>
      <c r="DB178" s="263"/>
      <c r="DC178" s="263"/>
      <c r="DD178" s="2208"/>
    </row>
    <row r="179" spans="1:108">
      <c r="A179" s="2217">
        <f t="shared" si="108"/>
        <v>2.2326928695606494</v>
      </c>
      <c r="B179" s="2217">
        <f t="shared" si="90"/>
        <v>8216.8732959797708</v>
      </c>
      <c r="C179" s="2217">
        <f t="shared" si="98"/>
        <v>11.767559017009262</v>
      </c>
      <c r="D179" s="2212">
        <v>156</v>
      </c>
      <c r="E179" s="2219"/>
      <c r="F179" s="2213"/>
      <c r="G179" s="2219"/>
      <c r="H179" s="2213"/>
      <c r="I179" s="2213"/>
      <c r="J179" s="2213"/>
      <c r="K179" s="2213"/>
      <c r="L179" s="2213"/>
      <c r="M179" s="2217">
        <f t="shared" si="109"/>
        <v>3.056422000751299</v>
      </c>
      <c r="N179" s="2217">
        <f t="shared" si="91"/>
        <v>8216.8732959797708</v>
      </c>
      <c r="O179" s="2217">
        <f t="shared" si="99"/>
        <v>11.767559017009262</v>
      </c>
      <c r="P179" s="2212">
        <v>156</v>
      </c>
      <c r="Q179" s="2219"/>
      <c r="R179" s="2213"/>
      <c r="S179" s="2219"/>
      <c r="T179" s="2213"/>
      <c r="U179" s="2213"/>
      <c r="V179" s="2213"/>
      <c r="W179" s="2213"/>
      <c r="X179" s="2213"/>
      <c r="Y179" s="2217">
        <f t="shared" si="110"/>
        <v>4.1155023122821337</v>
      </c>
      <c r="Z179" s="2217">
        <f t="shared" si="100"/>
        <v>8216.8732959797708</v>
      </c>
      <c r="AA179" s="2217">
        <f t="shared" si="101"/>
        <v>11.767559017009262</v>
      </c>
      <c r="AB179" s="2212">
        <v>156</v>
      </c>
      <c r="AC179" s="2219"/>
      <c r="AD179" s="2213"/>
      <c r="AE179" s="2219"/>
      <c r="AF179" s="2213"/>
      <c r="AG179" s="2213"/>
      <c r="AH179" s="2213"/>
      <c r="AI179" s="2213"/>
      <c r="AJ179" s="2213"/>
      <c r="AK179" s="2217">
        <f t="shared" si="111"/>
        <v>-0.94454806503185118</v>
      </c>
      <c r="AL179" s="2217">
        <f t="shared" si="92"/>
        <v>8216.8732959797708</v>
      </c>
      <c r="AM179" s="2217">
        <f t="shared" si="102"/>
        <v>11.767559017009262</v>
      </c>
      <c r="AN179" s="2212">
        <v>156</v>
      </c>
      <c r="AO179" s="2219"/>
      <c r="AP179" s="2213"/>
      <c r="AQ179" s="2219"/>
      <c r="AR179" s="2213"/>
      <c r="AS179" s="2213"/>
      <c r="AT179" s="2213"/>
      <c r="AU179" s="2213"/>
      <c r="AV179" s="2213"/>
      <c r="AW179" s="2217">
        <f t="shared" si="112"/>
        <v>-14.038253712225398</v>
      </c>
      <c r="AX179" s="2217">
        <f t="shared" si="103"/>
        <v>6386.1037311908358</v>
      </c>
      <c r="AY179" s="2217">
        <f t="shared" si="93"/>
        <v>-2.5832582190805624</v>
      </c>
      <c r="AZ179" s="2212">
        <v>156</v>
      </c>
      <c r="BA179" s="2208"/>
      <c r="BB179" s="263"/>
      <c r="BC179" s="2208"/>
      <c r="BD179" s="263"/>
      <c r="BE179" s="263"/>
      <c r="BF179" s="263"/>
      <c r="BG179" s="263"/>
      <c r="BH179" s="2208"/>
      <c r="BI179" s="2217">
        <f t="shared" si="113"/>
        <v>-14.839063760140371</v>
      </c>
      <c r="BJ179" s="2217">
        <f t="shared" si="104"/>
        <v>6386.1037311908358</v>
      </c>
      <c r="BK179" s="2217">
        <f t="shared" si="94"/>
        <v>-2.5832582190805624</v>
      </c>
      <c r="BL179" s="2212">
        <v>156</v>
      </c>
      <c r="BM179" s="2208"/>
      <c r="BN179" s="263"/>
      <c r="BO179" s="2208"/>
      <c r="BP179" s="263"/>
      <c r="BQ179" s="263"/>
      <c r="BR179" s="263"/>
      <c r="BS179" s="263"/>
      <c r="BT179" s="2208"/>
      <c r="BU179" s="2217">
        <f t="shared" si="114"/>
        <v>-0.94454806503185118</v>
      </c>
      <c r="BV179" s="2217">
        <f t="shared" si="95"/>
        <v>8216.8732959797708</v>
      </c>
      <c r="BW179" s="2217">
        <f t="shared" si="105"/>
        <v>11.767559017009262</v>
      </c>
      <c r="BX179" s="2212">
        <v>156</v>
      </c>
      <c r="BY179" s="2219"/>
      <c r="BZ179" s="2213"/>
      <c r="CA179" s="2219"/>
      <c r="CB179" s="2213"/>
      <c r="CC179" s="2213"/>
      <c r="CD179" s="2213"/>
      <c r="CE179" s="2213"/>
      <c r="CF179" s="2208"/>
      <c r="CG179" s="2217">
        <f t="shared" si="115"/>
        <v>0.46755901700926117</v>
      </c>
      <c r="CH179" s="2217">
        <f t="shared" si="96"/>
        <v>8216.8732959797708</v>
      </c>
      <c r="CI179" s="2217">
        <f t="shared" si="106"/>
        <v>11.767559017009262</v>
      </c>
      <c r="CJ179" s="2212">
        <v>156</v>
      </c>
      <c r="CK179" s="2219"/>
      <c r="CL179" s="2213"/>
      <c r="CM179" s="2219"/>
      <c r="CN179" s="2213"/>
      <c r="CO179" s="2213"/>
      <c r="CP179" s="2213"/>
      <c r="CQ179" s="2213"/>
      <c r="CR179" s="2208"/>
      <c r="CS179" s="2217">
        <f t="shared" si="116"/>
        <v>-14.787398595758759</v>
      </c>
      <c r="CT179" s="2217">
        <f t="shared" si="107"/>
        <v>6386.1037311908358</v>
      </c>
      <c r="CU179" s="2217">
        <f t="shared" si="97"/>
        <v>-2.5832582190805624</v>
      </c>
      <c r="CV179" s="2212">
        <v>156</v>
      </c>
      <c r="CW179" s="2208"/>
      <c r="CX179" s="263"/>
      <c r="CY179" s="2208"/>
      <c r="CZ179" s="263"/>
      <c r="DA179" s="263"/>
      <c r="DB179" s="263"/>
      <c r="DC179" s="263"/>
      <c r="DD179" s="2208"/>
    </row>
    <row r="180" spans="1:108">
      <c r="A180" s="2217">
        <f t="shared" si="108"/>
        <v>2.4321979293937126</v>
      </c>
      <c r="B180" s="2217">
        <f t="shared" si="90"/>
        <v>8205.1057369627615</v>
      </c>
      <c r="C180" s="2217">
        <f t="shared" si="98"/>
        <v>11.941041677733665</v>
      </c>
      <c r="D180" s="2212">
        <v>155</v>
      </c>
      <c r="E180" s="2219"/>
      <c r="F180" s="2213"/>
      <c r="G180" s="2219"/>
      <c r="H180" s="2213"/>
      <c r="I180" s="2213"/>
      <c r="J180" s="2213"/>
      <c r="K180" s="2213"/>
      <c r="L180" s="2213"/>
      <c r="M180" s="2217">
        <f t="shared" si="109"/>
        <v>3.2680708468350694</v>
      </c>
      <c r="N180" s="2217">
        <f t="shared" si="91"/>
        <v>8205.1057369627615</v>
      </c>
      <c r="O180" s="2217">
        <f t="shared" si="99"/>
        <v>11.941041677733665</v>
      </c>
      <c r="P180" s="2212">
        <v>155</v>
      </c>
      <c r="Q180" s="2219"/>
      <c r="R180" s="2213"/>
      <c r="S180" s="2219"/>
      <c r="T180" s="2213"/>
      <c r="U180" s="2213"/>
      <c r="V180" s="2213"/>
      <c r="W180" s="2213"/>
      <c r="X180" s="2213"/>
      <c r="Y180" s="2217">
        <f t="shared" si="110"/>
        <v>4.3427645978311009</v>
      </c>
      <c r="Z180" s="2217">
        <f t="shared" si="100"/>
        <v>8205.1057369627615</v>
      </c>
      <c r="AA180" s="2217">
        <f t="shared" si="101"/>
        <v>11.941041677733665</v>
      </c>
      <c r="AB180" s="2212">
        <v>155</v>
      </c>
      <c r="AC180" s="2219"/>
      <c r="AD180" s="2213"/>
      <c r="AE180" s="2219"/>
      <c r="AF180" s="2213"/>
      <c r="AG180" s="2213"/>
      <c r="AH180" s="2213"/>
      <c r="AI180" s="2213"/>
      <c r="AJ180" s="2213"/>
      <c r="AK180" s="2217">
        <f t="shared" si="111"/>
        <v>-0.79188332359437652</v>
      </c>
      <c r="AL180" s="2217">
        <f t="shared" si="92"/>
        <v>8205.1057369627615</v>
      </c>
      <c r="AM180" s="2217">
        <f t="shared" si="102"/>
        <v>11.941041677733665</v>
      </c>
      <c r="AN180" s="2212">
        <v>155</v>
      </c>
      <c r="AO180" s="2219"/>
      <c r="AP180" s="2213"/>
      <c r="AQ180" s="2219"/>
      <c r="AR180" s="2213"/>
      <c r="AS180" s="2213"/>
      <c r="AT180" s="2213"/>
      <c r="AU180" s="2213"/>
      <c r="AV180" s="2213"/>
      <c r="AW180" s="2217">
        <f t="shared" si="112"/>
        <v>-13.69523311428644</v>
      </c>
      <c r="AX180" s="2217">
        <f t="shared" si="103"/>
        <v>6388.6869894099164</v>
      </c>
      <c r="AY180" s="2217">
        <f t="shared" si="93"/>
        <v>-2.2596538814023006</v>
      </c>
      <c r="AZ180" s="2212">
        <v>155</v>
      </c>
      <c r="BA180" s="2208"/>
      <c r="BB180" s="263"/>
      <c r="BC180" s="2208"/>
      <c r="BD180" s="263"/>
      <c r="BE180" s="263"/>
      <c r="BF180" s="263"/>
      <c r="BG180" s="263"/>
      <c r="BH180" s="2208"/>
      <c r="BI180" s="2217">
        <f t="shared" si="113"/>
        <v>-14.395725817521154</v>
      </c>
      <c r="BJ180" s="2217">
        <f t="shared" si="104"/>
        <v>6388.6869894099164</v>
      </c>
      <c r="BK180" s="2217">
        <f t="shared" si="94"/>
        <v>-2.2596538814023006</v>
      </c>
      <c r="BL180" s="2212">
        <v>155</v>
      </c>
      <c r="BM180" s="2208"/>
      <c r="BN180" s="263"/>
      <c r="BO180" s="2208"/>
      <c r="BP180" s="263"/>
      <c r="BQ180" s="263"/>
      <c r="BR180" s="263"/>
      <c r="BS180" s="263"/>
      <c r="BT180" s="2208"/>
      <c r="BU180" s="2217">
        <f t="shared" si="114"/>
        <v>-0.79188332359437652</v>
      </c>
      <c r="BV180" s="2217">
        <f t="shared" si="95"/>
        <v>8205.1057369627615</v>
      </c>
      <c r="BW180" s="2217">
        <f t="shared" si="105"/>
        <v>11.941041677733665</v>
      </c>
      <c r="BX180" s="2212">
        <v>155</v>
      </c>
      <c r="BY180" s="2219"/>
      <c r="BZ180" s="2213"/>
      <c r="CA180" s="2219"/>
      <c r="CB180" s="2213"/>
      <c r="CC180" s="2213"/>
      <c r="CD180" s="2213"/>
      <c r="CE180" s="2213"/>
      <c r="CF180" s="2208"/>
      <c r="CG180" s="2217">
        <f t="shared" si="115"/>
        <v>0.64104167773366427</v>
      </c>
      <c r="CH180" s="2217">
        <f t="shared" si="96"/>
        <v>8205.1057369627615</v>
      </c>
      <c r="CI180" s="2217">
        <f t="shared" si="106"/>
        <v>11.941041677733665</v>
      </c>
      <c r="CJ180" s="2212">
        <v>155</v>
      </c>
      <c r="CK180" s="2219"/>
      <c r="CL180" s="2213"/>
      <c r="CM180" s="2219"/>
      <c r="CN180" s="2213"/>
      <c r="CO180" s="2213"/>
      <c r="CP180" s="2213"/>
      <c r="CQ180" s="2213"/>
      <c r="CR180" s="2208"/>
      <c r="CS180" s="2217">
        <f t="shared" si="116"/>
        <v>-14.350532739893106</v>
      </c>
      <c r="CT180" s="2217">
        <f t="shared" si="107"/>
        <v>6388.6869894099164</v>
      </c>
      <c r="CU180" s="2217">
        <f t="shared" si="97"/>
        <v>-2.2596538814023006</v>
      </c>
      <c r="CV180" s="2212">
        <v>155</v>
      </c>
      <c r="CW180" s="2208"/>
      <c r="CX180" s="263"/>
      <c r="CY180" s="2208"/>
      <c r="CZ180" s="263"/>
      <c r="DA180" s="263"/>
      <c r="DB180" s="263"/>
      <c r="DC180" s="263"/>
      <c r="DD180" s="2208"/>
    </row>
    <row r="181" spans="1:108">
      <c r="A181" s="2217">
        <f t="shared" si="108"/>
        <v>2.6326718967241032</v>
      </c>
      <c r="B181" s="2217">
        <f t="shared" si="90"/>
        <v>8193.1646952850278</v>
      </c>
      <c r="C181" s="2217">
        <f t="shared" si="98"/>
        <v>12.115366866716613</v>
      </c>
      <c r="D181" s="2212">
        <v>154</v>
      </c>
      <c r="E181" s="2219"/>
      <c r="F181" s="2213"/>
      <c r="G181" s="2219"/>
      <c r="H181" s="2213"/>
      <c r="I181" s="2213"/>
      <c r="J181" s="2213"/>
      <c r="K181" s="2213"/>
      <c r="L181" s="2213"/>
      <c r="M181" s="2217">
        <f t="shared" si="109"/>
        <v>3.4807475773942667</v>
      </c>
      <c r="N181" s="2217">
        <f t="shared" si="91"/>
        <v>8193.1646952850278</v>
      </c>
      <c r="O181" s="2217">
        <f t="shared" si="99"/>
        <v>12.115366866716613</v>
      </c>
      <c r="P181" s="2212">
        <v>154</v>
      </c>
      <c r="Q181" s="2219"/>
      <c r="R181" s="2213"/>
      <c r="S181" s="2219"/>
      <c r="T181" s="2213"/>
      <c r="U181" s="2213"/>
      <c r="V181" s="2213"/>
      <c r="W181" s="2213"/>
      <c r="X181" s="2213"/>
      <c r="Y181" s="2217">
        <f t="shared" si="110"/>
        <v>4.5711305953987633</v>
      </c>
      <c r="Z181" s="2217">
        <f t="shared" si="100"/>
        <v>8193.1646952850278</v>
      </c>
      <c r="AA181" s="2217">
        <f t="shared" si="101"/>
        <v>12.115366866716613</v>
      </c>
      <c r="AB181" s="2212">
        <v>154</v>
      </c>
      <c r="AC181" s="2219"/>
      <c r="AD181" s="2213"/>
      <c r="AE181" s="2219"/>
      <c r="AF181" s="2213"/>
      <c r="AG181" s="2213"/>
      <c r="AH181" s="2213"/>
      <c r="AI181" s="2213"/>
      <c r="AJ181" s="2213"/>
      <c r="AK181" s="2217">
        <f t="shared" si="111"/>
        <v>-0.63847715728938326</v>
      </c>
      <c r="AL181" s="2217">
        <f t="shared" si="92"/>
        <v>8193.1646952850278</v>
      </c>
      <c r="AM181" s="2217">
        <f t="shared" si="102"/>
        <v>12.115366866716613</v>
      </c>
      <c r="AN181" s="2212">
        <v>154</v>
      </c>
      <c r="AO181" s="2219"/>
      <c r="AP181" s="2213"/>
      <c r="AQ181" s="2219"/>
      <c r="AR181" s="2213"/>
      <c r="AS181" s="2213"/>
      <c r="AT181" s="2213"/>
      <c r="AU181" s="2213"/>
      <c r="AV181" s="2213"/>
      <c r="AW181" s="2217">
        <f t="shared" si="112"/>
        <v>-13.352377796322489</v>
      </c>
      <c r="AX181" s="2217">
        <f t="shared" si="103"/>
        <v>6390.9466432913187</v>
      </c>
      <c r="AY181" s="2217">
        <f t="shared" si="93"/>
        <v>-1.9362054682287635</v>
      </c>
      <c r="AZ181" s="2212">
        <v>154</v>
      </c>
      <c r="BA181" s="2208"/>
      <c r="BB181" s="263"/>
      <c r="BC181" s="2208"/>
      <c r="BD181" s="263"/>
      <c r="BE181" s="263"/>
      <c r="BF181" s="263"/>
      <c r="BG181" s="263"/>
      <c r="BH181" s="2208"/>
      <c r="BI181" s="2217">
        <f t="shared" si="113"/>
        <v>-13.952601491473407</v>
      </c>
      <c r="BJ181" s="2217">
        <f t="shared" si="104"/>
        <v>6390.9466432913187</v>
      </c>
      <c r="BK181" s="2217">
        <f t="shared" si="94"/>
        <v>-1.9362054682287635</v>
      </c>
      <c r="BL181" s="2212">
        <v>154</v>
      </c>
      <c r="BM181" s="2208"/>
      <c r="BN181" s="263"/>
      <c r="BO181" s="2208"/>
      <c r="BP181" s="263"/>
      <c r="BQ181" s="263"/>
      <c r="BR181" s="263"/>
      <c r="BS181" s="263"/>
      <c r="BT181" s="2208"/>
      <c r="BU181" s="2217">
        <f t="shared" si="114"/>
        <v>-0.63847715728938326</v>
      </c>
      <c r="BV181" s="2217">
        <f t="shared" si="95"/>
        <v>8193.1646952850278</v>
      </c>
      <c r="BW181" s="2217">
        <f t="shared" si="105"/>
        <v>12.115366866716613</v>
      </c>
      <c r="BX181" s="2212">
        <v>154</v>
      </c>
      <c r="BY181" s="2219"/>
      <c r="BZ181" s="2213"/>
      <c r="CA181" s="2219"/>
      <c r="CB181" s="2213"/>
      <c r="CC181" s="2213"/>
      <c r="CD181" s="2213"/>
      <c r="CE181" s="2213"/>
      <c r="CF181" s="2208"/>
      <c r="CG181" s="2217">
        <f t="shared" si="115"/>
        <v>0.81536686671661229</v>
      </c>
      <c r="CH181" s="2217">
        <f t="shared" si="96"/>
        <v>8193.1646952850278</v>
      </c>
      <c r="CI181" s="2217">
        <f t="shared" si="106"/>
        <v>12.115366866716613</v>
      </c>
      <c r="CJ181" s="2212">
        <v>154</v>
      </c>
      <c r="CK181" s="2219"/>
      <c r="CL181" s="2213"/>
      <c r="CM181" s="2219"/>
      <c r="CN181" s="2213"/>
      <c r="CO181" s="2213"/>
      <c r="CP181" s="2213"/>
      <c r="CQ181" s="2213"/>
      <c r="CR181" s="2208"/>
      <c r="CS181" s="2217">
        <f t="shared" si="116"/>
        <v>-13.913877382108831</v>
      </c>
      <c r="CT181" s="2217">
        <f t="shared" si="107"/>
        <v>6390.9466432913187</v>
      </c>
      <c r="CU181" s="2217">
        <f t="shared" si="97"/>
        <v>-1.9362054682287635</v>
      </c>
      <c r="CV181" s="2212">
        <v>154</v>
      </c>
      <c r="CW181" s="2208"/>
      <c r="CX181" s="263"/>
      <c r="CY181" s="2208"/>
      <c r="CZ181" s="263"/>
      <c r="DA181" s="263"/>
      <c r="DB181" s="263"/>
      <c r="DC181" s="263"/>
      <c r="DD181" s="2208"/>
    </row>
    <row r="182" spans="1:108">
      <c r="A182" s="2217">
        <f t="shared" si="108"/>
        <v>2.8341147715716932</v>
      </c>
      <c r="B182" s="2217">
        <f t="shared" si="90"/>
        <v>8181.0493284183112</v>
      </c>
      <c r="C182" s="2217">
        <f t="shared" si="98"/>
        <v>12.290534583975386</v>
      </c>
      <c r="D182" s="2212">
        <v>153</v>
      </c>
      <c r="E182" s="2219"/>
      <c r="F182" s="2213"/>
      <c r="G182" s="2219"/>
      <c r="H182" s="2213"/>
      <c r="I182" s="2213"/>
      <c r="J182" s="2213"/>
      <c r="K182" s="2213"/>
      <c r="L182" s="2213"/>
      <c r="M182" s="2217">
        <f t="shared" si="109"/>
        <v>3.6944521924499707</v>
      </c>
      <c r="N182" s="2217">
        <f t="shared" si="91"/>
        <v>8181.0493284183112</v>
      </c>
      <c r="O182" s="2217">
        <f t="shared" si="99"/>
        <v>12.290534583975386</v>
      </c>
      <c r="P182" s="2212">
        <v>153</v>
      </c>
      <c r="Q182" s="2219"/>
      <c r="R182" s="2213"/>
      <c r="S182" s="2219"/>
      <c r="T182" s="2213"/>
      <c r="U182" s="2213"/>
      <c r="V182" s="2213"/>
      <c r="W182" s="2213"/>
      <c r="X182" s="2213"/>
      <c r="Y182" s="2217">
        <f t="shared" si="110"/>
        <v>4.8006003050077553</v>
      </c>
      <c r="Z182" s="2217">
        <f t="shared" si="100"/>
        <v>8181.0493284183112</v>
      </c>
      <c r="AA182" s="2217">
        <f t="shared" si="101"/>
        <v>12.290534583975386</v>
      </c>
      <c r="AB182" s="2212">
        <v>153</v>
      </c>
      <c r="AC182" s="2219"/>
      <c r="AD182" s="2213"/>
      <c r="AE182" s="2219"/>
      <c r="AF182" s="2213"/>
      <c r="AG182" s="2213"/>
      <c r="AH182" s="2213"/>
      <c r="AI182" s="2213"/>
      <c r="AJ182" s="2213"/>
      <c r="AK182" s="2217">
        <f t="shared" si="111"/>
        <v>-0.48432956610166222</v>
      </c>
      <c r="AL182" s="2217">
        <f t="shared" si="92"/>
        <v>8181.0493284183112</v>
      </c>
      <c r="AM182" s="2217">
        <f t="shared" si="102"/>
        <v>12.290534583975386</v>
      </c>
      <c r="AN182" s="2212">
        <v>153</v>
      </c>
      <c r="AO182" s="2219"/>
      <c r="AP182" s="2213"/>
      <c r="AQ182" s="2219"/>
      <c r="AR182" s="2213"/>
      <c r="AS182" s="2213"/>
      <c r="AT182" s="2213"/>
      <c r="AU182" s="2213"/>
      <c r="AV182" s="2213"/>
      <c r="AW182" s="2217">
        <f t="shared" si="112"/>
        <v>-13.009687758327765</v>
      </c>
      <c r="AX182" s="2217">
        <f t="shared" si="103"/>
        <v>6392.8828487595474</v>
      </c>
      <c r="AY182" s="2217">
        <f t="shared" si="93"/>
        <v>-1.6129129795544941</v>
      </c>
      <c r="AZ182" s="2212">
        <v>153</v>
      </c>
      <c r="BA182" s="2208"/>
      <c r="BB182" s="263"/>
      <c r="BC182" s="2208"/>
      <c r="BD182" s="263"/>
      <c r="BE182" s="263"/>
      <c r="BF182" s="263"/>
      <c r="BG182" s="263"/>
      <c r="BH182" s="2208"/>
      <c r="BI182" s="2217">
        <f t="shared" si="113"/>
        <v>-13.509690781989658</v>
      </c>
      <c r="BJ182" s="2217">
        <f t="shared" si="104"/>
        <v>6392.8828487595474</v>
      </c>
      <c r="BK182" s="2217">
        <f t="shared" si="94"/>
        <v>-1.6129129795544941</v>
      </c>
      <c r="BL182" s="2212">
        <v>153</v>
      </c>
      <c r="BM182" s="2208"/>
      <c r="BN182" s="263"/>
      <c r="BO182" s="2208"/>
      <c r="BP182" s="263"/>
      <c r="BQ182" s="263"/>
      <c r="BR182" s="263"/>
      <c r="BS182" s="263"/>
      <c r="BT182" s="2208"/>
      <c r="BU182" s="2217">
        <f t="shared" si="114"/>
        <v>-0.48432956610166222</v>
      </c>
      <c r="BV182" s="2217">
        <f t="shared" si="95"/>
        <v>8181.0493284183112</v>
      </c>
      <c r="BW182" s="2217">
        <f t="shared" si="105"/>
        <v>12.290534583975386</v>
      </c>
      <c r="BX182" s="2212">
        <v>153</v>
      </c>
      <c r="BY182" s="2219"/>
      <c r="BZ182" s="2213"/>
      <c r="CA182" s="2219"/>
      <c r="CB182" s="2213"/>
      <c r="CC182" s="2213"/>
      <c r="CD182" s="2213"/>
      <c r="CE182" s="2213"/>
      <c r="CF182" s="2208"/>
      <c r="CG182" s="2217">
        <f t="shared" si="115"/>
        <v>0.99053458397538563</v>
      </c>
      <c r="CH182" s="2217">
        <f t="shared" si="96"/>
        <v>8181.0493284183112</v>
      </c>
      <c r="CI182" s="2217">
        <f t="shared" si="106"/>
        <v>12.290534583975386</v>
      </c>
      <c r="CJ182" s="2212">
        <v>153</v>
      </c>
      <c r="CK182" s="2219"/>
      <c r="CL182" s="2213"/>
      <c r="CM182" s="2219"/>
      <c r="CN182" s="2213"/>
      <c r="CO182" s="2213"/>
      <c r="CP182" s="2213"/>
      <c r="CQ182" s="2213"/>
      <c r="CR182" s="2208"/>
      <c r="CS182" s="2217">
        <f t="shared" si="116"/>
        <v>-13.477432522398567</v>
      </c>
      <c r="CT182" s="2217">
        <f t="shared" si="107"/>
        <v>6392.8828487595474</v>
      </c>
      <c r="CU182" s="2217">
        <f t="shared" si="97"/>
        <v>-1.6129129795544941</v>
      </c>
      <c r="CV182" s="2212">
        <v>153</v>
      </c>
      <c r="CW182" s="2208"/>
      <c r="CX182" s="263"/>
      <c r="CY182" s="2208"/>
      <c r="CZ182" s="263"/>
      <c r="DA182" s="263"/>
      <c r="DB182" s="263"/>
      <c r="DC182" s="263"/>
      <c r="DD182" s="2208"/>
    </row>
    <row r="183" spans="1:108">
      <c r="A183" s="2217">
        <f t="shared" si="108"/>
        <v>3.0365265539281143</v>
      </c>
      <c r="B183" s="2217">
        <f t="shared" si="90"/>
        <v>8168.7587938343358</v>
      </c>
      <c r="C183" s="2217">
        <f t="shared" si="98"/>
        <v>12.466544829502709</v>
      </c>
      <c r="D183" s="2212">
        <v>152</v>
      </c>
      <c r="E183" s="2219"/>
      <c r="F183" s="2213"/>
      <c r="G183" s="2219"/>
      <c r="H183" s="2213"/>
      <c r="I183" s="2213"/>
      <c r="J183" s="2213"/>
      <c r="K183" s="2213"/>
      <c r="L183" s="2213"/>
      <c r="M183" s="2217">
        <f t="shared" si="109"/>
        <v>3.9091846919933033</v>
      </c>
      <c r="N183" s="2217">
        <f t="shared" si="91"/>
        <v>8168.7587938343358</v>
      </c>
      <c r="O183" s="2217">
        <f t="shared" si="99"/>
        <v>12.466544829502709</v>
      </c>
      <c r="P183" s="2212">
        <v>152</v>
      </c>
      <c r="Q183" s="2219"/>
      <c r="R183" s="2213"/>
      <c r="S183" s="2219"/>
      <c r="T183" s="2213"/>
      <c r="U183" s="2213"/>
      <c r="V183" s="2213"/>
      <c r="W183" s="2213"/>
      <c r="X183" s="2213"/>
      <c r="Y183" s="2217">
        <f t="shared" si="110"/>
        <v>5.0311737266485501</v>
      </c>
      <c r="Z183" s="2217">
        <f t="shared" si="100"/>
        <v>8168.7587938343358</v>
      </c>
      <c r="AA183" s="2217">
        <f t="shared" si="101"/>
        <v>12.466544829502709</v>
      </c>
      <c r="AB183" s="2212">
        <v>152</v>
      </c>
      <c r="AC183" s="2219"/>
      <c r="AD183" s="2213"/>
      <c r="AE183" s="2219"/>
      <c r="AF183" s="2213"/>
      <c r="AG183" s="2213"/>
      <c r="AH183" s="2213"/>
      <c r="AI183" s="2213"/>
      <c r="AJ183" s="2213"/>
      <c r="AK183" s="2217">
        <f t="shared" si="111"/>
        <v>-0.32944055003761896</v>
      </c>
      <c r="AL183" s="2217">
        <f t="shared" si="92"/>
        <v>8168.7587938343358</v>
      </c>
      <c r="AM183" s="2217">
        <f t="shared" si="102"/>
        <v>12.466544829502709</v>
      </c>
      <c r="AN183" s="2212">
        <v>152</v>
      </c>
      <c r="AO183" s="2219"/>
      <c r="AP183" s="2213"/>
      <c r="AQ183" s="2219"/>
      <c r="AR183" s="2213"/>
      <c r="AS183" s="2213"/>
      <c r="AT183" s="2213"/>
      <c r="AU183" s="2213"/>
      <c r="AV183" s="2213"/>
      <c r="AW183" s="2217">
        <f t="shared" si="112"/>
        <v>-12.667163000301299</v>
      </c>
      <c r="AX183" s="2217">
        <f t="shared" si="103"/>
        <v>6394.4957617391019</v>
      </c>
      <c r="AY183" s="2217">
        <f t="shared" si="93"/>
        <v>-1.2897764153785829</v>
      </c>
      <c r="AZ183" s="2212">
        <v>152</v>
      </c>
      <c r="BA183" s="2208"/>
      <c r="BB183" s="263"/>
      <c r="BC183" s="2208"/>
      <c r="BD183" s="263"/>
      <c r="BE183" s="263"/>
      <c r="BF183" s="263"/>
      <c r="BG183" s="263"/>
      <c r="BH183" s="2208"/>
      <c r="BI183" s="2217">
        <f t="shared" si="113"/>
        <v>-13.06699368906866</v>
      </c>
      <c r="BJ183" s="2217">
        <f t="shared" si="104"/>
        <v>6394.4957617391019</v>
      </c>
      <c r="BK183" s="2217">
        <f t="shared" si="94"/>
        <v>-1.2897764153785829</v>
      </c>
      <c r="BL183" s="2212">
        <v>152</v>
      </c>
      <c r="BM183" s="2208"/>
      <c r="BN183" s="263"/>
      <c r="BO183" s="2208"/>
      <c r="BP183" s="263"/>
      <c r="BQ183" s="263"/>
      <c r="BR183" s="263"/>
      <c r="BS183" s="263"/>
      <c r="BT183" s="2208"/>
      <c r="BU183" s="2217">
        <f t="shared" si="114"/>
        <v>-0.32944055003761896</v>
      </c>
      <c r="BV183" s="2217">
        <f t="shared" si="95"/>
        <v>8168.7587938343358</v>
      </c>
      <c r="BW183" s="2217">
        <f t="shared" si="105"/>
        <v>12.466544829502709</v>
      </c>
      <c r="BX183" s="2212">
        <v>152</v>
      </c>
      <c r="BY183" s="2219"/>
      <c r="BZ183" s="2213"/>
      <c r="CA183" s="2219"/>
      <c r="CB183" s="2213"/>
      <c r="CC183" s="2213"/>
      <c r="CD183" s="2213"/>
      <c r="CE183" s="2213"/>
      <c r="CF183" s="2208"/>
      <c r="CG183" s="2217">
        <f t="shared" si="115"/>
        <v>1.1665448295027083</v>
      </c>
      <c r="CH183" s="2217">
        <f t="shared" si="96"/>
        <v>8168.7587938343358</v>
      </c>
      <c r="CI183" s="2217">
        <f t="shared" si="106"/>
        <v>12.466544829502709</v>
      </c>
      <c r="CJ183" s="2212">
        <v>152</v>
      </c>
      <c r="CK183" s="2219"/>
      <c r="CL183" s="2213"/>
      <c r="CM183" s="2219"/>
      <c r="CN183" s="2213"/>
      <c r="CO183" s="2213"/>
      <c r="CP183" s="2213"/>
      <c r="CQ183" s="2213"/>
      <c r="CR183" s="2208"/>
      <c r="CS183" s="2217">
        <f t="shared" si="116"/>
        <v>-13.041198160761088</v>
      </c>
      <c r="CT183" s="2217">
        <f t="shared" si="107"/>
        <v>6394.4957617391019</v>
      </c>
      <c r="CU183" s="2217">
        <f t="shared" si="97"/>
        <v>-1.2897764153785829</v>
      </c>
      <c r="CV183" s="2212">
        <v>152</v>
      </c>
      <c r="CW183" s="2208"/>
      <c r="CX183" s="263"/>
      <c r="CY183" s="2208"/>
      <c r="CZ183" s="263"/>
      <c r="DA183" s="263"/>
      <c r="DB183" s="263"/>
      <c r="DC183" s="263"/>
      <c r="DD183" s="2208"/>
    </row>
    <row r="184" spans="1:108">
      <c r="A184" s="2217">
        <f t="shared" si="108"/>
        <v>3.2399072437933665</v>
      </c>
      <c r="B184" s="2217">
        <f t="shared" si="90"/>
        <v>8156.2922490048331</v>
      </c>
      <c r="C184" s="2217">
        <f t="shared" si="98"/>
        <v>12.643397603298581</v>
      </c>
      <c r="D184" s="2212">
        <v>151</v>
      </c>
      <c r="E184" s="2219"/>
      <c r="F184" s="2213"/>
      <c r="G184" s="2219"/>
      <c r="H184" s="2213"/>
      <c r="I184" s="2213"/>
      <c r="J184" s="2213"/>
      <c r="K184" s="2213"/>
      <c r="L184" s="2213"/>
      <c r="M184" s="2217">
        <f t="shared" si="109"/>
        <v>4.1249450760242681</v>
      </c>
      <c r="N184" s="2217">
        <f t="shared" si="91"/>
        <v>8156.2922490048331</v>
      </c>
      <c r="O184" s="2217">
        <f t="shared" si="99"/>
        <v>12.643397603298581</v>
      </c>
      <c r="P184" s="2212">
        <v>151</v>
      </c>
      <c r="Q184" s="2219"/>
      <c r="R184" s="2213"/>
      <c r="S184" s="2219"/>
      <c r="T184" s="2213"/>
      <c r="U184" s="2213"/>
      <c r="V184" s="2213"/>
      <c r="W184" s="2213"/>
      <c r="X184" s="2213"/>
      <c r="Y184" s="2217">
        <f t="shared" si="110"/>
        <v>5.2628508603211408</v>
      </c>
      <c r="Z184" s="2217">
        <f t="shared" si="100"/>
        <v>8156.2922490048331</v>
      </c>
      <c r="AA184" s="2217">
        <f t="shared" si="101"/>
        <v>12.643397603298581</v>
      </c>
      <c r="AB184" s="2212">
        <v>151</v>
      </c>
      <c r="AC184" s="2219"/>
      <c r="AD184" s="2213"/>
      <c r="AE184" s="2219"/>
      <c r="AF184" s="2213"/>
      <c r="AG184" s="2213"/>
      <c r="AH184" s="2213"/>
      <c r="AI184" s="2213"/>
      <c r="AJ184" s="2213"/>
      <c r="AK184" s="2217">
        <f t="shared" si="111"/>
        <v>-0.17381010909724992</v>
      </c>
      <c r="AL184" s="2217">
        <f t="shared" si="92"/>
        <v>8156.2922490048331</v>
      </c>
      <c r="AM184" s="2217">
        <f t="shared" si="102"/>
        <v>12.643397603298581</v>
      </c>
      <c r="AN184" s="2212">
        <v>151</v>
      </c>
      <c r="AO184" s="2219"/>
      <c r="AP184" s="2213"/>
      <c r="AQ184" s="2219"/>
      <c r="AR184" s="2213"/>
      <c r="AS184" s="2213"/>
      <c r="AT184" s="2213"/>
      <c r="AU184" s="2213"/>
      <c r="AV184" s="2213"/>
      <c r="AW184" s="2217">
        <f t="shared" si="112"/>
        <v>-12.324803522247914</v>
      </c>
      <c r="AX184" s="2217">
        <f t="shared" si="103"/>
        <v>6395.7855381544805</v>
      </c>
      <c r="AY184" s="2217">
        <f t="shared" si="93"/>
        <v>-0.9667957757055774</v>
      </c>
      <c r="AZ184" s="2212">
        <v>151</v>
      </c>
      <c r="BA184" s="2208"/>
      <c r="BB184" s="263"/>
      <c r="BC184" s="2208"/>
      <c r="BD184" s="263"/>
      <c r="BE184" s="263"/>
      <c r="BF184" s="263"/>
      <c r="BG184" s="263"/>
      <c r="BH184" s="2208"/>
      <c r="BI184" s="2217">
        <f t="shared" si="113"/>
        <v>-12.624510212716642</v>
      </c>
      <c r="BJ184" s="2217">
        <f t="shared" si="104"/>
        <v>6395.7855381544805</v>
      </c>
      <c r="BK184" s="2217">
        <f t="shared" si="94"/>
        <v>-0.9667957757055774</v>
      </c>
      <c r="BL184" s="2212">
        <v>151</v>
      </c>
      <c r="BM184" s="2208"/>
      <c r="BN184" s="263"/>
      <c r="BO184" s="2208"/>
      <c r="BP184" s="263"/>
      <c r="BQ184" s="263"/>
      <c r="BR184" s="263"/>
      <c r="BS184" s="263"/>
      <c r="BT184" s="2208"/>
      <c r="BU184" s="2217">
        <f t="shared" si="114"/>
        <v>-0.17381010909724992</v>
      </c>
      <c r="BV184" s="2217">
        <f t="shared" si="95"/>
        <v>8156.2922490048331</v>
      </c>
      <c r="BW184" s="2217">
        <f t="shared" si="105"/>
        <v>12.643397603298581</v>
      </c>
      <c r="BX184" s="2212">
        <v>151</v>
      </c>
      <c r="BY184" s="2219"/>
      <c r="BZ184" s="2213"/>
      <c r="CA184" s="2219"/>
      <c r="CB184" s="2213"/>
      <c r="CC184" s="2213"/>
      <c r="CD184" s="2213"/>
      <c r="CE184" s="2213"/>
      <c r="CF184" s="2208"/>
      <c r="CG184" s="2217">
        <f t="shared" si="115"/>
        <v>1.3433976032985804</v>
      </c>
      <c r="CH184" s="2217">
        <f t="shared" si="96"/>
        <v>8156.2922490048331</v>
      </c>
      <c r="CI184" s="2217">
        <f t="shared" si="106"/>
        <v>12.643397603298581</v>
      </c>
      <c r="CJ184" s="2212">
        <v>151</v>
      </c>
      <c r="CK184" s="2219"/>
      <c r="CL184" s="2213"/>
      <c r="CM184" s="2219"/>
      <c r="CN184" s="2213"/>
      <c r="CO184" s="2213"/>
      <c r="CP184" s="2213"/>
      <c r="CQ184" s="2213"/>
      <c r="CR184" s="2208"/>
      <c r="CS184" s="2217">
        <f t="shared" si="116"/>
        <v>-12.605174297202531</v>
      </c>
      <c r="CT184" s="2217">
        <f t="shared" si="107"/>
        <v>6395.7855381544805</v>
      </c>
      <c r="CU184" s="2217">
        <f t="shared" si="97"/>
        <v>-0.9667957757055774</v>
      </c>
      <c r="CV184" s="2212">
        <v>151</v>
      </c>
      <c r="CW184" s="2208"/>
      <c r="CX184" s="263"/>
      <c r="CY184" s="2208"/>
      <c r="CZ184" s="263"/>
      <c r="DA184" s="263"/>
      <c r="DB184" s="263"/>
      <c r="DC184" s="263"/>
      <c r="DD184" s="2208"/>
    </row>
    <row r="185" spans="1:108">
      <c r="A185" s="2217">
        <f t="shared" si="108"/>
        <v>3.4442568411716348</v>
      </c>
      <c r="B185" s="2217">
        <f t="shared" si="90"/>
        <v>8143.6488514015346</v>
      </c>
      <c r="C185" s="2217">
        <f t="shared" si="98"/>
        <v>12.82109290536664</v>
      </c>
      <c r="D185" s="2212">
        <v>150</v>
      </c>
      <c r="E185" s="2219"/>
      <c r="F185" s="2213"/>
      <c r="G185" s="2219"/>
      <c r="H185" s="2213"/>
      <c r="I185" s="2213"/>
      <c r="J185" s="2213"/>
      <c r="K185" s="2213"/>
      <c r="L185" s="2213"/>
      <c r="M185" s="2217">
        <f t="shared" si="109"/>
        <v>4.3417333445473005</v>
      </c>
      <c r="N185" s="2217">
        <f t="shared" si="91"/>
        <v>8143.6488514015346</v>
      </c>
      <c r="O185" s="2217">
        <f t="shared" si="99"/>
        <v>12.82109290536664</v>
      </c>
      <c r="P185" s="2212">
        <v>150</v>
      </c>
      <c r="Q185" s="2219"/>
      <c r="R185" s="2213"/>
      <c r="S185" s="2219"/>
      <c r="T185" s="2213"/>
      <c r="U185" s="2213"/>
      <c r="V185" s="2213"/>
      <c r="W185" s="2213"/>
      <c r="X185" s="2213"/>
      <c r="Y185" s="2217">
        <f t="shared" si="110"/>
        <v>5.4956317060302986</v>
      </c>
      <c r="Z185" s="2217">
        <f t="shared" si="100"/>
        <v>8143.6488514015346</v>
      </c>
      <c r="AA185" s="2217">
        <f t="shared" si="101"/>
        <v>12.82109290536664</v>
      </c>
      <c r="AB185" s="2212">
        <v>150</v>
      </c>
      <c r="AC185" s="2219"/>
      <c r="AD185" s="2213"/>
      <c r="AE185" s="2219"/>
      <c r="AF185" s="2213"/>
      <c r="AG185" s="2213"/>
      <c r="AH185" s="2213"/>
      <c r="AI185" s="2213"/>
      <c r="AJ185" s="2213"/>
      <c r="AK185" s="2217">
        <f t="shared" si="111"/>
        <v>-1.7438243277357657E-2</v>
      </c>
      <c r="AL185" s="2217">
        <f t="shared" si="92"/>
        <v>8143.6488514015346</v>
      </c>
      <c r="AM185" s="2217">
        <f t="shared" si="102"/>
        <v>12.82109290536664</v>
      </c>
      <c r="AN185" s="2212">
        <v>150</v>
      </c>
      <c r="AO185" s="2219"/>
      <c r="AP185" s="2213"/>
      <c r="AQ185" s="2219"/>
      <c r="AR185" s="2213"/>
      <c r="AS185" s="2213"/>
      <c r="AT185" s="2213"/>
      <c r="AU185" s="2213"/>
      <c r="AV185" s="2213"/>
      <c r="AW185" s="2217">
        <f t="shared" si="112"/>
        <v>-11.982609324161823</v>
      </c>
      <c r="AX185" s="2217">
        <f t="shared" si="103"/>
        <v>6396.7523339301861</v>
      </c>
      <c r="AY185" s="2217">
        <f t="shared" si="93"/>
        <v>-0.64397106053002062</v>
      </c>
      <c r="AZ185" s="2212">
        <v>150</v>
      </c>
      <c r="BA185" s="2208"/>
      <c r="BB185" s="263"/>
      <c r="BC185" s="2208"/>
      <c r="BD185" s="263"/>
      <c r="BE185" s="263"/>
      <c r="BF185" s="263"/>
      <c r="BG185" s="263"/>
      <c r="BH185" s="2208"/>
      <c r="BI185" s="2217">
        <f t="shared" si="113"/>
        <v>-12.182240352926129</v>
      </c>
      <c r="BJ185" s="2217">
        <f t="shared" si="104"/>
        <v>6396.7523339301861</v>
      </c>
      <c r="BK185" s="2217">
        <f t="shared" si="94"/>
        <v>-0.64397106053002062</v>
      </c>
      <c r="BL185" s="2212">
        <v>150</v>
      </c>
      <c r="BM185" s="2208"/>
      <c r="BN185" s="263"/>
      <c r="BO185" s="2208"/>
      <c r="BP185" s="263"/>
      <c r="BQ185" s="263"/>
      <c r="BR185" s="263"/>
      <c r="BS185" s="263"/>
      <c r="BT185" s="2208"/>
      <c r="BU185" s="2217">
        <f t="shared" si="114"/>
        <v>-1.7438243277357657E-2</v>
      </c>
      <c r="BV185" s="2217">
        <f t="shared" si="95"/>
        <v>8143.6488514015346</v>
      </c>
      <c r="BW185" s="2217">
        <f t="shared" si="105"/>
        <v>12.82109290536664</v>
      </c>
      <c r="BX185" s="2212">
        <v>150</v>
      </c>
      <c r="BY185" s="2219"/>
      <c r="BZ185" s="2213"/>
      <c r="CA185" s="2219"/>
      <c r="CB185" s="2213"/>
      <c r="CC185" s="2213"/>
      <c r="CD185" s="2213"/>
      <c r="CE185" s="2213"/>
      <c r="CF185" s="2208"/>
      <c r="CG185" s="2217">
        <f t="shared" si="115"/>
        <v>1.5210929053666398</v>
      </c>
      <c r="CH185" s="2217">
        <f t="shared" si="96"/>
        <v>8143.6488514015346</v>
      </c>
      <c r="CI185" s="2217">
        <f t="shared" si="106"/>
        <v>12.82109290536664</v>
      </c>
      <c r="CJ185" s="2212">
        <v>150</v>
      </c>
      <c r="CK185" s="2219"/>
      <c r="CL185" s="2213"/>
      <c r="CM185" s="2219"/>
      <c r="CN185" s="2213"/>
      <c r="CO185" s="2213"/>
      <c r="CP185" s="2213"/>
      <c r="CQ185" s="2213"/>
      <c r="CR185" s="2208"/>
      <c r="CS185" s="2217">
        <f t="shared" si="116"/>
        <v>-12.169360931715529</v>
      </c>
      <c r="CT185" s="2217">
        <f t="shared" si="107"/>
        <v>6396.7523339301861</v>
      </c>
      <c r="CU185" s="2217">
        <f t="shared" si="97"/>
        <v>-0.64397106053002062</v>
      </c>
      <c r="CV185" s="2212">
        <v>150</v>
      </c>
      <c r="CW185" s="2208"/>
      <c r="CX185" s="263"/>
      <c r="CY185" s="2208"/>
      <c r="CZ185" s="263"/>
      <c r="DA185" s="263"/>
      <c r="DB185" s="263"/>
      <c r="DC185" s="263"/>
      <c r="DD185" s="2208"/>
    </row>
    <row r="186" spans="1:108">
      <c r="A186" s="2217">
        <f t="shared" si="108"/>
        <v>3.6495753460566434</v>
      </c>
      <c r="B186" s="2217">
        <f t="shared" si="90"/>
        <v>8130.8277584961679</v>
      </c>
      <c r="C186" s="2217">
        <f t="shared" si="98"/>
        <v>12.99963073570143</v>
      </c>
      <c r="D186" s="2212">
        <v>149</v>
      </c>
      <c r="E186" s="2219"/>
      <c r="F186" s="2213"/>
      <c r="G186" s="2219"/>
      <c r="H186" s="2213"/>
      <c r="I186" s="2213"/>
      <c r="J186" s="2213"/>
      <c r="K186" s="2213"/>
      <c r="L186" s="2213"/>
      <c r="M186" s="2217">
        <f t="shared" si="109"/>
        <v>4.5595494975557447</v>
      </c>
      <c r="N186" s="2217">
        <f t="shared" si="91"/>
        <v>8130.8277584961679</v>
      </c>
      <c r="O186" s="2217">
        <f t="shared" si="99"/>
        <v>12.99963073570143</v>
      </c>
      <c r="P186" s="2212">
        <v>149</v>
      </c>
      <c r="Q186" s="2219"/>
      <c r="R186" s="2213"/>
      <c r="S186" s="2219"/>
      <c r="T186" s="2213"/>
      <c r="U186" s="2213"/>
      <c r="V186" s="2213"/>
      <c r="W186" s="2213"/>
      <c r="X186" s="2213"/>
      <c r="Y186" s="2217">
        <f t="shared" si="110"/>
        <v>5.7295162637688719</v>
      </c>
      <c r="Z186" s="2217">
        <f t="shared" si="100"/>
        <v>8130.8277584961679</v>
      </c>
      <c r="AA186" s="2217">
        <f t="shared" si="101"/>
        <v>12.99963073570143</v>
      </c>
      <c r="AB186" s="2212">
        <v>149</v>
      </c>
      <c r="AC186" s="2219"/>
      <c r="AD186" s="2213"/>
      <c r="AE186" s="2219"/>
      <c r="AF186" s="2213"/>
      <c r="AG186" s="2213"/>
      <c r="AH186" s="2213"/>
      <c r="AI186" s="2213"/>
      <c r="AJ186" s="2213"/>
      <c r="AK186" s="2217">
        <f t="shared" si="111"/>
        <v>0.13967504741725634</v>
      </c>
      <c r="AL186" s="2217">
        <f t="shared" si="92"/>
        <v>8130.8277584961679</v>
      </c>
      <c r="AM186" s="2217">
        <f t="shared" si="102"/>
        <v>12.99963073570143</v>
      </c>
      <c r="AN186" s="2212">
        <v>149</v>
      </c>
      <c r="AO186" s="2219"/>
      <c r="AP186" s="2213"/>
      <c r="AQ186" s="2219"/>
      <c r="AR186" s="2213"/>
      <c r="AS186" s="2213"/>
      <c r="AT186" s="2213"/>
      <c r="AU186" s="2213"/>
      <c r="AV186" s="2213"/>
      <c r="AW186" s="2217">
        <f t="shared" si="112"/>
        <v>-11.640580406050741</v>
      </c>
      <c r="AX186" s="2217">
        <f t="shared" si="103"/>
        <v>6397.3963049907161</v>
      </c>
      <c r="AY186" s="2217">
        <f t="shared" si="93"/>
        <v>-0.32130226985918853</v>
      </c>
      <c r="AZ186" s="2212">
        <v>149</v>
      </c>
      <c r="BA186" s="2208"/>
      <c r="BB186" s="263"/>
      <c r="BC186" s="2208"/>
      <c r="BD186" s="263"/>
      <c r="BE186" s="263"/>
      <c r="BF186" s="263"/>
      <c r="BG186" s="263"/>
      <c r="BH186" s="2208"/>
      <c r="BI186" s="2217">
        <f t="shared" si="113"/>
        <v>-11.740184109707089</v>
      </c>
      <c r="BJ186" s="2217">
        <f t="shared" si="104"/>
        <v>6397.3963049907161</v>
      </c>
      <c r="BK186" s="2217">
        <f t="shared" si="94"/>
        <v>-0.32130226985918853</v>
      </c>
      <c r="BL186" s="2212">
        <v>149</v>
      </c>
      <c r="BM186" s="2208"/>
      <c r="BN186" s="263"/>
      <c r="BO186" s="2208"/>
      <c r="BP186" s="263"/>
      <c r="BQ186" s="263"/>
      <c r="BR186" s="263"/>
      <c r="BS186" s="263"/>
      <c r="BT186" s="2208"/>
      <c r="BU186" s="2217">
        <f t="shared" si="114"/>
        <v>0.13967504741725634</v>
      </c>
      <c r="BV186" s="2217">
        <f t="shared" si="95"/>
        <v>8130.8277584961679</v>
      </c>
      <c r="BW186" s="2217">
        <f t="shared" si="105"/>
        <v>12.99963073570143</v>
      </c>
      <c r="BX186" s="2212">
        <v>149</v>
      </c>
      <c r="BY186" s="2219"/>
      <c r="BZ186" s="2213"/>
      <c r="CA186" s="2219"/>
      <c r="CB186" s="2213"/>
      <c r="CC186" s="2213"/>
      <c r="CD186" s="2213"/>
      <c r="CE186" s="2213"/>
      <c r="CF186" s="2208"/>
      <c r="CG186" s="2217">
        <f t="shared" si="115"/>
        <v>1.6996307357014295</v>
      </c>
      <c r="CH186" s="2217">
        <f t="shared" si="96"/>
        <v>8130.8277584961679</v>
      </c>
      <c r="CI186" s="2217">
        <f t="shared" si="106"/>
        <v>12.99963073570143</v>
      </c>
      <c r="CJ186" s="2212">
        <v>149</v>
      </c>
      <c r="CK186" s="2219"/>
      <c r="CL186" s="2213"/>
      <c r="CM186" s="2219"/>
      <c r="CN186" s="2213"/>
      <c r="CO186" s="2213"/>
      <c r="CP186" s="2213"/>
      <c r="CQ186" s="2213"/>
      <c r="CR186" s="2208"/>
      <c r="CS186" s="2217">
        <f t="shared" si="116"/>
        <v>-11.733758064309905</v>
      </c>
      <c r="CT186" s="2217">
        <f t="shared" si="107"/>
        <v>6397.3963049907161</v>
      </c>
      <c r="CU186" s="2217">
        <f t="shared" si="97"/>
        <v>-0.32130226985918853</v>
      </c>
      <c r="CV186" s="2212">
        <v>149</v>
      </c>
      <c r="CW186" s="2208"/>
      <c r="CX186" s="263"/>
      <c r="CY186" s="2208"/>
      <c r="CZ186" s="263"/>
      <c r="DA186" s="263"/>
      <c r="DB186" s="263"/>
      <c r="DC186" s="263"/>
      <c r="DD186" s="2208"/>
    </row>
    <row r="187" spans="1:108">
      <c r="A187" s="2217">
        <f t="shared" si="108"/>
        <v>3.8558627584525755</v>
      </c>
      <c r="B187" s="2217">
        <f t="shared" si="90"/>
        <v>8117.8281277604665</v>
      </c>
      <c r="C187" s="2217">
        <f t="shared" si="98"/>
        <v>13.179011094306588</v>
      </c>
      <c r="D187" s="2212">
        <v>148</v>
      </c>
      <c r="E187" s="2219"/>
      <c r="F187" s="2213"/>
      <c r="G187" s="2219"/>
      <c r="H187" s="2213"/>
      <c r="I187" s="2213"/>
      <c r="J187" s="2213"/>
      <c r="K187" s="2213"/>
      <c r="L187" s="2213"/>
      <c r="M187" s="2217">
        <f t="shared" si="109"/>
        <v>4.7783935350540361</v>
      </c>
      <c r="N187" s="2217">
        <f t="shared" si="91"/>
        <v>8117.8281277604665</v>
      </c>
      <c r="O187" s="2217">
        <f t="shared" si="99"/>
        <v>13.179011094306588</v>
      </c>
      <c r="P187" s="2212">
        <v>148</v>
      </c>
      <c r="Q187" s="2219"/>
      <c r="R187" s="2213"/>
      <c r="S187" s="2219"/>
      <c r="T187" s="2213"/>
      <c r="U187" s="2213"/>
      <c r="V187" s="2213"/>
      <c r="W187" s="2213"/>
      <c r="X187" s="2213"/>
      <c r="Y187" s="2217">
        <f t="shared" si="110"/>
        <v>5.964504533541632</v>
      </c>
      <c r="Z187" s="2217">
        <f t="shared" si="100"/>
        <v>8117.8281277604665</v>
      </c>
      <c r="AA187" s="2217">
        <f t="shared" si="101"/>
        <v>13.179011094306588</v>
      </c>
      <c r="AB187" s="2212">
        <v>148</v>
      </c>
      <c r="AC187" s="2219"/>
      <c r="AD187" s="2213"/>
      <c r="AE187" s="2219"/>
      <c r="AF187" s="2213"/>
      <c r="AG187" s="2213"/>
      <c r="AH187" s="2213"/>
      <c r="AI187" s="2213"/>
      <c r="AJ187" s="2213"/>
      <c r="AK187" s="2217">
        <f t="shared" si="111"/>
        <v>0.29752976298979483</v>
      </c>
      <c r="AL187" s="2217">
        <f t="shared" si="92"/>
        <v>8117.8281277604665</v>
      </c>
      <c r="AM187" s="2217">
        <f t="shared" si="102"/>
        <v>13.179011094306588</v>
      </c>
      <c r="AN187" s="2212">
        <v>148</v>
      </c>
      <c r="AO187" s="2219"/>
      <c r="AP187" s="2213"/>
      <c r="AQ187" s="2219"/>
      <c r="AR187" s="2213"/>
      <c r="AS187" s="2213"/>
      <c r="AT187" s="2213"/>
      <c r="AU187" s="2213"/>
      <c r="AV187" s="2213"/>
      <c r="AW187" s="2217">
        <f t="shared" si="112"/>
        <v>-11.298716767905026</v>
      </c>
      <c r="AX187" s="2217">
        <f t="shared" si="103"/>
        <v>6397.7176072605753</v>
      </c>
      <c r="AY187" s="2217">
        <f t="shared" si="93"/>
        <v>1.2105963160138344E-3</v>
      </c>
      <c r="AZ187" s="2212">
        <v>148</v>
      </c>
      <c r="BA187" s="2208"/>
      <c r="BB187" s="263"/>
      <c r="BC187" s="2208"/>
      <c r="BD187" s="263"/>
      <c r="BE187" s="263"/>
      <c r="BF187" s="263"/>
      <c r="BG187" s="263"/>
      <c r="BH187" s="2208"/>
      <c r="BI187" s="2217">
        <f t="shared" si="113"/>
        <v>-11.298341483047063</v>
      </c>
      <c r="BJ187" s="2217">
        <f t="shared" si="104"/>
        <v>6397.7176072605753</v>
      </c>
      <c r="BK187" s="2217">
        <f t="shared" si="94"/>
        <v>1.2105963160138344E-3</v>
      </c>
      <c r="BL187" s="2212">
        <v>148</v>
      </c>
      <c r="BM187" s="2208"/>
      <c r="BN187" s="263"/>
      <c r="BO187" s="2208"/>
      <c r="BP187" s="263"/>
      <c r="BQ187" s="263"/>
      <c r="BR187" s="263"/>
      <c r="BS187" s="263"/>
      <c r="BT187" s="2208"/>
      <c r="BU187" s="2217">
        <f t="shared" si="114"/>
        <v>0.29752976298979483</v>
      </c>
      <c r="BV187" s="2217">
        <f t="shared" si="95"/>
        <v>8117.8281277604665</v>
      </c>
      <c r="BW187" s="2217">
        <f t="shared" si="105"/>
        <v>13.179011094306588</v>
      </c>
      <c r="BX187" s="2212">
        <v>148</v>
      </c>
      <c r="BY187" s="2219"/>
      <c r="BZ187" s="2213"/>
      <c r="CA187" s="2219"/>
      <c r="CB187" s="2213"/>
      <c r="CC187" s="2213"/>
      <c r="CD187" s="2213"/>
      <c r="CE187" s="2213"/>
      <c r="CF187" s="2208"/>
      <c r="CG187" s="2217">
        <f t="shared" si="115"/>
        <v>1.8790110943065876</v>
      </c>
      <c r="CH187" s="2217">
        <f t="shared" si="96"/>
        <v>8117.8281277604665</v>
      </c>
      <c r="CI187" s="2217">
        <f t="shared" si="106"/>
        <v>13.179011094306588</v>
      </c>
      <c r="CJ187" s="2212">
        <v>148</v>
      </c>
      <c r="CK187" s="2219"/>
      <c r="CL187" s="2213"/>
      <c r="CM187" s="2219"/>
      <c r="CN187" s="2213"/>
      <c r="CO187" s="2213"/>
      <c r="CP187" s="2213"/>
      <c r="CQ187" s="2213"/>
      <c r="CR187" s="2208"/>
      <c r="CS187" s="2217">
        <f t="shared" si="116"/>
        <v>-11.298365694973382</v>
      </c>
      <c r="CT187" s="2217">
        <f t="shared" si="107"/>
        <v>6397.7176072605753</v>
      </c>
      <c r="CU187" s="2217">
        <f t="shared" si="97"/>
        <v>1.2105963160138344E-3</v>
      </c>
      <c r="CV187" s="2212">
        <v>148</v>
      </c>
      <c r="CW187" s="2208"/>
      <c r="CX187" s="263"/>
      <c r="CY187" s="2208"/>
      <c r="CZ187" s="263"/>
      <c r="DA187" s="263"/>
      <c r="DB187" s="263"/>
      <c r="DC187" s="263"/>
      <c r="DD187" s="2208"/>
    </row>
    <row r="188" spans="1:108">
      <c r="A188" s="2217">
        <f t="shared" si="108"/>
        <v>4.0631190783604758</v>
      </c>
      <c r="B188" s="2217">
        <f t="shared" si="90"/>
        <v>8104.6491166661599</v>
      </c>
      <c r="C188" s="2217">
        <f t="shared" si="98"/>
        <v>13.359233981183024</v>
      </c>
      <c r="D188" s="2212">
        <v>147</v>
      </c>
      <c r="E188" s="2219"/>
      <c r="F188" s="2213"/>
      <c r="G188" s="2219"/>
      <c r="H188" s="2213"/>
      <c r="I188" s="2213"/>
      <c r="J188" s="2213"/>
      <c r="K188" s="2213"/>
      <c r="L188" s="2213"/>
      <c r="M188" s="2217">
        <f t="shared" si="109"/>
        <v>4.9982654570432885</v>
      </c>
      <c r="N188" s="2217">
        <f t="shared" si="91"/>
        <v>8104.6491166661599</v>
      </c>
      <c r="O188" s="2217">
        <f t="shared" si="99"/>
        <v>13.359233981183024</v>
      </c>
      <c r="P188" s="2212">
        <v>147</v>
      </c>
      <c r="Q188" s="2219"/>
      <c r="R188" s="2213"/>
      <c r="S188" s="2219"/>
      <c r="T188" s="2213"/>
      <c r="U188" s="2213"/>
      <c r="V188" s="2213"/>
      <c r="W188" s="2213"/>
      <c r="X188" s="2213"/>
      <c r="Y188" s="2217">
        <f t="shared" si="110"/>
        <v>6.200596515349762</v>
      </c>
      <c r="Z188" s="2217">
        <f t="shared" si="100"/>
        <v>8104.6491166661599</v>
      </c>
      <c r="AA188" s="2217">
        <f t="shared" si="101"/>
        <v>13.359233981183024</v>
      </c>
      <c r="AB188" s="2212">
        <v>147</v>
      </c>
      <c r="AC188" s="2219"/>
      <c r="AD188" s="2213"/>
      <c r="AE188" s="2219"/>
      <c r="AF188" s="2213"/>
      <c r="AG188" s="2213"/>
      <c r="AH188" s="2213"/>
      <c r="AI188" s="2213"/>
      <c r="AJ188" s="2213"/>
      <c r="AK188" s="2217">
        <f t="shared" si="111"/>
        <v>0.45612590344105897</v>
      </c>
      <c r="AL188" s="2217">
        <f t="shared" si="92"/>
        <v>8104.6491166661599</v>
      </c>
      <c r="AM188" s="2217">
        <f t="shared" si="102"/>
        <v>13.359233981183024</v>
      </c>
      <c r="AN188" s="2212">
        <v>147</v>
      </c>
      <c r="AO188" s="2219"/>
      <c r="AP188" s="2213"/>
      <c r="AQ188" s="2219"/>
      <c r="AR188" s="2213"/>
      <c r="AS188" s="2213"/>
      <c r="AT188" s="2213"/>
      <c r="AU188" s="2213"/>
      <c r="AV188" s="2213"/>
      <c r="AW188" s="2217">
        <f t="shared" si="112"/>
        <v>-10.957018409734319</v>
      </c>
      <c r="AX188" s="2217">
        <f t="shared" si="103"/>
        <v>6397.7163966642593</v>
      </c>
      <c r="AY188" s="2217">
        <f t="shared" si="93"/>
        <v>0.32356753798649152</v>
      </c>
      <c r="AZ188" s="2212">
        <v>147</v>
      </c>
      <c r="BA188" s="2208"/>
      <c r="BB188" s="263"/>
      <c r="BC188" s="2208"/>
      <c r="BD188" s="263"/>
      <c r="BE188" s="263"/>
      <c r="BF188" s="263"/>
      <c r="BG188" s="263"/>
      <c r="BH188" s="2208"/>
      <c r="BI188" s="2217">
        <f t="shared" si="113"/>
        <v>-10.856712472958508</v>
      </c>
      <c r="BJ188" s="2217">
        <f t="shared" si="104"/>
        <v>6397.7163966642593</v>
      </c>
      <c r="BK188" s="2217">
        <f t="shared" si="94"/>
        <v>0.32356753798649152</v>
      </c>
      <c r="BL188" s="2212">
        <v>147</v>
      </c>
      <c r="BM188" s="2208"/>
      <c r="BN188" s="263"/>
      <c r="BO188" s="2208"/>
      <c r="BP188" s="263"/>
      <c r="BQ188" s="263"/>
      <c r="BR188" s="263"/>
      <c r="BS188" s="263"/>
      <c r="BT188" s="2208"/>
      <c r="BU188" s="2217">
        <f t="shared" si="114"/>
        <v>0.45612590344105897</v>
      </c>
      <c r="BV188" s="2217">
        <f t="shared" si="95"/>
        <v>8104.6491166661599</v>
      </c>
      <c r="BW188" s="2217">
        <f t="shared" si="105"/>
        <v>13.359233981183024</v>
      </c>
      <c r="BX188" s="2212">
        <v>147</v>
      </c>
      <c r="BY188" s="2219"/>
      <c r="BZ188" s="2213"/>
      <c r="CA188" s="2219"/>
      <c r="CB188" s="2213"/>
      <c r="CC188" s="2213"/>
      <c r="CD188" s="2213"/>
      <c r="CE188" s="2213"/>
      <c r="CF188" s="2208"/>
      <c r="CG188" s="2217">
        <f t="shared" si="115"/>
        <v>2.0592339811830236</v>
      </c>
      <c r="CH188" s="2217">
        <f t="shared" si="96"/>
        <v>8104.6491166661599</v>
      </c>
      <c r="CI188" s="2217">
        <f t="shared" si="106"/>
        <v>13.359233981183024</v>
      </c>
      <c r="CJ188" s="2212">
        <v>147</v>
      </c>
      <c r="CK188" s="2219"/>
      <c r="CL188" s="2213"/>
      <c r="CM188" s="2219"/>
      <c r="CN188" s="2213"/>
      <c r="CO188" s="2213"/>
      <c r="CP188" s="2213"/>
      <c r="CQ188" s="2213"/>
      <c r="CR188" s="2208"/>
      <c r="CS188" s="2217">
        <f t="shared" si="116"/>
        <v>-10.863183823718238</v>
      </c>
      <c r="CT188" s="2217">
        <f t="shared" si="107"/>
        <v>6397.7163966642593</v>
      </c>
      <c r="CU188" s="2217">
        <f t="shared" si="97"/>
        <v>0.32356753798649152</v>
      </c>
      <c r="CV188" s="2212">
        <v>147</v>
      </c>
      <c r="CW188" s="2208"/>
      <c r="CX188" s="263"/>
      <c r="CY188" s="2208"/>
      <c r="CZ188" s="263"/>
      <c r="DA188" s="263"/>
      <c r="DB188" s="263"/>
      <c r="DC188" s="263"/>
      <c r="DD188" s="2208"/>
    </row>
    <row r="189" spans="1:108">
      <c r="A189" s="2217">
        <f t="shared" si="108"/>
        <v>4.2713443057761626</v>
      </c>
      <c r="B189" s="2217">
        <f t="shared" si="90"/>
        <v>8091.2898826849769</v>
      </c>
      <c r="C189" s="2217">
        <f t="shared" si="98"/>
        <v>13.5402993963271</v>
      </c>
      <c r="D189" s="2212">
        <v>146</v>
      </c>
      <c r="E189" s="2219"/>
      <c r="F189" s="2213"/>
      <c r="G189" s="2219"/>
      <c r="H189" s="2213"/>
      <c r="I189" s="2213"/>
      <c r="J189" s="2213"/>
      <c r="K189" s="2213"/>
      <c r="L189" s="2213"/>
      <c r="M189" s="2217">
        <f t="shared" si="109"/>
        <v>5.2191652635190593</v>
      </c>
      <c r="N189" s="2217">
        <f t="shared" si="91"/>
        <v>8091.2898826849769</v>
      </c>
      <c r="O189" s="2217">
        <f t="shared" si="99"/>
        <v>13.5402993963271</v>
      </c>
      <c r="P189" s="2212">
        <v>146</v>
      </c>
      <c r="Q189" s="2219"/>
      <c r="R189" s="2213"/>
      <c r="S189" s="2219"/>
      <c r="T189" s="2213"/>
      <c r="U189" s="2213"/>
      <c r="V189" s="2213"/>
      <c r="W189" s="2213"/>
      <c r="X189" s="2213"/>
      <c r="Y189" s="2217">
        <f t="shared" si="110"/>
        <v>6.4377922091885011</v>
      </c>
      <c r="Z189" s="2217">
        <f t="shared" si="100"/>
        <v>8091.2898826849769</v>
      </c>
      <c r="AA189" s="2217">
        <f t="shared" si="101"/>
        <v>13.5402993963271</v>
      </c>
      <c r="AB189" s="2212">
        <v>146</v>
      </c>
      <c r="AC189" s="2219"/>
      <c r="AD189" s="2213"/>
      <c r="AE189" s="2219"/>
      <c r="AF189" s="2213"/>
      <c r="AG189" s="2213"/>
      <c r="AH189" s="2213"/>
      <c r="AI189" s="2213"/>
      <c r="AJ189" s="2213"/>
      <c r="AK189" s="2217">
        <f t="shared" si="111"/>
        <v>0.61546346876784597</v>
      </c>
      <c r="AL189" s="2217">
        <f t="shared" si="92"/>
        <v>8091.2898826849769</v>
      </c>
      <c r="AM189" s="2217">
        <f t="shared" si="102"/>
        <v>13.5402993963271</v>
      </c>
      <c r="AN189" s="2212">
        <v>146</v>
      </c>
      <c r="AO189" s="2219"/>
      <c r="AP189" s="2213"/>
      <c r="AQ189" s="2219"/>
      <c r="AR189" s="2213"/>
      <c r="AS189" s="2213"/>
      <c r="AT189" s="2213"/>
      <c r="AU189" s="2213"/>
      <c r="AV189" s="2213"/>
      <c r="AW189" s="2217">
        <f t="shared" si="112"/>
        <v>-10.615485331533801</v>
      </c>
      <c r="AX189" s="2217">
        <f t="shared" si="103"/>
        <v>6397.3928291262728</v>
      </c>
      <c r="AY189" s="2217">
        <f t="shared" si="93"/>
        <v>0.64576855515679199</v>
      </c>
      <c r="AZ189" s="2212">
        <v>146</v>
      </c>
      <c r="BA189" s="2208"/>
      <c r="BB189" s="263"/>
      <c r="BC189" s="2208"/>
      <c r="BD189" s="263"/>
      <c r="BE189" s="263"/>
      <c r="BF189" s="263"/>
      <c r="BG189" s="263"/>
      <c r="BH189" s="2208"/>
      <c r="BI189" s="2217">
        <f t="shared" si="113"/>
        <v>-10.415297079435195</v>
      </c>
      <c r="BJ189" s="2217">
        <f t="shared" si="104"/>
        <v>6397.3928291262728</v>
      </c>
      <c r="BK189" s="2217">
        <f t="shared" si="94"/>
        <v>0.64576855515679199</v>
      </c>
      <c r="BL189" s="2212">
        <v>146</v>
      </c>
      <c r="BM189" s="2208"/>
      <c r="BN189" s="263"/>
      <c r="BO189" s="2208"/>
      <c r="BP189" s="263"/>
      <c r="BQ189" s="263"/>
      <c r="BR189" s="263"/>
      <c r="BS189" s="263"/>
      <c r="BT189" s="2208"/>
      <c r="BU189" s="2217">
        <f t="shared" si="114"/>
        <v>0.61546346876784597</v>
      </c>
      <c r="BV189" s="2217">
        <f t="shared" si="95"/>
        <v>8091.2898826849769</v>
      </c>
      <c r="BW189" s="2217">
        <f t="shared" si="105"/>
        <v>13.5402993963271</v>
      </c>
      <c r="BX189" s="2212">
        <v>146</v>
      </c>
      <c r="BY189" s="2219"/>
      <c r="BZ189" s="2213"/>
      <c r="CA189" s="2219"/>
      <c r="CB189" s="2213"/>
      <c r="CC189" s="2213"/>
      <c r="CD189" s="2213"/>
      <c r="CE189" s="2213"/>
      <c r="CF189" s="2208"/>
      <c r="CG189" s="2217">
        <f t="shared" si="115"/>
        <v>2.2402993963270994</v>
      </c>
      <c r="CH189" s="2217">
        <f t="shared" si="96"/>
        <v>8091.2898826849769</v>
      </c>
      <c r="CI189" s="2217">
        <f t="shared" si="106"/>
        <v>13.5402993963271</v>
      </c>
      <c r="CJ189" s="2212">
        <v>146</v>
      </c>
      <c r="CK189" s="2219"/>
      <c r="CL189" s="2213"/>
      <c r="CM189" s="2219"/>
      <c r="CN189" s="2213"/>
      <c r="CO189" s="2213"/>
      <c r="CP189" s="2213"/>
      <c r="CQ189" s="2213"/>
      <c r="CR189" s="2208"/>
      <c r="CS189" s="2217">
        <f t="shared" si="116"/>
        <v>-10.428212450538332</v>
      </c>
      <c r="CT189" s="2217">
        <f t="shared" si="107"/>
        <v>6397.3928291262728</v>
      </c>
      <c r="CU189" s="2217">
        <f t="shared" si="97"/>
        <v>0.64576855515679199</v>
      </c>
      <c r="CV189" s="2212">
        <v>146</v>
      </c>
      <c r="CW189" s="2208"/>
      <c r="CX189" s="263"/>
      <c r="CY189" s="2208"/>
      <c r="CZ189" s="263"/>
      <c r="DA189" s="263"/>
      <c r="DB189" s="263"/>
      <c r="DC189" s="263"/>
      <c r="DD189" s="2208"/>
    </row>
    <row r="190" spans="1:108">
      <c r="A190" s="2217">
        <f t="shared" si="108"/>
        <v>4.4805384407027748</v>
      </c>
      <c r="B190" s="2217">
        <f t="shared" si="90"/>
        <v>8077.7495832886498</v>
      </c>
      <c r="C190" s="2217">
        <f t="shared" si="98"/>
        <v>13.722207339741544</v>
      </c>
      <c r="D190" s="2212">
        <v>145</v>
      </c>
      <c r="E190" s="2219"/>
      <c r="F190" s="2213"/>
      <c r="G190" s="2219"/>
      <c r="H190" s="2213"/>
      <c r="I190" s="2213"/>
      <c r="J190" s="2213"/>
      <c r="K190" s="2213"/>
      <c r="L190" s="2213"/>
      <c r="M190" s="2217">
        <f t="shared" si="109"/>
        <v>5.4410929544846844</v>
      </c>
      <c r="N190" s="2217">
        <f t="shared" si="91"/>
        <v>8077.7495832886498</v>
      </c>
      <c r="O190" s="2217">
        <f t="shared" si="99"/>
        <v>13.722207339741544</v>
      </c>
      <c r="P190" s="2212">
        <v>145</v>
      </c>
      <c r="Q190" s="2219"/>
      <c r="R190" s="2213"/>
      <c r="S190" s="2219"/>
      <c r="T190" s="2213"/>
      <c r="U190" s="2213"/>
      <c r="V190" s="2213"/>
      <c r="W190" s="2213"/>
      <c r="X190" s="2213"/>
      <c r="Y190" s="2217">
        <f t="shared" si="110"/>
        <v>6.6760916150614236</v>
      </c>
      <c r="Z190" s="2217">
        <f t="shared" si="100"/>
        <v>8077.7495832886498</v>
      </c>
      <c r="AA190" s="2217">
        <f t="shared" si="101"/>
        <v>13.722207339741544</v>
      </c>
      <c r="AB190" s="2212">
        <v>145</v>
      </c>
      <c r="AC190" s="2219"/>
      <c r="AD190" s="2213"/>
      <c r="AE190" s="2219"/>
      <c r="AF190" s="2213"/>
      <c r="AG190" s="2213"/>
      <c r="AH190" s="2213"/>
      <c r="AI190" s="2213"/>
      <c r="AJ190" s="2213"/>
      <c r="AK190" s="2217">
        <f t="shared" si="111"/>
        <v>0.77554245897255747</v>
      </c>
      <c r="AL190" s="2217">
        <f t="shared" si="92"/>
        <v>8077.7495832886498</v>
      </c>
      <c r="AM190" s="2217">
        <f t="shared" si="102"/>
        <v>13.722207339741544</v>
      </c>
      <c r="AN190" s="2212">
        <v>145</v>
      </c>
      <c r="AO190" s="2219"/>
      <c r="AP190" s="2213"/>
      <c r="AQ190" s="2219"/>
      <c r="AR190" s="2213"/>
      <c r="AS190" s="2213"/>
      <c r="AT190" s="2213"/>
      <c r="AU190" s="2213"/>
      <c r="AV190" s="2213"/>
      <c r="AW190" s="2217">
        <f t="shared" si="112"/>
        <v>-10.274117533300579</v>
      </c>
      <c r="AX190" s="2217">
        <f t="shared" si="103"/>
        <v>6396.747060571116</v>
      </c>
      <c r="AY190" s="2217">
        <f t="shared" si="93"/>
        <v>0.96781364782964374</v>
      </c>
      <c r="AZ190" s="2212">
        <v>145</v>
      </c>
      <c r="BA190" s="2208"/>
      <c r="BB190" s="263"/>
      <c r="BC190" s="2208"/>
      <c r="BD190" s="263"/>
      <c r="BE190" s="263"/>
      <c r="BF190" s="263"/>
      <c r="BG190" s="263"/>
      <c r="BH190" s="2208"/>
      <c r="BI190" s="2217">
        <f t="shared" si="113"/>
        <v>-9.9740953024733887</v>
      </c>
      <c r="BJ190" s="2217">
        <f t="shared" si="104"/>
        <v>6396.747060571116</v>
      </c>
      <c r="BK190" s="2217">
        <f t="shared" si="94"/>
        <v>0.96781364782964374</v>
      </c>
      <c r="BL190" s="2212">
        <v>145</v>
      </c>
      <c r="BM190" s="2208"/>
      <c r="BN190" s="263"/>
      <c r="BO190" s="2208"/>
      <c r="BP190" s="263"/>
      <c r="BQ190" s="263"/>
      <c r="BR190" s="263"/>
      <c r="BS190" s="263"/>
      <c r="BT190" s="2208"/>
      <c r="BU190" s="2217">
        <f t="shared" si="114"/>
        <v>0.77554245897255747</v>
      </c>
      <c r="BV190" s="2217">
        <f t="shared" si="95"/>
        <v>8077.7495832886498</v>
      </c>
      <c r="BW190" s="2217">
        <f t="shared" si="105"/>
        <v>13.722207339741544</v>
      </c>
      <c r="BX190" s="2212">
        <v>145</v>
      </c>
      <c r="BY190" s="2219"/>
      <c r="BZ190" s="2213"/>
      <c r="CA190" s="2219"/>
      <c r="CB190" s="2213"/>
      <c r="CC190" s="2213"/>
      <c r="CD190" s="2213"/>
      <c r="CE190" s="2213"/>
      <c r="CF190" s="2208"/>
      <c r="CG190" s="2217">
        <f t="shared" si="115"/>
        <v>2.4222073397415436</v>
      </c>
      <c r="CH190" s="2217">
        <f t="shared" si="96"/>
        <v>8077.7495832886498</v>
      </c>
      <c r="CI190" s="2217">
        <f t="shared" si="106"/>
        <v>13.722207339741544</v>
      </c>
      <c r="CJ190" s="2212">
        <v>145</v>
      </c>
      <c r="CK190" s="2219"/>
      <c r="CL190" s="2213"/>
      <c r="CM190" s="2219"/>
      <c r="CN190" s="2213"/>
      <c r="CO190" s="2213"/>
      <c r="CP190" s="2213"/>
      <c r="CQ190" s="2213"/>
      <c r="CR190" s="2208"/>
      <c r="CS190" s="2217">
        <f t="shared" si="116"/>
        <v>-9.9934515754299813</v>
      </c>
      <c r="CT190" s="2217">
        <f t="shared" si="107"/>
        <v>6396.747060571116</v>
      </c>
      <c r="CU190" s="2217">
        <f t="shared" si="97"/>
        <v>0.96781364782964374</v>
      </c>
      <c r="CV190" s="2212">
        <v>145</v>
      </c>
      <c r="CW190" s="2208"/>
      <c r="CX190" s="263"/>
      <c r="CY190" s="2208"/>
      <c r="CZ190" s="263"/>
      <c r="DA190" s="263"/>
      <c r="DB190" s="263"/>
      <c r="DC190" s="263"/>
      <c r="DD190" s="2208"/>
    </row>
    <row r="191" spans="1:108">
      <c r="A191" s="2217">
        <f t="shared" si="108"/>
        <v>4.6907014831392626</v>
      </c>
      <c r="B191" s="2217">
        <f t="shared" si="90"/>
        <v>8064.0273759489082</v>
      </c>
      <c r="C191" s="2217">
        <f t="shared" si="98"/>
        <v>13.904957811425447</v>
      </c>
      <c r="D191" s="2212">
        <v>144</v>
      </c>
      <c r="E191" s="2219"/>
      <c r="F191" s="2213"/>
      <c r="G191" s="2219"/>
      <c r="H191" s="2213"/>
      <c r="I191" s="2213"/>
      <c r="J191" s="2213"/>
      <c r="K191" s="2213"/>
      <c r="L191" s="2213"/>
      <c r="M191" s="2217">
        <f t="shared" si="109"/>
        <v>5.6640485299390448</v>
      </c>
      <c r="N191" s="2217">
        <f t="shared" si="91"/>
        <v>8064.0273759489082</v>
      </c>
      <c r="O191" s="2217">
        <f t="shared" si="99"/>
        <v>13.904957811425447</v>
      </c>
      <c r="P191" s="2212">
        <v>144</v>
      </c>
      <c r="Q191" s="2219"/>
      <c r="R191" s="2213"/>
      <c r="S191" s="2219"/>
      <c r="T191" s="2213"/>
      <c r="U191" s="2213"/>
      <c r="V191" s="2213"/>
      <c r="W191" s="2213"/>
      <c r="X191" s="2213"/>
      <c r="Y191" s="2217">
        <f t="shared" si="110"/>
        <v>6.9154947329673355</v>
      </c>
      <c r="Z191" s="2217">
        <f t="shared" si="100"/>
        <v>8064.0273759489082</v>
      </c>
      <c r="AA191" s="2217">
        <f t="shared" si="101"/>
        <v>13.904957811425447</v>
      </c>
      <c r="AB191" s="2212">
        <v>144</v>
      </c>
      <c r="AC191" s="2219"/>
      <c r="AD191" s="2213"/>
      <c r="AE191" s="2219"/>
      <c r="AF191" s="2213"/>
      <c r="AG191" s="2213"/>
      <c r="AH191" s="2213"/>
      <c r="AI191" s="2213"/>
      <c r="AJ191" s="2213"/>
      <c r="AK191" s="2217">
        <f t="shared" si="111"/>
        <v>0.93636287405439056</v>
      </c>
      <c r="AL191" s="2217">
        <f t="shared" si="92"/>
        <v>8064.0273759489082</v>
      </c>
      <c r="AM191" s="2217">
        <f t="shared" si="102"/>
        <v>13.904957811425447</v>
      </c>
      <c r="AN191" s="2212">
        <v>144</v>
      </c>
      <c r="AO191" s="2219"/>
      <c r="AP191" s="2213"/>
      <c r="AQ191" s="2219"/>
      <c r="AR191" s="2213"/>
      <c r="AS191" s="2213"/>
      <c r="AT191" s="2213"/>
      <c r="AU191" s="2213"/>
      <c r="AV191" s="2213"/>
      <c r="AW191" s="2217">
        <f t="shared" si="112"/>
        <v>-9.9329150150404359</v>
      </c>
      <c r="AX191" s="2217">
        <f t="shared" si="103"/>
        <v>6395.7792469232863</v>
      </c>
      <c r="AY191" s="2217">
        <f t="shared" si="93"/>
        <v>1.2897028159995898</v>
      </c>
      <c r="AZ191" s="2212">
        <v>144</v>
      </c>
      <c r="BA191" s="2208"/>
      <c r="BB191" s="263"/>
      <c r="BC191" s="2208"/>
      <c r="BD191" s="263"/>
      <c r="BE191" s="263"/>
      <c r="BF191" s="263"/>
      <c r="BG191" s="263"/>
      <c r="BH191" s="2208"/>
      <c r="BI191" s="2217">
        <f t="shared" si="113"/>
        <v>-9.5331071420805635</v>
      </c>
      <c r="BJ191" s="2217">
        <f t="shared" si="104"/>
        <v>6395.7792469232863</v>
      </c>
      <c r="BK191" s="2217">
        <f t="shared" si="94"/>
        <v>1.2897028159995898</v>
      </c>
      <c r="BL191" s="2212">
        <v>144</v>
      </c>
      <c r="BM191" s="2208"/>
      <c r="BN191" s="263"/>
      <c r="BO191" s="2208"/>
      <c r="BP191" s="263"/>
      <c r="BQ191" s="263"/>
      <c r="BR191" s="263"/>
      <c r="BS191" s="263"/>
      <c r="BT191" s="2208"/>
      <c r="BU191" s="2217">
        <f t="shared" si="114"/>
        <v>0.93636287405439056</v>
      </c>
      <c r="BV191" s="2217">
        <f t="shared" si="95"/>
        <v>8064.0273759489082</v>
      </c>
      <c r="BW191" s="2217">
        <f t="shared" si="105"/>
        <v>13.904957811425447</v>
      </c>
      <c r="BX191" s="2212">
        <v>144</v>
      </c>
      <c r="BY191" s="2219"/>
      <c r="BZ191" s="2213"/>
      <c r="CA191" s="2219"/>
      <c r="CB191" s="2213"/>
      <c r="CC191" s="2213"/>
      <c r="CD191" s="2213"/>
      <c r="CE191" s="2213"/>
      <c r="CF191" s="2208"/>
      <c r="CG191" s="2217">
        <f t="shared" si="115"/>
        <v>2.6049578114254466</v>
      </c>
      <c r="CH191" s="2217">
        <f t="shared" si="96"/>
        <v>8064.0273759489082</v>
      </c>
      <c r="CI191" s="2217">
        <f t="shared" si="106"/>
        <v>13.904957811425447</v>
      </c>
      <c r="CJ191" s="2212">
        <v>144</v>
      </c>
      <c r="CK191" s="2219"/>
      <c r="CL191" s="2213"/>
      <c r="CM191" s="2219"/>
      <c r="CN191" s="2213"/>
      <c r="CO191" s="2213"/>
      <c r="CP191" s="2213"/>
      <c r="CQ191" s="2213"/>
      <c r="CR191" s="2208"/>
      <c r="CS191" s="2217">
        <f t="shared" si="116"/>
        <v>-9.5589011984005552</v>
      </c>
      <c r="CT191" s="2217">
        <f t="shared" si="107"/>
        <v>6395.7792469232863</v>
      </c>
      <c r="CU191" s="2217">
        <f t="shared" si="97"/>
        <v>1.2897028159995898</v>
      </c>
      <c r="CV191" s="2212">
        <v>144</v>
      </c>
      <c r="CW191" s="2208"/>
      <c r="CX191" s="263"/>
      <c r="CY191" s="2208"/>
      <c r="CZ191" s="263"/>
      <c r="DA191" s="263"/>
      <c r="DB191" s="263"/>
      <c r="DC191" s="263"/>
      <c r="DD191" s="2208"/>
    </row>
    <row r="192" spans="1:108">
      <c r="A192" s="2217">
        <f t="shared" si="108"/>
        <v>4.9018334330887647</v>
      </c>
      <c r="B192" s="2217">
        <f t="shared" si="90"/>
        <v>8050.1224181374828</v>
      </c>
      <c r="C192" s="2217">
        <f t="shared" si="98"/>
        <v>14.088550811381538</v>
      </c>
      <c r="D192" s="2212">
        <v>143</v>
      </c>
      <c r="E192" s="2219"/>
      <c r="F192" s="2213"/>
      <c r="G192" s="2219"/>
      <c r="H192" s="2213"/>
      <c r="I192" s="2213"/>
      <c r="J192" s="2213"/>
      <c r="K192" s="2213"/>
      <c r="L192" s="2213"/>
      <c r="M192" s="2217">
        <f t="shared" si="109"/>
        <v>5.8880319898854765</v>
      </c>
      <c r="N192" s="2217">
        <f t="shared" si="91"/>
        <v>8050.1224181374828</v>
      </c>
      <c r="O192" s="2217">
        <f t="shared" si="99"/>
        <v>14.088550811381538</v>
      </c>
      <c r="P192" s="2212">
        <v>143</v>
      </c>
      <c r="Q192" s="2219"/>
      <c r="R192" s="2213"/>
      <c r="S192" s="2219"/>
      <c r="T192" s="2213"/>
      <c r="U192" s="2213"/>
      <c r="V192" s="2213"/>
      <c r="W192" s="2213"/>
      <c r="X192" s="2213"/>
      <c r="Y192" s="2217">
        <f t="shared" si="110"/>
        <v>7.1560015629098146</v>
      </c>
      <c r="Z192" s="2217">
        <f t="shared" si="100"/>
        <v>8050.1224181374828</v>
      </c>
      <c r="AA192" s="2217">
        <f t="shared" si="101"/>
        <v>14.088550811381538</v>
      </c>
      <c r="AB192" s="2212">
        <v>143</v>
      </c>
      <c r="AC192" s="2219"/>
      <c r="AD192" s="2213"/>
      <c r="AE192" s="2219"/>
      <c r="AF192" s="2213"/>
      <c r="AG192" s="2213"/>
      <c r="AH192" s="2213"/>
      <c r="AI192" s="2213"/>
      <c r="AJ192" s="2213"/>
      <c r="AK192" s="2217">
        <f t="shared" si="111"/>
        <v>1.0979247140157504</v>
      </c>
      <c r="AL192" s="2217">
        <f t="shared" si="92"/>
        <v>8050.1224181374828</v>
      </c>
      <c r="AM192" s="2217">
        <f t="shared" si="102"/>
        <v>14.088550811381538</v>
      </c>
      <c r="AN192" s="2212">
        <v>143</v>
      </c>
      <c r="AO192" s="2219"/>
      <c r="AP192" s="2213"/>
      <c r="AQ192" s="2219"/>
      <c r="AR192" s="2213"/>
      <c r="AS192" s="2213"/>
      <c r="AT192" s="2213"/>
      <c r="AU192" s="2213"/>
      <c r="AV192" s="2213"/>
      <c r="AW192" s="2217">
        <f t="shared" si="112"/>
        <v>-9.591877776750481</v>
      </c>
      <c r="AX192" s="2217">
        <f t="shared" si="103"/>
        <v>6394.4895441072867</v>
      </c>
      <c r="AY192" s="2217">
        <f t="shared" si="93"/>
        <v>1.6114360596693587</v>
      </c>
      <c r="AZ192" s="2212">
        <v>143</v>
      </c>
      <c r="BA192" s="2208"/>
      <c r="BB192" s="263"/>
      <c r="BC192" s="2208"/>
      <c r="BD192" s="263"/>
      <c r="BE192" s="263"/>
      <c r="BF192" s="263"/>
      <c r="BG192" s="263"/>
      <c r="BH192" s="2208"/>
      <c r="BI192" s="2217">
        <f t="shared" si="113"/>
        <v>-9.0923325982529786</v>
      </c>
      <c r="BJ192" s="2217">
        <f t="shared" si="104"/>
        <v>6394.4895441072867</v>
      </c>
      <c r="BK192" s="2217">
        <f t="shared" si="94"/>
        <v>1.6114360596693587</v>
      </c>
      <c r="BL192" s="2212">
        <v>143</v>
      </c>
      <c r="BM192" s="2208"/>
      <c r="BN192" s="263"/>
      <c r="BO192" s="2208"/>
      <c r="BP192" s="263"/>
      <c r="BQ192" s="263"/>
      <c r="BR192" s="263"/>
      <c r="BS192" s="263"/>
      <c r="BT192" s="2208"/>
      <c r="BU192" s="2217">
        <f t="shared" si="114"/>
        <v>1.0979247140157504</v>
      </c>
      <c r="BV192" s="2217">
        <f t="shared" si="95"/>
        <v>8050.1224181374828</v>
      </c>
      <c r="BW192" s="2217">
        <f t="shared" si="105"/>
        <v>14.088550811381538</v>
      </c>
      <c r="BX192" s="2212">
        <v>143</v>
      </c>
      <c r="BY192" s="2219"/>
      <c r="BZ192" s="2213"/>
      <c r="CA192" s="2219"/>
      <c r="CB192" s="2213"/>
      <c r="CC192" s="2213"/>
      <c r="CD192" s="2213"/>
      <c r="CE192" s="2213"/>
      <c r="CF192" s="2208"/>
      <c r="CG192" s="2217">
        <f t="shared" si="115"/>
        <v>2.7885508113815369</v>
      </c>
      <c r="CH192" s="2217">
        <f t="shared" si="96"/>
        <v>8050.1224181374828</v>
      </c>
      <c r="CI192" s="2217">
        <f t="shared" si="106"/>
        <v>14.088550811381538</v>
      </c>
      <c r="CJ192" s="2212">
        <v>143</v>
      </c>
      <c r="CK192" s="2219"/>
      <c r="CL192" s="2213"/>
      <c r="CM192" s="2219"/>
      <c r="CN192" s="2213"/>
      <c r="CO192" s="2213"/>
      <c r="CP192" s="2213"/>
      <c r="CQ192" s="2213"/>
      <c r="CR192" s="2208"/>
      <c r="CS192" s="2217">
        <f t="shared" si="116"/>
        <v>-9.1245613194463662</v>
      </c>
      <c r="CT192" s="2217">
        <f t="shared" si="107"/>
        <v>6394.4895441072867</v>
      </c>
      <c r="CU192" s="2217">
        <f t="shared" si="97"/>
        <v>1.6114360596693587</v>
      </c>
      <c r="CV192" s="2212">
        <v>143</v>
      </c>
      <c r="CW192" s="2208"/>
      <c r="CX192" s="263"/>
      <c r="CY192" s="2208"/>
      <c r="CZ192" s="263"/>
      <c r="DA192" s="263"/>
      <c r="DB192" s="263"/>
      <c r="DC192" s="263"/>
      <c r="DD192" s="2208"/>
    </row>
    <row r="193" spans="1:108">
      <c r="A193" s="2217">
        <f t="shared" si="108"/>
        <v>5.1139342905429181</v>
      </c>
      <c r="B193" s="2217">
        <f t="shared" si="90"/>
        <v>8036.0338673261012</v>
      </c>
      <c r="C193" s="2217">
        <f t="shared" si="98"/>
        <v>14.272986339602539</v>
      </c>
      <c r="D193" s="2212">
        <v>142</v>
      </c>
      <c r="E193" s="2219"/>
      <c r="F193" s="2213"/>
      <c r="G193" s="2219"/>
      <c r="H193" s="2213"/>
      <c r="I193" s="2213"/>
      <c r="J193" s="2213"/>
      <c r="K193" s="2213"/>
      <c r="L193" s="2213"/>
      <c r="M193" s="2217">
        <f t="shared" si="109"/>
        <v>6.1130433343150976</v>
      </c>
      <c r="N193" s="2217">
        <f t="shared" si="91"/>
        <v>8036.0338673261012</v>
      </c>
      <c r="O193" s="2217">
        <f t="shared" si="99"/>
        <v>14.272986339602539</v>
      </c>
      <c r="P193" s="2212">
        <v>142</v>
      </c>
      <c r="Q193" s="2219"/>
      <c r="R193" s="2213"/>
      <c r="S193" s="2219"/>
      <c r="T193" s="2213"/>
      <c r="U193" s="2213"/>
      <c r="V193" s="2213"/>
      <c r="W193" s="2213"/>
      <c r="X193" s="2213"/>
      <c r="Y193" s="2217">
        <f t="shared" si="110"/>
        <v>7.3976121048793253</v>
      </c>
      <c r="Z193" s="2217">
        <f t="shared" si="100"/>
        <v>8036.0338673261012</v>
      </c>
      <c r="AA193" s="2217">
        <f t="shared" si="101"/>
        <v>14.272986339602539</v>
      </c>
      <c r="AB193" s="2212">
        <v>142</v>
      </c>
      <c r="AC193" s="2219"/>
      <c r="AD193" s="2213"/>
      <c r="AE193" s="2219"/>
      <c r="AF193" s="2213"/>
      <c r="AG193" s="2213"/>
      <c r="AH193" s="2213"/>
      <c r="AI193" s="2213"/>
      <c r="AJ193" s="2213"/>
      <c r="AK193" s="2217">
        <f t="shared" si="111"/>
        <v>1.2602279788502333</v>
      </c>
      <c r="AL193" s="2217">
        <f t="shared" si="92"/>
        <v>8036.0338673261012</v>
      </c>
      <c r="AM193" s="2217">
        <f t="shared" si="102"/>
        <v>14.272986339602539</v>
      </c>
      <c r="AN193" s="2212">
        <v>142</v>
      </c>
      <c r="AO193" s="2219"/>
      <c r="AP193" s="2213"/>
      <c r="AQ193" s="2219"/>
      <c r="AR193" s="2213"/>
      <c r="AS193" s="2213"/>
      <c r="AT193" s="2213"/>
      <c r="AU193" s="2213"/>
      <c r="AV193" s="2213"/>
      <c r="AW193" s="2217">
        <f t="shared" si="112"/>
        <v>-9.2510058184307127</v>
      </c>
      <c r="AX193" s="2217">
        <f t="shared" si="103"/>
        <v>6392.8781080476174</v>
      </c>
      <c r="AY193" s="2217">
        <f t="shared" si="93"/>
        <v>1.9330133788389503</v>
      </c>
      <c r="AZ193" s="2212">
        <v>142</v>
      </c>
      <c r="BA193" s="2208"/>
      <c r="BB193" s="263"/>
      <c r="BC193" s="2208"/>
      <c r="BD193" s="263"/>
      <c r="BE193" s="263"/>
      <c r="BF193" s="263"/>
      <c r="BG193" s="263"/>
      <c r="BH193" s="2208"/>
      <c r="BI193" s="2217">
        <f t="shared" si="113"/>
        <v>-8.6517716709906392</v>
      </c>
      <c r="BJ193" s="2217">
        <f t="shared" si="104"/>
        <v>6392.8781080476174</v>
      </c>
      <c r="BK193" s="2217">
        <f t="shared" si="94"/>
        <v>1.9330133788389503</v>
      </c>
      <c r="BL193" s="2212">
        <v>142</v>
      </c>
      <c r="BM193" s="2208"/>
      <c r="BN193" s="263"/>
      <c r="BO193" s="2208"/>
      <c r="BP193" s="263"/>
      <c r="BQ193" s="263"/>
      <c r="BR193" s="263"/>
      <c r="BS193" s="263"/>
      <c r="BT193" s="2208"/>
      <c r="BU193" s="2217">
        <f t="shared" si="114"/>
        <v>1.2602279788502333</v>
      </c>
      <c r="BV193" s="2217">
        <f t="shared" si="95"/>
        <v>8036.0338673261012</v>
      </c>
      <c r="BW193" s="2217">
        <f t="shared" si="105"/>
        <v>14.272986339602539</v>
      </c>
      <c r="BX193" s="2212">
        <v>142</v>
      </c>
      <c r="BY193" s="2219"/>
      <c r="BZ193" s="2213"/>
      <c r="CA193" s="2219"/>
      <c r="CB193" s="2213"/>
      <c r="CC193" s="2213"/>
      <c r="CD193" s="2213"/>
      <c r="CE193" s="2213"/>
      <c r="CF193" s="2208"/>
      <c r="CG193" s="2217">
        <f t="shared" si="115"/>
        <v>2.9729863396025387</v>
      </c>
      <c r="CH193" s="2217">
        <f t="shared" si="96"/>
        <v>8036.0338673261012</v>
      </c>
      <c r="CI193" s="2217">
        <f t="shared" si="106"/>
        <v>14.272986339602539</v>
      </c>
      <c r="CJ193" s="2212">
        <v>142</v>
      </c>
      <c r="CK193" s="2219"/>
      <c r="CL193" s="2213"/>
      <c r="CM193" s="2219"/>
      <c r="CN193" s="2213"/>
      <c r="CO193" s="2213"/>
      <c r="CP193" s="2213"/>
      <c r="CQ193" s="2213"/>
      <c r="CR193" s="2208"/>
      <c r="CS193" s="2217">
        <f t="shared" si="116"/>
        <v>-8.6904319385674178</v>
      </c>
      <c r="CT193" s="2217">
        <f t="shared" si="107"/>
        <v>6392.8781080476174</v>
      </c>
      <c r="CU193" s="2217">
        <f t="shared" si="97"/>
        <v>1.9330133788389503</v>
      </c>
      <c r="CV193" s="2212">
        <v>142</v>
      </c>
      <c r="CW193" s="2208"/>
      <c r="CX193" s="263"/>
      <c r="CY193" s="2208"/>
      <c r="CZ193" s="263"/>
      <c r="DA193" s="263"/>
      <c r="DB193" s="263"/>
      <c r="DC193" s="263"/>
      <c r="DD193" s="2208"/>
    </row>
    <row r="194" spans="1:108">
      <c r="A194" s="2217">
        <f t="shared" si="108"/>
        <v>5.3270040555121767</v>
      </c>
      <c r="B194" s="2217">
        <f t="shared" si="90"/>
        <v>8021.7608809864987</v>
      </c>
      <c r="C194" s="2217">
        <f t="shared" si="98"/>
        <v>14.458264396097547</v>
      </c>
      <c r="D194" s="2212">
        <v>141</v>
      </c>
      <c r="E194" s="2219"/>
      <c r="F194" s="2213"/>
      <c r="G194" s="2219"/>
      <c r="H194" s="2213"/>
      <c r="I194" s="2213"/>
      <c r="J194" s="2213"/>
      <c r="K194" s="2213"/>
      <c r="L194" s="2213"/>
      <c r="M194" s="2217">
        <f t="shared" si="109"/>
        <v>6.3390825632390069</v>
      </c>
      <c r="N194" s="2217">
        <f t="shared" si="91"/>
        <v>8021.7608809864987</v>
      </c>
      <c r="O194" s="2217">
        <f t="shared" si="99"/>
        <v>14.458264396097547</v>
      </c>
      <c r="P194" s="2212">
        <v>141</v>
      </c>
      <c r="Q194" s="2219"/>
      <c r="R194" s="2213"/>
      <c r="S194" s="2219"/>
      <c r="T194" s="2213"/>
      <c r="U194" s="2213"/>
      <c r="V194" s="2213"/>
      <c r="W194" s="2213"/>
      <c r="X194" s="2213"/>
      <c r="Y194" s="2217">
        <f t="shared" si="110"/>
        <v>7.640326358887787</v>
      </c>
      <c r="Z194" s="2217">
        <f t="shared" si="100"/>
        <v>8021.7608809864987</v>
      </c>
      <c r="AA194" s="2217">
        <f t="shared" si="101"/>
        <v>14.458264396097547</v>
      </c>
      <c r="AB194" s="2212">
        <v>141</v>
      </c>
      <c r="AC194" s="2219"/>
      <c r="AD194" s="2213"/>
      <c r="AE194" s="2219"/>
      <c r="AF194" s="2213"/>
      <c r="AG194" s="2213"/>
      <c r="AH194" s="2213"/>
      <c r="AI194" s="2213"/>
      <c r="AJ194" s="2213"/>
      <c r="AK194" s="2217">
        <f t="shared" si="111"/>
        <v>1.4232726685658399</v>
      </c>
      <c r="AL194" s="2217">
        <f t="shared" si="92"/>
        <v>8021.7608809864987</v>
      </c>
      <c r="AM194" s="2217">
        <f t="shared" si="102"/>
        <v>14.458264396097547</v>
      </c>
      <c r="AN194" s="2212">
        <v>141</v>
      </c>
      <c r="AO194" s="2219"/>
      <c r="AP194" s="2213"/>
      <c r="AQ194" s="2219"/>
      <c r="AR194" s="2213"/>
      <c r="AS194" s="2213"/>
      <c r="AT194" s="2213"/>
      <c r="AU194" s="2213"/>
      <c r="AV194" s="2213"/>
      <c r="AW194" s="2217">
        <f t="shared" si="112"/>
        <v>-8.9102991400801699</v>
      </c>
      <c r="AX194" s="2217">
        <f t="shared" si="103"/>
        <v>6390.9450946687784</v>
      </c>
      <c r="AY194" s="2217">
        <f t="shared" si="93"/>
        <v>2.2544347735092742</v>
      </c>
      <c r="AZ194" s="2212">
        <v>141</v>
      </c>
      <c r="BA194" s="2208"/>
      <c r="BB194" s="263"/>
      <c r="BC194" s="2208"/>
      <c r="BD194" s="263"/>
      <c r="BE194" s="263"/>
      <c r="BF194" s="263"/>
      <c r="BG194" s="263"/>
      <c r="BH194" s="2208"/>
      <c r="BI194" s="2217">
        <f t="shared" si="113"/>
        <v>-8.2114243602922947</v>
      </c>
      <c r="BJ194" s="2217">
        <f t="shared" si="104"/>
        <v>6390.9450946687784</v>
      </c>
      <c r="BK194" s="2217">
        <f t="shared" si="94"/>
        <v>2.2544347735092742</v>
      </c>
      <c r="BL194" s="2212">
        <v>141</v>
      </c>
      <c r="BM194" s="2208"/>
      <c r="BN194" s="263"/>
      <c r="BO194" s="2208"/>
      <c r="BP194" s="263"/>
      <c r="BQ194" s="263"/>
      <c r="BR194" s="263"/>
      <c r="BS194" s="263"/>
      <c r="BT194" s="2208"/>
      <c r="BU194" s="2217">
        <f t="shared" si="114"/>
        <v>1.4232726685658399</v>
      </c>
      <c r="BV194" s="2217">
        <f t="shared" si="95"/>
        <v>8021.7608809864987</v>
      </c>
      <c r="BW194" s="2217">
        <f t="shared" si="105"/>
        <v>14.458264396097547</v>
      </c>
      <c r="BX194" s="2212">
        <v>141</v>
      </c>
      <c r="BY194" s="2219"/>
      <c r="BZ194" s="2213"/>
      <c r="CA194" s="2219"/>
      <c r="CB194" s="2213"/>
      <c r="CC194" s="2213"/>
      <c r="CD194" s="2213"/>
      <c r="CE194" s="2213"/>
      <c r="CF194" s="2208"/>
      <c r="CG194" s="2217">
        <f t="shared" si="115"/>
        <v>3.1582643960975467</v>
      </c>
      <c r="CH194" s="2217">
        <f t="shared" si="96"/>
        <v>8021.7608809864987</v>
      </c>
      <c r="CI194" s="2217">
        <f t="shared" si="106"/>
        <v>14.458264396097547</v>
      </c>
      <c r="CJ194" s="2212">
        <v>141</v>
      </c>
      <c r="CK194" s="2219"/>
      <c r="CL194" s="2213"/>
      <c r="CM194" s="2219"/>
      <c r="CN194" s="2213"/>
      <c r="CO194" s="2213"/>
      <c r="CP194" s="2213"/>
      <c r="CQ194" s="2213"/>
      <c r="CR194" s="2208"/>
      <c r="CS194" s="2217">
        <f t="shared" si="116"/>
        <v>-8.2565130557624808</v>
      </c>
      <c r="CT194" s="2217">
        <f t="shared" si="107"/>
        <v>6390.9450946687784</v>
      </c>
      <c r="CU194" s="2217">
        <f t="shared" si="97"/>
        <v>2.2544347735092742</v>
      </c>
      <c r="CV194" s="2212">
        <v>141</v>
      </c>
      <c r="CW194" s="2208"/>
      <c r="CX194" s="263"/>
      <c r="CY194" s="2208"/>
      <c r="CZ194" s="263"/>
      <c r="DA194" s="263"/>
      <c r="DB194" s="263"/>
      <c r="DC194" s="263"/>
      <c r="DD194" s="2208"/>
    </row>
    <row r="195" spans="1:108">
      <c r="A195" s="2217">
        <f t="shared" si="108"/>
        <v>5.5410427279871293</v>
      </c>
      <c r="B195" s="2217">
        <f t="shared" si="90"/>
        <v>8007.3026165904012</v>
      </c>
      <c r="C195" s="2217">
        <f t="shared" si="98"/>
        <v>14.644384980858376</v>
      </c>
      <c r="D195" s="2212">
        <v>140</v>
      </c>
      <c r="E195" s="2219"/>
      <c r="F195" s="2213"/>
      <c r="G195" s="2219"/>
      <c r="H195" s="2213"/>
      <c r="I195" s="2213"/>
      <c r="J195" s="2213"/>
      <c r="K195" s="2213"/>
      <c r="L195" s="2213"/>
      <c r="M195" s="2217">
        <f t="shared" si="109"/>
        <v>6.5661496766472176</v>
      </c>
      <c r="N195" s="2217">
        <f t="shared" si="91"/>
        <v>8007.3026165904012</v>
      </c>
      <c r="O195" s="2217">
        <f t="shared" si="99"/>
        <v>14.644384980858376</v>
      </c>
      <c r="P195" s="2212">
        <v>140</v>
      </c>
      <c r="Q195" s="2219"/>
      <c r="R195" s="2213"/>
      <c r="S195" s="2219"/>
      <c r="T195" s="2213"/>
      <c r="U195" s="2213"/>
      <c r="V195" s="2213"/>
      <c r="W195" s="2213"/>
      <c r="X195" s="2213"/>
      <c r="Y195" s="2217">
        <f t="shared" si="110"/>
        <v>7.884144324924474</v>
      </c>
      <c r="Z195" s="2217">
        <f t="shared" si="100"/>
        <v>8007.3026165904012</v>
      </c>
      <c r="AA195" s="2217">
        <f t="shared" si="101"/>
        <v>14.644384980858376</v>
      </c>
      <c r="AB195" s="2212">
        <v>140</v>
      </c>
      <c r="AC195" s="2219"/>
      <c r="AD195" s="2213"/>
      <c r="AE195" s="2219"/>
      <c r="AF195" s="2213"/>
      <c r="AG195" s="2213"/>
      <c r="AH195" s="2213"/>
      <c r="AI195" s="2213"/>
      <c r="AJ195" s="2213"/>
      <c r="AK195" s="2217">
        <f t="shared" si="111"/>
        <v>1.5870587831553689</v>
      </c>
      <c r="AL195" s="2217">
        <f t="shared" si="92"/>
        <v>8007.3026165904012</v>
      </c>
      <c r="AM195" s="2217">
        <f t="shared" si="102"/>
        <v>14.644384980858376</v>
      </c>
      <c r="AN195" s="2212">
        <v>140</v>
      </c>
      <c r="AO195" s="2219"/>
      <c r="AP195" s="2213"/>
      <c r="AQ195" s="2219"/>
      <c r="AR195" s="2213"/>
      <c r="AS195" s="2213"/>
      <c r="AT195" s="2213"/>
      <c r="AU195" s="2213"/>
      <c r="AV195" s="2213"/>
      <c r="AW195" s="2217">
        <f t="shared" si="112"/>
        <v>-8.5697577417036701</v>
      </c>
      <c r="AX195" s="2217">
        <f t="shared" si="103"/>
        <v>6388.6906598952692</v>
      </c>
      <c r="AY195" s="2217">
        <f t="shared" si="93"/>
        <v>2.575700243675783</v>
      </c>
      <c r="AZ195" s="2212">
        <v>140</v>
      </c>
      <c r="BA195" s="2208"/>
      <c r="BB195" s="263"/>
      <c r="BC195" s="2208"/>
      <c r="BD195" s="263"/>
      <c r="BE195" s="263"/>
      <c r="BF195" s="263"/>
      <c r="BG195" s="263"/>
      <c r="BH195" s="2208"/>
      <c r="BI195" s="2217">
        <f t="shared" si="113"/>
        <v>-7.7712906661641776</v>
      </c>
      <c r="BJ195" s="2217">
        <f t="shared" si="104"/>
        <v>6388.6906598952692</v>
      </c>
      <c r="BK195" s="2217">
        <f t="shared" si="94"/>
        <v>2.575700243675783</v>
      </c>
      <c r="BL195" s="2212">
        <v>140</v>
      </c>
      <c r="BM195" s="2208"/>
      <c r="BN195" s="263"/>
      <c r="BO195" s="2208"/>
      <c r="BP195" s="263"/>
      <c r="BQ195" s="263"/>
      <c r="BR195" s="263"/>
      <c r="BS195" s="263"/>
      <c r="BT195" s="2208"/>
      <c r="BU195" s="2217">
        <f t="shared" si="114"/>
        <v>1.5870587831553689</v>
      </c>
      <c r="BV195" s="2217">
        <f t="shared" si="95"/>
        <v>8007.3026165904012</v>
      </c>
      <c r="BW195" s="2217">
        <f t="shared" si="105"/>
        <v>14.644384980858376</v>
      </c>
      <c r="BX195" s="2212">
        <v>140</v>
      </c>
      <c r="BY195" s="2219"/>
      <c r="BZ195" s="2213"/>
      <c r="CA195" s="2219"/>
      <c r="CB195" s="2213"/>
      <c r="CC195" s="2213"/>
      <c r="CD195" s="2213"/>
      <c r="CE195" s="2213"/>
      <c r="CF195" s="2208"/>
      <c r="CG195" s="2217">
        <f t="shared" si="115"/>
        <v>3.3443849808583757</v>
      </c>
      <c r="CH195" s="2217">
        <f t="shared" si="96"/>
        <v>8007.3026165904012</v>
      </c>
      <c r="CI195" s="2217">
        <f t="shared" si="106"/>
        <v>14.644384980858376</v>
      </c>
      <c r="CJ195" s="2212">
        <v>140</v>
      </c>
      <c r="CK195" s="2219"/>
      <c r="CL195" s="2213"/>
      <c r="CM195" s="2219"/>
      <c r="CN195" s="2213"/>
      <c r="CO195" s="2213"/>
      <c r="CP195" s="2213"/>
      <c r="CQ195" s="2213"/>
      <c r="CR195" s="2208"/>
      <c r="CS195" s="2217">
        <f t="shared" si="116"/>
        <v>-7.8228046710376935</v>
      </c>
      <c r="CT195" s="2217">
        <f t="shared" si="107"/>
        <v>6388.6906598952692</v>
      </c>
      <c r="CU195" s="2217">
        <f t="shared" si="97"/>
        <v>2.575700243675783</v>
      </c>
      <c r="CV195" s="2212">
        <v>140</v>
      </c>
      <c r="CW195" s="2208"/>
      <c r="CX195" s="263"/>
      <c r="CY195" s="2208"/>
      <c r="CZ195" s="263"/>
      <c r="DA195" s="263"/>
      <c r="DB195" s="263"/>
      <c r="DC195" s="263"/>
      <c r="DD195" s="2208"/>
    </row>
    <row r="196" spans="1:108">
      <c r="A196" s="2217">
        <f t="shared" si="108"/>
        <v>5.756050307975098</v>
      </c>
      <c r="B196" s="2217">
        <f t="shared" si="90"/>
        <v>7992.6582316095428</v>
      </c>
      <c r="C196" s="2217">
        <f t="shared" si="98"/>
        <v>14.831348093891393</v>
      </c>
      <c r="D196" s="2212">
        <v>139</v>
      </c>
      <c r="E196" s="2219"/>
      <c r="F196" s="2213"/>
      <c r="G196" s="2219"/>
      <c r="H196" s="2213"/>
      <c r="I196" s="2213"/>
      <c r="J196" s="2213"/>
      <c r="K196" s="2213"/>
      <c r="L196" s="2213"/>
      <c r="M196" s="2217">
        <f t="shared" si="109"/>
        <v>6.7942446745474996</v>
      </c>
      <c r="N196" s="2217">
        <f t="shared" si="91"/>
        <v>7992.6582316095428</v>
      </c>
      <c r="O196" s="2217">
        <f t="shared" si="99"/>
        <v>14.831348093891393</v>
      </c>
      <c r="P196" s="2212">
        <v>139</v>
      </c>
      <c r="Q196" s="2219"/>
      <c r="R196" s="2213"/>
      <c r="S196" s="2219"/>
      <c r="T196" s="2213"/>
      <c r="U196" s="2213"/>
      <c r="V196" s="2213"/>
      <c r="W196" s="2213"/>
      <c r="X196" s="2213"/>
      <c r="Y196" s="2217">
        <f t="shared" si="110"/>
        <v>8.1290660029977246</v>
      </c>
      <c r="Z196" s="2217">
        <f t="shared" si="100"/>
        <v>7992.6582316095428</v>
      </c>
      <c r="AA196" s="2217">
        <f t="shared" si="101"/>
        <v>14.831348093891393</v>
      </c>
      <c r="AB196" s="2212">
        <v>139</v>
      </c>
      <c r="AC196" s="2219"/>
      <c r="AD196" s="2213"/>
      <c r="AE196" s="2219"/>
      <c r="AF196" s="2213"/>
      <c r="AG196" s="2213"/>
      <c r="AH196" s="2213"/>
      <c r="AI196" s="2213"/>
      <c r="AJ196" s="2213"/>
      <c r="AK196" s="2217">
        <f t="shared" si="111"/>
        <v>1.7515863226244228</v>
      </c>
      <c r="AL196" s="2217">
        <f t="shared" si="92"/>
        <v>7992.6582316095428</v>
      </c>
      <c r="AM196" s="2217">
        <f t="shared" si="102"/>
        <v>14.831348093891393</v>
      </c>
      <c r="AN196" s="2212">
        <v>139</v>
      </c>
      <c r="AO196" s="2219"/>
      <c r="AP196" s="2213"/>
      <c r="AQ196" s="2219"/>
      <c r="AR196" s="2213"/>
      <c r="AS196" s="2213"/>
      <c r="AT196" s="2213"/>
      <c r="AU196" s="2213"/>
      <c r="AV196" s="2213"/>
      <c r="AW196" s="2217">
        <f t="shared" si="112"/>
        <v>-8.2293816232944668</v>
      </c>
      <c r="AX196" s="2217">
        <f t="shared" si="103"/>
        <v>6386.1149596515934</v>
      </c>
      <c r="AY196" s="2217">
        <f t="shared" si="93"/>
        <v>2.896809789344843</v>
      </c>
      <c r="AZ196" s="2212">
        <v>139</v>
      </c>
      <c r="BA196" s="2208"/>
      <c r="BB196" s="263"/>
      <c r="BC196" s="2208"/>
      <c r="BD196" s="263"/>
      <c r="BE196" s="263"/>
      <c r="BF196" s="263"/>
      <c r="BG196" s="263"/>
      <c r="BH196" s="2208"/>
      <c r="BI196" s="2217">
        <f t="shared" si="113"/>
        <v>-7.3313705885975651</v>
      </c>
      <c r="BJ196" s="2217">
        <f t="shared" si="104"/>
        <v>6386.1149596515934</v>
      </c>
      <c r="BK196" s="2217">
        <f t="shared" si="94"/>
        <v>2.896809789344843</v>
      </c>
      <c r="BL196" s="2212">
        <v>139</v>
      </c>
      <c r="BM196" s="2208"/>
      <c r="BN196" s="263"/>
      <c r="BO196" s="2208"/>
      <c r="BP196" s="263"/>
      <c r="BQ196" s="263"/>
      <c r="BR196" s="263"/>
      <c r="BS196" s="263"/>
      <c r="BT196" s="2208"/>
      <c r="BU196" s="2217">
        <f t="shared" si="114"/>
        <v>1.7515863226244228</v>
      </c>
      <c r="BV196" s="2217">
        <f t="shared" si="95"/>
        <v>7992.6582316095428</v>
      </c>
      <c r="BW196" s="2217">
        <f t="shared" si="105"/>
        <v>14.831348093891393</v>
      </c>
      <c r="BX196" s="2212">
        <v>139</v>
      </c>
      <c r="BY196" s="2219"/>
      <c r="BZ196" s="2213"/>
      <c r="CA196" s="2219"/>
      <c r="CB196" s="2213"/>
      <c r="CC196" s="2213"/>
      <c r="CD196" s="2213"/>
      <c r="CE196" s="2213"/>
      <c r="CF196" s="2208"/>
      <c r="CG196" s="2217">
        <f t="shared" si="115"/>
        <v>3.5313480938913919</v>
      </c>
      <c r="CH196" s="2217">
        <f t="shared" si="96"/>
        <v>7992.6582316095428</v>
      </c>
      <c r="CI196" s="2217">
        <f t="shared" si="106"/>
        <v>14.831348093891393</v>
      </c>
      <c r="CJ196" s="2212">
        <v>139</v>
      </c>
      <c r="CK196" s="2219"/>
      <c r="CL196" s="2213"/>
      <c r="CM196" s="2219"/>
      <c r="CN196" s="2213"/>
      <c r="CO196" s="2213"/>
      <c r="CP196" s="2213"/>
      <c r="CQ196" s="2213"/>
      <c r="CR196" s="2208"/>
      <c r="CS196" s="2217">
        <f t="shared" si="116"/>
        <v>-7.3893067843844626</v>
      </c>
      <c r="CT196" s="2217">
        <f t="shared" si="107"/>
        <v>6386.1149596515934</v>
      </c>
      <c r="CU196" s="2217">
        <f t="shared" si="97"/>
        <v>2.896809789344843</v>
      </c>
      <c r="CV196" s="2212">
        <v>139</v>
      </c>
      <c r="CW196" s="2208"/>
      <c r="CX196" s="263"/>
      <c r="CY196" s="2208"/>
      <c r="CZ196" s="263"/>
      <c r="DA196" s="263"/>
      <c r="DB196" s="263"/>
      <c r="DC196" s="263"/>
      <c r="DD196" s="2208"/>
    </row>
    <row r="197" spans="1:108">
      <c r="A197" s="2217">
        <f t="shared" si="108"/>
        <v>5.9720267954729458</v>
      </c>
      <c r="B197" s="2217">
        <f t="shared" si="90"/>
        <v>7977.8268835156514</v>
      </c>
      <c r="C197" s="2217">
        <f t="shared" si="98"/>
        <v>15.019153735193868</v>
      </c>
      <c r="D197" s="2212">
        <v>138</v>
      </c>
      <c r="E197" s="2219"/>
      <c r="F197" s="2213"/>
      <c r="G197" s="2219"/>
      <c r="H197" s="2213"/>
      <c r="I197" s="2213"/>
      <c r="J197" s="2213"/>
      <c r="K197" s="2213"/>
      <c r="L197" s="2213"/>
      <c r="M197" s="2217">
        <f t="shared" si="109"/>
        <v>7.0233675569365168</v>
      </c>
      <c r="N197" s="2217">
        <f t="shared" si="91"/>
        <v>7977.8268835156514</v>
      </c>
      <c r="O197" s="2217">
        <f t="shared" si="99"/>
        <v>15.019153735193868</v>
      </c>
      <c r="P197" s="2212">
        <v>138</v>
      </c>
      <c r="Q197" s="2219"/>
      <c r="R197" s="2213"/>
      <c r="S197" s="2219"/>
      <c r="T197" s="2213"/>
      <c r="U197" s="2213"/>
      <c r="V197" s="2213"/>
      <c r="W197" s="2213"/>
      <c r="X197" s="2213"/>
      <c r="Y197" s="2217">
        <f t="shared" si="110"/>
        <v>8.3750913931039683</v>
      </c>
      <c r="Z197" s="2217">
        <f t="shared" si="100"/>
        <v>7977.8268835156514</v>
      </c>
      <c r="AA197" s="2217">
        <f t="shared" si="101"/>
        <v>15.019153735193868</v>
      </c>
      <c r="AB197" s="2212">
        <v>138</v>
      </c>
      <c r="AC197" s="2219"/>
      <c r="AD197" s="2213"/>
      <c r="AE197" s="2219"/>
      <c r="AF197" s="2213"/>
      <c r="AG197" s="2213"/>
      <c r="AH197" s="2213"/>
      <c r="AI197" s="2213"/>
      <c r="AJ197" s="2213"/>
      <c r="AK197" s="2217">
        <f t="shared" si="111"/>
        <v>1.9168552869706019</v>
      </c>
      <c r="AL197" s="2217">
        <f t="shared" si="92"/>
        <v>7977.8268835156514</v>
      </c>
      <c r="AM197" s="2217">
        <f t="shared" si="102"/>
        <v>15.019153735193868</v>
      </c>
      <c r="AN197" s="2212">
        <v>138</v>
      </c>
      <c r="AO197" s="2219"/>
      <c r="AP197" s="2213"/>
      <c r="AQ197" s="2219"/>
      <c r="AR197" s="2213"/>
      <c r="AS197" s="2213"/>
      <c r="AT197" s="2213"/>
      <c r="AU197" s="2213"/>
      <c r="AV197" s="2213"/>
      <c r="AW197" s="2217">
        <f t="shared" si="112"/>
        <v>-7.8891707848564154</v>
      </c>
      <c r="AX197" s="2217">
        <f t="shared" si="103"/>
        <v>6383.2181498622485</v>
      </c>
      <c r="AY197" s="2217">
        <f t="shared" si="93"/>
        <v>3.2177634105128163</v>
      </c>
      <c r="AZ197" s="2212">
        <v>138</v>
      </c>
      <c r="BA197" s="2208"/>
      <c r="BB197" s="263"/>
      <c r="BC197" s="2208"/>
      <c r="BD197" s="263"/>
      <c r="BE197" s="263"/>
      <c r="BF197" s="263"/>
      <c r="BG197" s="263"/>
      <c r="BH197" s="2208"/>
      <c r="BI197" s="2217">
        <f t="shared" si="113"/>
        <v>-6.8916641275974424</v>
      </c>
      <c r="BJ197" s="2217">
        <f t="shared" si="104"/>
        <v>6383.2181498622485</v>
      </c>
      <c r="BK197" s="2217">
        <f t="shared" si="94"/>
        <v>3.2177634105128163</v>
      </c>
      <c r="BL197" s="2212">
        <v>138</v>
      </c>
      <c r="BM197" s="2208"/>
      <c r="BN197" s="263"/>
      <c r="BO197" s="2208"/>
      <c r="BP197" s="263"/>
      <c r="BQ197" s="263"/>
      <c r="BR197" s="263"/>
      <c r="BS197" s="263"/>
      <c r="BT197" s="2208"/>
      <c r="BU197" s="2217">
        <f t="shared" si="114"/>
        <v>1.9168552869706019</v>
      </c>
      <c r="BV197" s="2217">
        <f t="shared" si="95"/>
        <v>7977.8268835156514</v>
      </c>
      <c r="BW197" s="2217">
        <f t="shared" si="105"/>
        <v>15.019153735193868</v>
      </c>
      <c r="BX197" s="2212">
        <v>138</v>
      </c>
      <c r="BY197" s="2219"/>
      <c r="BZ197" s="2213"/>
      <c r="CA197" s="2219"/>
      <c r="CB197" s="2213"/>
      <c r="CC197" s="2213"/>
      <c r="CD197" s="2213"/>
      <c r="CE197" s="2213"/>
      <c r="CF197" s="2208"/>
      <c r="CG197" s="2217">
        <f t="shared" si="115"/>
        <v>3.719153735193867</v>
      </c>
      <c r="CH197" s="2217">
        <f t="shared" si="96"/>
        <v>7977.8268835156514</v>
      </c>
      <c r="CI197" s="2217">
        <f t="shared" si="106"/>
        <v>15.019153735193868</v>
      </c>
      <c r="CJ197" s="2212">
        <v>138</v>
      </c>
      <c r="CK197" s="2219"/>
      <c r="CL197" s="2213"/>
      <c r="CM197" s="2219"/>
      <c r="CN197" s="2213"/>
      <c r="CO197" s="2213"/>
      <c r="CP197" s="2213"/>
      <c r="CQ197" s="2213"/>
      <c r="CR197" s="2208"/>
      <c r="CS197" s="2217">
        <f t="shared" si="116"/>
        <v>-6.9560193958076981</v>
      </c>
      <c r="CT197" s="2217">
        <f t="shared" si="107"/>
        <v>6383.2181498622485</v>
      </c>
      <c r="CU197" s="2217">
        <f t="shared" si="97"/>
        <v>3.2177634105128163</v>
      </c>
      <c r="CV197" s="2212">
        <v>138</v>
      </c>
      <c r="CW197" s="2208"/>
      <c r="CX197" s="263"/>
      <c r="CY197" s="2208"/>
      <c r="CZ197" s="263"/>
      <c r="DA197" s="263"/>
      <c r="DB197" s="263"/>
      <c r="DC197" s="263"/>
      <c r="DD197" s="2208"/>
    </row>
    <row r="198" spans="1:108">
      <c r="A198" s="2217">
        <f t="shared" si="108"/>
        <v>6.1889721904764876</v>
      </c>
      <c r="B198" s="2217">
        <f t="shared" si="90"/>
        <v>7962.8077297804575</v>
      </c>
      <c r="C198" s="2217">
        <f t="shared" si="98"/>
        <v>15.207801904762164</v>
      </c>
      <c r="D198" s="2212">
        <v>137</v>
      </c>
      <c r="E198" s="2219"/>
      <c r="F198" s="2213"/>
      <c r="G198" s="2219"/>
      <c r="H198" s="2213"/>
      <c r="I198" s="2213"/>
      <c r="J198" s="2213"/>
      <c r="K198" s="2213"/>
      <c r="L198" s="2213"/>
      <c r="M198" s="2217">
        <f t="shared" si="109"/>
        <v>7.2535183238098391</v>
      </c>
      <c r="N198" s="2217">
        <f t="shared" si="91"/>
        <v>7962.8077297804575</v>
      </c>
      <c r="O198" s="2217">
        <f t="shared" si="99"/>
        <v>15.207801904762164</v>
      </c>
      <c r="P198" s="2212">
        <v>137</v>
      </c>
      <c r="Q198" s="2219"/>
      <c r="R198" s="2213"/>
      <c r="S198" s="2219"/>
      <c r="T198" s="2213"/>
      <c r="U198" s="2213"/>
      <c r="V198" s="2213"/>
      <c r="W198" s="2213"/>
      <c r="X198" s="2213"/>
      <c r="Y198" s="2217">
        <f t="shared" si="110"/>
        <v>8.6222204952384338</v>
      </c>
      <c r="Z198" s="2217">
        <f t="shared" si="100"/>
        <v>7962.8077297804575</v>
      </c>
      <c r="AA198" s="2217">
        <f t="shared" si="101"/>
        <v>15.207801904762164</v>
      </c>
      <c r="AB198" s="2212">
        <v>137</v>
      </c>
      <c r="AC198" s="2219"/>
      <c r="AD198" s="2213"/>
      <c r="AE198" s="2219"/>
      <c r="AF198" s="2213"/>
      <c r="AG198" s="2213"/>
      <c r="AH198" s="2213"/>
      <c r="AI198" s="2213"/>
      <c r="AJ198" s="2213"/>
      <c r="AK198" s="2217">
        <f t="shared" si="111"/>
        <v>2.0828656761907016</v>
      </c>
      <c r="AL198" s="2217">
        <f t="shared" si="92"/>
        <v>7962.8077297804575</v>
      </c>
      <c r="AM198" s="2217">
        <f t="shared" si="102"/>
        <v>15.207801904762164</v>
      </c>
      <c r="AN198" s="2212">
        <v>137</v>
      </c>
      <c r="AO198" s="2219"/>
      <c r="AP198" s="2213"/>
      <c r="AQ198" s="2219"/>
      <c r="AR198" s="2213"/>
      <c r="AS198" s="2213"/>
      <c r="AT198" s="2213"/>
      <c r="AU198" s="2213"/>
      <c r="AV198" s="2213"/>
      <c r="AW198" s="2217">
        <f t="shared" si="112"/>
        <v>-7.5491252263904798</v>
      </c>
      <c r="AX198" s="2217">
        <f t="shared" si="103"/>
        <v>6380.0003864517357</v>
      </c>
      <c r="AY198" s="2217">
        <f t="shared" si="93"/>
        <v>3.5385611071787935</v>
      </c>
      <c r="AZ198" s="2212">
        <v>137</v>
      </c>
      <c r="BA198" s="2208"/>
      <c r="BB198" s="263"/>
      <c r="BC198" s="2208"/>
      <c r="BD198" s="263"/>
      <c r="BE198" s="263"/>
      <c r="BF198" s="263"/>
      <c r="BG198" s="263"/>
      <c r="BH198" s="2208"/>
      <c r="BI198" s="2217">
        <f t="shared" si="113"/>
        <v>-6.4521712831650531</v>
      </c>
      <c r="BJ198" s="2217">
        <f t="shared" si="104"/>
        <v>6380.0003864517357</v>
      </c>
      <c r="BK198" s="2217">
        <f t="shared" si="94"/>
        <v>3.5385611071787935</v>
      </c>
      <c r="BL198" s="2212">
        <v>137</v>
      </c>
      <c r="BM198" s="2208"/>
      <c r="BN198" s="263"/>
      <c r="BO198" s="2208"/>
      <c r="BP198" s="263"/>
      <c r="BQ198" s="263"/>
      <c r="BR198" s="263"/>
      <c r="BS198" s="263"/>
      <c r="BT198" s="2208"/>
      <c r="BU198" s="2217">
        <f t="shared" si="114"/>
        <v>2.0828656761907016</v>
      </c>
      <c r="BV198" s="2217">
        <f t="shared" si="95"/>
        <v>7962.8077297804575</v>
      </c>
      <c r="BW198" s="2217">
        <f t="shared" si="105"/>
        <v>15.207801904762164</v>
      </c>
      <c r="BX198" s="2212">
        <v>137</v>
      </c>
      <c r="BY198" s="2219"/>
      <c r="BZ198" s="2213"/>
      <c r="CA198" s="2219"/>
      <c r="CB198" s="2213"/>
      <c r="CC198" s="2213"/>
      <c r="CD198" s="2213"/>
      <c r="CE198" s="2213"/>
      <c r="CF198" s="2208"/>
      <c r="CG198" s="2217">
        <f t="shared" si="115"/>
        <v>3.907801904762163</v>
      </c>
      <c r="CH198" s="2217">
        <f t="shared" si="96"/>
        <v>7962.8077297804575</v>
      </c>
      <c r="CI198" s="2217">
        <f t="shared" si="106"/>
        <v>15.207801904762164</v>
      </c>
      <c r="CJ198" s="2212">
        <v>137</v>
      </c>
      <c r="CK198" s="2219"/>
      <c r="CL198" s="2213"/>
      <c r="CM198" s="2219"/>
      <c r="CN198" s="2213"/>
      <c r="CO198" s="2213"/>
      <c r="CP198" s="2213"/>
      <c r="CQ198" s="2213"/>
      <c r="CR198" s="2208"/>
      <c r="CS198" s="2217">
        <f t="shared" si="116"/>
        <v>-6.5229425053086292</v>
      </c>
      <c r="CT198" s="2217">
        <f t="shared" si="107"/>
        <v>6380.0003864517357</v>
      </c>
      <c r="CU198" s="2217">
        <f t="shared" si="97"/>
        <v>3.5385611071787935</v>
      </c>
      <c r="CV198" s="2212">
        <v>137</v>
      </c>
      <c r="CW198" s="2208"/>
      <c r="CX198" s="263"/>
      <c r="CY198" s="2208"/>
      <c r="CZ198" s="263"/>
      <c r="DA198" s="263"/>
      <c r="DB198" s="263"/>
      <c r="DC198" s="263"/>
      <c r="DD198" s="2208"/>
    </row>
    <row r="199" spans="1:108">
      <c r="A199" s="2217">
        <f t="shared" si="108"/>
        <v>6.4068864929972271</v>
      </c>
      <c r="B199" s="2217">
        <f t="shared" si="90"/>
        <v>7947.5999278756954</v>
      </c>
      <c r="C199" s="2217">
        <f t="shared" si="98"/>
        <v>15.397292602606285</v>
      </c>
      <c r="D199" s="2212">
        <v>136</v>
      </c>
      <c r="E199" s="2219"/>
      <c r="F199" s="2213"/>
      <c r="G199" s="2219"/>
      <c r="H199" s="2213"/>
      <c r="I199" s="2213"/>
      <c r="J199" s="2213"/>
      <c r="K199" s="2213"/>
      <c r="L199" s="2213"/>
      <c r="M199" s="2217">
        <f t="shared" si="109"/>
        <v>7.4846969751796664</v>
      </c>
      <c r="N199" s="2217">
        <f t="shared" si="91"/>
        <v>7947.5999278756954</v>
      </c>
      <c r="O199" s="2217">
        <f t="shared" si="99"/>
        <v>15.397292602606285</v>
      </c>
      <c r="P199" s="2212">
        <v>136</v>
      </c>
      <c r="Q199" s="2219"/>
      <c r="R199" s="2213"/>
      <c r="S199" s="2219"/>
      <c r="T199" s="2213"/>
      <c r="U199" s="2213"/>
      <c r="V199" s="2213"/>
      <c r="W199" s="2213"/>
      <c r="X199" s="2213"/>
      <c r="Y199" s="2217">
        <f t="shared" si="110"/>
        <v>8.8704533094142342</v>
      </c>
      <c r="Z199" s="2217">
        <f t="shared" si="100"/>
        <v>7947.5999278756954</v>
      </c>
      <c r="AA199" s="2217">
        <f t="shared" si="101"/>
        <v>15.397292602606285</v>
      </c>
      <c r="AB199" s="2212">
        <v>136</v>
      </c>
      <c r="AC199" s="2219"/>
      <c r="AD199" s="2213"/>
      <c r="AE199" s="2219"/>
      <c r="AF199" s="2213"/>
      <c r="AG199" s="2213"/>
      <c r="AH199" s="2213"/>
      <c r="AI199" s="2213"/>
      <c r="AJ199" s="2213"/>
      <c r="AK199" s="2217">
        <f t="shared" si="111"/>
        <v>2.2496174902935291</v>
      </c>
      <c r="AL199" s="2217">
        <f t="shared" si="92"/>
        <v>7947.5999278756954</v>
      </c>
      <c r="AM199" s="2217">
        <f t="shared" si="102"/>
        <v>15.397292602606285</v>
      </c>
      <c r="AN199" s="2212">
        <v>136</v>
      </c>
      <c r="AO199" s="2219"/>
      <c r="AP199" s="2213"/>
      <c r="AQ199" s="2219"/>
      <c r="AR199" s="2213"/>
      <c r="AS199" s="2213"/>
      <c r="AT199" s="2213"/>
      <c r="AU199" s="2213"/>
      <c r="AV199" s="2213"/>
      <c r="AW199" s="2217">
        <f t="shared" si="112"/>
        <v>-7.2092449478918397</v>
      </c>
      <c r="AX199" s="2217">
        <f t="shared" si="103"/>
        <v>6376.4618253445569</v>
      </c>
      <c r="AY199" s="2217">
        <f t="shared" si="93"/>
        <v>3.8592028793473219</v>
      </c>
      <c r="AZ199" s="2212">
        <v>136</v>
      </c>
      <c r="BA199" s="2208"/>
      <c r="BB199" s="263"/>
      <c r="BC199" s="2208"/>
      <c r="BD199" s="263"/>
      <c r="BE199" s="263"/>
      <c r="BF199" s="263"/>
      <c r="BG199" s="263"/>
      <c r="BH199" s="2208"/>
      <c r="BI199" s="2217">
        <f t="shared" si="113"/>
        <v>-6.0128920552941691</v>
      </c>
      <c r="BJ199" s="2217">
        <f t="shared" si="104"/>
        <v>6376.4618253445569</v>
      </c>
      <c r="BK199" s="2217">
        <f t="shared" si="94"/>
        <v>3.8592028793473219</v>
      </c>
      <c r="BL199" s="2212">
        <v>136</v>
      </c>
      <c r="BM199" s="2208"/>
      <c r="BN199" s="263"/>
      <c r="BO199" s="2208"/>
      <c r="BP199" s="263"/>
      <c r="BQ199" s="263"/>
      <c r="BR199" s="263"/>
      <c r="BS199" s="263"/>
      <c r="BT199" s="2208"/>
      <c r="BU199" s="2217">
        <f t="shared" si="114"/>
        <v>2.2496174902935291</v>
      </c>
      <c r="BV199" s="2217">
        <f t="shared" si="95"/>
        <v>7947.5999278756954</v>
      </c>
      <c r="BW199" s="2217">
        <f t="shared" si="105"/>
        <v>15.397292602606285</v>
      </c>
      <c r="BX199" s="2212">
        <v>136</v>
      </c>
      <c r="BY199" s="2219"/>
      <c r="BZ199" s="2213"/>
      <c r="CA199" s="2219"/>
      <c r="CB199" s="2213"/>
      <c r="CC199" s="2213"/>
      <c r="CD199" s="2213"/>
      <c r="CE199" s="2213"/>
      <c r="CF199" s="2208"/>
      <c r="CG199" s="2217">
        <f t="shared" si="115"/>
        <v>4.0972926026062844</v>
      </c>
      <c r="CH199" s="2217">
        <f t="shared" si="96"/>
        <v>7947.5999278756954</v>
      </c>
      <c r="CI199" s="2217">
        <f t="shared" si="106"/>
        <v>15.397292602606285</v>
      </c>
      <c r="CJ199" s="2212">
        <v>136</v>
      </c>
      <c r="CK199" s="2219"/>
      <c r="CL199" s="2213"/>
      <c r="CM199" s="2219"/>
      <c r="CN199" s="2213"/>
      <c r="CO199" s="2213"/>
      <c r="CP199" s="2213"/>
      <c r="CQ199" s="2213"/>
      <c r="CR199" s="2208"/>
      <c r="CS199" s="2217">
        <f t="shared" si="116"/>
        <v>-6.0900761128811158</v>
      </c>
      <c r="CT199" s="2217">
        <f t="shared" si="107"/>
        <v>6376.4618253445569</v>
      </c>
      <c r="CU199" s="2217">
        <f t="shared" si="97"/>
        <v>3.8592028793473219</v>
      </c>
      <c r="CV199" s="2212">
        <v>136</v>
      </c>
      <c r="CW199" s="2208"/>
      <c r="CX199" s="263"/>
      <c r="CY199" s="2208"/>
      <c r="CZ199" s="263"/>
      <c r="DA199" s="263"/>
      <c r="DB199" s="263"/>
      <c r="DC199" s="263"/>
      <c r="DD199" s="2208"/>
    </row>
    <row r="200" spans="1:108">
      <c r="A200" s="2217">
        <f t="shared" si="108"/>
        <v>6.6257697030247051</v>
      </c>
      <c r="B200" s="2217">
        <f t="shared" si="90"/>
        <v>7932.2026352730891</v>
      </c>
      <c r="C200" s="2217">
        <f t="shared" si="98"/>
        <v>15.587625828717137</v>
      </c>
      <c r="D200" s="2212">
        <v>135</v>
      </c>
      <c r="E200" s="2219"/>
      <c r="F200" s="2213"/>
      <c r="G200" s="2219"/>
      <c r="H200" s="2213"/>
      <c r="I200" s="2213"/>
      <c r="J200" s="2213"/>
      <c r="K200" s="2213"/>
      <c r="L200" s="2213"/>
      <c r="M200" s="2217">
        <f t="shared" si="109"/>
        <v>7.7169035110349071</v>
      </c>
      <c r="N200" s="2217">
        <f t="shared" si="91"/>
        <v>7932.2026352730891</v>
      </c>
      <c r="O200" s="2217">
        <f t="shared" si="99"/>
        <v>15.587625828717137</v>
      </c>
      <c r="P200" s="2212">
        <v>135</v>
      </c>
      <c r="Q200" s="2219"/>
      <c r="R200" s="2213"/>
      <c r="S200" s="2219"/>
      <c r="T200" s="2213"/>
      <c r="U200" s="2213"/>
      <c r="V200" s="2213"/>
      <c r="W200" s="2213"/>
      <c r="X200" s="2213"/>
      <c r="Y200" s="2217">
        <f t="shared" si="110"/>
        <v>9.11978983561945</v>
      </c>
      <c r="Z200" s="2217">
        <f t="shared" si="100"/>
        <v>7932.2026352730891</v>
      </c>
      <c r="AA200" s="2217">
        <f t="shared" si="101"/>
        <v>15.587625828717137</v>
      </c>
      <c r="AB200" s="2212">
        <v>135</v>
      </c>
      <c r="AC200" s="2219"/>
      <c r="AD200" s="2213"/>
      <c r="AE200" s="2219"/>
      <c r="AF200" s="2213"/>
      <c r="AG200" s="2213"/>
      <c r="AH200" s="2213"/>
      <c r="AI200" s="2213"/>
      <c r="AJ200" s="2213"/>
      <c r="AK200" s="2217">
        <f t="shared" si="111"/>
        <v>2.4171107292710783</v>
      </c>
      <c r="AL200" s="2217">
        <f t="shared" si="92"/>
        <v>7932.2026352730891</v>
      </c>
      <c r="AM200" s="2217">
        <f t="shared" si="102"/>
        <v>15.587625828717137</v>
      </c>
      <c r="AN200" s="2212">
        <v>135</v>
      </c>
      <c r="AO200" s="2219"/>
      <c r="AP200" s="2213"/>
      <c r="AQ200" s="2219"/>
      <c r="AR200" s="2213"/>
      <c r="AS200" s="2213"/>
      <c r="AT200" s="2213"/>
      <c r="AU200" s="2213"/>
      <c r="AV200" s="2213"/>
      <c r="AW200" s="2217">
        <f t="shared" si="112"/>
        <v>-6.8695299493672435</v>
      </c>
      <c r="AX200" s="2217">
        <f t="shared" si="103"/>
        <v>6372.6026224652096</v>
      </c>
      <c r="AY200" s="2217">
        <f t="shared" si="93"/>
        <v>4.1796887270120351</v>
      </c>
      <c r="AZ200" s="2212">
        <v>135</v>
      </c>
      <c r="BA200" s="2208"/>
      <c r="BB200" s="263"/>
      <c r="BC200" s="2208"/>
      <c r="BD200" s="263"/>
      <c r="BE200" s="263"/>
      <c r="BF200" s="263"/>
      <c r="BG200" s="263"/>
      <c r="BH200" s="2208"/>
      <c r="BI200" s="2217">
        <f t="shared" si="113"/>
        <v>-5.5738264439935126</v>
      </c>
      <c r="BJ200" s="2217">
        <f t="shared" si="104"/>
        <v>6372.6026224652096</v>
      </c>
      <c r="BK200" s="2217">
        <f t="shared" si="94"/>
        <v>4.1796887270120351</v>
      </c>
      <c r="BL200" s="2212">
        <v>135</v>
      </c>
      <c r="BM200" s="2208"/>
      <c r="BN200" s="263"/>
      <c r="BO200" s="2208"/>
      <c r="BP200" s="263"/>
      <c r="BQ200" s="263"/>
      <c r="BR200" s="263"/>
      <c r="BS200" s="263"/>
      <c r="BT200" s="2208"/>
      <c r="BU200" s="2217">
        <f t="shared" si="114"/>
        <v>2.4171107292710783</v>
      </c>
      <c r="BV200" s="2217">
        <f t="shared" si="95"/>
        <v>7932.2026352730891</v>
      </c>
      <c r="BW200" s="2217">
        <f t="shared" si="105"/>
        <v>15.587625828717137</v>
      </c>
      <c r="BX200" s="2212">
        <v>135</v>
      </c>
      <c r="BY200" s="2219"/>
      <c r="BZ200" s="2213"/>
      <c r="CA200" s="2219"/>
      <c r="CB200" s="2213"/>
      <c r="CC200" s="2213"/>
      <c r="CD200" s="2213"/>
      <c r="CE200" s="2213"/>
      <c r="CF200" s="2208"/>
      <c r="CG200" s="2217">
        <f t="shared" si="115"/>
        <v>4.287625828717136</v>
      </c>
      <c r="CH200" s="2217">
        <f t="shared" si="96"/>
        <v>7932.2026352730891</v>
      </c>
      <c r="CI200" s="2217">
        <f t="shared" si="106"/>
        <v>15.587625828717137</v>
      </c>
      <c r="CJ200" s="2212">
        <v>135</v>
      </c>
      <c r="CK200" s="2219"/>
      <c r="CL200" s="2213"/>
      <c r="CM200" s="2219"/>
      <c r="CN200" s="2213"/>
      <c r="CO200" s="2213"/>
      <c r="CP200" s="2213"/>
      <c r="CQ200" s="2213"/>
      <c r="CR200" s="2208"/>
      <c r="CS200" s="2217">
        <f t="shared" si="116"/>
        <v>-5.657420218533753</v>
      </c>
      <c r="CT200" s="2217">
        <f t="shared" si="107"/>
        <v>6372.6026224652096</v>
      </c>
      <c r="CU200" s="2217">
        <f t="shared" si="97"/>
        <v>4.1796887270120351</v>
      </c>
      <c r="CV200" s="2212">
        <v>135</v>
      </c>
      <c r="CW200" s="2208"/>
      <c r="CX200" s="263"/>
      <c r="CY200" s="2208"/>
      <c r="CZ200" s="263"/>
      <c r="DA200" s="263"/>
      <c r="DB200" s="263"/>
      <c r="DC200" s="263"/>
      <c r="DD200" s="2208"/>
    </row>
    <row r="201" spans="1:108">
      <c r="A201" s="2217">
        <f t="shared" si="108"/>
        <v>6.8456218205599697</v>
      </c>
      <c r="B201" s="2217">
        <f t="shared" si="90"/>
        <v>7916.6150094443719</v>
      </c>
      <c r="C201" s="2217">
        <f t="shared" si="98"/>
        <v>15.778801583095628</v>
      </c>
      <c r="D201" s="2212">
        <v>134</v>
      </c>
      <c r="E201" s="2219"/>
      <c r="F201" s="2213"/>
      <c r="G201" s="2219"/>
      <c r="H201" s="2213"/>
      <c r="I201" s="2213"/>
      <c r="J201" s="2213"/>
      <c r="K201" s="2213"/>
      <c r="L201" s="2213"/>
      <c r="M201" s="2217">
        <f t="shared" si="109"/>
        <v>7.9501379313766662</v>
      </c>
      <c r="N201" s="2217">
        <f t="shared" si="91"/>
        <v>7916.6150094443719</v>
      </c>
      <c r="O201" s="2217">
        <f t="shared" si="99"/>
        <v>15.778801583095628</v>
      </c>
      <c r="P201" s="2212">
        <v>134</v>
      </c>
      <c r="Q201" s="2219"/>
      <c r="R201" s="2213"/>
      <c r="S201" s="2219"/>
      <c r="T201" s="2213"/>
      <c r="U201" s="2213"/>
      <c r="V201" s="2213"/>
      <c r="W201" s="2213"/>
      <c r="X201" s="2213"/>
      <c r="Y201" s="2217">
        <f t="shared" si="110"/>
        <v>9.3702300738552715</v>
      </c>
      <c r="Z201" s="2217">
        <f t="shared" si="100"/>
        <v>7916.6150094443719</v>
      </c>
      <c r="AA201" s="2217">
        <f t="shared" si="101"/>
        <v>15.778801583095628</v>
      </c>
      <c r="AB201" s="2212">
        <v>134</v>
      </c>
      <c r="AC201" s="2219"/>
      <c r="AD201" s="2213"/>
      <c r="AE201" s="2219"/>
      <c r="AF201" s="2213"/>
      <c r="AG201" s="2213"/>
      <c r="AH201" s="2213"/>
      <c r="AI201" s="2213"/>
      <c r="AJ201" s="2213"/>
      <c r="AK201" s="2217">
        <f t="shared" si="111"/>
        <v>2.5853453931241503</v>
      </c>
      <c r="AL201" s="2217">
        <f t="shared" si="92"/>
        <v>7916.6150094443719</v>
      </c>
      <c r="AM201" s="2217">
        <f t="shared" si="102"/>
        <v>15.778801583095628</v>
      </c>
      <c r="AN201" s="2212">
        <v>134</v>
      </c>
      <c r="AO201" s="2219"/>
      <c r="AP201" s="2213"/>
      <c r="AQ201" s="2219"/>
      <c r="AR201" s="2213"/>
      <c r="AS201" s="2213"/>
      <c r="AT201" s="2213"/>
      <c r="AU201" s="2213"/>
      <c r="AV201" s="2213"/>
      <c r="AW201" s="2217">
        <f t="shared" si="112"/>
        <v>-6.5299802308109074</v>
      </c>
      <c r="AX201" s="2217">
        <f t="shared" si="103"/>
        <v>6368.4229337381976</v>
      </c>
      <c r="AY201" s="2217">
        <f t="shared" si="93"/>
        <v>4.5000186501783901</v>
      </c>
      <c r="AZ201" s="2212">
        <v>134</v>
      </c>
      <c r="BA201" s="2208"/>
      <c r="BB201" s="263"/>
      <c r="BC201" s="2208"/>
      <c r="BD201" s="263"/>
      <c r="BE201" s="263"/>
      <c r="BF201" s="263"/>
      <c r="BG201" s="263"/>
      <c r="BH201" s="2208"/>
      <c r="BI201" s="2217">
        <f t="shared" si="113"/>
        <v>-5.1349744492556058</v>
      </c>
      <c r="BJ201" s="2217">
        <f t="shared" si="104"/>
        <v>6368.4229337381976</v>
      </c>
      <c r="BK201" s="2217">
        <f t="shared" si="94"/>
        <v>4.5000186501783901</v>
      </c>
      <c r="BL201" s="2212">
        <v>134</v>
      </c>
      <c r="BM201" s="2208"/>
      <c r="BN201" s="263"/>
      <c r="BO201" s="2208"/>
      <c r="BP201" s="263"/>
      <c r="BQ201" s="263"/>
      <c r="BR201" s="263"/>
      <c r="BS201" s="263"/>
      <c r="BT201" s="2208"/>
      <c r="BU201" s="2217">
        <f t="shared" si="114"/>
        <v>2.5853453931241503</v>
      </c>
      <c r="BV201" s="2217">
        <f t="shared" si="95"/>
        <v>7916.6150094443719</v>
      </c>
      <c r="BW201" s="2217">
        <f t="shared" si="105"/>
        <v>15.778801583095628</v>
      </c>
      <c r="BX201" s="2212">
        <v>134</v>
      </c>
      <c r="BY201" s="2219"/>
      <c r="BZ201" s="2213"/>
      <c r="CA201" s="2219"/>
      <c r="CB201" s="2213"/>
      <c r="CC201" s="2213"/>
      <c r="CD201" s="2213"/>
      <c r="CE201" s="2213"/>
      <c r="CF201" s="2208"/>
      <c r="CG201" s="2217">
        <f t="shared" si="115"/>
        <v>4.4788015830956276</v>
      </c>
      <c r="CH201" s="2217">
        <f t="shared" si="96"/>
        <v>7916.6150094443719</v>
      </c>
      <c r="CI201" s="2217">
        <f t="shared" si="106"/>
        <v>15.778801583095628</v>
      </c>
      <c r="CJ201" s="2212">
        <v>134</v>
      </c>
      <c r="CK201" s="2219"/>
      <c r="CL201" s="2213"/>
      <c r="CM201" s="2219"/>
      <c r="CN201" s="2213"/>
      <c r="CO201" s="2213"/>
      <c r="CP201" s="2213"/>
      <c r="CQ201" s="2213"/>
      <c r="CR201" s="2208"/>
      <c r="CS201" s="2217">
        <f t="shared" si="116"/>
        <v>-5.2249748222591741</v>
      </c>
      <c r="CT201" s="2217">
        <f t="shared" si="107"/>
        <v>6368.4229337381976</v>
      </c>
      <c r="CU201" s="2217">
        <f t="shared" si="97"/>
        <v>4.5000186501783901</v>
      </c>
      <c r="CV201" s="2212">
        <v>134</v>
      </c>
      <c r="CW201" s="2208"/>
      <c r="CX201" s="263"/>
      <c r="CY201" s="2208"/>
      <c r="CZ201" s="263"/>
      <c r="DA201" s="263"/>
      <c r="DB201" s="263"/>
      <c r="DC201" s="263"/>
      <c r="DD201" s="2208"/>
    </row>
    <row r="202" spans="1:108">
      <c r="A202" s="2217">
        <f t="shared" si="108"/>
        <v>7.066442845610343</v>
      </c>
      <c r="B202" s="2217">
        <f t="shared" si="90"/>
        <v>7900.8362078612763</v>
      </c>
      <c r="C202" s="2217">
        <f t="shared" si="98"/>
        <v>15.970819865748126</v>
      </c>
      <c r="D202" s="2212">
        <v>133</v>
      </c>
      <c r="E202" s="2219"/>
      <c r="F202" s="2213"/>
      <c r="G202" s="2219"/>
      <c r="H202" s="2213"/>
      <c r="I202" s="2213"/>
      <c r="J202" s="2213"/>
      <c r="K202" s="2213"/>
      <c r="L202" s="2213"/>
      <c r="M202" s="2217">
        <f t="shared" si="109"/>
        <v>8.1844002362127135</v>
      </c>
      <c r="N202" s="2217">
        <f t="shared" si="91"/>
        <v>7900.8362078612763</v>
      </c>
      <c r="O202" s="2217">
        <f t="shared" si="99"/>
        <v>15.970819865748126</v>
      </c>
      <c r="P202" s="2212">
        <v>133</v>
      </c>
      <c r="Q202" s="2219"/>
      <c r="R202" s="2213"/>
      <c r="S202" s="2219"/>
      <c r="T202" s="2213"/>
      <c r="U202" s="2213"/>
      <c r="V202" s="2213"/>
      <c r="W202" s="2213"/>
      <c r="X202" s="2213"/>
      <c r="Y202" s="2217">
        <f t="shared" si="110"/>
        <v>9.621774024130044</v>
      </c>
      <c r="Z202" s="2217">
        <f t="shared" si="100"/>
        <v>7900.8362078612763</v>
      </c>
      <c r="AA202" s="2217">
        <f t="shared" si="101"/>
        <v>15.970819865748126</v>
      </c>
      <c r="AB202" s="2212">
        <v>133</v>
      </c>
      <c r="AC202" s="2219"/>
      <c r="AD202" s="2213"/>
      <c r="AE202" s="2219"/>
      <c r="AF202" s="2213"/>
      <c r="AG202" s="2213"/>
      <c r="AH202" s="2213"/>
      <c r="AI202" s="2213"/>
      <c r="AJ202" s="2213"/>
      <c r="AK202" s="2217">
        <f t="shared" si="111"/>
        <v>2.7543214818583479</v>
      </c>
      <c r="AL202" s="2217">
        <f t="shared" si="92"/>
        <v>7900.8362078612763</v>
      </c>
      <c r="AM202" s="2217">
        <f t="shared" si="102"/>
        <v>15.970819865748126</v>
      </c>
      <c r="AN202" s="2212">
        <v>133</v>
      </c>
      <c r="AO202" s="2219"/>
      <c r="AP202" s="2213"/>
      <c r="AQ202" s="2219"/>
      <c r="AR202" s="2213"/>
      <c r="AS202" s="2213"/>
      <c r="AT202" s="2213"/>
      <c r="AU202" s="2213"/>
      <c r="AV202" s="2213"/>
      <c r="AW202" s="2217">
        <f t="shared" si="112"/>
        <v>-6.1905957922276507</v>
      </c>
      <c r="AX202" s="2217">
        <f t="shared" si="103"/>
        <v>6363.9229150880192</v>
      </c>
      <c r="AY202" s="2217">
        <f t="shared" si="93"/>
        <v>4.8201926488418394</v>
      </c>
      <c r="AZ202" s="2212">
        <v>133</v>
      </c>
      <c r="BA202" s="2208"/>
      <c r="BB202" s="263"/>
      <c r="BC202" s="2208"/>
      <c r="BD202" s="263"/>
      <c r="BE202" s="263"/>
      <c r="BF202" s="263"/>
      <c r="BG202" s="263"/>
      <c r="BH202" s="2208"/>
      <c r="BI202" s="2217">
        <f t="shared" si="113"/>
        <v>-4.6963360710866802</v>
      </c>
      <c r="BJ202" s="2217">
        <f t="shared" si="104"/>
        <v>6363.9229150880192</v>
      </c>
      <c r="BK202" s="2217">
        <f t="shared" si="94"/>
        <v>4.8201926488418394</v>
      </c>
      <c r="BL202" s="2212">
        <v>133</v>
      </c>
      <c r="BM202" s="2208"/>
      <c r="BN202" s="263"/>
      <c r="BO202" s="2208"/>
      <c r="BP202" s="263"/>
      <c r="BQ202" s="263"/>
      <c r="BR202" s="263"/>
      <c r="BS202" s="263"/>
      <c r="BT202" s="2208"/>
      <c r="BU202" s="2217">
        <f t="shared" si="114"/>
        <v>2.7543214818583479</v>
      </c>
      <c r="BV202" s="2217">
        <f t="shared" si="95"/>
        <v>7900.8362078612763</v>
      </c>
      <c r="BW202" s="2217">
        <f t="shared" si="105"/>
        <v>15.970819865748126</v>
      </c>
      <c r="BX202" s="2212">
        <v>133</v>
      </c>
      <c r="BY202" s="2219"/>
      <c r="BZ202" s="2213"/>
      <c r="CA202" s="2219"/>
      <c r="CB202" s="2213"/>
      <c r="CC202" s="2213"/>
      <c r="CD202" s="2213"/>
      <c r="CE202" s="2213"/>
      <c r="CF202" s="2208"/>
      <c r="CG202" s="2217">
        <f t="shared" si="115"/>
        <v>4.6708198657481255</v>
      </c>
      <c r="CH202" s="2217">
        <f t="shared" si="96"/>
        <v>7900.8362078612763</v>
      </c>
      <c r="CI202" s="2217">
        <f t="shared" si="106"/>
        <v>15.970819865748126</v>
      </c>
      <c r="CJ202" s="2212">
        <v>133</v>
      </c>
      <c r="CK202" s="2219"/>
      <c r="CL202" s="2213"/>
      <c r="CM202" s="2219"/>
      <c r="CN202" s="2213"/>
      <c r="CO202" s="2213"/>
      <c r="CP202" s="2213"/>
      <c r="CQ202" s="2213"/>
      <c r="CR202" s="2208"/>
      <c r="CS202" s="2217">
        <f t="shared" si="116"/>
        <v>-4.7927399240635173</v>
      </c>
      <c r="CT202" s="2217">
        <f t="shared" si="107"/>
        <v>6363.9229150880192</v>
      </c>
      <c r="CU202" s="2217">
        <f t="shared" si="97"/>
        <v>4.8201926488418394</v>
      </c>
      <c r="CV202" s="2212">
        <v>133</v>
      </c>
      <c r="CW202" s="2208"/>
      <c r="CX202" s="263"/>
      <c r="CY202" s="2208"/>
      <c r="CZ202" s="263"/>
      <c r="DA202" s="263"/>
      <c r="DB202" s="263"/>
      <c r="DC202" s="263"/>
      <c r="DD202" s="2208"/>
    </row>
    <row r="203" spans="1:108">
      <c r="A203" s="2217">
        <f t="shared" si="108"/>
        <v>7.2882327781664102</v>
      </c>
      <c r="B203" s="2217">
        <f t="shared" si="90"/>
        <v>7884.8653879955282</v>
      </c>
      <c r="C203" s="2217">
        <f t="shared" si="98"/>
        <v>16.163680676666445</v>
      </c>
      <c r="D203" s="2212">
        <v>132</v>
      </c>
      <c r="E203" s="2219"/>
      <c r="F203" s="2213"/>
      <c r="G203" s="2219"/>
      <c r="H203" s="2213"/>
      <c r="I203" s="2213"/>
      <c r="J203" s="2213"/>
      <c r="K203" s="2213"/>
      <c r="L203" s="2213"/>
      <c r="M203" s="2217">
        <f t="shared" si="109"/>
        <v>8.4196904255330622</v>
      </c>
      <c r="N203" s="2217">
        <f t="shared" si="91"/>
        <v>7884.8653879955282</v>
      </c>
      <c r="O203" s="2217">
        <f t="shared" si="99"/>
        <v>16.163680676666445</v>
      </c>
      <c r="P203" s="2212">
        <v>132</v>
      </c>
      <c r="Q203" s="2219"/>
      <c r="R203" s="2213"/>
      <c r="S203" s="2219"/>
      <c r="T203" s="2213"/>
      <c r="U203" s="2213"/>
      <c r="V203" s="2213"/>
      <c r="W203" s="2213"/>
      <c r="X203" s="2213"/>
      <c r="Y203" s="2217">
        <f t="shared" si="110"/>
        <v>9.8744216864330419</v>
      </c>
      <c r="Z203" s="2217">
        <f t="shared" si="100"/>
        <v>7884.8653879955282</v>
      </c>
      <c r="AA203" s="2217">
        <f t="shared" si="101"/>
        <v>16.163680676666445</v>
      </c>
      <c r="AB203" s="2212">
        <v>132</v>
      </c>
      <c r="AC203" s="2219"/>
      <c r="AD203" s="2213"/>
      <c r="AE203" s="2219"/>
      <c r="AF203" s="2213"/>
      <c r="AG203" s="2213"/>
      <c r="AH203" s="2213"/>
      <c r="AI203" s="2213"/>
      <c r="AJ203" s="2213"/>
      <c r="AK203" s="2217">
        <f t="shared" si="111"/>
        <v>2.9240389954664696</v>
      </c>
      <c r="AL203" s="2217">
        <f t="shared" si="92"/>
        <v>7884.8653879955282</v>
      </c>
      <c r="AM203" s="2217">
        <f t="shared" si="102"/>
        <v>16.163680676666445</v>
      </c>
      <c r="AN203" s="2212">
        <v>132</v>
      </c>
      <c r="AO203" s="2219"/>
      <c r="AP203" s="2213"/>
      <c r="AQ203" s="2219"/>
      <c r="AR203" s="2213"/>
      <c r="AS203" s="2213"/>
      <c r="AT203" s="2213"/>
      <c r="AU203" s="2213"/>
      <c r="AV203" s="2213"/>
      <c r="AW203" s="2217">
        <f t="shared" si="112"/>
        <v>-5.851376633612654</v>
      </c>
      <c r="AX203" s="2217">
        <f t="shared" si="103"/>
        <v>6359.1027224391773</v>
      </c>
      <c r="AY203" s="2217">
        <f t="shared" si="93"/>
        <v>5.1402107230069305</v>
      </c>
      <c r="AZ203" s="2212">
        <v>132</v>
      </c>
      <c r="BA203" s="2208"/>
      <c r="BB203" s="263"/>
      <c r="BC203" s="2208"/>
      <c r="BD203" s="263"/>
      <c r="BE203" s="263"/>
      <c r="BF203" s="263"/>
      <c r="BG203" s="263"/>
      <c r="BH203" s="2208"/>
      <c r="BI203" s="2217">
        <f t="shared" si="113"/>
        <v>-4.2579113094805052</v>
      </c>
      <c r="BJ203" s="2217">
        <f t="shared" si="104"/>
        <v>6359.1027224391773</v>
      </c>
      <c r="BK203" s="2217">
        <f t="shared" si="94"/>
        <v>5.1402107230069305</v>
      </c>
      <c r="BL203" s="2212">
        <v>132</v>
      </c>
      <c r="BM203" s="2208"/>
      <c r="BN203" s="263"/>
      <c r="BO203" s="2208"/>
      <c r="BP203" s="263"/>
      <c r="BQ203" s="263"/>
      <c r="BR203" s="263"/>
      <c r="BS203" s="263"/>
      <c r="BT203" s="2208"/>
      <c r="BU203" s="2217">
        <f t="shared" si="114"/>
        <v>2.9240389954664696</v>
      </c>
      <c r="BV203" s="2217">
        <f t="shared" si="95"/>
        <v>7884.8653879955282</v>
      </c>
      <c r="BW203" s="2217">
        <f t="shared" si="105"/>
        <v>16.163680676666445</v>
      </c>
      <c r="BX203" s="2212">
        <v>132</v>
      </c>
      <c r="BY203" s="2219"/>
      <c r="BZ203" s="2213"/>
      <c r="CA203" s="2219"/>
      <c r="CB203" s="2213"/>
      <c r="CC203" s="2213"/>
      <c r="CD203" s="2213"/>
      <c r="CE203" s="2213"/>
      <c r="CF203" s="2208"/>
      <c r="CG203" s="2217">
        <f t="shared" si="115"/>
        <v>4.8636806766664442</v>
      </c>
      <c r="CH203" s="2217">
        <f t="shared" si="96"/>
        <v>7884.8653879955282</v>
      </c>
      <c r="CI203" s="2217">
        <f t="shared" si="106"/>
        <v>16.163680676666445</v>
      </c>
      <c r="CJ203" s="2212">
        <v>132</v>
      </c>
      <c r="CK203" s="2219"/>
      <c r="CL203" s="2213"/>
      <c r="CM203" s="2219"/>
      <c r="CN203" s="2213"/>
      <c r="CO203" s="2213"/>
      <c r="CP203" s="2213"/>
      <c r="CQ203" s="2213"/>
      <c r="CR203" s="2208"/>
      <c r="CS203" s="2217">
        <f t="shared" si="116"/>
        <v>-4.3607155239406437</v>
      </c>
      <c r="CT203" s="2217">
        <f t="shared" si="107"/>
        <v>6359.1027224391773</v>
      </c>
      <c r="CU203" s="2217">
        <f t="shared" si="97"/>
        <v>5.1402107230069305</v>
      </c>
      <c r="CV203" s="2212">
        <v>132</v>
      </c>
      <c r="CW203" s="2208"/>
      <c r="CX203" s="263"/>
      <c r="CY203" s="2208"/>
      <c r="CZ203" s="263"/>
      <c r="DA203" s="263"/>
      <c r="DB203" s="263"/>
      <c r="DC203" s="263"/>
      <c r="DD203" s="2208"/>
    </row>
    <row r="204" spans="1:108">
      <c r="A204" s="2217">
        <f t="shared" si="108"/>
        <v>7.5109916182323531</v>
      </c>
      <c r="B204" s="2217">
        <f t="shared" si="90"/>
        <v>7868.7017073188617</v>
      </c>
      <c r="C204" s="2217">
        <f t="shared" si="98"/>
        <v>16.357384015854223</v>
      </c>
      <c r="D204" s="2212">
        <v>131</v>
      </c>
      <c r="E204" s="2219"/>
      <c r="F204" s="2213"/>
      <c r="G204" s="2219"/>
      <c r="H204" s="2213"/>
      <c r="I204" s="2213"/>
      <c r="J204" s="2213"/>
      <c r="K204" s="2213"/>
      <c r="L204" s="2213"/>
      <c r="M204" s="2217">
        <f t="shared" si="109"/>
        <v>8.6560084993421498</v>
      </c>
      <c r="N204" s="2217">
        <f t="shared" si="91"/>
        <v>7868.7017073188617</v>
      </c>
      <c r="O204" s="2217">
        <f t="shared" si="99"/>
        <v>16.357384015854223</v>
      </c>
      <c r="P204" s="2212">
        <v>131</v>
      </c>
      <c r="Q204" s="2219"/>
      <c r="R204" s="2213"/>
      <c r="S204" s="2219"/>
      <c r="T204" s="2213"/>
      <c r="U204" s="2213"/>
      <c r="V204" s="2213"/>
      <c r="W204" s="2213"/>
      <c r="X204" s="2213"/>
      <c r="Y204" s="2217">
        <f t="shared" si="110"/>
        <v>10.128173060769033</v>
      </c>
      <c r="Z204" s="2217">
        <f t="shared" si="100"/>
        <v>7868.7017073188617</v>
      </c>
      <c r="AA204" s="2217">
        <f t="shared" si="101"/>
        <v>16.357384015854223</v>
      </c>
      <c r="AB204" s="2212">
        <v>131</v>
      </c>
      <c r="AC204" s="2219"/>
      <c r="AD204" s="2213"/>
      <c r="AE204" s="2219"/>
      <c r="AF204" s="2213"/>
      <c r="AG204" s="2213"/>
      <c r="AH204" s="2213"/>
      <c r="AI204" s="2213"/>
      <c r="AJ204" s="2213"/>
      <c r="AK204" s="2217">
        <f t="shared" si="111"/>
        <v>3.0944979339517129</v>
      </c>
      <c r="AL204" s="2217">
        <f t="shared" si="92"/>
        <v>7868.7017073188617</v>
      </c>
      <c r="AM204" s="2217">
        <f t="shared" si="102"/>
        <v>16.357384015854223</v>
      </c>
      <c r="AN204" s="2212">
        <v>131</v>
      </c>
      <c r="AO204" s="2219"/>
      <c r="AP204" s="2213"/>
      <c r="AQ204" s="2219"/>
      <c r="AR204" s="2213"/>
      <c r="AS204" s="2213"/>
      <c r="AT204" s="2213"/>
      <c r="AU204" s="2213"/>
      <c r="AV204" s="2213"/>
      <c r="AW204" s="2217">
        <f t="shared" si="112"/>
        <v>-5.5123227549678457</v>
      </c>
      <c r="AX204" s="2217">
        <f t="shared" si="103"/>
        <v>6353.9625117161704</v>
      </c>
      <c r="AY204" s="2217">
        <f t="shared" si="93"/>
        <v>5.4600728726718444</v>
      </c>
      <c r="AZ204" s="2212">
        <v>131</v>
      </c>
      <c r="BA204" s="2208"/>
      <c r="BB204" s="263"/>
      <c r="BC204" s="2208"/>
      <c r="BD204" s="263"/>
      <c r="BE204" s="263"/>
      <c r="BF204" s="263"/>
      <c r="BG204" s="263"/>
      <c r="BH204" s="2208"/>
      <c r="BI204" s="2217">
        <f t="shared" si="113"/>
        <v>-3.8197001644395732</v>
      </c>
      <c r="BJ204" s="2217">
        <f t="shared" si="104"/>
        <v>6353.9625117161704</v>
      </c>
      <c r="BK204" s="2217">
        <f t="shared" si="94"/>
        <v>5.4600728726718444</v>
      </c>
      <c r="BL204" s="2212">
        <v>131</v>
      </c>
      <c r="BM204" s="2208"/>
      <c r="BN204" s="263"/>
      <c r="BO204" s="2208"/>
      <c r="BP204" s="263"/>
      <c r="BQ204" s="263"/>
      <c r="BR204" s="263"/>
      <c r="BS204" s="263"/>
      <c r="BT204" s="2208"/>
      <c r="BU204" s="2217">
        <f t="shared" si="114"/>
        <v>3.0944979339517129</v>
      </c>
      <c r="BV204" s="2217">
        <f t="shared" si="95"/>
        <v>7868.7017073188617</v>
      </c>
      <c r="BW204" s="2217">
        <f t="shared" si="105"/>
        <v>16.357384015854223</v>
      </c>
      <c r="BX204" s="2212">
        <v>131</v>
      </c>
      <c r="BY204" s="2219"/>
      <c r="BZ204" s="2213"/>
      <c r="CA204" s="2219"/>
      <c r="CB204" s="2213"/>
      <c r="CC204" s="2213"/>
      <c r="CD204" s="2213"/>
      <c r="CE204" s="2213"/>
      <c r="CF204" s="2208"/>
      <c r="CG204" s="2217">
        <f t="shared" si="115"/>
        <v>5.0573840158542218</v>
      </c>
      <c r="CH204" s="2217">
        <f t="shared" si="96"/>
        <v>7868.7017073188617</v>
      </c>
      <c r="CI204" s="2217">
        <f t="shared" si="106"/>
        <v>16.357384015854223</v>
      </c>
      <c r="CJ204" s="2212">
        <v>131</v>
      </c>
      <c r="CK204" s="2219"/>
      <c r="CL204" s="2213"/>
      <c r="CM204" s="2219"/>
      <c r="CN204" s="2213"/>
      <c r="CO204" s="2213"/>
      <c r="CP204" s="2213"/>
      <c r="CQ204" s="2213"/>
      <c r="CR204" s="2208"/>
      <c r="CS204" s="2217">
        <f t="shared" si="116"/>
        <v>-3.9289016218930106</v>
      </c>
      <c r="CT204" s="2217">
        <f t="shared" si="107"/>
        <v>6353.9625117161704</v>
      </c>
      <c r="CU204" s="2217">
        <f t="shared" si="97"/>
        <v>5.4600728726718444</v>
      </c>
      <c r="CV204" s="2212">
        <v>131</v>
      </c>
      <c r="CW204" s="2208"/>
      <c r="CX204" s="263"/>
      <c r="CY204" s="2208"/>
      <c r="CZ204" s="263"/>
      <c r="DA204" s="263"/>
      <c r="DB204" s="263"/>
      <c r="DC204" s="263"/>
      <c r="DD204" s="2208"/>
    </row>
    <row r="205" spans="1:108">
      <c r="A205" s="2217">
        <f t="shared" si="108"/>
        <v>7.7347193658134046</v>
      </c>
      <c r="B205" s="2217">
        <f t="shared" si="90"/>
        <v>7852.3443233030075</v>
      </c>
      <c r="C205" s="2217">
        <f t="shared" si="98"/>
        <v>16.551929883316006</v>
      </c>
      <c r="D205" s="2212">
        <v>130</v>
      </c>
      <c r="E205" s="2219"/>
      <c r="F205" s="2213"/>
      <c r="G205" s="2219"/>
      <c r="H205" s="2213"/>
      <c r="I205" s="2213"/>
      <c r="J205" s="2213"/>
      <c r="K205" s="2213"/>
      <c r="L205" s="2213"/>
      <c r="M205" s="2217">
        <f t="shared" si="109"/>
        <v>8.8933544576455255</v>
      </c>
      <c r="N205" s="2217">
        <f t="shared" si="91"/>
        <v>7852.3443233030075</v>
      </c>
      <c r="O205" s="2217">
        <f t="shared" si="99"/>
        <v>16.551929883316006</v>
      </c>
      <c r="P205" s="2212">
        <v>130</v>
      </c>
      <c r="Q205" s="2219"/>
      <c r="R205" s="2213"/>
      <c r="S205" s="2219"/>
      <c r="T205" s="2213"/>
      <c r="U205" s="2213"/>
      <c r="V205" s="2213"/>
      <c r="W205" s="2213"/>
      <c r="X205" s="2213"/>
      <c r="Y205" s="2217">
        <f t="shared" si="110"/>
        <v>10.383028147143968</v>
      </c>
      <c r="Z205" s="2217">
        <f t="shared" si="100"/>
        <v>7852.3443233030075</v>
      </c>
      <c r="AA205" s="2217">
        <f t="shared" si="101"/>
        <v>16.551929883316006</v>
      </c>
      <c r="AB205" s="2212">
        <v>130</v>
      </c>
      <c r="AC205" s="2219"/>
      <c r="AD205" s="2213"/>
      <c r="AE205" s="2219"/>
      <c r="AF205" s="2213"/>
      <c r="AG205" s="2213"/>
      <c r="AH205" s="2213"/>
      <c r="AI205" s="2213"/>
      <c r="AJ205" s="2213"/>
      <c r="AK205" s="2217">
        <f t="shared" si="111"/>
        <v>3.2656982973180835</v>
      </c>
      <c r="AL205" s="2217">
        <f t="shared" si="92"/>
        <v>7852.3443233030075</v>
      </c>
      <c r="AM205" s="2217">
        <f t="shared" si="102"/>
        <v>16.551929883316006</v>
      </c>
      <c r="AN205" s="2212">
        <v>130</v>
      </c>
      <c r="AO205" s="2219"/>
      <c r="AP205" s="2213"/>
      <c r="AQ205" s="2219"/>
      <c r="AR205" s="2213"/>
      <c r="AS205" s="2213"/>
      <c r="AT205" s="2213"/>
      <c r="AU205" s="2213"/>
      <c r="AV205" s="2213"/>
      <c r="AW205" s="2217">
        <f t="shared" si="112"/>
        <v>-5.1734341562961168</v>
      </c>
      <c r="AX205" s="2217">
        <f t="shared" si="103"/>
        <v>6348.5024388434986</v>
      </c>
      <c r="AY205" s="2217">
        <f t="shared" si="93"/>
        <v>5.7797790978338526</v>
      </c>
      <c r="AZ205" s="2212">
        <v>130</v>
      </c>
      <c r="BA205" s="2208"/>
      <c r="BB205" s="263"/>
      <c r="BC205" s="2208"/>
      <c r="BD205" s="263"/>
      <c r="BE205" s="263"/>
      <c r="BF205" s="263"/>
      <c r="BG205" s="263"/>
      <c r="BH205" s="2208"/>
      <c r="BI205" s="2217">
        <f t="shared" si="113"/>
        <v>-3.3817026359676223</v>
      </c>
      <c r="BJ205" s="2217">
        <f t="shared" si="104"/>
        <v>6348.5024388434986</v>
      </c>
      <c r="BK205" s="2217">
        <f t="shared" si="94"/>
        <v>5.7797790978338526</v>
      </c>
      <c r="BL205" s="2212">
        <v>130</v>
      </c>
      <c r="BM205" s="2208"/>
      <c r="BN205" s="263"/>
      <c r="BO205" s="2208"/>
      <c r="BP205" s="263"/>
      <c r="BQ205" s="263"/>
      <c r="BR205" s="263"/>
      <c r="BS205" s="263"/>
      <c r="BT205" s="2208"/>
      <c r="BU205" s="2217">
        <f t="shared" si="114"/>
        <v>3.2656982973180835</v>
      </c>
      <c r="BV205" s="2217">
        <f t="shared" si="95"/>
        <v>7852.3443233030075</v>
      </c>
      <c r="BW205" s="2217">
        <f t="shared" si="105"/>
        <v>16.551929883316006</v>
      </c>
      <c r="BX205" s="2212">
        <v>130</v>
      </c>
      <c r="BY205" s="2219"/>
      <c r="BZ205" s="2213"/>
      <c r="CA205" s="2219"/>
      <c r="CB205" s="2213"/>
      <c r="CC205" s="2213"/>
      <c r="CD205" s="2213"/>
      <c r="CE205" s="2213"/>
      <c r="CF205" s="2208"/>
      <c r="CG205" s="2217">
        <f t="shared" si="115"/>
        <v>5.2519298833160057</v>
      </c>
      <c r="CH205" s="2217">
        <f t="shared" si="96"/>
        <v>7852.3443233030075</v>
      </c>
      <c r="CI205" s="2217">
        <f t="shared" si="106"/>
        <v>16.551929883316006</v>
      </c>
      <c r="CJ205" s="2212">
        <v>130</v>
      </c>
      <c r="CK205" s="2219"/>
      <c r="CL205" s="2213"/>
      <c r="CM205" s="2219"/>
      <c r="CN205" s="2213"/>
      <c r="CO205" s="2213"/>
      <c r="CP205" s="2213"/>
      <c r="CQ205" s="2213"/>
      <c r="CR205" s="2208"/>
      <c r="CS205" s="2217">
        <f t="shared" si="116"/>
        <v>-3.4972982179242988</v>
      </c>
      <c r="CT205" s="2217">
        <f t="shared" si="107"/>
        <v>6348.5024388434986</v>
      </c>
      <c r="CU205" s="2217">
        <f t="shared" si="97"/>
        <v>5.7797790978338526</v>
      </c>
      <c r="CV205" s="2212">
        <v>130</v>
      </c>
      <c r="CW205" s="2208"/>
      <c r="CX205" s="263"/>
      <c r="CY205" s="2208"/>
      <c r="CZ205" s="263"/>
      <c r="DA205" s="263"/>
      <c r="DB205" s="263"/>
      <c r="DC205" s="263"/>
      <c r="DD205" s="2208"/>
    </row>
    <row r="206" spans="1:108">
      <c r="A206" s="2217">
        <f t="shared" si="108"/>
        <v>7.9594160208980576</v>
      </c>
      <c r="B206" s="2217">
        <f t="shared" si="90"/>
        <v>7835.7923934196915</v>
      </c>
      <c r="C206" s="2217">
        <f t="shared" si="98"/>
        <v>16.747318279041792</v>
      </c>
      <c r="D206" s="2212">
        <v>129</v>
      </c>
      <c r="E206" s="2219"/>
      <c r="F206" s="2213"/>
      <c r="G206" s="2219"/>
      <c r="H206" s="2213"/>
      <c r="I206" s="2213"/>
      <c r="J206" s="2213"/>
      <c r="K206" s="2213"/>
      <c r="L206" s="2213"/>
      <c r="M206" s="2217">
        <f t="shared" si="109"/>
        <v>9.1317283004309857</v>
      </c>
      <c r="N206" s="2217">
        <f t="shared" si="91"/>
        <v>7835.7923934196915</v>
      </c>
      <c r="O206" s="2217">
        <f t="shared" si="99"/>
        <v>16.747318279041792</v>
      </c>
      <c r="P206" s="2212">
        <v>129</v>
      </c>
      <c r="Q206" s="2219"/>
      <c r="R206" s="2213"/>
      <c r="S206" s="2219"/>
      <c r="T206" s="2213"/>
      <c r="U206" s="2213"/>
      <c r="V206" s="2213"/>
      <c r="W206" s="2213"/>
      <c r="X206" s="2213"/>
      <c r="Y206" s="2217">
        <f t="shared" si="110"/>
        <v>10.638986945544747</v>
      </c>
      <c r="Z206" s="2217">
        <f t="shared" si="100"/>
        <v>7835.7923934196915</v>
      </c>
      <c r="AA206" s="2217">
        <f t="shared" si="101"/>
        <v>16.747318279041792</v>
      </c>
      <c r="AB206" s="2212">
        <v>129</v>
      </c>
      <c r="AC206" s="2219"/>
      <c r="AD206" s="2213"/>
      <c r="AE206" s="2219"/>
      <c r="AF206" s="2213"/>
      <c r="AG206" s="2213"/>
      <c r="AH206" s="2213"/>
      <c r="AI206" s="2213"/>
      <c r="AJ206" s="2213"/>
      <c r="AK206" s="2217">
        <f t="shared" si="111"/>
        <v>3.4376400855567741</v>
      </c>
      <c r="AL206" s="2217">
        <f t="shared" si="92"/>
        <v>7835.7923934196915</v>
      </c>
      <c r="AM206" s="2217">
        <f t="shared" si="102"/>
        <v>16.747318279041792</v>
      </c>
      <c r="AN206" s="2212">
        <v>129</v>
      </c>
      <c r="AO206" s="2219"/>
      <c r="AP206" s="2213"/>
      <c r="AQ206" s="2219"/>
      <c r="AR206" s="2213"/>
      <c r="AS206" s="2213"/>
      <c r="AT206" s="2213"/>
      <c r="AU206" s="2213"/>
      <c r="AV206" s="2213"/>
      <c r="AW206" s="2217">
        <f t="shared" si="112"/>
        <v>-4.8347108375907197</v>
      </c>
      <c r="AX206" s="2217">
        <f t="shared" si="103"/>
        <v>6342.7226597456647</v>
      </c>
      <c r="AY206" s="2217">
        <f t="shared" si="93"/>
        <v>6.0993293984993215</v>
      </c>
      <c r="AZ206" s="2212">
        <v>129</v>
      </c>
      <c r="BA206" s="2208"/>
      <c r="BB206" s="263"/>
      <c r="BC206" s="2208"/>
      <c r="BD206" s="263"/>
      <c r="BE206" s="263"/>
      <c r="BF206" s="263"/>
      <c r="BG206" s="263"/>
      <c r="BH206" s="2208"/>
      <c r="BI206" s="2217">
        <f t="shared" si="113"/>
        <v>-2.9439187240559299</v>
      </c>
      <c r="BJ206" s="2217">
        <f t="shared" si="104"/>
        <v>6342.7226597456647</v>
      </c>
      <c r="BK206" s="2217">
        <f t="shared" si="94"/>
        <v>6.0993293984993215</v>
      </c>
      <c r="BL206" s="2212">
        <v>129</v>
      </c>
      <c r="BM206" s="2208"/>
      <c r="BN206" s="263"/>
      <c r="BO206" s="2208"/>
      <c r="BP206" s="263"/>
      <c r="BQ206" s="263"/>
      <c r="BR206" s="263"/>
      <c r="BS206" s="263"/>
      <c r="BT206" s="2208"/>
      <c r="BU206" s="2217">
        <f t="shared" si="114"/>
        <v>3.4376400855567741</v>
      </c>
      <c r="BV206" s="2217">
        <f t="shared" si="95"/>
        <v>7835.7923934196915</v>
      </c>
      <c r="BW206" s="2217">
        <f t="shared" si="105"/>
        <v>16.747318279041792</v>
      </c>
      <c r="BX206" s="2212">
        <v>129</v>
      </c>
      <c r="BY206" s="2219"/>
      <c r="BZ206" s="2213"/>
      <c r="CA206" s="2219"/>
      <c r="CB206" s="2213"/>
      <c r="CC206" s="2213"/>
      <c r="CD206" s="2213"/>
      <c r="CE206" s="2213"/>
      <c r="CF206" s="2208"/>
      <c r="CG206" s="2217">
        <f t="shared" si="115"/>
        <v>5.4473182790417916</v>
      </c>
      <c r="CH206" s="2217">
        <f t="shared" si="96"/>
        <v>7835.7923934196915</v>
      </c>
      <c r="CI206" s="2217">
        <f t="shared" si="106"/>
        <v>16.747318279041792</v>
      </c>
      <c r="CJ206" s="2212">
        <v>129</v>
      </c>
      <c r="CK206" s="2219"/>
      <c r="CL206" s="2213"/>
      <c r="CM206" s="2219"/>
      <c r="CN206" s="2213"/>
      <c r="CO206" s="2213"/>
      <c r="CP206" s="2213"/>
      <c r="CQ206" s="2213"/>
      <c r="CR206" s="2208"/>
      <c r="CS206" s="2217">
        <f t="shared" si="116"/>
        <v>-3.0659053120259152</v>
      </c>
      <c r="CT206" s="2217">
        <f t="shared" si="107"/>
        <v>6342.7226597456647</v>
      </c>
      <c r="CU206" s="2217">
        <f t="shared" si="97"/>
        <v>6.0993293984993215</v>
      </c>
      <c r="CV206" s="2212">
        <v>129</v>
      </c>
      <c r="CW206" s="2208"/>
      <c r="CX206" s="263"/>
      <c r="CY206" s="2208"/>
      <c r="CZ206" s="263"/>
      <c r="DA206" s="263"/>
      <c r="DB206" s="263"/>
      <c r="DC206" s="263"/>
      <c r="DD206" s="2208"/>
    </row>
    <row r="207" spans="1:108">
      <c r="A207" s="2217">
        <f t="shared" si="108"/>
        <v>8.1850815834957267</v>
      </c>
      <c r="B207" s="2217">
        <f t="shared" si="90"/>
        <v>7819.0450751406497</v>
      </c>
      <c r="C207" s="2217">
        <f t="shared" si="98"/>
        <v>16.943549203039765</v>
      </c>
      <c r="D207" s="2212">
        <v>128</v>
      </c>
      <c r="E207" s="2219"/>
      <c r="F207" s="2213"/>
      <c r="G207" s="2219"/>
      <c r="H207" s="2213"/>
      <c r="I207" s="2213"/>
      <c r="J207" s="2213"/>
      <c r="K207" s="2213"/>
      <c r="L207" s="2213"/>
      <c r="M207" s="2217">
        <f t="shared" si="109"/>
        <v>9.3711300277085137</v>
      </c>
      <c r="N207" s="2217">
        <f t="shared" si="91"/>
        <v>7819.0450751406497</v>
      </c>
      <c r="O207" s="2217">
        <f t="shared" si="99"/>
        <v>16.943549203039765</v>
      </c>
      <c r="P207" s="2212">
        <v>128</v>
      </c>
      <c r="Q207" s="2219"/>
      <c r="R207" s="2213"/>
      <c r="S207" s="2219"/>
      <c r="T207" s="2213"/>
      <c r="U207" s="2213"/>
      <c r="V207" s="2213"/>
      <c r="W207" s="2213"/>
      <c r="X207" s="2213"/>
      <c r="Y207" s="2217">
        <f t="shared" si="110"/>
        <v>10.896049455982094</v>
      </c>
      <c r="Z207" s="2217">
        <f t="shared" si="100"/>
        <v>7819.0450751406497</v>
      </c>
      <c r="AA207" s="2217">
        <f t="shared" si="101"/>
        <v>16.943549203039765</v>
      </c>
      <c r="AB207" s="2212">
        <v>128</v>
      </c>
      <c r="AC207" s="2219"/>
      <c r="AD207" s="2213"/>
      <c r="AE207" s="2219"/>
      <c r="AF207" s="2213"/>
      <c r="AG207" s="2213"/>
      <c r="AH207" s="2213"/>
      <c r="AI207" s="2213"/>
      <c r="AJ207" s="2213"/>
      <c r="AK207" s="2217">
        <f t="shared" si="111"/>
        <v>3.6103232986749916</v>
      </c>
      <c r="AL207" s="2217">
        <f t="shared" si="92"/>
        <v>7819.0450751406497</v>
      </c>
      <c r="AM207" s="2217">
        <f t="shared" si="102"/>
        <v>16.943549203039765</v>
      </c>
      <c r="AN207" s="2212">
        <v>128</v>
      </c>
      <c r="AO207" s="2219"/>
      <c r="AP207" s="2213"/>
      <c r="AQ207" s="2219"/>
      <c r="AR207" s="2213"/>
      <c r="AS207" s="2213"/>
      <c r="AT207" s="2213"/>
      <c r="AU207" s="2213"/>
      <c r="AV207" s="2213"/>
      <c r="AW207" s="2217">
        <f t="shared" si="112"/>
        <v>-4.4961527988612948</v>
      </c>
      <c r="AX207" s="2217">
        <f t="shared" si="103"/>
        <v>6336.6233303471654</v>
      </c>
      <c r="AY207" s="2217">
        <f t="shared" si="93"/>
        <v>6.4187237746591563</v>
      </c>
      <c r="AZ207" s="2212">
        <v>128</v>
      </c>
      <c r="BA207" s="2208"/>
      <c r="BB207" s="263"/>
      <c r="BC207" s="2208"/>
      <c r="BD207" s="263"/>
      <c r="BE207" s="263"/>
      <c r="BF207" s="263"/>
      <c r="BG207" s="263"/>
      <c r="BH207" s="2208"/>
      <c r="BI207" s="2217">
        <f t="shared" si="113"/>
        <v>-2.5063484287169562</v>
      </c>
      <c r="BJ207" s="2217">
        <f t="shared" si="104"/>
        <v>6336.6233303471654</v>
      </c>
      <c r="BK207" s="2217">
        <f t="shared" si="94"/>
        <v>6.4187237746591563</v>
      </c>
      <c r="BL207" s="2212">
        <v>128</v>
      </c>
      <c r="BM207" s="2208"/>
      <c r="BN207" s="263"/>
      <c r="BO207" s="2208"/>
      <c r="BP207" s="263"/>
      <c r="BQ207" s="263"/>
      <c r="BR207" s="263"/>
      <c r="BS207" s="263"/>
      <c r="BT207" s="2208"/>
      <c r="BU207" s="2217">
        <f t="shared" si="114"/>
        <v>3.6103232986749916</v>
      </c>
      <c r="BV207" s="2217">
        <f t="shared" si="95"/>
        <v>7819.0450751406497</v>
      </c>
      <c r="BW207" s="2217">
        <f t="shared" si="105"/>
        <v>16.943549203039765</v>
      </c>
      <c r="BX207" s="2212">
        <v>128</v>
      </c>
      <c r="BY207" s="2219"/>
      <c r="BZ207" s="2213"/>
      <c r="CA207" s="2219"/>
      <c r="CB207" s="2213"/>
      <c r="CC207" s="2213"/>
      <c r="CD207" s="2213"/>
      <c r="CE207" s="2213"/>
      <c r="CF207" s="2208"/>
      <c r="CG207" s="2217">
        <f t="shared" si="115"/>
        <v>5.6435492030397647</v>
      </c>
      <c r="CH207" s="2217">
        <f t="shared" si="96"/>
        <v>7819.0450751406497</v>
      </c>
      <c r="CI207" s="2217">
        <f t="shared" si="106"/>
        <v>16.943549203039765</v>
      </c>
      <c r="CJ207" s="2212">
        <v>128</v>
      </c>
      <c r="CK207" s="2219"/>
      <c r="CL207" s="2213"/>
      <c r="CM207" s="2219"/>
      <c r="CN207" s="2213"/>
      <c r="CO207" s="2213"/>
      <c r="CP207" s="2213"/>
      <c r="CQ207" s="2213"/>
      <c r="CR207" s="2208"/>
      <c r="CS207" s="2217">
        <f t="shared" si="116"/>
        <v>-2.6347229042101397</v>
      </c>
      <c r="CT207" s="2217">
        <f t="shared" si="107"/>
        <v>6336.6233303471654</v>
      </c>
      <c r="CU207" s="2217">
        <f t="shared" si="97"/>
        <v>6.4187237746591563</v>
      </c>
      <c r="CV207" s="2212">
        <v>128</v>
      </c>
      <c r="CW207" s="2208"/>
      <c r="CX207" s="263"/>
      <c r="CY207" s="2208"/>
      <c r="CZ207" s="263"/>
      <c r="DA207" s="263"/>
      <c r="DB207" s="263"/>
      <c r="DC207" s="263"/>
      <c r="DD207" s="2208"/>
    </row>
    <row r="208" spans="1:108">
      <c r="A208" s="2217">
        <f t="shared" si="108"/>
        <v>8.4117160536085045</v>
      </c>
      <c r="B208" s="2217">
        <f t="shared" si="90"/>
        <v>7802.1015259376099</v>
      </c>
      <c r="C208" s="2217">
        <f t="shared" si="98"/>
        <v>17.140622655311745</v>
      </c>
      <c r="D208" s="2212">
        <v>127</v>
      </c>
      <c r="E208" s="2219"/>
      <c r="F208" s="2213"/>
      <c r="G208" s="2219"/>
      <c r="H208" s="2213"/>
      <c r="I208" s="2213"/>
      <c r="J208" s="2213"/>
      <c r="K208" s="2213"/>
      <c r="L208" s="2213"/>
      <c r="M208" s="2217">
        <f t="shared" si="109"/>
        <v>9.6115596394803262</v>
      </c>
      <c r="N208" s="2217">
        <f t="shared" si="91"/>
        <v>7802.1015259376099</v>
      </c>
      <c r="O208" s="2217">
        <f t="shared" si="99"/>
        <v>17.140622655311745</v>
      </c>
      <c r="P208" s="2212">
        <v>127</v>
      </c>
      <c r="Q208" s="2219"/>
      <c r="R208" s="2213"/>
      <c r="S208" s="2219"/>
      <c r="T208" s="2213"/>
      <c r="U208" s="2213"/>
      <c r="V208" s="2213"/>
      <c r="W208" s="2213"/>
      <c r="X208" s="2213"/>
      <c r="Y208" s="2217">
        <f t="shared" si="110"/>
        <v>11.154215678458385</v>
      </c>
      <c r="Z208" s="2217">
        <f t="shared" si="100"/>
        <v>7802.1015259376099</v>
      </c>
      <c r="AA208" s="2217">
        <f t="shared" si="101"/>
        <v>17.140622655311745</v>
      </c>
      <c r="AB208" s="2212">
        <v>127</v>
      </c>
      <c r="AC208" s="2219"/>
      <c r="AD208" s="2213"/>
      <c r="AE208" s="2219"/>
      <c r="AF208" s="2213"/>
      <c r="AG208" s="2213"/>
      <c r="AH208" s="2213"/>
      <c r="AI208" s="2213"/>
      <c r="AJ208" s="2213"/>
      <c r="AK208" s="2217">
        <f t="shared" si="111"/>
        <v>3.7837479366743327</v>
      </c>
      <c r="AL208" s="2217">
        <f t="shared" si="92"/>
        <v>7802.1015259376099</v>
      </c>
      <c r="AM208" s="2217">
        <f t="shared" si="102"/>
        <v>17.140622655311745</v>
      </c>
      <c r="AN208" s="2212">
        <v>127</v>
      </c>
      <c r="AO208" s="2219"/>
      <c r="AP208" s="2213"/>
      <c r="AQ208" s="2219"/>
      <c r="AR208" s="2213"/>
      <c r="AS208" s="2213"/>
      <c r="AT208" s="2213"/>
      <c r="AU208" s="2213"/>
      <c r="AV208" s="2213"/>
      <c r="AW208" s="2217">
        <f t="shared" si="112"/>
        <v>-4.1577600400962735</v>
      </c>
      <c r="AX208" s="2217">
        <f t="shared" si="103"/>
        <v>6330.2046065725062</v>
      </c>
      <c r="AY208" s="2217">
        <f t="shared" si="93"/>
        <v>6.7379622263242709</v>
      </c>
      <c r="AZ208" s="2212">
        <v>127</v>
      </c>
      <c r="BA208" s="2208"/>
      <c r="BB208" s="263"/>
      <c r="BC208" s="2208"/>
      <c r="BD208" s="263"/>
      <c r="BE208" s="263"/>
      <c r="BF208" s="263"/>
      <c r="BG208" s="263"/>
      <c r="BH208" s="2208"/>
      <c r="BI208" s="2217">
        <f t="shared" si="113"/>
        <v>-2.0689917499357495</v>
      </c>
      <c r="BJ208" s="2217">
        <f t="shared" si="104"/>
        <v>6330.2046065725062</v>
      </c>
      <c r="BK208" s="2217">
        <f t="shared" si="94"/>
        <v>6.7379622263242709</v>
      </c>
      <c r="BL208" s="2212">
        <v>127</v>
      </c>
      <c r="BM208" s="2208"/>
      <c r="BN208" s="263"/>
      <c r="BO208" s="2208"/>
      <c r="BP208" s="263"/>
      <c r="BQ208" s="263"/>
      <c r="BR208" s="263"/>
      <c r="BS208" s="263"/>
      <c r="BT208" s="2208"/>
      <c r="BU208" s="2217">
        <f t="shared" si="114"/>
        <v>3.7837479366743327</v>
      </c>
      <c r="BV208" s="2217">
        <f t="shared" si="95"/>
        <v>7802.1015259376099</v>
      </c>
      <c r="BW208" s="2217">
        <f t="shared" si="105"/>
        <v>17.140622655311745</v>
      </c>
      <c r="BX208" s="2212">
        <v>127</v>
      </c>
      <c r="BY208" s="2219"/>
      <c r="BZ208" s="2213"/>
      <c r="CA208" s="2219"/>
      <c r="CB208" s="2213"/>
      <c r="CC208" s="2213"/>
      <c r="CD208" s="2213"/>
      <c r="CE208" s="2213"/>
      <c r="CF208" s="2208"/>
      <c r="CG208" s="2217">
        <f t="shared" si="115"/>
        <v>5.8406226553117442</v>
      </c>
      <c r="CH208" s="2217">
        <f t="shared" si="96"/>
        <v>7802.1015259376099</v>
      </c>
      <c r="CI208" s="2217">
        <f t="shared" si="106"/>
        <v>17.140622655311745</v>
      </c>
      <c r="CJ208" s="2212">
        <v>127</v>
      </c>
      <c r="CK208" s="2219"/>
      <c r="CL208" s="2213"/>
      <c r="CM208" s="2219"/>
      <c r="CN208" s="2213"/>
      <c r="CO208" s="2213"/>
      <c r="CP208" s="2213"/>
      <c r="CQ208" s="2213"/>
      <c r="CR208" s="2208"/>
      <c r="CS208" s="2217">
        <f t="shared" si="116"/>
        <v>-2.2037509944622347</v>
      </c>
      <c r="CT208" s="2217">
        <f t="shared" si="107"/>
        <v>6330.2046065725062</v>
      </c>
      <c r="CU208" s="2217">
        <f t="shared" si="97"/>
        <v>6.7379622263242709</v>
      </c>
      <c r="CV208" s="2212">
        <v>127</v>
      </c>
      <c r="CW208" s="2208"/>
      <c r="CX208" s="263"/>
      <c r="CY208" s="2208"/>
      <c r="CZ208" s="263"/>
      <c r="DA208" s="263"/>
      <c r="DB208" s="263"/>
      <c r="DC208" s="263"/>
      <c r="DD208" s="2208"/>
    </row>
    <row r="209" spans="1:108">
      <c r="A209" s="2217">
        <f t="shared" si="108"/>
        <v>8.6393194312217467</v>
      </c>
      <c r="B209" s="2217">
        <f t="shared" si="90"/>
        <v>7784.9609032822982</v>
      </c>
      <c r="C209" s="2217">
        <f t="shared" si="98"/>
        <v>17.338538635844998</v>
      </c>
      <c r="D209" s="2212">
        <v>126</v>
      </c>
      <c r="E209" s="2219"/>
      <c r="F209" s="2213"/>
      <c r="G209" s="2219"/>
      <c r="H209" s="2213"/>
      <c r="I209" s="2213"/>
      <c r="J209" s="2213"/>
      <c r="K209" s="2213"/>
      <c r="L209" s="2213"/>
      <c r="M209" s="2217">
        <f t="shared" si="109"/>
        <v>9.8530171357308944</v>
      </c>
      <c r="N209" s="2217">
        <f t="shared" si="91"/>
        <v>7784.9609032822982</v>
      </c>
      <c r="O209" s="2217">
        <f t="shared" si="99"/>
        <v>17.338538635844998</v>
      </c>
      <c r="P209" s="2212">
        <v>126</v>
      </c>
      <c r="Q209" s="2219"/>
      <c r="R209" s="2213"/>
      <c r="S209" s="2219"/>
      <c r="T209" s="2213"/>
      <c r="U209" s="2213"/>
      <c r="V209" s="2213"/>
      <c r="W209" s="2213"/>
      <c r="X209" s="2213"/>
      <c r="Y209" s="2217">
        <f t="shared" si="110"/>
        <v>11.413485612956947</v>
      </c>
      <c r="Z209" s="2217">
        <f t="shared" si="100"/>
        <v>7784.9609032822982</v>
      </c>
      <c r="AA209" s="2217">
        <f t="shared" si="101"/>
        <v>17.338538635844998</v>
      </c>
      <c r="AB209" s="2212">
        <v>126</v>
      </c>
      <c r="AC209" s="2219"/>
      <c r="AD209" s="2213"/>
      <c r="AE209" s="2219"/>
      <c r="AF209" s="2213"/>
      <c r="AG209" s="2213"/>
      <c r="AH209" s="2213"/>
      <c r="AI209" s="2213"/>
      <c r="AJ209" s="2213"/>
      <c r="AK209" s="2217">
        <f t="shared" si="111"/>
        <v>3.9579139995435959</v>
      </c>
      <c r="AL209" s="2217">
        <f t="shared" si="92"/>
        <v>7784.9609032822982</v>
      </c>
      <c r="AM209" s="2217">
        <f t="shared" si="102"/>
        <v>17.338538635844998</v>
      </c>
      <c r="AN209" s="2212">
        <v>126</v>
      </c>
      <c r="AO209" s="2219"/>
      <c r="AP209" s="2213"/>
      <c r="AQ209" s="2219"/>
      <c r="AR209" s="2213"/>
      <c r="AS209" s="2213"/>
      <c r="AT209" s="2213"/>
      <c r="AU209" s="2213"/>
      <c r="AV209" s="2213"/>
      <c r="AW209" s="2217">
        <f t="shared" si="112"/>
        <v>-3.8195325613081881</v>
      </c>
      <c r="AX209" s="2217">
        <f t="shared" si="103"/>
        <v>6323.466644346182</v>
      </c>
      <c r="AY209" s="2217">
        <f t="shared" si="93"/>
        <v>7.0570447534828418</v>
      </c>
      <c r="AZ209" s="2212">
        <v>126</v>
      </c>
      <c r="BA209" s="2208"/>
      <c r="BB209" s="263"/>
      <c r="BC209" s="2208"/>
      <c r="BD209" s="263"/>
      <c r="BE209" s="263"/>
      <c r="BF209" s="263"/>
      <c r="BG209" s="263"/>
      <c r="BH209" s="2208"/>
      <c r="BI209" s="2217">
        <f t="shared" si="113"/>
        <v>-1.6318486877285068</v>
      </c>
      <c r="BJ209" s="2217">
        <f t="shared" si="104"/>
        <v>6323.466644346182</v>
      </c>
      <c r="BK209" s="2217">
        <f t="shared" si="94"/>
        <v>7.0570447534828418</v>
      </c>
      <c r="BL209" s="2212">
        <v>126</v>
      </c>
      <c r="BM209" s="2208"/>
      <c r="BN209" s="263"/>
      <c r="BO209" s="2208"/>
      <c r="BP209" s="263"/>
      <c r="BQ209" s="263"/>
      <c r="BR209" s="263"/>
      <c r="BS209" s="263"/>
      <c r="BT209" s="2208"/>
      <c r="BU209" s="2217">
        <f t="shared" si="114"/>
        <v>3.9579139995435959</v>
      </c>
      <c r="BV209" s="2217">
        <f t="shared" si="95"/>
        <v>7784.9609032822982</v>
      </c>
      <c r="BW209" s="2217">
        <f t="shared" si="105"/>
        <v>17.338538635844998</v>
      </c>
      <c r="BX209" s="2212">
        <v>126</v>
      </c>
      <c r="BY209" s="2219"/>
      <c r="BZ209" s="2213"/>
      <c r="CA209" s="2219"/>
      <c r="CB209" s="2213"/>
      <c r="CC209" s="2213"/>
      <c r="CD209" s="2213"/>
      <c r="CE209" s="2213"/>
      <c r="CF209" s="2208"/>
      <c r="CG209" s="2217">
        <f t="shared" si="115"/>
        <v>6.0385386358449971</v>
      </c>
      <c r="CH209" s="2217">
        <f t="shared" si="96"/>
        <v>7784.9609032822982</v>
      </c>
      <c r="CI209" s="2217">
        <f t="shared" si="106"/>
        <v>17.338538635844998</v>
      </c>
      <c r="CJ209" s="2212">
        <v>126</v>
      </c>
      <c r="CK209" s="2219"/>
      <c r="CL209" s="2213"/>
      <c r="CM209" s="2219"/>
      <c r="CN209" s="2213"/>
      <c r="CO209" s="2213"/>
      <c r="CP209" s="2213"/>
      <c r="CQ209" s="2213"/>
      <c r="CR209" s="2208"/>
      <c r="CS209" s="2217">
        <f t="shared" si="116"/>
        <v>-1.7729895827981643</v>
      </c>
      <c r="CT209" s="2217">
        <f t="shared" si="107"/>
        <v>6323.466644346182</v>
      </c>
      <c r="CU209" s="2217">
        <f t="shared" si="97"/>
        <v>7.0570447534828418</v>
      </c>
      <c r="CV209" s="2212">
        <v>126</v>
      </c>
      <c r="CW209" s="2208"/>
      <c r="CX209" s="263"/>
      <c r="CY209" s="2208"/>
      <c r="CZ209" s="263"/>
      <c r="DA209" s="263"/>
      <c r="DB209" s="263"/>
      <c r="DC209" s="263"/>
      <c r="DD209" s="2208"/>
    </row>
    <row r="210" spans="1:108">
      <c r="A210" s="2217">
        <f t="shared" si="108"/>
        <v>8.8678917163500941</v>
      </c>
      <c r="B210" s="2217">
        <f t="shared" si="90"/>
        <v>7767.6223646464532</v>
      </c>
      <c r="C210" s="2217">
        <f t="shared" si="98"/>
        <v>17.537297144652257</v>
      </c>
      <c r="D210" s="2212">
        <v>125</v>
      </c>
      <c r="E210" s="2219"/>
      <c r="F210" s="2213"/>
      <c r="G210" s="2219"/>
      <c r="H210" s="2213"/>
      <c r="I210" s="2213"/>
      <c r="J210" s="2213"/>
      <c r="K210" s="2213"/>
      <c r="L210" s="2213"/>
      <c r="M210" s="2217">
        <f t="shared" si="109"/>
        <v>10.095502516475751</v>
      </c>
      <c r="N210" s="2217">
        <f t="shared" si="91"/>
        <v>7767.6223646464532</v>
      </c>
      <c r="O210" s="2217">
        <f t="shared" si="99"/>
        <v>17.537297144652257</v>
      </c>
      <c r="P210" s="2212">
        <v>125</v>
      </c>
      <c r="Q210" s="2219"/>
      <c r="R210" s="2213"/>
      <c r="S210" s="2219"/>
      <c r="T210" s="2213"/>
      <c r="U210" s="2213"/>
      <c r="V210" s="2213"/>
      <c r="W210" s="2213"/>
      <c r="X210" s="2213"/>
      <c r="Y210" s="2217">
        <f t="shared" si="110"/>
        <v>11.673859259494456</v>
      </c>
      <c r="Z210" s="2217">
        <f t="shared" si="100"/>
        <v>7767.6223646464532</v>
      </c>
      <c r="AA210" s="2217">
        <f t="shared" si="101"/>
        <v>17.537297144652257</v>
      </c>
      <c r="AB210" s="2212">
        <v>125</v>
      </c>
      <c r="AC210" s="2219"/>
      <c r="AD210" s="2213"/>
      <c r="AE210" s="2219"/>
      <c r="AF210" s="2213"/>
      <c r="AG210" s="2213"/>
      <c r="AH210" s="2213"/>
      <c r="AI210" s="2213"/>
      <c r="AJ210" s="2213"/>
      <c r="AK210" s="2217">
        <f t="shared" si="111"/>
        <v>4.1328214872939828</v>
      </c>
      <c r="AL210" s="2217">
        <f t="shared" si="92"/>
        <v>7767.6223646464532</v>
      </c>
      <c r="AM210" s="2217">
        <f t="shared" si="102"/>
        <v>17.537297144652257</v>
      </c>
      <c r="AN210" s="2212">
        <v>125</v>
      </c>
      <c r="AO210" s="2219"/>
      <c r="AP210" s="2213"/>
      <c r="AQ210" s="2219"/>
      <c r="AR210" s="2213"/>
      <c r="AS210" s="2213"/>
      <c r="AT210" s="2213"/>
      <c r="AU210" s="2213"/>
      <c r="AV210" s="2213"/>
      <c r="AW210" s="2217">
        <f t="shared" si="112"/>
        <v>-3.4814703624873982</v>
      </c>
      <c r="AX210" s="2217">
        <f t="shared" si="103"/>
        <v>6316.4095995926991</v>
      </c>
      <c r="AY210" s="2217">
        <f t="shared" si="93"/>
        <v>7.3759713561439639</v>
      </c>
      <c r="AZ210" s="2212">
        <v>125</v>
      </c>
      <c r="BA210" s="2208"/>
      <c r="BB210" s="263"/>
      <c r="BC210" s="2208"/>
      <c r="BD210" s="263"/>
      <c r="BE210" s="263"/>
      <c r="BF210" s="263"/>
      <c r="BG210" s="263"/>
      <c r="BH210" s="2208"/>
      <c r="BI210" s="2217">
        <f t="shared" si="113"/>
        <v>-1.1949192420827686</v>
      </c>
      <c r="BJ210" s="2217">
        <f t="shared" si="104"/>
        <v>6316.4095995926991</v>
      </c>
      <c r="BK210" s="2217">
        <f t="shared" si="94"/>
        <v>7.3759713561439639</v>
      </c>
      <c r="BL210" s="2212">
        <v>125</v>
      </c>
      <c r="BM210" s="2208"/>
      <c r="BN210" s="263"/>
      <c r="BO210" s="2208"/>
      <c r="BP210" s="263"/>
      <c r="BQ210" s="263"/>
      <c r="BR210" s="263"/>
      <c r="BS210" s="263"/>
      <c r="BT210" s="2208"/>
      <c r="BU210" s="2217">
        <f t="shared" si="114"/>
        <v>4.1328214872939828</v>
      </c>
      <c r="BV210" s="2217">
        <f t="shared" si="95"/>
        <v>7767.6223646464532</v>
      </c>
      <c r="BW210" s="2217">
        <f t="shared" si="105"/>
        <v>17.537297144652257</v>
      </c>
      <c r="BX210" s="2212">
        <v>125</v>
      </c>
      <c r="BY210" s="2219"/>
      <c r="BZ210" s="2213"/>
      <c r="CA210" s="2219"/>
      <c r="CB210" s="2213"/>
      <c r="CC210" s="2213"/>
      <c r="CD210" s="2213"/>
      <c r="CE210" s="2213"/>
      <c r="CF210" s="2208"/>
      <c r="CG210" s="2217">
        <f t="shared" si="115"/>
        <v>6.2372971446522563</v>
      </c>
      <c r="CH210" s="2217">
        <f t="shared" si="96"/>
        <v>7767.6223646464532</v>
      </c>
      <c r="CI210" s="2217">
        <f t="shared" si="106"/>
        <v>17.537297144652257</v>
      </c>
      <c r="CJ210" s="2212">
        <v>125</v>
      </c>
      <c r="CK210" s="2219"/>
      <c r="CL210" s="2213"/>
      <c r="CM210" s="2219"/>
      <c r="CN210" s="2213"/>
      <c r="CO210" s="2213"/>
      <c r="CP210" s="2213"/>
      <c r="CQ210" s="2213"/>
      <c r="CR210" s="2208"/>
      <c r="CS210" s="2217">
        <f t="shared" si="116"/>
        <v>-1.3424386692056487</v>
      </c>
      <c r="CT210" s="2217">
        <f t="shared" si="107"/>
        <v>6316.4095995926991</v>
      </c>
      <c r="CU210" s="2217">
        <f t="shared" si="97"/>
        <v>7.3759713561439639</v>
      </c>
      <c r="CV210" s="2212">
        <v>125</v>
      </c>
      <c r="CW210" s="2208"/>
      <c r="CX210" s="263"/>
      <c r="CY210" s="2208"/>
      <c r="CZ210" s="263"/>
      <c r="DA210" s="263"/>
      <c r="DB210" s="263"/>
      <c r="DC210" s="263"/>
      <c r="DD210" s="2208"/>
    </row>
    <row r="211" spans="1:108">
      <c r="A211" s="2217">
        <f t="shared" si="108"/>
        <v>9.0974329089904096</v>
      </c>
      <c r="B211" s="2217">
        <f t="shared" si="90"/>
        <v>7750.0850675018009</v>
      </c>
      <c r="C211" s="2217">
        <f t="shared" si="98"/>
        <v>17.736898181730794</v>
      </c>
      <c r="D211" s="2212">
        <v>124</v>
      </c>
      <c r="E211" s="2219"/>
      <c r="F211" s="2213"/>
      <c r="G211" s="2219"/>
      <c r="H211" s="2213"/>
      <c r="I211" s="2213"/>
      <c r="J211" s="2213"/>
      <c r="K211" s="2213"/>
      <c r="L211" s="2213"/>
      <c r="M211" s="2217">
        <f t="shared" si="109"/>
        <v>10.339015781711566</v>
      </c>
      <c r="N211" s="2217">
        <f t="shared" si="91"/>
        <v>7750.0850675018009</v>
      </c>
      <c r="O211" s="2217">
        <f t="shared" si="99"/>
        <v>17.736898181730794</v>
      </c>
      <c r="P211" s="2212">
        <v>124</v>
      </c>
      <c r="Q211" s="2219"/>
      <c r="R211" s="2213"/>
      <c r="S211" s="2219"/>
      <c r="T211" s="2213"/>
      <c r="U211" s="2213"/>
      <c r="V211" s="2213"/>
      <c r="W211" s="2213"/>
      <c r="X211" s="2213"/>
      <c r="Y211" s="2217">
        <f t="shared" si="110"/>
        <v>11.935336618067339</v>
      </c>
      <c r="Z211" s="2217">
        <f t="shared" si="100"/>
        <v>7750.0850675018009</v>
      </c>
      <c r="AA211" s="2217">
        <f t="shared" si="101"/>
        <v>17.736898181730794</v>
      </c>
      <c r="AB211" s="2212">
        <v>124</v>
      </c>
      <c r="AC211" s="2219"/>
      <c r="AD211" s="2213"/>
      <c r="AE211" s="2219"/>
      <c r="AF211" s="2213"/>
      <c r="AG211" s="2213"/>
      <c r="AH211" s="2213"/>
      <c r="AI211" s="2213"/>
      <c r="AJ211" s="2213"/>
      <c r="AK211" s="2217">
        <f t="shared" si="111"/>
        <v>4.3084703999230953</v>
      </c>
      <c r="AL211" s="2217">
        <f t="shared" si="92"/>
        <v>7750.0850675018009</v>
      </c>
      <c r="AM211" s="2217">
        <f t="shared" si="102"/>
        <v>17.736898181730794</v>
      </c>
      <c r="AN211" s="2212">
        <v>124</v>
      </c>
      <c r="AO211" s="2219"/>
      <c r="AP211" s="2213"/>
      <c r="AQ211" s="2219"/>
      <c r="AR211" s="2213"/>
      <c r="AS211" s="2213"/>
      <c r="AT211" s="2213"/>
      <c r="AU211" s="2213"/>
      <c r="AV211" s="2213"/>
      <c r="AW211" s="2217">
        <f t="shared" si="112"/>
        <v>-3.1435734436339047</v>
      </c>
      <c r="AX211" s="2217">
        <f t="shared" si="103"/>
        <v>6309.0336282365552</v>
      </c>
      <c r="AY211" s="2217">
        <f t="shared" si="93"/>
        <v>7.6947420343076374</v>
      </c>
      <c r="AZ211" s="2212">
        <v>124</v>
      </c>
      <c r="BA211" s="2208"/>
      <c r="BB211" s="263"/>
      <c r="BC211" s="2208"/>
      <c r="BD211" s="263"/>
      <c r="BE211" s="263"/>
      <c r="BF211" s="263"/>
      <c r="BG211" s="263"/>
      <c r="BH211" s="2208"/>
      <c r="BI211" s="2217">
        <f t="shared" si="113"/>
        <v>-0.75820341299853666</v>
      </c>
      <c r="BJ211" s="2217">
        <f t="shared" si="104"/>
        <v>6309.0336282365552</v>
      </c>
      <c r="BK211" s="2217">
        <f t="shared" si="94"/>
        <v>7.6947420343076374</v>
      </c>
      <c r="BL211" s="2212">
        <v>124</v>
      </c>
      <c r="BM211" s="2208"/>
      <c r="BN211" s="263"/>
      <c r="BO211" s="2208"/>
      <c r="BP211" s="263"/>
      <c r="BQ211" s="263"/>
      <c r="BR211" s="263"/>
      <c r="BS211" s="263"/>
      <c r="BT211" s="2208"/>
      <c r="BU211" s="2217">
        <f t="shared" si="114"/>
        <v>4.3084703999230953</v>
      </c>
      <c r="BV211" s="2217">
        <f t="shared" si="95"/>
        <v>7750.0850675018009</v>
      </c>
      <c r="BW211" s="2217">
        <f t="shared" si="105"/>
        <v>17.736898181730794</v>
      </c>
      <c r="BX211" s="2212">
        <v>124</v>
      </c>
      <c r="BY211" s="2219"/>
      <c r="BZ211" s="2213"/>
      <c r="CA211" s="2219"/>
      <c r="CB211" s="2213"/>
      <c r="CC211" s="2213"/>
      <c r="CD211" s="2213"/>
      <c r="CE211" s="2213"/>
      <c r="CF211" s="2208"/>
      <c r="CG211" s="2217">
        <f t="shared" si="115"/>
        <v>6.4368981817307933</v>
      </c>
      <c r="CH211" s="2217">
        <f t="shared" si="96"/>
        <v>7750.0850675018009</v>
      </c>
      <c r="CI211" s="2217">
        <f t="shared" si="106"/>
        <v>17.736898181730794</v>
      </c>
      <c r="CJ211" s="2212">
        <v>124</v>
      </c>
      <c r="CK211" s="2219"/>
      <c r="CL211" s="2213"/>
      <c r="CM211" s="2219"/>
      <c r="CN211" s="2213"/>
      <c r="CO211" s="2213"/>
      <c r="CP211" s="2213"/>
      <c r="CQ211" s="2213"/>
      <c r="CR211" s="2208"/>
      <c r="CS211" s="2217">
        <f t="shared" si="116"/>
        <v>-0.91209825368468955</v>
      </c>
      <c r="CT211" s="2217">
        <f t="shared" si="107"/>
        <v>6309.0336282365552</v>
      </c>
      <c r="CU211" s="2217">
        <f t="shared" si="97"/>
        <v>7.6947420343076374</v>
      </c>
      <c r="CV211" s="2212">
        <v>124</v>
      </c>
      <c r="CW211" s="2208"/>
      <c r="CX211" s="263"/>
      <c r="CY211" s="2208"/>
      <c r="CZ211" s="263"/>
      <c r="DA211" s="263"/>
      <c r="DB211" s="263"/>
      <c r="DC211" s="263"/>
      <c r="DD211" s="2208"/>
    </row>
    <row r="212" spans="1:108">
      <c r="A212" s="2217">
        <f t="shared" si="108"/>
        <v>9.3279430091364226</v>
      </c>
      <c r="B212" s="2217">
        <f t="shared" si="90"/>
        <v>7732.3481693200702</v>
      </c>
      <c r="C212" s="2217">
        <f t="shared" si="98"/>
        <v>17.937341747075152</v>
      </c>
      <c r="D212" s="2212">
        <v>123</v>
      </c>
      <c r="E212" s="2219"/>
      <c r="F212" s="2213"/>
      <c r="G212" s="2219"/>
      <c r="H212" s="2213"/>
      <c r="I212" s="2213"/>
      <c r="J212" s="2213"/>
      <c r="K212" s="2213"/>
      <c r="L212" s="2213"/>
      <c r="M212" s="2217">
        <f t="shared" si="109"/>
        <v>10.583556931431684</v>
      </c>
      <c r="N212" s="2217">
        <f t="shared" si="91"/>
        <v>7732.3481693200702</v>
      </c>
      <c r="O212" s="2217">
        <f t="shared" si="99"/>
        <v>17.937341747075152</v>
      </c>
      <c r="P212" s="2212">
        <v>123</v>
      </c>
      <c r="Q212" s="2219"/>
      <c r="R212" s="2213"/>
      <c r="S212" s="2219"/>
      <c r="T212" s="2213"/>
      <c r="U212" s="2213"/>
      <c r="V212" s="2213"/>
      <c r="W212" s="2213"/>
      <c r="X212" s="2213"/>
      <c r="Y212" s="2217">
        <f t="shared" si="110"/>
        <v>12.197917688668451</v>
      </c>
      <c r="Z212" s="2217">
        <f t="shared" si="100"/>
        <v>7732.3481693200702</v>
      </c>
      <c r="AA212" s="2217">
        <f t="shared" si="101"/>
        <v>17.937341747075152</v>
      </c>
      <c r="AB212" s="2212">
        <v>123</v>
      </c>
      <c r="AC212" s="2219"/>
      <c r="AD212" s="2213"/>
      <c r="AE212" s="2219"/>
      <c r="AF212" s="2213"/>
      <c r="AG212" s="2213"/>
      <c r="AH212" s="2213"/>
      <c r="AI212" s="2213"/>
      <c r="AJ212" s="2213"/>
      <c r="AK212" s="2217">
        <f t="shared" si="111"/>
        <v>4.4848607374261302</v>
      </c>
      <c r="AL212" s="2217">
        <f t="shared" si="92"/>
        <v>7732.3481693200702</v>
      </c>
      <c r="AM212" s="2217">
        <f t="shared" si="102"/>
        <v>17.937341747075152</v>
      </c>
      <c r="AN212" s="2212">
        <v>123</v>
      </c>
      <c r="AO212" s="2219"/>
      <c r="AP212" s="2213"/>
      <c r="AQ212" s="2219"/>
      <c r="AR212" s="2213"/>
      <c r="AS212" s="2213"/>
      <c r="AT212" s="2213"/>
      <c r="AU212" s="2213"/>
      <c r="AV212" s="2213"/>
      <c r="AW212" s="2217">
        <f t="shared" si="112"/>
        <v>-2.8058418047573479</v>
      </c>
      <c r="AX212" s="2217">
        <f t="shared" si="103"/>
        <v>6301.3388862022475</v>
      </c>
      <c r="AY212" s="2217">
        <f t="shared" si="93"/>
        <v>8.0133567879647671</v>
      </c>
      <c r="AZ212" s="2212">
        <v>123</v>
      </c>
      <c r="BA212" s="2208"/>
      <c r="BB212" s="263"/>
      <c r="BC212" s="2208"/>
      <c r="BD212" s="263"/>
      <c r="BE212" s="263"/>
      <c r="BF212" s="263"/>
      <c r="BG212" s="263"/>
      <c r="BH212" s="2208"/>
      <c r="BI212" s="2217">
        <f t="shared" si="113"/>
        <v>-0.32170120048826867</v>
      </c>
      <c r="BJ212" s="2217">
        <f t="shared" si="104"/>
        <v>6301.3388862022475</v>
      </c>
      <c r="BK212" s="2217">
        <f t="shared" si="94"/>
        <v>8.0133567879647671</v>
      </c>
      <c r="BL212" s="2212">
        <v>123</v>
      </c>
      <c r="BM212" s="2208"/>
      <c r="BN212" s="263"/>
      <c r="BO212" s="2208"/>
      <c r="BP212" s="263"/>
      <c r="BQ212" s="263"/>
      <c r="BR212" s="263"/>
      <c r="BS212" s="263"/>
      <c r="BT212" s="2208"/>
      <c r="BU212" s="2217">
        <f t="shared" si="114"/>
        <v>4.4848607374261302</v>
      </c>
      <c r="BV212" s="2217">
        <f t="shared" si="95"/>
        <v>7732.3481693200702</v>
      </c>
      <c r="BW212" s="2217">
        <f t="shared" si="105"/>
        <v>17.937341747075152</v>
      </c>
      <c r="BX212" s="2212">
        <v>123</v>
      </c>
      <c r="BY212" s="2219"/>
      <c r="BZ212" s="2213"/>
      <c r="CA212" s="2219"/>
      <c r="CB212" s="2213"/>
      <c r="CC212" s="2213"/>
      <c r="CD212" s="2213"/>
      <c r="CE212" s="2213"/>
      <c r="CF212" s="2208"/>
      <c r="CG212" s="2217">
        <f t="shared" si="115"/>
        <v>6.6373417470751512</v>
      </c>
      <c r="CH212" s="2217">
        <f t="shared" si="96"/>
        <v>7732.3481693200702</v>
      </c>
      <c r="CI212" s="2217">
        <f t="shared" si="106"/>
        <v>17.937341747075152</v>
      </c>
      <c r="CJ212" s="2212">
        <v>123</v>
      </c>
      <c r="CK212" s="2219"/>
      <c r="CL212" s="2213"/>
      <c r="CM212" s="2219"/>
      <c r="CN212" s="2213"/>
      <c r="CO212" s="2213"/>
      <c r="CP212" s="2213"/>
      <c r="CQ212" s="2213"/>
      <c r="CR212" s="2208"/>
      <c r="CS212" s="2217">
        <f t="shared" si="116"/>
        <v>-0.48196833624756508</v>
      </c>
      <c r="CT212" s="2217">
        <f t="shared" si="107"/>
        <v>6301.3388862022475</v>
      </c>
      <c r="CU212" s="2217">
        <f t="shared" si="97"/>
        <v>8.0133567879647671</v>
      </c>
      <c r="CV212" s="2212">
        <v>123</v>
      </c>
      <c r="CW212" s="2208"/>
      <c r="CX212" s="263"/>
      <c r="CY212" s="2208"/>
      <c r="CZ212" s="263"/>
      <c r="DA212" s="263"/>
      <c r="DB212" s="263"/>
      <c r="DC212" s="263"/>
      <c r="DD212" s="2208"/>
    </row>
    <row r="213" spans="1:108">
      <c r="A213" s="2217">
        <f t="shared" si="108"/>
        <v>9.5594220167964963</v>
      </c>
      <c r="B213" s="2217">
        <f t="shared" si="90"/>
        <v>7714.410827572995</v>
      </c>
      <c r="C213" s="2217">
        <f t="shared" si="98"/>
        <v>18.138627840692607</v>
      </c>
      <c r="D213" s="2212">
        <v>122</v>
      </c>
      <c r="E213" s="2219"/>
      <c r="F213" s="2213"/>
      <c r="G213" s="2219"/>
      <c r="H213" s="2213"/>
      <c r="I213" s="2213"/>
      <c r="J213" s="2213"/>
      <c r="K213" s="2213"/>
      <c r="L213" s="2213"/>
      <c r="M213" s="2217">
        <f t="shared" si="109"/>
        <v>10.82912596564498</v>
      </c>
      <c r="N213" s="2217">
        <f t="shared" si="91"/>
        <v>7714.410827572995</v>
      </c>
      <c r="O213" s="2217">
        <f t="shared" si="99"/>
        <v>18.138627840692607</v>
      </c>
      <c r="P213" s="2212">
        <v>122</v>
      </c>
      <c r="Q213" s="2219"/>
      <c r="R213" s="2213"/>
      <c r="S213" s="2219"/>
      <c r="T213" s="2213"/>
      <c r="U213" s="2213"/>
      <c r="V213" s="2213"/>
      <c r="W213" s="2213"/>
      <c r="X213" s="2213"/>
      <c r="Y213" s="2217">
        <f t="shared" si="110"/>
        <v>12.461602471307316</v>
      </c>
      <c r="Z213" s="2217">
        <f t="shared" si="100"/>
        <v>7714.410827572995</v>
      </c>
      <c r="AA213" s="2217">
        <f t="shared" si="101"/>
        <v>18.138627840692607</v>
      </c>
      <c r="AB213" s="2212">
        <v>122</v>
      </c>
      <c r="AC213" s="2219"/>
      <c r="AD213" s="2213"/>
      <c r="AE213" s="2219"/>
      <c r="AF213" s="2213"/>
      <c r="AG213" s="2213"/>
      <c r="AH213" s="2213"/>
      <c r="AI213" s="2213"/>
      <c r="AJ213" s="2213"/>
      <c r="AK213" s="2217">
        <f t="shared" si="111"/>
        <v>4.6619924998094913</v>
      </c>
      <c r="AL213" s="2217">
        <f t="shared" si="92"/>
        <v>7714.410827572995</v>
      </c>
      <c r="AM213" s="2217">
        <f t="shared" si="102"/>
        <v>18.138627840692607</v>
      </c>
      <c r="AN213" s="2212">
        <v>122</v>
      </c>
      <c r="AO213" s="2219"/>
      <c r="AP213" s="2213"/>
      <c r="AQ213" s="2219"/>
      <c r="AR213" s="2213"/>
      <c r="AS213" s="2213"/>
      <c r="AT213" s="2213"/>
      <c r="AU213" s="2213"/>
      <c r="AV213" s="2213"/>
      <c r="AW213" s="2217">
        <f t="shared" si="112"/>
        <v>-2.4682754458461567</v>
      </c>
      <c r="AX213" s="2217">
        <f t="shared" si="103"/>
        <v>6293.3255294142828</v>
      </c>
      <c r="AY213" s="2217">
        <f t="shared" si="93"/>
        <v>8.3318156171262672</v>
      </c>
      <c r="AZ213" s="2212">
        <v>122</v>
      </c>
      <c r="BA213" s="2208"/>
      <c r="BB213" s="263"/>
      <c r="BC213" s="2208"/>
      <c r="BD213" s="263"/>
      <c r="BE213" s="263"/>
      <c r="BF213" s="263"/>
      <c r="BG213" s="263"/>
      <c r="BH213" s="2208"/>
      <c r="BI213" s="2217">
        <f t="shared" si="113"/>
        <v>0.11458739546298702</v>
      </c>
      <c r="BJ213" s="2217">
        <f t="shared" si="104"/>
        <v>6293.3255294142828</v>
      </c>
      <c r="BK213" s="2217">
        <f t="shared" si="94"/>
        <v>8.3318156171262672</v>
      </c>
      <c r="BL213" s="2212">
        <v>122</v>
      </c>
      <c r="BM213" s="2208"/>
      <c r="BN213" s="263"/>
      <c r="BO213" s="2208"/>
      <c r="BP213" s="263"/>
      <c r="BQ213" s="263"/>
      <c r="BR213" s="263"/>
      <c r="BS213" s="263"/>
      <c r="BT213" s="2208"/>
      <c r="BU213" s="2217">
        <f t="shared" si="114"/>
        <v>4.6619924998094913</v>
      </c>
      <c r="BV213" s="2217">
        <f t="shared" si="95"/>
        <v>7714.410827572995</v>
      </c>
      <c r="BW213" s="2217">
        <f t="shared" si="105"/>
        <v>18.138627840692607</v>
      </c>
      <c r="BX213" s="2212">
        <v>122</v>
      </c>
      <c r="BY213" s="2219"/>
      <c r="BZ213" s="2213"/>
      <c r="CA213" s="2219"/>
      <c r="CB213" s="2213"/>
      <c r="CC213" s="2213"/>
      <c r="CD213" s="2213"/>
      <c r="CE213" s="2213"/>
      <c r="CF213" s="2208"/>
      <c r="CG213" s="2217">
        <f t="shared" si="115"/>
        <v>6.838627840692606</v>
      </c>
      <c r="CH213" s="2217">
        <f t="shared" si="96"/>
        <v>7714.410827572995</v>
      </c>
      <c r="CI213" s="2217">
        <f t="shared" si="106"/>
        <v>18.138627840692607</v>
      </c>
      <c r="CJ213" s="2212">
        <v>122</v>
      </c>
      <c r="CK213" s="2219"/>
      <c r="CL213" s="2213"/>
      <c r="CM213" s="2219"/>
      <c r="CN213" s="2213"/>
      <c r="CO213" s="2213"/>
      <c r="CP213" s="2213"/>
      <c r="CQ213" s="2213"/>
      <c r="CR213" s="2208"/>
      <c r="CS213" s="2217">
        <f t="shared" si="116"/>
        <v>-5.2048916879538609E-2</v>
      </c>
      <c r="CT213" s="2217">
        <f t="shared" si="107"/>
        <v>6293.3255294142828</v>
      </c>
      <c r="CU213" s="2217">
        <f t="shared" si="97"/>
        <v>8.3318156171262672</v>
      </c>
      <c r="CV213" s="2212">
        <v>122</v>
      </c>
      <c r="CW213" s="2208"/>
      <c r="CX213" s="263"/>
      <c r="CY213" s="2208"/>
      <c r="CZ213" s="263"/>
      <c r="DA213" s="263"/>
      <c r="DB213" s="263"/>
      <c r="DC213" s="263"/>
      <c r="DD213" s="2208"/>
    </row>
    <row r="214" spans="1:108">
      <c r="A214" s="2217">
        <f t="shared" si="108"/>
        <v>9.7918699319633085</v>
      </c>
      <c r="B214" s="2217">
        <f t="shared" si="90"/>
        <v>7696.2721997323024</v>
      </c>
      <c r="C214" s="2217">
        <f t="shared" si="98"/>
        <v>18.340756462576792</v>
      </c>
      <c r="D214" s="2212">
        <v>121</v>
      </c>
      <c r="E214" s="2219"/>
      <c r="F214" s="2213"/>
      <c r="G214" s="2219"/>
      <c r="H214" s="2213"/>
      <c r="I214" s="2213"/>
      <c r="J214" s="2213"/>
      <c r="K214" s="2213"/>
      <c r="L214" s="2213"/>
      <c r="M214" s="2217">
        <f t="shared" si="109"/>
        <v>11.075722884343683</v>
      </c>
      <c r="N214" s="2217">
        <f t="shared" si="91"/>
        <v>7696.2721997323024</v>
      </c>
      <c r="O214" s="2217">
        <f t="shared" si="99"/>
        <v>18.340756462576792</v>
      </c>
      <c r="P214" s="2212">
        <v>121</v>
      </c>
      <c r="Q214" s="2219"/>
      <c r="R214" s="2213"/>
      <c r="S214" s="2219"/>
      <c r="T214" s="2213"/>
      <c r="U214" s="2213"/>
      <c r="V214" s="2213"/>
      <c r="W214" s="2213"/>
      <c r="X214" s="2213"/>
      <c r="Y214" s="2217">
        <f t="shared" si="110"/>
        <v>12.726390965975597</v>
      </c>
      <c r="Z214" s="2217">
        <f t="shared" si="100"/>
        <v>7696.2721997323024</v>
      </c>
      <c r="AA214" s="2217">
        <f t="shared" si="101"/>
        <v>18.340756462576792</v>
      </c>
      <c r="AB214" s="2212">
        <v>121</v>
      </c>
      <c r="AC214" s="2219"/>
      <c r="AD214" s="2213"/>
      <c r="AE214" s="2219"/>
      <c r="AF214" s="2213"/>
      <c r="AG214" s="2213"/>
      <c r="AH214" s="2213"/>
      <c r="AI214" s="2213"/>
      <c r="AJ214" s="2213"/>
      <c r="AK214" s="2217">
        <f t="shared" si="111"/>
        <v>4.8398656870675758</v>
      </c>
      <c r="AL214" s="2217">
        <f t="shared" si="92"/>
        <v>7696.2721997323024</v>
      </c>
      <c r="AM214" s="2217">
        <f t="shared" si="102"/>
        <v>18.340756462576792</v>
      </c>
      <c r="AN214" s="2212">
        <v>121</v>
      </c>
      <c r="AO214" s="2219"/>
      <c r="AP214" s="2213"/>
      <c r="AQ214" s="2219"/>
      <c r="AR214" s="2213"/>
      <c r="AS214" s="2213"/>
      <c r="AT214" s="2213"/>
      <c r="AU214" s="2213"/>
      <c r="AV214" s="2213"/>
      <c r="AW214" s="2217">
        <f t="shared" si="112"/>
        <v>-2.130874366909012</v>
      </c>
      <c r="AX214" s="2217">
        <f t="shared" si="103"/>
        <v>6284.9937137971565</v>
      </c>
      <c r="AY214" s="2217">
        <f t="shared" si="93"/>
        <v>8.650118521783952</v>
      </c>
      <c r="AZ214" s="2212">
        <v>121</v>
      </c>
      <c r="BA214" s="2208"/>
      <c r="BB214" s="263"/>
      <c r="BC214" s="2208"/>
      <c r="BD214" s="263"/>
      <c r="BE214" s="263"/>
      <c r="BF214" s="263"/>
      <c r="BG214" s="263"/>
      <c r="BH214" s="2208"/>
      <c r="BI214" s="2217">
        <f t="shared" si="113"/>
        <v>0.55066237484401448</v>
      </c>
      <c r="BJ214" s="2217">
        <f t="shared" si="104"/>
        <v>6284.9937137971565</v>
      </c>
      <c r="BK214" s="2217">
        <f t="shared" si="94"/>
        <v>8.650118521783952</v>
      </c>
      <c r="BL214" s="2212">
        <v>121</v>
      </c>
      <c r="BM214" s="2208"/>
      <c r="BN214" s="263"/>
      <c r="BO214" s="2208"/>
      <c r="BP214" s="263"/>
      <c r="BQ214" s="263"/>
      <c r="BR214" s="263"/>
      <c r="BS214" s="263"/>
      <c r="BT214" s="2208"/>
      <c r="BU214" s="2217">
        <f t="shared" si="114"/>
        <v>4.8398656870675758</v>
      </c>
      <c r="BV214" s="2217">
        <f t="shared" si="95"/>
        <v>7696.2721997323024</v>
      </c>
      <c r="BW214" s="2217">
        <f t="shared" si="105"/>
        <v>18.340756462576792</v>
      </c>
      <c r="BX214" s="2212">
        <v>121</v>
      </c>
      <c r="BY214" s="2219"/>
      <c r="BZ214" s="2213"/>
      <c r="CA214" s="2219"/>
      <c r="CB214" s="2213"/>
      <c r="CC214" s="2213"/>
      <c r="CD214" s="2213"/>
      <c r="CE214" s="2213"/>
      <c r="CF214" s="2208"/>
      <c r="CG214" s="2217">
        <f t="shared" si="115"/>
        <v>7.0407564625767911</v>
      </c>
      <c r="CH214" s="2217">
        <f t="shared" si="96"/>
        <v>7696.2721997323024</v>
      </c>
      <c r="CI214" s="2217">
        <f t="shared" si="106"/>
        <v>18.340756462576792</v>
      </c>
      <c r="CJ214" s="2212">
        <v>121</v>
      </c>
      <c r="CK214" s="2219"/>
      <c r="CL214" s="2213"/>
      <c r="CM214" s="2219"/>
      <c r="CN214" s="2213"/>
      <c r="CO214" s="2213"/>
      <c r="CP214" s="2213"/>
      <c r="CQ214" s="2213"/>
      <c r="CR214" s="2208"/>
      <c r="CS214" s="2217">
        <f t="shared" si="116"/>
        <v>0.37766000440833558</v>
      </c>
      <c r="CT214" s="2217">
        <f t="shared" si="107"/>
        <v>6284.9937137971565</v>
      </c>
      <c r="CU214" s="2217">
        <f t="shared" si="97"/>
        <v>8.650118521783952</v>
      </c>
      <c r="CV214" s="2212">
        <v>121</v>
      </c>
      <c r="CW214" s="2208"/>
      <c r="CX214" s="263"/>
      <c r="CY214" s="2208"/>
      <c r="CZ214" s="263"/>
      <c r="DA214" s="263"/>
      <c r="DB214" s="263"/>
      <c r="DC214" s="263"/>
      <c r="DD214" s="2208"/>
    </row>
    <row r="215" spans="1:108">
      <c r="A215" s="2217">
        <f t="shared" si="108"/>
        <v>10.025286754641044</v>
      </c>
      <c r="B215" s="2217">
        <f t="shared" si="90"/>
        <v>7677.9314432697256</v>
      </c>
      <c r="C215" s="2217">
        <f t="shared" si="98"/>
        <v>18.543727612731345</v>
      </c>
      <c r="D215" s="2212">
        <v>120</v>
      </c>
      <c r="E215" s="2219"/>
      <c r="F215" s="2213"/>
      <c r="G215" s="2219"/>
      <c r="H215" s="2213"/>
      <c r="I215" s="2213"/>
      <c r="J215" s="2213"/>
      <c r="K215" s="2213"/>
      <c r="L215" s="2213"/>
      <c r="M215" s="2217">
        <f t="shared" si="109"/>
        <v>11.323347687532241</v>
      </c>
      <c r="N215" s="2217">
        <f t="shared" si="91"/>
        <v>7677.9314432697256</v>
      </c>
      <c r="O215" s="2217">
        <f t="shared" si="99"/>
        <v>18.543727612731345</v>
      </c>
      <c r="P215" s="2212">
        <v>120</v>
      </c>
      <c r="Q215" s="2219"/>
      <c r="R215" s="2213"/>
      <c r="S215" s="2219"/>
      <c r="T215" s="2213"/>
      <c r="U215" s="2213"/>
      <c r="V215" s="2213"/>
      <c r="W215" s="2213"/>
      <c r="X215" s="2213"/>
      <c r="Y215" s="2217">
        <f t="shared" si="110"/>
        <v>12.992283172678064</v>
      </c>
      <c r="Z215" s="2217">
        <f t="shared" si="100"/>
        <v>7677.9314432697256</v>
      </c>
      <c r="AA215" s="2217">
        <f t="shared" si="101"/>
        <v>18.543727612731345</v>
      </c>
      <c r="AB215" s="2212">
        <v>120</v>
      </c>
      <c r="AC215" s="2219"/>
      <c r="AD215" s="2213"/>
      <c r="AE215" s="2219"/>
      <c r="AF215" s="2213"/>
      <c r="AG215" s="2213"/>
      <c r="AH215" s="2213"/>
      <c r="AI215" s="2213"/>
      <c r="AJ215" s="2213"/>
      <c r="AK215" s="2217">
        <f t="shared" si="111"/>
        <v>5.0184802992035813</v>
      </c>
      <c r="AL215" s="2217">
        <f t="shared" si="92"/>
        <v>7677.9314432697256</v>
      </c>
      <c r="AM215" s="2217">
        <f t="shared" si="102"/>
        <v>18.543727612731345</v>
      </c>
      <c r="AN215" s="2212">
        <v>120</v>
      </c>
      <c r="AO215" s="2219"/>
      <c r="AP215" s="2213"/>
      <c r="AQ215" s="2219"/>
      <c r="AR215" s="2213"/>
      <c r="AS215" s="2213"/>
      <c r="AT215" s="2213"/>
      <c r="AU215" s="2213"/>
      <c r="AV215" s="2213"/>
      <c r="AW215" s="2217">
        <f t="shared" si="112"/>
        <v>-1.7936385679391602</v>
      </c>
      <c r="AX215" s="2217">
        <f t="shared" si="103"/>
        <v>6276.3435952753725</v>
      </c>
      <c r="AY215" s="2217">
        <f t="shared" si="93"/>
        <v>8.9682655019441881</v>
      </c>
      <c r="AZ215" s="2212">
        <v>120</v>
      </c>
      <c r="BA215" s="2208"/>
      <c r="BB215" s="263"/>
      <c r="BC215" s="2208"/>
      <c r="BD215" s="263"/>
      <c r="BE215" s="263"/>
      <c r="BF215" s="263"/>
      <c r="BG215" s="263"/>
      <c r="BH215" s="2208"/>
      <c r="BI215" s="2217">
        <f t="shared" si="113"/>
        <v>0.9865237376635374</v>
      </c>
      <c r="BJ215" s="2217">
        <f t="shared" si="104"/>
        <v>6276.3435952753725</v>
      </c>
      <c r="BK215" s="2217">
        <f t="shared" si="94"/>
        <v>8.9682655019441881</v>
      </c>
      <c r="BL215" s="2212">
        <v>120</v>
      </c>
      <c r="BM215" s="2208"/>
      <c r="BN215" s="263"/>
      <c r="BO215" s="2208"/>
      <c r="BP215" s="263"/>
      <c r="BQ215" s="263"/>
      <c r="BR215" s="263"/>
      <c r="BS215" s="263"/>
      <c r="BT215" s="2208"/>
      <c r="BU215" s="2217">
        <f t="shared" si="114"/>
        <v>5.0184802992035813</v>
      </c>
      <c r="BV215" s="2217">
        <f t="shared" si="95"/>
        <v>7677.9314432697256</v>
      </c>
      <c r="BW215" s="2217">
        <f t="shared" si="105"/>
        <v>18.543727612731345</v>
      </c>
      <c r="BX215" s="2212">
        <v>120</v>
      </c>
      <c r="BY215" s="2219"/>
      <c r="BZ215" s="2213"/>
      <c r="CA215" s="2219"/>
      <c r="CB215" s="2213"/>
      <c r="CC215" s="2213"/>
      <c r="CD215" s="2213"/>
      <c r="CE215" s="2213"/>
      <c r="CF215" s="2208"/>
      <c r="CG215" s="2217">
        <f t="shared" si="115"/>
        <v>7.2437276127313446</v>
      </c>
      <c r="CH215" s="2217">
        <f t="shared" si="96"/>
        <v>7677.9314432697256</v>
      </c>
      <c r="CI215" s="2217">
        <f t="shared" si="106"/>
        <v>18.543727612731345</v>
      </c>
      <c r="CJ215" s="2212">
        <v>120</v>
      </c>
      <c r="CK215" s="2219"/>
      <c r="CL215" s="2213"/>
      <c r="CM215" s="2219"/>
      <c r="CN215" s="2213"/>
      <c r="CO215" s="2213"/>
      <c r="CP215" s="2213"/>
      <c r="CQ215" s="2213"/>
      <c r="CR215" s="2208"/>
      <c r="CS215" s="2217">
        <f t="shared" si="116"/>
        <v>0.80715842762465329</v>
      </c>
      <c r="CT215" s="2217">
        <f t="shared" si="107"/>
        <v>6276.3435952753725</v>
      </c>
      <c r="CU215" s="2217">
        <f t="shared" si="97"/>
        <v>8.9682655019441881</v>
      </c>
      <c r="CV215" s="2212">
        <v>120</v>
      </c>
      <c r="CW215" s="2208"/>
      <c r="CX215" s="263"/>
      <c r="CY215" s="2208"/>
      <c r="CZ215" s="263"/>
      <c r="DA215" s="263"/>
      <c r="DB215" s="263"/>
      <c r="DC215" s="263"/>
      <c r="DD215" s="2208"/>
    </row>
    <row r="216" spans="1:108">
      <c r="A216" s="2217">
        <f t="shared" si="108"/>
        <v>10.259672484831796</v>
      </c>
      <c r="B216" s="2217">
        <f t="shared" si="90"/>
        <v>7659.3877156569943</v>
      </c>
      <c r="C216" s="2217">
        <f t="shared" si="98"/>
        <v>18.747541291158086</v>
      </c>
      <c r="D216" s="2212">
        <v>119</v>
      </c>
      <c r="E216" s="2219"/>
      <c r="F216" s="2213"/>
      <c r="G216" s="2219"/>
      <c r="H216" s="2213"/>
      <c r="I216" s="2213"/>
      <c r="J216" s="2213"/>
      <c r="K216" s="2213"/>
      <c r="L216" s="2213"/>
      <c r="M216" s="2217">
        <f t="shared" si="109"/>
        <v>11.572000375212863</v>
      </c>
      <c r="N216" s="2217">
        <f t="shared" si="91"/>
        <v>7659.3877156569943</v>
      </c>
      <c r="O216" s="2217">
        <f t="shared" si="99"/>
        <v>18.747541291158086</v>
      </c>
      <c r="P216" s="2212">
        <v>119</v>
      </c>
      <c r="Q216" s="2219"/>
      <c r="R216" s="2213"/>
      <c r="S216" s="2219"/>
      <c r="T216" s="2213"/>
      <c r="U216" s="2213"/>
      <c r="V216" s="2213"/>
      <c r="W216" s="2213"/>
      <c r="X216" s="2213"/>
      <c r="Y216" s="2217">
        <f t="shared" si="110"/>
        <v>13.259279091417092</v>
      </c>
      <c r="Z216" s="2217">
        <f t="shared" si="100"/>
        <v>7659.3877156569943</v>
      </c>
      <c r="AA216" s="2217">
        <f t="shared" si="101"/>
        <v>18.747541291158086</v>
      </c>
      <c r="AB216" s="2212">
        <v>119</v>
      </c>
      <c r="AC216" s="2219"/>
      <c r="AD216" s="2213"/>
      <c r="AE216" s="2219"/>
      <c r="AF216" s="2213"/>
      <c r="AG216" s="2213"/>
      <c r="AH216" s="2213"/>
      <c r="AI216" s="2213"/>
      <c r="AJ216" s="2213"/>
      <c r="AK216" s="2217">
        <f t="shared" si="111"/>
        <v>5.1978363362191118</v>
      </c>
      <c r="AL216" s="2217">
        <f t="shared" si="92"/>
        <v>7659.3877156569943</v>
      </c>
      <c r="AM216" s="2217">
        <f t="shared" si="102"/>
        <v>18.747541291158086</v>
      </c>
      <c r="AN216" s="2212">
        <v>119</v>
      </c>
      <c r="AO216" s="2219"/>
      <c r="AP216" s="2213"/>
      <c r="AQ216" s="2219"/>
      <c r="AR216" s="2213"/>
      <c r="AS216" s="2213"/>
      <c r="AT216" s="2213"/>
      <c r="AU216" s="2213"/>
      <c r="AV216" s="2213"/>
      <c r="AW216" s="2217">
        <f t="shared" si="112"/>
        <v>-1.4565680489452824</v>
      </c>
      <c r="AX216" s="2217">
        <f t="shared" si="103"/>
        <v>6267.3753297734283</v>
      </c>
      <c r="AY216" s="2217">
        <f t="shared" si="93"/>
        <v>9.2862565575987901</v>
      </c>
      <c r="AZ216" s="2212">
        <v>119</v>
      </c>
      <c r="BA216" s="2208"/>
      <c r="BB216" s="263"/>
      <c r="BC216" s="2208"/>
      <c r="BD216" s="263"/>
      <c r="BE216" s="263"/>
      <c r="BF216" s="263"/>
      <c r="BG216" s="263"/>
      <c r="BH216" s="2208"/>
      <c r="BI216" s="2217">
        <f t="shared" si="113"/>
        <v>1.4221714839103434</v>
      </c>
      <c r="BJ216" s="2217">
        <f t="shared" si="104"/>
        <v>6267.3753297734283</v>
      </c>
      <c r="BK216" s="2217">
        <f t="shared" si="94"/>
        <v>9.2862565575987901</v>
      </c>
      <c r="BL216" s="2212">
        <v>119</v>
      </c>
      <c r="BM216" s="2208"/>
      <c r="BN216" s="263"/>
      <c r="BO216" s="2208"/>
      <c r="BP216" s="263"/>
      <c r="BQ216" s="263"/>
      <c r="BR216" s="263"/>
      <c r="BS216" s="263"/>
      <c r="BT216" s="2208"/>
      <c r="BU216" s="2217">
        <f t="shared" si="114"/>
        <v>5.1978363362191118</v>
      </c>
      <c r="BV216" s="2217">
        <f t="shared" si="95"/>
        <v>7659.3877156569943</v>
      </c>
      <c r="BW216" s="2217">
        <f t="shared" si="105"/>
        <v>18.747541291158086</v>
      </c>
      <c r="BX216" s="2212">
        <v>119</v>
      </c>
      <c r="BY216" s="2219"/>
      <c r="BZ216" s="2213"/>
      <c r="CA216" s="2219"/>
      <c r="CB216" s="2213"/>
      <c r="CC216" s="2213"/>
      <c r="CD216" s="2213"/>
      <c r="CE216" s="2213"/>
      <c r="CF216" s="2208"/>
      <c r="CG216" s="2217">
        <f t="shared" si="115"/>
        <v>7.4475412911580854</v>
      </c>
      <c r="CH216" s="2217">
        <f t="shared" si="96"/>
        <v>7659.3877156569943</v>
      </c>
      <c r="CI216" s="2217">
        <f t="shared" si="106"/>
        <v>18.747541291158086</v>
      </c>
      <c r="CJ216" s="2212">
        <v>119</v>
      </c>
      <c r="CK216" s="2219"/>
      <c r="CL216" s="2213"/>
      <c r="CM216" s="2219"/>
      <c r="CN216" s="2213"/>
      <c r="CO216" s="2213"/>
      <c r="CP216" s="2213"/>
      <c r="CQ216" s="2213"/>
      <c r="CR216" s="2208"/>
      <c r="CS216" s="2217">
        <f t="shared" si="116"/>
        <v>1.2364463527583673</v>
      </c>
      <c r="CT216" s="2217">
        <f t="shared" si="107"/>
        <v>6267.3753297734283</v>
      </c>
      <c r="CU216" s="2217">
        <f t="shared" si="97"/>
        <v>9.2862565575987901</v>
      </c>
      <c r="CV216" s="2212">
        <v>119</v>
      </c>
      <c r="CW216" s="2208"/>
      <c r="CX216" s="263"/>
      <c r="CY216" s="2208"/>
      <c r="CZ216" s="263"/>
      <c r="DA216" s="263"/>
      <c r="DB216" s="263"/>
      <c r="DC216" s="263"/>
      <c r="DD216" s="2208"/>
    </row>
    <row r="217" spans="1:108">
      <c r="A217" s="2217">
        <f t="shared" si="108"/>
        <v>10.495027122528242</v>
      </c>
      <c r="B217" s="2217">
        <f t="shared" si="90"/>
        <v>7640.6401743658362</v>
      </c>
      <c r="C217" s="2217">
        <f t="shared" si="98"/>
        <v>18.952197497850648</v>
      </c>
      <c r="D217" s="2212">
        <v>118</v>
      </c>
      <c r="E217" s="2219"/>
      <c r="F217" s="2213"/>
      <c r="G217" s="2219"/>
      <c r="H217" s="2213"/>
      <c r="I217" s="2213"/>
      <c r="J217" s="2213"/>
      <c r="K217" s="2213"/>
      <c r="L217" s="2213"/>
      <c r="M217" s="2217">
        <f t="shared" si="109"/>
        <v>11.821680947377789</v>
      </c>
      <c r="N217" s="2217">
        <f t="shared" si="91"/>
        <v>7640.6401743658362</v>
      </c>
      <c r="O217" s="2217">
        <f t="shared" si="99"/>
        <v>18.952197497850648</v>
      </c>
      <c r="P217" s="2212">
        <v>118</v>
      </c>
      <c r="Q217" s="2219"/>
      <c r="R217" s="2213"/>
      <c r="S217" s="2219"/>
      <c r="T217" s="2213"/>
      <c r="U217" s="2213"/>
      <c r="V217" s="2213"/>
      <c r="W217" s="2213"/>
      <c r="X217" s="2213"/>
      <c r="Y217" s="2217">
        <f t="shared" si="110"/>
        <v>13.527378722184348</v>
      </c>
      <c r="Z217" s="2217">
        <f t="shared" si="100"/>
        <v>7640.6401743658362</v>
      </c>
      <c r="AA217" s="2217">
        <f t="shared" si="101"/>
        <v>18.952197497850648</v>
      </c>
      <c r="AB217" s="2212">
        <v>118</v>
      </c>
      <c r="AC217" s="2219"/>
      <c r="AD217" s="2213"/>
      <c r="AE217" s="2219"/>
      <c r="AF217" s="2213"/>
      <c r="AG217" s="2213"/>
      <c r="AH217" s="2213"/>
      <c r="AI217" s="2213"/>
      <c r="AJ217" s="2213"/>
      <c r="AK217" s="2217">
        <f t="shared" si="111"/>
        <v>5.3779337981085682</v>
      </c>
      <c r="AL217" s="2217">
        <f t="shared" si="92"/>
        <v>7640.6401743658362</v>
      </c>
      <c r="AM217" s="2217">
        <f t="shared" si="102"/>
        <v>18.952197497850648</v>
      </c>
      <c r="AN217" s="2212">
        <v>118</v>
      </c>
      <c r="AO217" s="2219"/>
      <c r="AP217" s="2213"/>
      <c r="AQ217" s="2219"/>
      <c r="AR217" s="2213"/>
      <c r="AS217" s="2213"/>
      <c r="AT217" s="2213"/>
      <c r="AU217" s="2213"/>
      <c r="AV217" s="2213"/>
      <c r="AW217" s="2217">
        <f t="shared" si="112"/>
        <v>-1.1196628099167718</v>
      </c>
      <c r="AX217" s="2217">
        <f t="shared" si="103"/>
        <v>6258.0890732158296</v>
      </c>
      <c r="AY217" s="2217">
        <f t="shared" si="93"/>
        <v>9.6040916887577623</v>
      </c>
      <c r="AZ217" s="2212">
        <v>118</v>
      </c>
      <c r="BA217" s="2208"/>
      <c r="BB217" s="263"/>
      <c r="BC217" s="2208"/>
      <c r="BD217" s="263"/>
      <c r="BE217" s="263"/>
      <c r="BF217" s="263"/>
      <c r="BG217" s="263"/>
      <c r="BH217" s="2208"/>
      <c r="BI217" s="2217">
        <f t="shared" si="113"/>
        <v>1.8576056135981354</v>
      </c>
      <c r="BJ217" s="2217">
        <f t="shared" si="104"/>
        <v>6258.0890732158296</v>
      </c>
      <c r="BK217" s="2217">
        <f t="shared" si="94"/>
        <v>9.6040916887577623</v>
      </c>
      <c r="BL217" s="2212">
        <v>118</v>
      </c>
      <c r="BM217" s="2208"/>
      <c r="BN217" s="263"/>
      <c r="BO217" s="2208"/>
      <c r="BP217" s="263"/>
      <c r="BQ217" s="263"/>
      <c r="BR217" s="263"/>
      <c r="BS217" s="263"/>
      <c r="BT217" s="2208"/>
      <c r="BU217" s="2217">
        <f t="shared" si="114"/>
        <v>5.3779337981085682</v>
      </c>
      <c r="BV217" s="2217">
        <f t="shared" si="95"/>
        <v>7640.6401743658362</v>
      </c>
      <c r="BW217" s="2217">
        <f t="shared" si="105"/>
        <v>18.952197497850648</v>
      </c>
      <c r="BX217" s="2212">
        <v>118</v>
      </c>
      <c r="BY217" s="2219"/>
      <c r="BZ217" s="2213"/>
      <c r="CA217" s="2219"/>
      <c r="CB217" s="2213"/>
      <c r="CC217" s="2213"/>
      <c r="CD217" s="2213"/>
      <c r="CE217" s="2213"/>
      <c r="CF217" s="2208"/>
      <c r="CG217" s="2217">
        <f t="shared" si="115"/>
        <v>7.6521974978506471</v>
      </c>
      <c r="CH217" s="2217">
        <f t="shared" si="96"/>
        <v>7640.6401743658362</v>
      </c>
      <c r="CI217" s="2217">
        <f t="shared" si="106"/>
        <v>18.952197497850648</v>
      </c>
      <c r="CJ217" s="2212">
        <v>118</v>
      </c>
      <c r="CK217" s="2219"/>
      <c r="CL217" s="2213"/>
      <c r="CM217" s="2219"/>
      <c r="CN217" s="2213"/>
      <c r="CO217" s="2213"/>
      <c r="CP217" s="2213"/>
      <c r="CQ217" s="2213"/>
      <c r="CR217" s="2208"/>
      <c r="CS217" s="2217">
        <f t="shared" si="116"/>
        <v>1.6655237798229798</v>
      </c>
      <c r="CT217" s="2217">
        <f t="shared" si="107"/>
        <v>6258.0890732158296</v>
      </c>
      <c r="CU217" s="2217">
        <f t="shared" si="97"/>
        <v>9.6040916887577623</v>
      </c>
      <c r="CV217" s="2212">
        <v>118</v>
      </c>
      <c r="CW217" s="2208"/>
      <c r="CX217" s="263"/>
      <c r="CY217" s="2208"/>
      <c r="CZ217" s="263"/>
      <c r="DA217" s="263"/>
      <c r="DB217" s="263"/>
      <c r="DC217" s="263"/>
      <c r="DD217" s="2208"/>
    </row>
    <row r="218" spans="1:108">
      <c r="A218" s="2217">
        <f t="shared" si="108"/>
        <v>10.73135066773666</v>
      </c>
      <c r="B218" s="2217">
        <f t="shared" si="90"/>
        <v>7621.6879768679855</v>
      </c>
      <c r="C218" s="2217">
        <f t="shared" si="98"/>
        <v>19.157696232814487</v>
      </c>
      <c r="D218" s="2212">
        <v>117</v>
      </c>
      <c r="E218" s="2219"/>
      <c r="F218" s="2213"/>
      <c r="G218" s="2219"/>
      <c r="H218" s="2213"/>
      <c r="I218" s="2213"/>
      <c r="J218" s="2213"/>
      <c r="K218" s="2213"/>
      <c r="L218" s="2213"/>
      <c r="M218" s="2217">
        <f t="shared" si="109"/>
        <v>12.072389404033672</v>
      </c>
      <c r="N218" s="2217">
        <f t="shared" si="91"/>
        <v>7621.6879768679855</v>
      </c>
      <c r="O218" s="2217">
        <f t="shared" si="99"/>
        <v>19.157696232814487</v>
      </c>
      <c r="P218" s="2212">
        <v>117</v>
      </c>
      <c r="Q218" s="2219"/>
      <c r="R218" s="2213"/>
      <c r="S218" s="2219"/>
      <c r="T218" s="2213"/>
      <c r="U218" s="2213"/>
      <c r="V218" s="2213"/>
      <c r="W218" s="2213"/>
      <c r="X218" s="2213"/>
      <c r="Y218" s="2217">
        <f t="shared" si="110"/>
        <v>13.796582064986978</v>
      </c>
      <c r="Z218" s="2217">
        <f t="shared" si="100"/>
        <v>7621.6879768679855</v>
      </c>
      <c r="AA218" s="2217">
        <f t="shared" si="101"/>
        <v>19.157696232814487</v>
      </c>
      <c r="AB218" s="2212">
        <v>117</v>
      </c>
      <c r="AC218" s="2219"/>
      <c r="AD218" s="2213"/>
      <c r="AE218" s="2219"/>
      <c r="AF218" s="2213"/>
      <c r="AG218" s="2213"/>
      <c r="AH218" s="2213"/>
      <c r="AI218" s="2213"/>
      <c r="AJ218" s="2213"/>
      <c r="AK218" s="2217">
        <f t="shared" si="111"/>
        <v>5.5587726848767467</v>
      </c>
      <c r="AL218" s="2217">
        <f t="shared" si="92"/>
        <v>7621.6879768679855</v>
      </c>
      <c r="AM218" s="2217">
        <f t="shared" si="102"/>
        <v>19.157696232814487</v>
      </c>
      <c r="AN218" s="2212">
        <v>117</v>
      </c>
      <c r="AO218" s="2219"/>
      <c r="AP218" s="2213"/>
      <c r="AQ218" s="2219"/>
      <c r="AR218" s="2213"/>
      <c r="AS218" s="2213"/>
      <c r="AT218" s="2213"/>
      <c r="AU218" s="2213"/>
      <c r="AV218" s="2213"/>
      <c r="AW218" s="2217">
        <f t="shared" si="112"/>
        <v>-0.78292285085844959</v>
      </c>
      <c r="AX218" s="2217">
        <f t="shared" si="103"/>
        <v>6248.4849815270718</v>
      </c>
      <c r="AY218" s="2217">
        <f t="shared" si="93"/>
        <v>9.9217708954165573</v>
      </c>
      <c r="AZ218" s="2212">
        <v>117</v>
      </c>
      <c r="BA218" s="2208"/>
      <c r="BB218" s="263"/>
      <c r="BC218" s="2208"/>
      <c r="BD218" s="263"/>
      <c r="BE218" s="263"/>
      <c r="BF218" s="263"/>
      <c r="BG218" s="263"/>
      <c r="BH218" s="2208"/>
      <c r="BI218" s="2217">
        <f t="shared" si="113"/>
        <v>2.2928261267206835</v>
      </c>
      <c r="BJ218" s="2217">
        <f t="shared" si="104"/>
        <v>6248.4849815270718</v>
      </c>
      <c r="BK218" s="2217">
        <f t="shared" si="94"/>
        <v>9.9217708954165573</v>
      </c>
      <c r="BL218" s="2212">
        <v>117</v>
      </c>
      <c r="BM218" s="2208"/>
      <c r="BN218" s="263"/>
      <c r="BO218" s="2208"/>
      <c r="BP218" s="263"/>
      <c r="BQ218" s="263"/>
      <c r="BR218" s="263"/>
      <c r="BS218" s="263"/>
      <c r="BT218" s="2208"/>
      <c r="BU218" s="2217">
        <f t="shared" si="114"/>
        <v>5.5587726848767467</v>
      </c>
      <c r="BV218" s="2217">
        <f t="shared" si="95"/>
        <v>7621.6879768679855</v>
      </c>
      <c r="BW218" s="2217">
        <f t="shared" si="105"/>
        <v>19.157696232814487</v>
      </c>
      <c r="BX218" s="2212">
        <v>117</v>
      </c>
      <c r="BY218" s="2219"/>
      <c r="BZ218" s="2213"/>
      <c r="CA218" s="2219"/>
      <c r="CB218" s="2213"/>
      <c r="CC218" s="2213"/>
      <c r="CD218" s="2213"/>
      <c r="CE218" s="2213"/>
      <c r="CF218" s="2208"/>
      <c r="CG218" s="2217">
        <f t="shared" si="115"/>
        <v>7.8576962328144866</v>
      </c>
      <c r="CH218" s="2217">
        <f t="shared" si="96"/>
        <v>7621.6879768679855</v>
      </c>
      <c r="CI218" s="2217">
        <f t="shared" si="106"/>
        <v>19.157696232814487</v>
      </c>
      <c r="CJ218" s="2212">
        <v>117</v>
      </c>
      <c r="CK218" s="2219"/>
      <c r="CL218" s="2213"/>
      <c r="CM218" s="2219"/>
      <c r="CN218" s="2213"/>
      <c r="CO218" s="2213"/>
      <c r="CP218" s="2213"/>
      <c r="CQ218" s="2213"/>
      <c r="CR218" s="2208"/>
      <c r="CS218" s="2217">
        <f t="shared" si="116"/>
        <v>2.0943907088123517</v>
      </c>
      <c r="CT218" s="2217">
        <f t="shared" si="107"/>
        <v>6248.4849815270718</v>
      </c>
      <c r="CU218" s="2217">
        <f t="shared" si="97"/>
        <v>9.9217708954165573</v>
      </c>
      <c r="CV218" s="2212">
        <v>117</v>
      </c>
      <c r="CW218" s="2208"/>
      <c r="CX218" s="263"/>
      <c r="CY218" s="2208"/>
      <c r="CZ218" s="263"/>
      <c r="DA218" s="263"/>
      <c r="DB218" s="263"/>
      <c r="DC218" s="263"/>
      <c r="DD218" s="2208"/>
    </row>
    <row r="219" spans="1:108">
      <c r="A219" s="2217">
        <f t="shared" si="108"/>
        <v>10.968643120459134</v>
      </c>
      <c r="B219" s="2217">
        <f t="shared" si="90"/>
        <v>7602.530280635171</v>
      </c>
      <c r="C219" s="2217">
        <f t="shared" si="98"/>
        <v>19.364037496051424</v>
      </c>
      <c r="D219" s="2212">
        <v>116</v>
      </c>
      <c r="E219" s="2219"/>
      <c r="F219" s="2213"/>
      <c r="G219" s="2219"/>
      <c r="H219" s="2213"/>
      <c r="I219" s="2213"/>
      <c r="J219" s="2213"/>
      <c r="K219" s="2213"/>
      <c r="L219" s="2213"/>
      <c r="M219" s="2217">
        <f t="shared" si="109"/>
        <v>12.324125745182737</v>
      </c>
      <c r="N219" s="2217">
        <f t="shared" si="91"/>
        <v>7602.530280635171</v>
      </c>
      <c r="O219" s="2217">
        <f t="shared" si="99"/>
        <v>19.364037496051424</v>
      </c>
      <c r="P219" s="2212">
        <v>116</v>
      </c>
      <c r="Q219" s="2219"/>
      <c r="R219" s="2213"/>
      <c r="S219" s="2219"/>
      <c r="T219" s="2213"/>
      <c r="U219" s="2213"/>
      <c r="V219" s="2213"/>
      <c r="W219" s="2213"/>
      <c r="X219" s="2213"/>
      <c r="Y219" s="2217">
        <f t="shared" si="110"/>
        <v>14.066889119827366</v>
      </c>
      <c r="Z219" s="2217">
        <f t="shared" si="100"/>
        <v>7602.530280635171</v>
      </c>
      <c r="AA219" s="2217">
        <f t="shared" si="101"/>
        <v>19.364037496051424</v>
      </c>
      <c r="AB219" s="2212">
        <v>116</v>
      </c>
      <c r="AC219" s="2219"/>
      <c r="AD219" s="2213"/>
      <c r="AE219" s="2219"/>
      <c r="AF219" s="2213"/>
      <c r="AG219" s="2213"/>
      <c r="AH219" s="2213"/>
      <c r="AI219" s="2213"/>
      <c r="AJ219" s="2213"/>
      <c r="AK219" s="2217">
        <f t="shared" si="111"/>
        <v>5.7403529965252496</v>
      </c>
      <c r="AL219" s="2217">
        <f t="shared" si="92"/>
        <v>7602.530280635171</v>
      </c>
      <c r="AM219" s="2217">
        <f t="shared" si="102"/>
        <v>19.364037496051424</v>
      </c>
      <c r="AN219" s="2212">
        <v>116</v>
      </c>
      <c r="AO219" s="2219"/>
      <c r="AP219" s="2213"/>
      <c r="AQ219" s="2219"/>
      <c r="AR219" s="2213"/>
      <c r="AS219" s="2213"/>
      <c r="AT219" s="2213"/>
      <c r="AU219" s="2213"/>
      <c r="AV219" s="2213"/>
      <c r="AW219" s="2217">
        <f t="shared" si="112"/>
        <v>-0.44634817177417041</v>
      </c>
      <c r="AX219" s="2217">
        <f t="shared" si="103"/>
        <v>6238.5632106316552</v>
      </c>
      <c r="AY219" s="2217">
        <f t="shared" si="93"/>
        <v>10.239294177571537</v>
      </c>
      <c r="AZ219" s="2212">
        <v>116</v>
      </c>
      <c r="BA219" s="2208"/>
      <c r="BB219" s="263"/>
      <c r="BC219" s="2208"/>
      <c r="BD219" s="263"/>
      <c r="BE219" s="263"/>
      <c r="BF219" s="263"/>
      <c r="BG219" s="263"/>
      <c r="BH219" s="2208"/>
      <c r="BI219" s="2217">
        <f t="shared" si="113"/>
        <v>2.727833023273007</v>
      </c>
      <c r="BJ219" s="2217">
        <f t="shared" si="104"/>
        <v>6238.5632106316552</v>
      </c>
      <c r="BK219" s="2217">
        <f t="shared" si="94"/>
        <v>10.239294177571537</v>
      </c>
      <c r="BL219" s="2212">
        <v>116</v>
      </c>
      <c r="BM219" s="2208"/>
      <c r="BN219" s="263"/>
      <c r="BO219" s="2208"/>
      <c r="BP219" s="263"/>
      <c r="BQ219" s="263"/>
      <c r="BR219" s="263"/>
      <c r="BS219" s="263"/>
      <c r="BT219" s="2208"/>
      <c r="BU219" s="2217">
        <f t="shared" si="114"/>
        <v>5.7403529965252496</v>
      </c>
      <c r="BV219" s="2217">
        <f t="shared" si="95"/>
        <v>7602.530280635171</v>
      </c>
      <c r="BW219" s="2217">
        <f t="shared" si="105"/>
        <v>19.364037496051424</v>
      </c>
      <c r="BX219" s="2212">
        <v>116</v>
      </c>
      <c r="BY219" s="2219"/>
      <c r="BZ219" s="2213"/>
      <c r="CA219" s="2219"/>
      <c r="CB219" s="2213"/>
      <c r="CC219" s="2213"/>
      <c r="CD219" s="2213"/>
      <c r="CE219" s="2213"/>
      <c r="CF219" s="2208"/>
      <c r="CG219" s="2217">
        <f t="shared" si="115"/>
        <v>8.0640374960514229</v>
      </c>
      <c r="CH219" s="2217">
        <f t="shared" si="96"/>
        <v>7602.530280635171</v>
      </c>
      <c r="CI219" s="2217">
        <f t="shared" si="106"/>
        <v>19.364037496051424</v>
      </c>
      <c r="CJ219" s="2212">
        <v>116</v>
      </c>
      <c r="CK219" s="2219"/>
      <c r="CL219" s="2213"/>
      <c r="CM219" s="2219"/>
      <c r="CN219" s="2213"/>
      <c r="CO219" s="2213"/>
      <c r="CP219" s="2213"/>
      <c r="CQ219" s="2213"/>
      <c r="CR219" s="2208"/>
      <c r="CS219" s="2217">
        <f t="shared" si="116"/>
        <v>2.5230471397215748</v>
      </c>
      <c r="CT219" s="2217">
        <f t="shared" si="107"/>
        <v>6238.5632106316552</v>
      </c>
      <c r="CU219" s="2217">
        <f t="shared" si="97"/>
        <v>10.239294177571537</v>
      </c>
      <c r="CV219" s="2212">
        <v>116</v>
      </c>
      <c r="CW219" s="2208"/>
      <c r="CX219" s="263"/>
      <c r="CY219" s="2208"/>
      <c r="CZ219" s="263"/>
      <c r="DA219" s="263"/>
      <c r="DB219" s="263"/>
      <c r="DC219" s="263"/>
      <c r="DD219" s="2208"/>
    </row>
    <row r="220" spans="1:108">
      <c r="A220" s="2217">
        <f t="shared" si="108"/>
        <v>11.206904480683122</v>
      </c>
      <c r="B220" s="2217">
        <f t="shared" si="90"/>
        <v>7583.1662431391196</v>
      </c>
      <c r="C220" s="2217">
        <f t="shared" si="98"/>
        <v>19.571221287550543</v>
      </c>
      <c r="D220" s="2212">
        <v>115</v>
      </c>
      <c r="E220" s="2219"/>
      <c r="F220" s="2213"/>
      <c r="G220" s="2219"/>
      <c r="H220" s="2213"/>
      <c r="I220" s="2213"/>
      <c r="J220" s="2213"/>
      <c r="K220" s="2213"/>
      <c r="L220" s="2213"/>
      <c r="M220" s="2217">
        <f t="shared" si="109"/>
        <v>12.57688997081166</v>
      </c>
      <c r="N220" s="2217">
        <f t="shared" si="91"/>
        <v>7583.1662431391196</v>
      </c>
      <c r="O220" s="2217">
        <f t="shared" si="99"/>
        <v>19.571221287550543</v>
      </c>
      <c r="P220" s="2212">
        <v>115</v>
      </c>
      <c r="Q220" s="2219"/>
      <c r="R220" s="2213"/>
      <c r="S220" s="2219"/>
      <c r="T220" s="2213"/>
      <c r="U220" s="2213"/>
      <c r="V220" s="2213"/>
      <c r="W220" s="2213"/>
      <c r="X220" s="2213"/>
      <c r="Y220" s="2217">
        <f t="shared" si="110"/>
        <v>14.33829988669121</v>
      </c>
      <c r="Z220" s="2217">
        <f t="shared" si="100"/>
        <v>7583.1662431391196</v>
      </c>
      <c r="AA220" s="2217">
        <f t="shared" si="101"/>
        <v>19.571221287550543</v>
      </c>
      <c r="AB220" s="2212">
        <v>115</v>
      </c>
      <c r="AC220" s="2219"/>
      <c r="AD220" s="2213"/>
      <c r="AE220" s="2219"/>
      <c r="AF220" s="2213"/>
      <c r="AG220" s="2213"/>
      <c r="AH220" s="2213"/>
      <c r="AI220" s="2213"/>
      <c r="AJ220" s="2213"/>
      <c r="AK220" s="2217">
        <f t="shared" si="111"/>
        <v>5.9226747330444738</v>
      </c>
      <c r="AL220" s="2217">
        <f t="shared" si="92"/>
        <v>7583.1662431391196</v>
      </c>
      <c r="AM220" s="2217">
        <f t="shared" si="102"/>
        <v>19.571221287550543</v>
      </c>
      <c r="AN220" s="2212">
        <v>115</v>
      </c>
      <c r="AO220" s="2219"/>
      <c r="AP220" s="2213"/>
      <c r="AQ220" s="2219"/>
      <c r="AR220" s="2213"/>
      <c r="AS220" s="2213"/>
      <c r="AT220" s="2213"/>
      <c r="AU220" s="2213"/>
      <c r="AV220" s="2213"/>
      <c r="AW220" s="2217">
        <f t="shared" si="112"/>
        <v>-0.10993877265718766</v>
      </c>
      <c r="AX220" s="2217">
        <f t="shared" si="103"/>
        <v>6228.3239164540837</v>
      </c>
      <c r="AY220" s="2217">
        <f t="shared" si="93"/>
        <v>10.556661535229068</v>
      </c>
      <c r="AZ220" s="2212">
        <v>115</v>
      </c>
      <c r="BA220" s="2208"/>
      <c r="BB220" s="263"/>
      <c r="BC220" s="2208"/>
      <c r="BD220" s="263"/>
      <c r="BE220" s="263"/>
      <c r="BF220" s="263"/>
      <c r="BG220" s="263"/>
      <c r="BH220" s="2208"/>
      <c r="BI220" s="2217">
        <f t="shared" si="113"/>
        <v>3.1626263032638242</v>
      </c>
      <c r="BJ220" s="2217">
        <f t="shared" si="104"/>
        <v>6228.3239164540837</v>
      </c>
      <c r="BK220" s="2217">
        <f t="shared" si="94"/>
        <v>10.556661535229068</v>
      </c>
      <c r="BL220" s="2212">
        <v>115</v>
      </c>
      <c r="BM220" s="2208"/>
      <c r="BN220" s="263"/>
      <c r="BO220" s="2208"/>
      <c r="BP220" s="263"/>
      <c r="BQ220" s="263"/>
      <c r="BR220" s="263"/>
      <c r="BS220" s="263"/>
      <c r="BT220" s="2208"/>
      <c r="BU220" s="2217">
        <f t="shared" si="114"/>
        <v>5.9226747330444738</v>
      </c>
      <c r="BV220" s="2217">
        <f t="shared" si="95"/>
        <v>7583.1662431391196</v>
      </c>
      <c r="BW220" s="2217">
        <f t="shared" si="105"/>
        <v>19.571221287550543</v>
      </c>
      <c r="BX220" s="2212">
        <v>115</v>
      </c>
      <c r="BY220" s="2219"/>
      <c r="BZ220" s="2213"/>
      <c r="CA220" s="2219"/>
      <c r="CB220" s="2213"/>
      <c r="CC220" s="2213"/>
      <c r="CD220" s="2213"/>
      <c r="CE220" s="2213"/>
      <c r="CF220" s="2208"/>
      <c r="CG220" s="2217">
        <f t="shared" si="115"/>
        <v>8.2712212875505422</v>
      </c>
      <c r="CH220" s="2217">
        <f t="shared" si="96"/>
        <v>7583.1662431391196</v>
      </c>
      <c r="CI220" s="2217">
        <f t="shared" si="106"/>
        <v>19.571221287550543</v>
      </c>
      <c r="CJ220" s="2212">
        <v>115</v>
      </c>
      <c r="CK220" s="2219"/>
      <c r="CL220" s="2213"/>
      <c r="CM220" s="2219"/>
      <c r="CN220" s="2213"/>
      <c r="CO220" s="2213"/>
      <c r="CP220" s="2213"/>
      <c r="CQ220" s="2213"/>
      <c r="CR220" s="2208"/>
      <c r="CS220" s="2217">
        <f t="shared" si="116"/>
        <v>2.9514930725592432</v>
      </c>
      <c r="CT220" s="2217">
        <f t="shared" si="107"/>
        <v>6228.3239164540837</v>
      </c>
      <c r="CU220" s="2217">
        <f t="shared" si="97"/>
        <v>10.556661535229068</v>
      </c>
      <c r="CV220" s="2212">
        <v>115</v>
      </c>
      <c r="CW220" s="2208"/>
      <c r="CX220" s="263"/>
      <c r="CY220" s="2208"/>
      <c r="CZ220" s="263"/>
      <c r="DA220" s="263"/>
      <c r="DB220" s="263"/>
      <c r="DC220" s="263"/>
      <c r="DD220" s="2208"/>
    </row>
    <row r="221" spans="1:108">
      <c r="A221" s="2217">
        <f t="shared" si="108"/>
        <v>11.446134748425354</v>
      </c>
      <c r="B221" s="2217">
        <f t="shared" si="90"/>
        <v>7563.5950218515691</v>
      </c>
      <c r="C221" s="2217">
        <f t="shared" si="98"/>
        <v>19.779247607326397</v>
      </c>
      <c r="D221" s="2212">
        <v>114</v>
      </c>
      <c r="E221" s="2219"/>
      <c r="F221" s="2213"/>
      <c r="G221" s="2219"/>
      <c r="H221" s="2213"/>
      <c r="I221" s="2213"/>
      <c r="J221" s="2213"/>
      <c r="K221" s="2213"/>
      <c r="L221" s="2213"/>
      <c r="M221" s="2217">
        <f t="shared" si="109"/>
        <v>12.830682080938203</v>
      </c>
      <c r="N221" s="2217">
        <f t="shared" si="91"/>
        <v>7563.5950218515691</v>
      </c>
      <c r="O221" s="2217">
        <f t="shared" si="99"/>
        <v>19.779247607326397</v>
      </c>
      <c r="P221" s="2212">
        <v>114</v>
      </c>
      <c r="Q221" s="2219"/>
      <c r="R221" s="2213"/>
      <c r="S221" s="2219"/>
      <c r="T221" s="2213"/>
      <c r="U221" s="2213"/>
      <c r="V221" s="2213"/>
      <c r="W221" s="2213"/>
      <c r="X221" s="2213"/>
      <c r="Y221" s="2217">
        <f t="shared" si="110"/>
        <v>14.61081436559758</v>
      </c>
      <c r="Z221" s="2217">
        <f t="shared" si="100"/>
        <v>7563.5950218515691</v>
      </c>
      <c r="AA221" s="2217">
        <f t="shared" si="101"/>
        <v>19.779247607326397</v>
      </c>
      <c r="AB221" s="2212">
        <v>114</v>
      </c>
      <c r="AC221" s="2219"/>
      <c r="AD221" s="2213"/>
      <c r="AE221" s="2219"/>
      <c r="AF221" s="2213"/>
      <c r="AG221" s="2213"/>
      <c r="AH221" s="2213"/>
      <c r="AI221" s="2213"/>
      <c r="AJ221" s="2213"/>
      <c r="AK221" s="2217">
        <f t="shared" si="111"/>
        <v>6.1057378944472269</v>
      </c>
      <c r="AL221" s="2217">
        <f t="shared" si="92"/>
        <v>7563.5950218515691</v>
      </c>
      <c r="AM221" s="2217">
        <f t="shared" si="102"/>
        <v>19.779247607326397</v>
      </c>
      <c r="AN221" s="2212">
        <v>114</v>
      </c>
      <c r="AO221" s="2219"/>
      <c r="AP221" s="2213"/>
      <c r="AQ221" s="2219"/>
      <c r="AR221" s="2213"/>
      <c r="AS221" s="2213"/>
      <c r="AT221" s="2213"/>
      <c r="AU221" s="2213"/>
      <c r="AV221" s="2213"/>
      <c r="AW221" s="2217">
        <f t="shared" si="112"/>
        <v>0.22630534648575029</v>
      </c>
      <c r="AX221" s="2217">
        <f t="shared" si="103"/>
        <v>6217.7672549188546</v>
      </c>
      <c r="AY221" s="2217">
        <f t="shared" si="93"/>
        <v>10.873872968382784</v>
      </c>
      <c r="AZ221" s="2212">
        <v>114</v>
      </c>
      <c r="BA221" s="2208"/>
      <c r="BB221" s="263"/>
      <c r="BC221" s="2208"/>
      <c r="BD221" s="263"/>
      <c r="BE221" s="263"/>
      <c r="BF221" s="263"/>
      <c r="BG221" s="263"/>
      <c r="BH221" s="2208"/>
      <c r="BI221" s="2217">
        <f t="shared" si="113"/>
        <v>3.5972059666844149</v>
      </c>
      <c r="BJ221" s="2217">
        <f t="shared" si="104"/>
        <v>6217.7672549188546</v>
      </c>
      <c r="BK221" s="2217">
        <f t="shared" si="94"/>
        <v>10.873872968382784</v>
      </c>
      <c r="BL221" s="2212">
        <v>114</v>
      </c>
      <c r="BM221" s="2208"/>
      <c r="BN221" s="263"/>
      <c r="BO221" s="2208"/>
      <c r="BP221" s="263"/>
      <c r="BQ221" s="263"/>
      <c r="BR221" s="263"/>
      <c r="BS221" s="263"/>
      <c r="BT221" s="2208"/>
      <c r="BU221" s="2217">
        <f t="shared" si="114"/>
        <v>6.1057378944472269</v>
      </c>
      <c r="BV221" s="2217">
        <f t="shared" si="95"/>
        <v>7563.5950218515691</v>
      </c>
      <c r="BW221" s="2217">
        <f t="shared" si="105"/>
        <v>19.779247607326397</v>
      </c>
      <c r="BX221" s="2212">
        <v>114</v>
      </c>
      <c r="BY221" s="2219"/>
      <c r="BZ221" s="2213"/>
      <c r="CA221" s="2219"/>
      <c r="CB221" s="2213"/>
      <c r="CC221" s="2213"/>
      <c r="CD221" s="2213"/>
      <c r="CE221" s="2213"/>
      <c r="CF221" s="2208"/>
      <c r="CG221" s="2217">
        <f t="shared" si="115"/>
        <v>8.4792476073263963</v>
      </c>
      <c r="CH221" s="2217">
        <f t="shared" si="96"/>
        <v>7563.5950218515691</v>
      </c>
      <c r="CI221" s="2217">
        <f t="shared" si="106"/>
        <v>19.779247607326397</v>
      </c>
      <c r="CJ221" s="2212">
        <v>114</v>
      </c>
      <c r="CK221" s="2219"/>
      <c r="CL221" s="2213"/>
      <c r="CM221" s="2219"/>
      <c r="CN221" s="2213"/>
      <c r="CO221" s="2213"/>
      <c r="CP221" s="2213"/>
      <c r="CQ221" s="2213"/>
      <c r="CR221" s="2208"/>
      <c r="CS221" s="2217">
        <f t="shared" si="116"/>
        <v>3.3797285073167593</v>
      </c>
      <c r="CT221" s="2217">
        <f t="shared" si="107"/>
        <v>6217.7672549188546</v>
      </c>
      <c r="CU221" s="2217">
        <f t="shared" si="97"/>
        <v>10.873872968382784</v>
      </c>
      <c r="CV221" s="2212">
        <v>114</v>
      </c>
      <c r="CW221" s="2208"/>
      <c r="CX221" s="263"/>
      <c r="CY221" s="2208"/>
      <c r="CZ221" s="263"/>
      <c r="DA221" s="263"/>
      <c r="DB221" s="263"/>
      <c r="DC221" s="263"/>
      <c r="DD221" s="2208"/>
    </row>
    <row r="222" spans="1:108">
      <c r="A222" s="2217">
        <f t="shared" si="108"/>
        <v>11.686333923672233</v>
      </c>
      <c r="B222" s="2217">
        <f t="shared" si="90"/>
        <v>7543.8157742442427</v>
      </c>
      <c r="C222" s="2217">
        <f t="shared" si="98"/>
        <v>19.988116455367162</v>
      </c>
      <c r="D222" s="2212">
        <v>113</v>
      </c>
      <c r="E222" s="2219"/>
      <c r="F222" s="2213"/>
      <c r="G222" s="2219"/>
      <c r="H222" s="2213"/>
      <c r="I222" s="2213"/>
      <c r="J222" s="2213"/>
      <c r="K222" s="2213"/>
      <c r="L222" s="2213"/>
      <c r="M222" s="2217">
        <f t="shared" si="109"/>
        <v>13.085502075547936</v>
      </c>
      <c r="N222" s="2217">
        <f t="shared" si="91"/>
        <v>7543.8157742442427</v>
      </c>
      <c r="O222" s="2217">
        <f t="shared" si="99"/>
        <v>19.988116455367162</v>
      </c>
      <c r="P222" s="2212">
        <v>113</v>
      </c>
      <c r="Q222" s="2219"/>
      <c r="R222" s="2213"/>
      <c r="S222" s="2219"/>
      <c r="T222" s="2213"/>
      <c r="U222" s="2213"/>
      <c r="V222" s="2213"/>
      <c r="W222" s="2213"/>
      <c r="X222" s="2213"/>
      <c r="Y222" s="2217">
        <f t="shared" si="110"/>
        <v>14.884432556530982</v>
      </c>
      <c r="Z222" s="2217">
        <f t="shared" si="100"/>
        <v>7543.8157742442427</v>
      </c>
      <c r="AA222" s="2217">
        <f t="shared" si="101"/>
        <v>19.988116455367162</v>
      </c>
      <c r="AB222" s="2212">
        <v>113</v>
      </c>
      <c r="AC222" s="2219"/>
      <c r="AD222" s="2213"/>
      <c r="AE222" s="2219"/>
      <c r="AF222" s="2213"/>
      <c r="AG222" s="2213"/>
      <c r="AH222" s="2213"/>
      <c r="AI222" s="2213"/>
      <c r="AJ222" s="2213"/>
      <c r="AK222" s="2217">
        <f t="shared" si="111"/>
        <v>6.2895424807230995</v>
      </c>
      <c r="AL222" s="2217">
        <f t="shared" si="92"/>
        <v>7543.8157742442427</v>
      </c>
      <c r="AM222" s="2217">
        <f t="shared" si="102"/>
        <v>19.988116455367162</v>
      </c>
      <c r="AN222" s="2212">
        <v>113</v>
      </c>
      <c r="AO222" s="2219"/>
      <c r="AP222" s="2213"/>
      <c r="AQ222" s="2219"/>
      <c r="AR222" s="2213"/>
      <c r="AS222" s="2213"/>
      <c r="AT222" s="2213"/>
      <c r="AU222" s="2213"/>
      <c r="AV222" s="2213"/>
      <c r="AW222" s="2217">
        <f t="shared" si="112"/>
        <v>0.56238418566139359</v>
      </c>
      <c r="AX222" s="2217">
        <f t="shared" si="103"/>
        <v>6206.8933819504718</v>
      </c>
      <c r="AY222" s="2217">
        <f t="shared" si="93"/>
        <v>11.190928477039051</v>
      </c>
      <c r="AZ222" s="2212">
        <v>113</v>
      </c>
      <c r="BA222" s="2208"/>
      <c r="BB222" s="263"/>
      <c r="BC222" s="2208"/>
      <c r="BD222" s="263"/>
      <c r="BE222" s="263"/>
      <c r="BF222" s="263"/>
      <c r="BG222" s="263"/>
      <c r="BH222" s="2208"/>
      <c r="BI222" s="2217">
        <f t="shared" si="113"/>
        <v>4.0315720135435011</v>
      </c>
      <c r="BJ222" s="2217">
        <f t="shared" si="104"/>
        <v>6206.8933819504718</v>
      </c>
      <c r="BK222" s="2217">
        <f t="shared" si="94"/>
        <v>11.190928477039051</v>
      </c>
      <c r="BL222" s="2212">
        <v>113</v>
      </c>
      <c r="BM222" s="2208"/>
      <c r="BN222" s="263"/>
      <c r="BO222" s="2208"/>
      <c r="BP222" s="263"/>
      <c r="BQ222" s="263"/>
      <c r="BR222" s="263"/>
      <c r="BS222" s="263"/>
      <c r="BT222" s="2208"/>
      <c r="BU222" s="2217">
        <f t="shared" si="114"/>
        <v>6.2895424807230995</v>
      </c>
      <c r="BV222" s="2217">
        <f t="shared" si="95"/>
        <v>7543.8157742442427</v>
      </c>
      <c r="BW222" s="2217">
        <f t="shared" si="105"/>
        <v>19.988116455367162</v>
      </c>
      <c r="BX222" s="2212">
        <v>113</v>
      </c>
      <c r="BY222" s="2219"/>
      <c r="BZ222" s="2213"/>
      <c r="CA222" s="2219"/>
      <c r="CB222" s="2213"/>
      <c r="CC222" s="2213"/>
      <c r="CD222" s="2213"/>
      <c r="CE222" s="2213"/>
      <c r="CF222" s="2208"/>
      <c r="CG222" s="2217">
        <f t="shared" si="115"/>
        <v>8.6881164553671617</v>
      </c>
      <c r="CH222" s="2217">
        <f t="shared" si="96"/>
        <v>7543.8157742442427</v>
      </c>
      <c r="CI222" s="2217">
        <f t="shared" si="106"/>
        <v>19.988116455367162</v>
      </c>
      <c r="CJ222" s="2212">
        <v>113</v>
      </c>
      <c r="CK222" s="2219"/>
      <c r="CL222" s="2213"/>
      <c r="CM222" s="2219"/>
      <c r="CN222" s="2213"/>
      <c r="CO222" s="2213"/>
      <c r="CP222" s="2213"/>
      <c r="CQ222" s="2213"/>
      <c r="CR222" s="2208"/>
      <c r="CS222" s="2217">
        <f t="shared" si="116"/>
        <v>3.807753444002719</v>
      </c>
      <c r="CT222" s="2217">
        <f t="shared" si="107"/>
        <v>6206.8933819504718</v>
      </c>
      <c r="CU222" s="2217">
        <f t="shared" si="97"/>
        <v>11.190928477039051</v>
      </c>
      <c r="CV222" s="2212">
        <v>113</v>
      </c>
      <c r="CW222" s="2208"/>
      <c r="CX222" s="263"/>
      <c r="CY222" s="2208"/>
      <c r="CZ222" s="263"/>
      <c r="DA222" s="263"/>
      <c r="DB222" s="263"/>
      <c r="DC222" s="263"/>
      <c r="DD222" s="2208"/>
    </row>
    <row r="223" spans="1:108">
      <c r="A223" s="2217">
        <f t="shared" si="108"/>
        <v>11.927502006430039</v>
      </c>
      <c r="B223" s="2217">
        <f t="shared" si="90"/>
        <v>7523.8276577888755</v>
      </c>
      <c r="C223" s="2217">
        <f t="shared" si="98"/>
        <v>20.197827831678296</v>
      </c>
      <c r="D223" s="2212">
        <v>112</v>
      </c>
      <c r="E223" s="2219"/>
      <c r="F223" s="2213"/>
      <c r="G223" s="2219"/>
      <c r="H223" s="2213"/>
      <c r="I223" s="2213"/>
      <c r="J223" s="2213"/>
      <c r="K223" s="2213"/>
      <c r="L223" s="2213"/>
      <c r="M223" s="2217">
        <f t="shared" si="109"/>
        <v>13.341349954647519</v>
      </c>
      <c r="N223" s="2217">
        <f t="shared" si="91"/>
        <v>7523.8276577888755</v>
      </c>
      <c r="O223" s="2217">
        <f t="shared" si="99"/>
        <v>20.197827831678296</v>
      </c>
      <c r="P223" s="2212">
        <v>112</v>
      </c>
      <c r="Q223" s="2219"/>
      <c r="R223" s="2213"/>
      <c r="S223" s="2219"/>
      <c r="T223" s="2213"/>
      <c r="U223" s="2213"/>
      <c r="V223" s="2213"/>
      <c r="W223" s="2213"/>
      <c r="X223" s="2213"/>
      <c r="Y223" s="2217">
        <f t="shared" si="110"/>
        <v>15.15915445949857</v>
      </c>
      <c r="Z223" s="2217">
        <f t="shared" si="100"/>
        <v>7523.8276577888755</v>
      </c>
      <c r="AA223" s="2217">
        <f t="shared" si="101"/>
        <v>20.197827831678296</v>
      </c>
      <c r="AB223" s="2212">
        <v>112</v>
      </c>
      <c r="AC223" s="2219"/>
      <c r="AD223" s="2213"/>
      <c r="AE223" s="2219"/>
      <c r="AF223" s="2213"/>
      <c r="AG223" s="2213"/>
      <c r="AH223" s="2213"/>
      <c r="AI223" s="2213"/>
      <c r="AJ223" s="2213"/>
      <c r="AK223" s="2217">
        <f t="shared" si="111"/>
        <v>6.4740884918768984</v>
      </c>
      <c r="AL223" s="2217">
        <f t="shared" si="92"/>
        <v>7523.8276577888755</v>
      </c>
      <c r="AM223" s="2217">
        <f t="shared" si="102"/>
        <v>20.197827831678296</v>
      </c>
      <c r="AN223" s="2212">
        <v>112</v>
      </c>
      <c r="AO223" s="2219"/>
      <c r="AP223" s="2213"/>
      <c r="AQ223" s="2219"/>
      <c r="AR223" s="2213"/>
      <c r="AS223" s="2213"/>
      <c r="AT223" s="2213"/>
      <c r="AU223" s="2213"/>
      <c r="AV223" s="2213"/>
      <c r="AW223" s="2217">
        <f t="shared" si="112"/>
        <v>0.8982977448649212</v>
      </c>
      <c r="AX223" s="2217">
        <f t="shared" si="103"/>
        <v>6195.7024534734328</v>
      </c>
      <c r="AY223" s="2217">
        <f t="shared" si="93"/>
        <v>11.507828061193322</v>
      </c>
      <c r="AZ223" s="2212">
        <v>112</v>
      </c>
      <c r="BA223" s="2208"/>
      <c r="BB223" s="263"/>
      <c r="BC223" s="2208"/>
      <c r="BD223" s="263"/>
      <c r="BE223" s="263"/>
      <c r="BF223" s="263"/>
      <c r="BG223" s="263"/>
      <c r="BH223" s="2208"/>
      <c r="BI223" s="2217">
        <f t="shared" si="113"/>
        <v>4.4657244438348513</v>
      </c>
      <c r="BJ223" s="2217">
        <f t="shared" si="104"/>
        <v>6195.7024534734328</v>
      </c>
      <c r="BK223" s="2217">
        <f t="shared" si="94"/>
        <v>11.507828061193322</v>
      </c>
      <c r="BL223" s="2212">
        <v>112</v>
      </c>
      <c r="BM223" s="2208"/>
      <c r="BN223" s="263"/>
      <c r="BO223" s="2208"/>
      <c r="BP223" s="263"/>
      <c r="BQ223" s="263"/>
      <c r="BR223" s="263"/>
      <c r="BS223" s="263"/>
      <c r="BT223" s="2208"/>
      <c r="BU223" s="2217">
        <f t="shared" si="114"/>
        <v>6.4740884918768984</v>
      </c>
      <c r="BV223" s="2217">
        <f t="shared" si="95"/>
        <v>7523.8276577888755</v>
      </c>
      <c r="BW223" s="2217">
        <f t="shared" si="105"/>
        <v>20.197827831678296</v>
      </c>
      <c r="BX223" s="2212">
        <v>112</v>
      </c>
      <c r="BY223" s="2219"/>
      <c r="BZ223" s="2213"/>
      <c r="CA223" s="2219"/>
      <c r="CB223" s="2213"/>
      <c r="CC223" s="2213"/>
      <c r="CD223" s="2213"/>
      <c r="CE223" s="2213"/>
      <c r="CF223" s="2208"/>
      <c r="CG223" s="2217">
        <f t="shared" si="115"/>
        <v>8.8978278316782955</v>
      </c>
      <c r="CH223" s="2217">
        <f t="shared" si="96"/>
        <v>7523.8276577888755</v>
      </c>
      <c r="CI223" s="2217">
        <f t="shared" si="106"/>
        <v>20.197827831678296</v>
      </c>
      <c r="CJ223" s="2212">
        <v>112</v>
      </c>
      <c r="CK223" s="2219"/>
      <c r="CL223" s="2213"/>
      <c r="CM223" s="2219"/>
      <c r="CN223" s="2213"/>
      <c r="CO223" s="2213"/>
      <c r="CP223" s="2213"/>
      <c r="CQ223" s="2213"/>
      <c r="CR223" s="2208"/>
      <c r="CS223" s="2217">
        <f t="shared" si="116"/>
        <v>4.2355678826109848</v>
      </c>
      <c r="CT223" s="2217">
        <f t="shared" si="107"/>
        <v>6195.7024534734328</v>
      </c>
      <c r="CU223" s="2217">
        <f t="shared" si="97"/>
        <v>11.507828061193322</v>
      </c>
      <c r="CV223" s="2212">
        <v>112</v>
      </c>
      <c r="CW223" s="2208"/>
      <c r="CX223" s="263"/>
      <c r="CY223" s="2208"/>
      <c r="CZ223" s="263"/>
      <c r="DA223" s="263"/>
      <c r="DB223" s="263"/>
      <c r="DC223" s="263"/>
      <c r="DD223" s="2208"/>
    </row>
    <row r="224" spans="1:108">
      <c r="A224" s="2217">
        <f t="shared" si="108"/>
        <v>12.169638996700858</v>
      </c>
      <c r="B224" s="2217">
        <f t="shared" si="90"/>
        <v>7503.6298299571972</v>
      </c>
      <c r="C224" s="2217">
        <f t="shared" si="98"/>
        <v>20.408381736261617</v>
      </c>
      <c r="D224" s="2212">
        <v>111</v>
      </c>
      <c r="E224" s="2219"/>
      <c r="F224" s="2213"/>
      <c r="G224" s="2219"/>
      <c r="H224" s="2213"/>
      <c r="I224" s="2213"/>
      <c r="J224" s="2213"/>
      <c r="K224" s="2213"/>
      <c r="L224" s="2213"/>
      <c r="M224" s="2217">
        <f t="shared" si="109"/>
        <v>13.598225718239171</v>
      </c>
      <c r="N224" s="2217">
        <f t="shared" si="91"/>
        <v>7503.6298299571972</v>
      </c>
      <c r="O224" s="2217">
        <f t="shared" si="99"/>
        <v>20.408381736261617</v>
      </c>
      <c r="P224" s="2212">
        <v>111</v>
      </c>
      <c r="Q224" s="2219"/>
      <c r="R224" s="2213"/>
      <c r="S224" s="2219"/>
      <c r="T224" s="2213"/>
      <c r="U224" s="2213"/>
      <c r="V224" s="2213"/>
      <c r="W224" s="2213"/>
      <c r="X224" s="2213"/>
      <c r="Y224" s="2217">
        <f t="shared" si="110"/>
        <v>15.434980074502718</v>
      </c>
      <c r="Z224" s="2217">
        <f t="shared" si="100"/>
        <v>7503.6298299571972</v>
      </c>
      <c r="AA224" s="2217">
        <f t="shared" si="101"/>
        <v>20.408381736261617</v>
      </c>
      <c r="AB224" s="2212">
        <v>111</v>
      </c>
      <c r="AC224" s="2219"/>
      <c r="AD224" s="2213"/>
      <c r="AE224" s="2219"/>
      <c r="AF224" s="2213"/>
      <c r="AG224" s="2213"/>
      <c r="AH224" s="2213"/>
      <c r="AI224" s="2213"/>
      <c r="AJ224" s="2213"/>
      <c r="AK224" s="2217">
        <f t="shared" si="111"/>
        <v>6.6593759279102187</v>
      </c>
      <c r="AL224" s="2217">
        <f t="shared" si="92"/>
        <v>7503.6298299571972</v>
      </c>
      <c r="AM224" s="2217">
        <f t="shared" si="102"/>
        <v>20.408381736261617</v>
      </c>
      <c r="AN224" s="2212">
        <v>111</v>
      </c>
      <c r="AO224" s="2219"/>
      <c r="AP224" s="2213"/>
      <c r="AQ224" s="2219"/>
      <c r="AR224" s="2213"/>
      <c r="AS224" s="2213"/>
      <c r="AT224" s="2213"/>
      <c r="AU224" s="2213"/>
      <c r="AV224" s="2213"/>
      <c r="AW224" s="2217">
        <f t="shared" si="112"/>
        <v>1.2340460240963331</v>
      </c>
      <c r="AX224" s="2217">
        <f t="shared" si="103"/>
        <v>6184.1946254122395</v>
      </c>
      <c r="AY224" s="2217">
        <f t="shared" si="93"/>
        <v>11.824571720845597</v>
      </c>
      <c r="AZ224" s="2212">
        <v>111</v>
      </c>
      <c r="BA224" s="2208"/>
      <c r="BB224" s="263"/>
      <c r="BC224" s="2208"/>
      <c r="BD224" s="263"/>
      <c r="BE224" s="263"/>
      <c r="BF224" s="263"/>
      <c r="BG224" s="263"/>
      <c r="BH224" s="2208"/>
      <c r="BI224" s="2217">
        <f t="shared" si="113"/>
        <v>4.8996632575584691</v>
      </c>
      <c r="BJ224" s="2217">
        <f t="shared" si="104"/>
        <v>6184.1946254122395</v>
      </c>
      <c r="BK224" s="2217">
        <f t="shared" si="94"/>
        <v>11.824571720845597</v>
      </c>
      <c r="BL224" s="2212">
        <v>111</v>
      </c>
      <c r="BM224" s="2208"/>
      <c r="BN224" s="263"/>
      <c r="BO224" s="2208"/>
      <c r="BP224" s="263"/>
      <c r="BQ224" s="263"/>
      <c r="BR224" s="263"/>
      <c r="BS224" s="263"/>
      <c r="BT224" s="2208"/>
      <c r="BU224" s="2217">
        <f t="shared" si="114"/>
        <v>6.6593759279102187</v>
      </c>
      <c r="BV224" s="2217">
        <f t="shared" si="95"/>
        <v>7503.6298299571972</v>
      </c>
      <c r="BW224" s="2217">
        <f t="shared" si="105"/>
        <v>20.408381736261617</v>
      </c>
      <c r="BX224" s="2212">
        <v>111</v>
      </c>
      <c r="BY224" s="2219"/>
      <c r="BZ224" s="2213"/>
      <c r="CA224" s="2219"/>
      <c r="CB224" s="2213"/>
      <c r="CC224" s="2213"/>
      <c r="CD224" s="2213"/>
      <c r="CE224" s="2213"/>
      <c r="CF224" s="2208"/>
      <c r="CG224" s="2217">
        <f t="shared" si="115"/>
        <v>9.1083817362616166</v>
      </c>
      <c r="CH224" s="2217">
        <f t="shared" si="96"/>
        <v>7503.6298299571972</v>
      </c>
      <c r="CI224" s="2217">
        <f t="shared" si="106"/>
        <v>20.408381736261617</v>
      </c>
      <c r="CJ224" s="2212">
        <v>111</v>
      </c>
      <c r="CK224" s="2219"/>
      <c r="CL224" s="2213"/>
      <c r="CM224" s="2219"/>
      <c r="CN224" s="2213"/>
      <c r="CO224" s="2213"/>
      <c r="CP224" s="2213"/>
      <c r="CQ224" s="2213"/>
      <c r="CR224" s="2208"/>
      <c r="CS224" s="2217">
        <f t="shared" si="116"/>
        <v>4.6631718231415569</v>
      </c>
      <c r="CT224" s="2217">
        <f t="shared" si="107"/>
        <v>6184.1946254122395</v>
      </c>
      <c r="CU224" s="2217">
        <f t="shared" si="97"/>
        <v>11.824571720845597</v>
      </c>
      <c r="CV224" s="2212">
        <v>111</v>
      </c>
      <c r="CW224" s="2208"/>
      <c r="CX224" s="263"/>
      <c r="CY224" s="2208"/>
      <c r="CZ224" s="263"/>
      <c r="DA224" s="263"/>
      <c r="DB224" s="263"/>
      <c r="DC224" s="263"/>
      <c r="DD224" s="2208"/>
    </row>
    <row r="225" spans="1:108">
      <c r="A225" s="2217">
        <f t="shared" si="108"/>
        <v>12.412744894479463</v>
      </c>
      <c r="B225" s="2217">
        <f t="shared" si="90"/>
        <v>7483.2214482209356</v>
      </c>
      <c r="C225" s="2217">
        <f t="shared" si="98"/>
        <v>20.619778169112578</v>
      </c>
      <c r="D225" s="2212">
        <v>110</v>
      </c>
      <c r="E225" s="2219"/>
      <c r="F225" s="2213"/>
      <c r="G225" s="2219"/>
      <c r="H225" s="2213"/>
      <c r="I225" s="2213"/>
      <c r="J225" s="2213"/>
      <c r="K225" s="2213"/>
      <c r="L225" s="2213"/>
      <c r="M225" s="2217">
        <f t="shared" si="109"/>
        <v>13.856129366317344</v>
      </c>
      <c r="N225" s="2217">
        <f t="shared" si="91"/>
        <v>7483.2214482209356</v>
      </c>
      <c r="O225" s="2217">
        <f t="shared" si="99"/>
        <v>20.619778169112578</v>
      </c>
      <c r="P225" s="2212">
        <v>110</v>
      </c>
      <c r="Q225" s="2219"/>
      <c r="R225" s="2213"/>
      <c r="S225" s="2219"/>
      <c r="T225" s="2213"/>
      <c r="U225" s="2213"/>
      <c r="V225" s="2213"/>
      <c r="W225" s="2213"/>
      <c r="X225" s="2213"/>
      <c r="Y225" s="2217">
        <f t="shared" si="110"/>
        <v>15.711909401537479</v>
      </c>
      <c r="Z225" s="2217">
        <f t="shared" si="100"/>
        <v>7483.2214482209356</v>
      </c>
      <c r="AA225" s="2217">
        <f t="shared" si="101"/>
        <v>20.619778169112578</v>
      </c>
      <c r="AB225" s="2212">
        <v>110</v>
      </c>
      <c r="AC225" s="2219"/>
      <c r="AD225" s="2213"/>
      <c r="AE225" s="2219"/>
      <c r="AF225" s="2213"/>
      <c r="AG225" s="2213"/>
      <c r="AH225" s="2213"/>
      <c r="AI225" s="2213"/>
      <c r="AJ225" s="2213"/>
      <c r="AK225" s="2217">
        <f t="shared" si="111"/>
        <v>6.8454047888190672</v>
      </c>
      <c r="AL225" s="2217">
        <f t="shared" si="92"/>
        <v>7483.2214482209356</v>
      </c>
      <c r="AM225" s="2217">
        <f t="shared" si="102"/>
        <v>20.619778169112578</v>
      </c>
      <c r="AN225" s="2212">
        <v>110</v>
      </c>
      <c r="AO225" s="2219"/>
      <c r="AP225" s="2213"/>
      <c r="AQ225" s="2219"/>
      <c r="AR225" s="2213"/>
      <c r="AS225" s="2213"/>
      <c r="AT225" s="2213"/>
      <c r="AU225" s="2213"/>
      <c r="AV225" s="2213"/>
      <c r="AW225" s="2217">
        <f t="shared" si="112"/>
        <v>1.569629023362376</v>
      </c>
      <c r="AX225" s="2217">
        <f t="shared" si="103"/>
        <v>6172.3700536913939</v>
      </c>
      <c r="AY225" s="2217">
        <f t="shared" si="93"/>
        <v>12.141159456002242</v>
      </c>
      <c r="AZ225" s="2212">
        <v>110</v>
      </c>
      <c r="BA225" s="2208"/>
      <c r="BB225" s="263"/>
      <c r="BC225" s="2208"/>
      <c r="BD225" s="263"/>
      <c r="BE225" s="263"/>
      <c r="BF225" s="263"/>
      <c r="BG225" s="263"/>
      <c r="BH225" s="2208"/>
      <c r="BI225" s="2217">
        <f t="shared" si="113"/>
        <v>5.333388454723071</v>
      </c>
      <c r="BJ225" s="2217">
        <f t="shared" si="104"/>
        <v>6172.3700536913939</v>
      </c>
      <c r="BK225" s="2217">
        <f t="shared" si="94"/>
        <v>12.141159456002242</v>
      </c>
      <c r="BL225" s="2212">
        <v>110</v>
      </c>
      <c r="BM225" s="2208"/>
      <c r="BN225" s="263"/>
      <c r="BO225" s="2208"/>
      <c r="BP225" s="263"/>
      <c r="BQ225" s="263"/>
      <c r="BR225" s="263"/>
      <c r="BS225" s="263"/>
      <c r="BT225" s="2208"/>
      <c r="BU225" s="2217">
        <f t="shared" si="114"/>
        <v>6.8454047888190672</v>
      </c>
      <c r="BV225" s="2217">
        <f t="shared" si="95"/>
        <v>7483.2214482209356</v>
      </c>
      <c r="BW225" s="2217">
        <f t="shared" si="105"/>
        <v>20.619778169112578</v>
      </c>
      <c r="BX225" s="2212">
        <v>110</v>
      </c>
      <c r="BY225" s="2219"/>
      <c r="BZ225" s="2213"/>
      <c r="CA225" s="2219"/>
      <c r="CB225" s="2213"/>
      <c r="CC225" s="2213"/>
      <c r="CD225" s="2213"/>
      <c r="CE225" s="2213"/>
      <c r="CF225" s="2208"/>
      <c r="CG225" s="2217">
        <f t="shared" si="115"/>
        <v>9.3197781691125776</v>
      </c>
      <c r="CH225" s="2217">
        <f t="shared" si="96"/>
        <v>7483.2214482209356</v>
      </c>
      <c r="CI225" s="2217">
        <f t="shared" si="106"/>
        <v>20.619778169112578</v>
      </c>
      <c r="CJ225" s="2212">
        <v>110</v>
      </c>
      <c r="CK225" s="2219"/>
      <c r="CL225" s="2213"/>
      <c r="CM225" s="2219"/>
      <c r="CN225" s="2213"/>
      <c r="CO225" s="2213"/>
      <c r="CP225" s="2213"/>
      <c r="CQ225" s="2213"/>
      <c r="CR225" s="2208"/>
      <c r="CS225" s="2217">
        <f t="shared" si="116"/>
        <v>5.0905652656030291</v>
      </c>
      <c r="CT225" s="2217">
        <f t="shared" si="107"/>
        <v>6172.3700536913939</v>
      </c>
      <c r="CU225" s="2217">
        <f t="shared" si="97"/>
        <v>12.141159456002242</v>
      </c>
      <c r="CV225" s="2212">
        <v>110</v>
      </c>
      <c r="CW225" s="2208"/>
      <c r="CX225" s="263"/>
      <c r="CY225" s="2208"/>
      <c r="CZ225" s="263"/>
      <c r="DA225" s="263"/>
      <c r="DB225" s="263"/>
      <c r="DC225" s="263"/>
      <c r="DD225" s="2208"/>
    </row>
    <row r="226" spans="1:108">
      <c r="A226" s="2217">
        <f t="shared" si="108"/>
        <v>12.656819699766899</v>
      </c>
      <c r="B226" s="2217">
        <f t="shared" si="90"/>
        <v>7462.601670051823</v>
      </c>
      <c r="C226" s="2217">
        <f t="shared" si="98"/>
        <v>20.832017130232089</v>
      </c>
      <c r="D226" s="2212">
        <v>109</v>
      </c>
      <c r="E226" s="2219"/>
      <c r="F226" s="2213"/>
      <c r="G226" s="2219"/>
      <c r="H226" s="2213"/>
      <c r="I226" s="2213"/>
      <c r="J226" s="2213"/>
      <c r="K226" s="2213"/>
      <c r="L226" s="2213"/>
      <c r="M226" s="2217">
        <f t="shared" si="109"/>
        <v>14.115060898883147</v>
      </c>
      <c r="N226" s="2217">
        <f t="shared" si="91"/>
        <v>7462.601670051823</v>
      </c>
      <c r="O226" s="2217">
        <f t="shared" si="99"/>
        <v>20.832017130232089</v>
      </c>
      <c r="P226" s="2212">
        <v>109</v>
      </c>
      <c r="Q226" s="2219"/>
      <c r="R226" s="2213"/>
      <c r="S226" s="2219"/>
      <c r="T226" s="2213"/>
      <c r="U226" s="2213"/>
      <c r="V226" s="2213"/>
      <c r="W226" s="2213"/>
      <c r="X226" s="2213"/>
      <c r="Y226" s="2217">
        <f t="shared" si="110"/>
        <v>15.989942440604036</v>
      </c>
      <c r="Z226" s="2217">
        <f t="shared" si="100"/>
        <v>7462.601670051823</v>
      </c>
      <c r="AA226" s="2217">
        <f t="shared" si="101"/>
        <v>20.832017130232089</v>
      </c>
      <c r="AB226" s="2212">
        <v>109</v>
      </c>
      <c r="AC226" s="2219"/>
      <c r="AD226" s="2213"/>
      <c r="AE226" s="2219"/>
      <c r="AF226" s="2213"/>
      <c r="AG226" s="2213"/>
      <c r="AH226" s="2213"/>
      <c r="AI226" s="2213"/>
      <c r="AJ226" s="2213"/>
      <c r="AK226" s="2217">
        <f t="shared" si="111"/>
        <v>7.0321750746042362</v>
      </c>
      <c r="AL226" s="2217">
        <f t="shared" si="92"/>
        <v>7462.601670051823</v>
      </c>
      <c r="AM226" s="2217">
        <f t="shared" si="102"/>
        <v>20.832017130232089</v>
      </c>
      <c r="AN226" s="2212">
        <v>109</v>
      </c>
      <c r="AO226" s="2219"/>
      <c r="AP226" s="2213"/>
      <c r="AQ226" s="2219"/>
      <c r="AR226" s="2213"/>
      <c r="AS226" s="2213"/>
      <c r="AT226" s="2213"/>
      <c r="AU226" s="2213"/>
      <c r="AV226" s="2213"/>
      <c r="AW226" s="2217">
        <f t="shared" si="112"/>
        <v>1.9050467426524484</v>
      </c>
      <c r="AX226" s="2217">
        <f t="shared" si="103"/>
        <v>6160.2288942353916</v>
      </c>
      <c r="AY226" s="2217">
        <f t="shared" si="93"/>
        <v>12.457591266653253</v>
      </c>
      <c r="AZ226" s="2212">
        <v>109</v>
      </c>
      <c r="BA226" s="2208"/>
      <c r="BB226" s="263"/>
      <c r="BC226" s="2208"/>
      <c r="BD226" s="263"/>
      <c r="BE226" s="263"/>
      <c r="BF226" s="263"/>
      <c r="BG226" s="263"/>
      <c r="BH226" s="2208"/>
      <c r="BI226" s="2217">
        <f t="shared" si="113"/>
        <v>5.7669000353149578</v>
      </c>
      <c r="BJ226" s="2217">
        <f t="shared" si="104"/>
        <v>6160.2288942353916</v>
      </c>
      <c r="BK226" s="2217">
        <f t="shared" si="94"/>
        <v>12.457591266653253</v>
      </c>
      <c r="BL226" s="2212">
        <v>109</v>
      </c>
      <c r="BM226" s="2208"/>
      <c r="BN226" s="263"/>
      <c r="BO226" s="2208"/>
      <c r="BP226" s="263"/>
      <c r="BQ226" s="263"/>
      <c r="BR226" s="263"/>
      <c r="BS226" s="263"/>
      <c r="BT226" s="2208"/>
      <c r="BU226" s="2217">
        <f t="shared" si="114"/>
        <v>7.0321750746042362</v>
      </c>
      <c r="BV226" s="2217">
        <f t="shared" si="95"/>
        <v>7462.601670051823</v>
      </c>
      <c r="BW226" s="2217">
        <f t="shared" si="105"/>
        <v>20.832017130232089</v>
      </c>
      <c r="BX226" s="2212">
        <v>109</v>
      </c>
      <c r="BY226" s="2219"/>
      <c r="BZ226" s="2213"/>
      <c r="CA226" s="2219"/>
      <c r="CB226" s="2213"/>
      <c r="CC226" s="2213"/>
      <c r="CD226" s="2213"/>
      <c r="CE226" s="2213"/>
      <c r="CF226" s="2208"/>
      <c r="CG226" s="2217">
        <f t="shared" si="115"/>
        <v>9.532017130232088</v>
      </c>
      <c r="CH226" s="2217">
        <f t="shared" si="96"/>
        <v>7462.601670051823</v>
      </c>
      <c r="CI226" s="2217">
        <f t="shared" si="106"/>
        <v>20.832017130232089</v>
      </c>
      <c r="CJ226" s="2212">
        <v>109</v>
      </c>
      <c r="CK226" s="2219"/>
      <c r="CL226" s="2213"/>
      <c r="CM226" s="2219"/>
      <c r="CN226" s="2213"/>
      <c r="CO226" s="2213"/>
      <c r="CP226" s="2213"/>
      <c r="CQ226" s="2213"/>
      <c r="CR226" s="2208"/>
      <c r="CS226" s="2217">
        <f t="shared" si="116"/>
        <v>5.5177482099818924</v>
      </c>
      <c r="CT226" s="2217">
        <f t="shared" si="107"/>
        <v>6160.2288942353916</v>
      </c>
      <c r="CU226" s="2217">
        <f t="shared" si="97"/>
        <v>12.457591266653253</v>
      </c>
      <c r="CV226" s="2212">
        <v>109</v>
      </c>
      <c r="CW226" s="2208"/>
      <c r="CX226" s="263"/>
      <c r="CY226" s="2208"/>
      <c r="CZ226" s="263"/>
      <c r="DA226" s="263"/>
      <c r="DB226" s="263"/>
      <c r="DC226" s="263"/>
      <c r="DD226" s="2208"/>
    </row>
    <row r="227" spans="1:108">
      <c r="A227" s="2217">
        <f t="shared" si="108"/>
        <v>12.901863412568396</v>
      </c>
      <c r="B227" s="2217">
        <f t="shared" ref="B227:B290" si="117">B$27+(B$26*D227)-(B$25*(D227^2))+(B$24*(D227^3))</f>
        <v>7441.7696529215909</v>
      </c>
      <c r="C227" s="2217">
        <f t="shared" si="98"/>
        <v>21.045098619624696</v>
      </c>
      <c r="D227" s="2212">
        <v>108</v>
      </c>
      <c r="E227" s="2219"/>
      <c r="F227" s="2213"/>
      <c r="G227" s="2219"/>
      <c r="H227" s="2213"/>
      <c r="I227" s="2213"/>
      <c r="J227" s="2213"/>
      <c r="K227" s="2213"/>
      <c r="L227" s="2213"/>
      <c r="M227" s="2217">
        <f t="shared" si="109"/>
        <v>14.375020315942127</v>
      </c>
      <c r="N227" s="2217">
        <f t="shared" ref="N227:N290" si="118">N$27+(N$26*P227)-(N$25*(P227^2))+(N$24*(P227^3))</f>
        <v>7441.7696529215909</v>
      </c>
      <c r="O227" s="2217">
        <f t="shared" si="99"/>
        <v>21.045098619624696</v>
      </c>
      <c r="P227" s="2212">
        <v>108</v>
      </c>
      <c r="Q227" s="2219"/>
      <c r="R227" s="2213"/>
      <c r="S227" s="2219"/>
      <c r="T227" s="2213"/>
      <c r="U227" s="2213"/>
      <c r="V227" s="2213"/>
      <c r="W227" s="2213"/>
      <c r="X227" s="2213"/>
      <c r="Y227" s="2217">
        <f t="shared" si="110"/>
        <v>16.269079191708354</v>
      </c>
      <c r="Z227" s="2217">
        <f t="shared" si="100"/>
        <v>7441.7696529215909</v>
      </c>
      <c r="AA227" s="2217">
        <f t="shared" si="101"/>
        <v>21.045098619624696</v>
      </c>
      <c r="AB227" s="2212">
        <v>108</v>
      </c>
      <c r="AC227" s="2219"/>
      <c r="AD227" s="2213"/>
      <c r="AE227" s="2219"/>
      <c r="AF227" s="2213"/>
      <c r="AG227" s="2213"/>
      <c r="AH227" s="2213"/>
      <c r="AI227" s="2213"/>
      <c r="AJ227" s="2213"/>
      <c r="AK227" s="2217">
        <f t="shared" si="111"/>
        <v>7.2196867852697295</v>
      </c>
      <c r="AL227" s="2217">
        <f t="shared" ref="AL227:AL290" si="119">AL$27+(AL$26*AN227)-(AL$25*(AN227^2))+(AL$24*(AN227^3))</f>
        <v>7441.7696529215909</v>
      </c>
      <c r="AM227" s="2217">
        <f t="shared" si="102"/>
        <v>21.045098619624696</v>
      </c>
      <c r="AN227" s="2212">
        <v>108</v>
      </c>
      <c r="AO227" s="2219"/>
      <c r="AP227" s="2213"/>
      <c r="AQ227" s="2219"/>
      <c r="AR227" s="2213"/>
      <c r="AS227" s="2213"/>
      <c r="AT227" s="2213"/>
      <c r="AU227" s="2213"/>
      <c r="AV227" s="2213"/>
      <c r="AW227" s="2217">
        <f t="shared" si="112"/>
        <v>2.240299181976189</v>
      </c>
      <c r="AX227" s="2217">
        <f t="shared" si="103"/>
        <v>6147.7713029687384</v>
      </c>
      <c r="AY227" s="2217">
        <f t="shared" ref="AY227:AY290" si="120">AX227-AX228</f>
        <v>12.773867152807725</v>
      </c>
      <c r="AZ227" s="2212">
        <v>108</v>
      </c>
      <c r="BA227" s="2208"/>
      <c r="BB227" s="263"/>
      <c r="BC227" s="2208"/>
      <c r="BD227" s="263"/>
      <c r="BE227" s="263"/>
      <c r="BF227" s="263"/>
      <c r="BG227" s="263"/>
      <c r="BH227" s="2208"/>
      <c r="BI227" s="2217">
        <f t="shared" si="113"/>
        <v>6.2001979993465852</v>
      </c>
      <c r="BJ227" s="2217">
        <f t="shared" si="104"/>
        <v>6147.7713029687384</v>
      </c>
      <c r="BK227" s="2217">
        <f t="shared" ref="BK227:BK290" si="121">BJ227-BJ228</f>
        <v>12.773867152807725</v>
      </c>
      <c r="BL227" s="2212">
        <v>108</v>
      </c>
      <c r="BM227" s="2208"/>
      <c r="BN227" s="263"/>
      <c r="BO227" s="2208"/>
      <c r="BP227" s="263"/>
      <c r="BQ227" s="263"/>
      <c r="BR227" s="263"/>
      <c r="BS227" s="263"/>
      <c r="BT227" s="2208"/>
      <c r="BU227" s="2217">
        <f t="shared" si="114"/>
        <v>7.2196867852697295</v>
      </c>
      <c r="BV227" s="2217">
        <f t="shared" ref="BV227:BV290" si="122">BV$27+(BV$26*BX227)-(BV$25*(BX227^2))+(BV$24*(BX227^3))</f>
        <v>7441.7696529215909</v>
      </c>
      <c r="BW227" s="2217">
        <f t="shared" si="105"/>
        <v>21.045098619624696</v>
      </c>
      <c r="BX227" s="2212">
        <v>108</v>
      </c>
      <c r="BY227" s="2219"/>
      <c r="BZ227" s="2213"/>
      <c r="CA227" s="2219"/>
      <c r="CB227" s="2213"/>
      <c r="CC227" s="2213"/>
      <c r="CD227" s="2213"/>
      <c r="CE227" s="2213"/>
      <c r="CF227" s="2208"/>
      <c r="CG227" s="2217">
        <f t="shared" si="115"/>
        <v>9.7450986196246951</v>
      </c>
      <c r="CH227" s="2217">
        <f t="shared" ref="CH227:CH290" si="123">CH$27+(CH$26*CJ227)-(CH$25*(CJ227^2))+(CH$24*(CJ227^3))</f>
        <v>7441.7696529215909</v>
      </c>
      <c r="CI227" s="2217">
        <f t="shared" si="106"/>
        <v>21.045098619624696</v>
      </c>
      <c r="CJ227" s="2212">
        <v>108</v>
      </c>
      <c r="CK227" s="2219"/>
      <c r="CL227" s="2213"/>
      <c r="CM227" s="2219"/>
      <c r="CN227" s="2213"/>
      <c r="CO227" s="2213"/>
      <c r="CP227" s="2213"/>
      <c r="CQ227" s="2213"/>
      <c r="CR227" s="2208"/>
      <c r="CS227" s="2217">
        <f t="shared" si="116"/>
        <v>5.9447206562904285</v>
      </c>
      <c r="CT227" s="2217">
        <f t="shared" si="107"/>
        <v>6147.7713029687384</v>
      </c>
      <c r="CU227" s="2217">
        <f t="shared" ref="CU227:CU290" si="124">CT227-CT228</f>
        <v>12.773867152807725</v>
      </c>
      <c r="CV227" s="2212">
        <v>108</v>
      </c>
      <c r="CW227" s="2208"/>
      <c r="CX227" s="263"/>
      <c r="CY227" s="2208"/>
      <c r="CZ227" s="263"/>
      <c r="DA227" s="263"/>
      <c r="DB227" s="263"/>
      <c r="DC227" s="263"/>
      <c r="DD227" s="2208"/>
    </row>
    <row r="228" spans="1:108">
      <c r="A228" s="2217">
        <f t="shared" si="108"/>
        <v>13.147876032877683</v>
      </c>
      <c r="B228" s="2217">
        <f t="shared" si="117"/>
        <v>7420.7245543019662</v>
      </c>
      <c r="C228" s="2217">
        <f t="shared" ref="C228:C291" si="125">B228-B229</f>
        <v>21.259022637284943</v>
      </c>
      <c r="D228" s="2212">
        <v>107</v>
      </c>
      <c r="E228" s="2219"/>
      <c r="F228" s="2213"/>
      <c r="G228" s="2219"/>
      <c r="H228" s="2213"/>
      <c r="I228" s="2213"/>
      <c r="J228" s="2213"/>
      <c r="K228" s="2213"/>
      <c r="L228" s="2213"/>
      <c r="M228" s="2217">
        <f t="shared" si="109"/>
        <v>14.636007617487628</v>
      </c>
      <c r="N228" s="2217">
        <f t="shared" si="118"/>
        <v>7420.7245543019662</v>
      </c>
      <c r="O228" s="2217">
        <f t="shared" ref="O228:O291" si="126">N228-N229</f>
        <v>21.259022637284943</v>
      </c>
      <c r="P228" s="2212">
        <v>107</v>
      </c>
      <c r="Q228" s="2219"/>
      <c r="R228" s="2213"/>
      <c r="S228" s="2219"/>
      <c r="T228" s="2213"/>
      <c r="U228" s="2213"/>
      <c r="V228" s="2213"/>
      <c r="W228" s="2213"/>
      <c r="X228" s="2213"/>
      <c r="Y228" s="2217">
        <f t="shared" si="110"/>
        <v>16.549319654843277</v>
      </c>
      <c r="Z228" s="2217">
        <f t="shared" ref="Z228:Z291" si="127">Z$27+(Z$26*AB228)-(Z$25*(AB228^2))+(Z$24*(AB228^3))</f>
        <v>7420.7245543019662</v>
      </c>
      <c r="AA228" s="2217">
        <f t="shared" ref="AA228:AA291" si="128">Z228-Z229</f>
        <v>21.259022637284943</v>
      </c>
      <c r="AB228" s="2212">
        <v>107</v>
      </c>
      <c r="AC228" s="2219"/>
      <c r="AD228" s="2213"/>
      <c r="AE228" s="2219"/>
      <c r="AF228" s="2213"/>
      <c r="AG228" s="2213"/>
      <c r="AH228" s="2213"/>
      <c r="AI228" s="2213"/>
      <c r="AJ228" s="2213"/>
      <c r="AK228" s="2217">
        <f t="shared" si="111"/>
        <v>7.4079399208107475</v>
      </c>
      <c r="AL228" s="2217">
        <f t="shared" si="119"/>
        <v>7420.7245543019662</v>
      </c>
      <c r="AM228" s="2217">
        <f t="shared" ref="AM228:AM291" si="129">AL228-AL229</f>
        <v>21.259022637284943</v>
      </c>
      <c r="AN228" s="2212">
        <v>107</v>
      </c>
      <c r="AO228" s="2219"/>
      <c r="AP228" s="2213"/>
      <c r="AQ228" s="2219"/>
      <c r="AR228" s="2213"/>
      <c r="AS228" s="2213"/>
      <c r="AT228" s="2213"/>
      <c r="AU228" s="2213"/>
      <c r="AV228" s="2213"/>
      <c r="AW228" s="2217">
        <f t="shared" si="112"/>
        <v>2.5753863413239557</v>
      </c>
      <c r="AX228" s="2217">
        <f t="shared" ref="AX228:AX291" si="130">AX$27+(AX$26*AZ228)-(AX$25*(AZ228^2))+(AX$24*(AZ228^3))</f>
        <v>6134.9974358159307</v>
      </c>
      <c r="AY228" s="2217">
        <f t="shared" si="120"/>
        <v>13.089987114456562</v>
      </c>
      <c r="AZ228" s="2212">
        <v>107</v>
      </c>
      <c r="BA228" s="2208"/>
      <c r="BB228" s="263"/>
      <c r="BC228" s="2208"/>
      <c r="BD228" s="263"/>
      <c r="BE228" s="263"/>
      <c r="BF228" s="263"/>
      <c r="BG228" s="263"/>
      <c r="BH228" s="2208"/>
      <c r="BI228" s="2217">
        <f t="shared" si="113"/>
        <v>6.6332823468054904</v>
      </c>
      <c r="BJ228" s="2217">
        <f t="shared" ref="BJ228:BJ291" si="131">BJ$27+(BJ$26*BL228)-(BJ$25*(BL228^2))+(BJ$24*(BL228^3))</f>
        <v>6134.9974358159307</v>
      </c>
      <c r="BK228" s="2217">
        <f t="shared" si="121"/>
        <v>13.089987114456562</v>
      </c>
      <c r="BL228" s="2212">
        <v>107</v>
      </c>
      <c r="BM228" s="2208"/>
      <c r="BN228" s="263"/>
      <c r="BO228" s="2208"/>
      <c r="BP228" s="263"/>
      <c r="BQ228" s="263"/>
      <c r="BR228" s="263"/>
      <c r="BS228" s="263"/>
      <c r="BT228" s="2208"/>
      <c r="BU228" s="2217">
        <f t="shared" si="114"/>
        <v>7.4079399208107475</v>
      </c>
      <c r="BV228" s="2217">
        <f t="shared" si="122"/>
        <v>7420.7245543019662</v>
      </c>
      <c r="BW228" s="2217">
        <f t="shared" ref="BW228:BW291" si="132">BV228-BV229</f>
        <v>21.259022637284943</v>
      </c>
      <c r="BX228" s="2212">
        <v>107</v>
      </c>
      <c r="BY228" s="2219"/>
      <c r="BZ228" s="2213"/>
      <c r="CA228" s="2219"/>
      <c r="CB228" s="2213"/>
      <c r="CC228" s="2213"/>
      <c r="CD228" s="2213"/>
      <c r="CE228" s="2213"/>
      <c r="CF228" s="2208"/>
      <c r="CG228" s="2217">
        <f t="shared" si="115"/>
        <v>9.9590226372849422</v>
      </c>
      <c r="CH228" s="2217">
        <f t="shared" si="123"/>
        <v>7420.7245543019662</v>
      </c>
      <c r="CI228" s="2217">
        <f t="shared" ref="CI228:CI291" si="133">CH228-CH229</f>
        <v>21.259022637284943</v>
      </c>
      <c r="CJ228" s="2212">
        <v>107</v>
      </c>
      <c r="CK228" s="2219"/>
      <c r="CL228" s="2213"/>
      <c r="CM228" s="2219"/>
      <c r="CN228" s="2213"/>
      <c r="CO228" s="2213"/>
      <c r="CP228" s="2213"/>
      <c r="CQ228" s="2213"/>
      <c r="CR228" s="2208"/>
      <c r="CS228" s="2217">
        <f t="shared" si="116"/>
        <v>6.3714826045163591</v>
      </c>
      <c r="CT228" s="2217">
        <f t="shared" ref="CT228:CT291" si="134">CT$27+(CT$26*CV228)-(CT$25*(CV228^2))+(CT$24*(CV228^3))</f>
        <v>6134.9974358159307</v>
      </c>
      <c r="CU228" s="2217">
        <f t="shared" si="124"/>
        <v>13.089987114456562</v>
      </c>
      <c r="CV228" s="2212">
        <v>107</v>
      </c>
      <c r="CW228" s="2208"/>
      <c r="CX228" s="263"/>
      <c r="CY228" s="2208"/>
      <c r="CZ228" s="263"/>
      <c r="DA228" s="263"/>
      <c r="DB228" s="263"/>
      <c r="DC228" s="263"/>
      <c r="DD228" s="2208"/>
    </row>
    <row r="229" spans="1:108">
      <c r="A229" s="2217">
        <f t="shared" ref="A229:A292" si="135">(C229*(B$7-B$9))-B$8</f>
        <v>13.394857560694753</v>
      </c>
      <c r="B229" s="2217">
        <f t="shared" si="117"/>
        <v>7399.4655316646813</v>
      </c>
      <c r="C229" s="2217">
        <f t="shared" si="125"/>
        <v>21.47378918321283</v>
      </c>
      <c r="D229" s="2212">
        <v>106</v>
      </c>
      <c r="E229" s="2219"/>
      <c r="F229" s="2213"/>
      <c r="G229" s="2219"/>
      <c r="H229" s="2213"/>
      <c r="I229" s="2213"/>
      <c r="J229" s="2213"/>
      <c r="K229" s="2213"/>
      <c r="L229" s="2213"/>
      <c r="M229" s="2217">
        <f t="shared" ref="M229:M292" si="136">(O229*(N$7-N$9))-N$8</f>
        <v>14.898022803519652</v>
      </c>
      <c r="N229" s="2217">
        <f t="shared" si="118"/>
        <v>7399.4655316646813</v>
      </c>
      <c r="O229" s="2217">
        <f t="shared" si="126"/>
        <v>21.47378918321283</v>
      </c>
      <c r="P229" s="2212">
        <v>106</v>
      </c>
      <c r="Q229" s="2219"/>
      <c r="R229" s="2213"/>
      <c r="S229" s="2219"/>
      <c r="T229" s="2213"/>
      <c r="U229" s="2213"/>
      <c r="V229" s="2213"/>
      <c r="W229" s="2213"/>
      <c r="X229" s="2213"/>
      <c r="Y229" s="2217">
        <f t="shared" ref="Y229:Y292" si="137">(AA229*(Z$7-Z$9))-Z$8</f>
        <v>16.830663830008806</v>
      </c>
      <c r="Z229" s="2217">
        <f t="shared" si="127"/>
        <v>7399.4655316646813</v>
      </c>
      <c r="AA229" s="2217">
        <f t="shared" si="128"/>
        <v>21.47378918321283</v>
      </c>
      <c r="AB229" s="2212">
        <v>106</v>
      </c>
      <c r="AC229" s="2219"/>
      <c r="AD229" s="2213"/>
      <c r="AE229" s="2219"/>
      <c r="AF229" s="2213"/>
      <c r="AG229" s="2213"/>
      <c r="AH229" s="2213"/>
      <c r="AI229" s="2213"/>
      <c r="AJ229" s="2213"/>
      <c r="AK229" s="2217">
        <f t="shared" ref="AK229:AK292" si="138">(AM229*(AL$7-AL$9))-AL$8</f>
        <v>7.5969344812272865</v>
      </c>
      <c r="AL229" s="2217">
        <f t="shared" si="119"/>
        <v>7399.4655316646813</v>
      </c>
      <c r="AM229" s="2217">
        <f t="shared" si="129"/>
        <v>21.47378918321283</v>
      </c>
      <c r="AN229" s="2212">
        <v>106</v>
      </c>
      <c r="AO229" s="2219"/>
      <c r="AP229" s="2213"/>
      <c r="AQ229" s="2219"/>
      <c r="AR229" s="2213"/>
      <c r="AS229" s="2213"/>
      <c r="AT229" s="2213"/>
      <c r="AU229" s="2213"/>
      <c r="AV229" s="2213"/>
      <c r="AW229" s="2217">
        <f t="shared" ref="AW229:AW292" si="139">AY229*(AX$7-AX$9)-AX$8</f>
        <v>2.9103082207082842</v>
      </c>
      <c r="AX229" s="2217">
        <f t="shared" si="130"/>
        <v>6121.9074487014741</v>
      </c>
      <c r="AY229" s="2217">
        <f t="shared" si="120"/>
        <v>13.405951151611589</v>
      </c>
      <c r="AZ229" s="2212">
        <v>106</v>
      </c>
      <c r="BA229" s="2208"/>
      <c r="BB229" s="263"/>
      <c r="BC229" s="2208"/>
      <c r="BD229" s="263"/>
      <c r="BE229" s="263"/>
      <c r="BF229" s="263"/>
      <c r="BG229" s="263"/>
      <c r="BH229" s="2208"/>
      <c r="BI229" s="2217">
        <f t="shared" ref="BI229:BI292" si="140">BK229*(BJ$7-BJ$9)-BJ$8</f>
        <v>7.0661530777078774</v>
      </c>
      <c r="BJ229" s="2217">
        <f t="shared" si="131"/>
        <v>6121.9074487014741</v>
      </c>
      <c r="BK229" s="2217">
        <f t="shared" si="121"/>
        <v>13.405951151611589</v>
      </c>
      <c r="BL229" s="2212">
        <v>106</v>
      </c>
      <c r="BM229" s="2208"/>
      <c r="BN229" s="263"/>
      <c r="BO229" s="2208"/>
      <c r="BP229" s="263"/>
      <c r="BQ229" s="263"/>
      <c r="BR229" s="263"/>
      <c r="BS229" s="263"/>
      <c r="BT229" s="2208"/>
      <c r="BU229" s="2217">
        <f t="shared" ref="BU229:BU292" si="141">(BW229*(BV$7-BV$9))-BV$8</f>
        <v>7.5969344812272865</v>
      </c>
      <c r="BV229" s="2217">
        <f t="shared" si="122"/>
        <v>7399.4655316646813</v>
      </c>
      <c r="BW229" s="2217">
        <f t="shared" si="132"/>
        <v>21.47378918321283</v>
      </c>
      <c r="BX229" s="2212">
        <v>106</v>
      </c>
      <c r="BY229" s="2219"/>
      <c r="BZ229" s="2213"/>
      <c r="CA229" s="2219"/>
      <c r="CB229" s="2213"/>
      <c r="CC229" s="2213"/>
      <c r="CD229" s="2213"/>
      <c r="CE229" s="2213"/>
      <c r="CF229" s="2208"/>
      <c r="CG229" s="2217">
        <f t="shared" ref="CG229:CG292" si="142">(CI229*(CH$7-CH$9))-CH$8</f>
        <v>10.173789183212829</v>
      </c>
      <c r="CH229" s="2217">
        <f t="shared" si="123"/>
        <v>7399.4655316646813</v>
      </c>
      <c r="CI229" s="2217">
        <f t="shared" si="133"/>
        <v>21.47378918321283</v>
      </c>
      <c r="CJ229" s="2212">
        <v>106</v>
      </c>
      <c r="CK229" s="2219"/>
      <c r="CL229" s="2213"/>
      <c r="CM229" s="2219"/>
      <c r="CN229" s="2213"/>
      <c r="CO229" s="2213"/>
      <c r="CP229" s="2213"/>
      <c r="CQ229" s="2213"/>
      <c r="CR229" s="2208"/>
      <c r="CS229" s="2217">
        <f t="shared" ref="CS229:CS292" si="143">CU229*(CT$7-CT$9)-CT$8</f>
        <v>6.7980340546756466</v>
      </c>
      <c r="CT229" s="2217">
        <f t="shared" si="134"/>
        <v>6121.9074487014741</v>
      </c>
      <c r="CU229" s="2217">
        <f t="shared" si="124"/>
        <v>13.405951151611589</v>
      </c>
      <c r="CV229" s="2212">
        <v>106</v>
      </c>
      <c r="CW229" s="2208"/>
      <c r="CX229" s="263"/>
      <c r="CY229" s="2208"/>
      <c r="CZ229" s="263"/>
      <c r="DA229" s="263"/>
      <c r="DB229" s="263"/>
      <c r="DC229" s="263"/>
      <c r="DD229" s="2208"/>
    </row>
    <row r="230" spans="1:108">
      <c r="A230" s="2217">
        <f t="shared" si="135"/>
        <v>13.642807996025883</v>
      </c>
      <c r="B230" s="2217">
        <f t="shared" si="117"/>
        <v>7377.9917424814685</v>
      </c>
      <c r="C230" s="2217">
        <f t="shared" si="125"/>
        <v>21.689398257413814</v>
      </c>
      <c r="D230" s="2212">
        <v>105</v>
      </c>
      <c r="E230" s="2219"/>
      <c r="F230" s="2213"/>
      <c r="G230" s="2219"/>
      <c r="H230" s="2213"/>
      <c r="I230" s="2213"/>
      <c r="J230" s="2213"/>
      <c r="K230" s="2213"/>
      <c r="L230" s="2213"/>
      <c r="M230" s="2217">
        <f t="shared" si="136"/>
        <v>15.161065874044851</v>
      </c>
      <c r="N230" s="2217">
        <f t="shared" si="118"/>
        <v>7377.9917424814685</v>
      </c>
      <c r="O230" s="2217">
        <f t="shared" si="126"/>
        <v>21.689398257413814</v>
      </c>
      <c r="P230" s="2212">
        <v>105</v>
      </c>
      <c r="Q230" s="2219"/>
      <c r="R230" s="2213"/>
      <c r="S230" s="2219"/>
      <c r="T230" s="2213"/>
      <c r="U230" s="2213"/>
      <c r="V230" s="2213"/>
      <c r="W230" s="2213"/>
      <c r="X230" s="2213"/>
      <c r="Y230" s="2217">
        <f t="shared" si="137"/>
        <v>17.113111717212096</v>
      </c>
      <c r="Z230" s="2217">
        <f t="shared" si="127"/>
        <v>7377.9917424814685</v>
      </c>
      <c r="AA230" s="2217">
        <f t="shared" si="128"/>
        <v>21.689398257413814</v>
      </c>
      <c r="AB230" s="2212">
        <v>105</v>
      </c>
      <c r="AC230" s="2219"/>
      <c r="AD230" s="2213"/>
      <c r="AE230" s="2219"/>
      <c r="AF230" s="2213"/>
      <c r="AG230" s="2213"/>
      <c r="AH230" s="2213"/>
      <c r="AI230" s="2213"/>
      <c r="AJ230" s="2213"/>
      <c r="AK230" s="2217">
        <f t="shared" si="138"/>
        <v>7.7866704665241535</v>
      </c>
      <c r="AL230" s="2217">
        <f t="shared" si="119"/>
        <v>7377.9917424814685</v>
      </c>
      <c r="AM230" s="2217">
        <f t="shared" si="129"/>
        <v>21.689398257413814</v>
      </c>
      <c r="AN230" s="2212">
        <v>105</v>
      </c>
      <c r="AO230" s="2219"/>
      <c r="AP230" s="2213"/>
      <c r="AQ230" s="2219"/>
      <c r="AR230" s="2213"/>
      <c r="AS230" s="2213"/>
      <c r="AT230" s="2213"/>
      <c r="AU230" s="2213"/>
      <c r="AV230" s="2213"/>
      <c r="AW230" s="2217">
        <f t="shared" si="139"/>
        <v>3.245064820115676</v>
      </c>
      <c r="AX230" s="2217">
        <f t="shared" si="130"/>
        <v>6108.5014975498625</v>
      </c>
      <c r="AY230" s="2217">
        <f t="shared" si="120"/>
        <v>13.721759264260072</v>
      </c>
      <c r="AZ230" s="2212">
        <v>105</v>
      </c>
      <c r="BA230" s="2208"/>
      <c r="BB230" s="263"/>
      <c r="BC230" s="2208"/>
      <c r="BD230" s="263"/>
      <c r="BE230" s="263"/>
      <c r="BF230" s="263"/>
      <c r="BG230" s="263"/>
      <c r="BH230" s="2208"/>
      <c r="BI230" s="2217">
        <f t="shared" si="140"/>
        <v>7.4988101920362986</v>
      </c>
      <c r="BJ230" s="2217">
        <f t="shared" si="131"/>
        <v>6108.5014975498625</v>
      </c>
      <c r="BK230" s="2217">
        <f t="shared" si="121"/>
        <v>13.721759264260072</v>
      </c>
      <c r="BL230" s="2212">
        <v>105</v>
      </c>
      <c r="BM230" s="2208"/>
      <c r="BN230" s="263"/>
      <c r="BO230" s="2208"/>
      <c r="BP230" s="263"/>
      <c r="BQ230" s="263"/>
      <c r="BR230" s="263"/>
      <c r="BS230" s="263"/>
      <c r="BT230" s="2208"/>
      <c r="BU230" s="2217">
        <f t="shared" si="141"/>
        <v>7.7866704665241535</v>
      </c>
      <c r="BV230" s="2217">
        <f t="shared" si="122"/>
        <v>7377.9917424814685</v>
      </c>
      <c r="BW230" s="2217">
        <f t="shared" si="132"/>
        <v>21.689398257413814</v>
      </c>
      <c r="BX230" s="2212">
        <v>105</v>
      </c>
      <c r="BY230" s="2219"/>
      <c r="BZ230" s="2213"/>
      <c r="CA230" s="2219"/>
      <c r="CB230" s="2213"/>
      <c r="CC230" s="2213"/>
      <c r="CD230" s="2213"/>
      <c r="CE230" s="2213"/>
      <c r="CF230" s="2208"/>
      <c r="CG230" s="2217">
        <f t="shared" si="142"/>
        <v>10.389398257413813</v>
      </c>
      <c r="CH230" s="2217">
        <f t="shared" si="123"/>
        <v>7377.9917424814685</v>
      </c>
      <c r="CI230" s="2217">
        <f t="shared" si="133"/>
        <v>21.689398257413814</v>
      </c>
      <c r="CJ230" s="2212">
        <v>105</v>
      </c>
      <c r="CK230" s="2219"/>
      <c r="CL230" s="2213"/>
      <c r="CM230" s="2219"/>
      <c r="CN230" s="2213"/>
      <c r="CO230" s="2213"/>
      <c r="CP230" s="2213"/>
      <c r="CQ230" s="2213"/>
      <c r="CR230" s="2208"/>
      <c r="CS230" s="2217">
        <f t="shared" si="143"/>
        <v>7.2243750067510994</v>
      </c>
      <c r="CT230" s="2217">
        <f t="shared" si="134"/>
        <v>6108.5014975498625</v>
      </c>
      <c r="CU230" s="2217">
        <f t="shared" si="124"/>
        <v>13.721759264260072</v>
      </c>
      <c r="CV230" s="2212">
        <v>105</v>
      </c>
      <c r="CW230" s="2208"/>
      <c r="CX230" s="263"/>
      <c r="CY230" s="2208"/>
      <c r="CZ230" s="263"/>
      <c r="DA230" s="263"/>
      <c r="DB230" s="263"/>
      <c r="DC230" s="263"/>
      <c r="DD230" s="2208"/>
    </row>
    <row r="231" spans="1:108">
      <c r="A231" s="2217">
        <f t="shared" si="135"/>
        <v>13.891727338864801</v>
      </c>
      <c r="B231" s="2217">
        <f t="shared" si="117"/>
        <v>7356.3023442240547</v>
      </c>
      <c r="C231" s="2217">
        <f t="shared" si="125"/>
        <v>21.905849859882437</v>
      </c>
      <c r="D231" s="2212">
        <v>104</v>
      </c>
      <c r="E231" s="2219"/>
      <c r="F231" s="2213"/>
      <c r="G231" s="2219"/>
      <c r="H231" s="2213"/>
      <c r="I231" s="2213"/>
      <c r="J231" s="2213"/>
      <c r="K231" s="2213"/>
      <c r="L231" s="2213"/>
      <c r="M231" s="2217">
        <f t="shared" si="136"/>
        <v>15.425136829056573</v>
      </c>
      <c r="N231" s="2217">
        <f t="shared" si="118"/>
        <v>7356.3023442240547</v>
      </c>
      <c r="O231" s="2217">
        <f t="shared" si="126"/>
        <v>21.905849859882437</v>
      </c>
      <c r="P231" s="2212">
        <v>104</v>
      </c>
      <c r="Q231" s="2219"/>
      <c r="R231" s="2213"/>
      <c r="S231" s="2219"/>
      <c r="T231" s="2213"/>
      <c r="U231" s="2213"/>
      <c r="V231" s="2213"/>
      <c r="W231" s="2213"/>
      <c r="X231" s="2213"/>
      <c r="Y231" s="2217">
        <f t="shared" si="137"/>
        <v>17.396663316445991</v>
      </c>
      <c r="Z231" s="2217">
        <f t="shared" si="127"/>
        <v>7356.3023442240547</v>
      </c>
      <c r="AA231" s="2217">
        <f t="shared" si="128"/>
        <v>21.905849859882437</v>
      </c>
      <c r="AB231" s="2212">
        <v>104</v>
      </c>
      <c r="AC231" s="2219"/>
      <c r="AD231" s="2213"/>
      <c r="AE231" s="2219"/>
      <c r="AF231" s="2213"/>
      <c r="AG231" s="2213"/>
      <c r="AH231" s="2213"/>
      <c r="AI231" s="2213"/>
      <c r="AJ231" s="2213"/>
      <c r="AK231" s="2217">
        <f t="shared" si="138"/>
        <v>7.9771478766965416</v>
      </c>
      <c r="AL231" s="2217">
        <f t="shared" si="119"/>
        <v>7356.3023442240547</v>
      </c>
      <c r="AM231" s="2217">
        <f t="shared" si="129"/>
        <v>21.905849859882437</v>
      </c>
      <c r="AN231" s="2212">
        <v>104</v>
      </c>
      <c r="AO231" s="2219"/>
      <c r="AP231" s="2213"/>
      <c r="AQ231" s="2219"/>
      <c r="AR231" s="2213"/>
      <c r="AS231" s="2213"/>
      <c r="AT231" s="2213"/>
      <c r="AU231" s="2213"/>
      <c r="AV231" s="2213"/>
      <c r="AW231" s="2217">
        <f t="shared" si="139"/>
        <v>3.5796561395557731</v>
      </c>
      <c r="AX231" s="2217">
        <f t="shared" si="130"/>
        <v>6094.7797382856024</v>
      </c>
      <c r="AY231" s="2217">
        <f t="shared" si="120"/>
        <v>14.037411452411106</v>
      </c>
      <c r="AZ231" s="2212">
        <v>104</v>
      </c>
      <c r="BA231" s="2208"/>
      <c r="BB231" s="263"/>
      <c r="BC231" s="2208"/>
      <c r="BD231" s="263"/>
      <c r="BE231" s="263"/>
      <c r="BF231" s="263"/>
      <c r="BG231" s="263"/>
      <c r="BH231" s="2208"/>
      <c r="BI231" s="2217">
        <f t="shared" si="140"/>
        <v>7.9312536898032171</v>
      </c>
      <c r="BJ231" s="2217">
        <f t="shared" si="131"/>
        <v>6094.7797382856024</v>
      </c>
      <c r="BK231" s="2217">
        <f t="shared" si="121"/>
        <v>14.037411452411106</v>
      </c>
      <c r="BL231" s="2212">
        <v>104</v>
      </c>
      <c r="BM231" s="2208"/>
      <c r="BN231" s="263"/>
      <c r="BO231" s="2208"/>
      <c r="BP231" s="263"/>
      <c r="BQ231" s="263"/>
      <c r="BR231" s="263"/>
      <c r="BS231" s="263"/>
      <c r="BT231" s="2208"/>
      <c r="BU231" s="2217">
        <f t="shared" si="141"/>
        <v>7.9771478766965416</v>
      </c>
      <c r="BV231" s="2217">
        <f t="shared" si="122"/>
        <v>7356.3023442240547</v>
      </c>
      <c r="BW231" s="2217">
        <f t="shared" si="132"/>
        <v>21.905849859882437</v>
      </c>
      <c r="BX231" s="2212">
        <v>104</v>
      </c>
      <c r="BY231" s="2219"/>
      <c r="BZ231" s="2213"/>
      <c r="CA231" s="2219"/>
      <c r="CB231" s="2213"/>
      <c r="CC231" s="2213"/>
      <c r="CD231" s="2213"/>
      <c r="CE231" s="2213"/>
      <c r="CF231" s="2208"/>
      <c r="CG231" s="2217">
        <f t="shared" si="142"/>
        <v>10.605849859882436</v>
      </c>
      <c r="CH231" s="2217">
        <f t="shared" si="123"/>
        <v>7356.3023442240547</v>
      </c>
      <c r="CI231" s="2217">
        <f t="shared" si="133"/>
        <v>21.905849859882437</v>
      </c>
      <c r="CJ231" s="2212">
        <v>104</v>
      </c>
      <c r="CK231" s="2219"/>
      <c r="CL231" s="2213"/>
      <c r="CM231" s="2219"/>
      <c r="CN231" s="2213"/>
      <c r="CO231" s="2213"/>
      <c r="CP231" s="2213"/>
      <c r="CQ231" s="2213"/>
      <c r="CR231" s="2208"/>
      <c r="CS231" s="2217">
        <f t="shared" si="143"/>
        <v>7.6505054607549958</v>
      </c>
      <c r="CT231" s="2217">
        <f t="shared" si="134"/>
        <v>6094.7797382856024</v>
      </c>
      <c r="CU231" s="2217">
        <f t="shared" si="124"/>
        <v>14.037411452411106</v>
      </c>
      <c r="CV231" s="2212">
        <v>104</v>
      </c>
      <c r="CW231" s="2208"/>
      <c r="CX231" s="263"/>
      <c r="CY231" s="2208"/>
      <c r="CZ231" s="263"/>
      <c r="DA231" s="263"/>
      <c r="DB231" s="263"/>
      <c r="DC231" s="263"/>
      <c r="DD231" s="2208"/>
    </row>
    <row r="232" spans="1:108">
      <c r="A232" s="2217">
        <f t="shared" si="135"/>
        <v>14.141615589213593</v>
      </c>
      <c r="B232" s="2217">
        <f t="shared" si="117"/>
        <v>7334.3964943641722</v>
      </c>
      <c r="C232" s="2217">
        <f t="shared" si="125"/>
        <v>22.12314399062052</v>
      </c>
      <c r="D232" s="2212">
        <v>103</v>
      </c>
      <c r="E232" s="2219"/>
      <c r="F232" s="2213"/>
      <c r="G232" s="2219"/>
      <c r="H232" s="2213"/>
      <c r="I232" s="2213"/>
      <c r="J232" s="2213"/>
      <c r="K232" s="2213"/>
      <c r="L232" s="2213"/>
      <c r="M232" s="2217">
        <f t="shared" si="136"/>
        <v>15.690235668557033</v>
      </c>
      <c r="N232" s="2217">
        <f t="shared" si="118"/>
        <v>7334.3964943641722</v>
      </c>
      <c r="O232" s="2217">
        <f t="shared" si="126"/>
        <v>22.12314399062052</v>
      </c>
      <c r="P232" s="2212">
        <v>103</v>
      </c>
      <c r="Q232" s="2219"/>
      <c r="R232" s="2213"/>
      <c r="S232" s="2219"/>
      <c r="T232" s="2213"/>
      <c r="U232" s="2213"/>
      <c r="V232" s="2213"/>
      <c r="W232" s="2213"/>
      <c r="X232" s="2213"/>
      <c r="Y232" s="2217">
        <f t="shared" si="137"/>
        <v>17.68131862771288</v>
      </c>
      <c r="Z232" s="2217">
        <f t="shared" si="127"/>
        <v>7334.3964943641722</v>
      </c>
      <c r="AA232" s="2217">
        <f t="shared" si="128"/>
        <v>22.12314399062052</v>
      </c>
      <c r="AB232" s="2212">
        <v>103</v>
      </c>
      <c r="AC232" s="2219"/>
      <c r="AD232" s="2213"/>
      <c r="AE232" s="2219"/>
      <c r="AF232" s="2213"/>
      <c r="AG232" s="2213"/>
      <c r="AH232" s="2213"/>
      <c r="AI232" s="2213"/>
      <c r="AJ232" s="2213"/>
      <c r="AK232" s="2217">
        <f t="shared" si="138"/>
        <v>8.168366711746053</v>
      </c>
      <c r="AL232" s="2217">
        <f t="shared" si="119"/>
        <v>7334.3964943641722</v>
      </c>
      <c r="AM232" s="2217">
        <f t="shared" si="129"/>
        <v>22.12314399062052</v>
      </c>
      <c r="AN232" s="2212">
        <v>103</v>
      </c>
      <c r="AO232" s="2219"/>
      <c r="AP232" s="2213"/>
      <c r="AQ232" s="2219"/>
      <c r="AR232" s="2213"/>
      <c r="AS232" s="2213"/>
      <c r="AT232" s="2213"/>
      <c r="AU232" s="2213"/>
      <c r="AV232" s="2213"/>
      <c r="AW232" s="2217">
        <f t="shared" si="139"/>
        <v>3.9140821790256819</v>
      </c>
      <c r="AX232" s="2217">
        <f t="shared" si="130"/>
        <v>6080.7423268331913</v>
      </c>
      <c r="AY232" s="2217">
        <f t="shared" si="120"/>
        <v>14.352907716061964</v>
      </c>
      <c r="AZ232" s="2212">
        <v>103</v>
      </c>
      <c r="BA232" s="2208"/>
      <c r="BB232" s="263"/>
      <c r="BC232" s="2208"/>
      <c r="BD232" s="263"/>
      <c r="BE232" s="263"/>
      <c r="BF232" s="263"/>
      <c r="BG232" s="263"/>
      <c r="BH232" s="2208"/>
      <c r="BI232" s="2217">
        <f t="shared" si="140"/>
        <v>8.3634835710048918</v>
      </c>
      <c r="BJ232" s="2217">
        <f t="shared" si="131"/>
        <v>6080.7423268331913</v>
      </c>
      <c r="BK232" s="2217">
        <f t="shared" si="121"/>
        <v>14.352907716061964</v>
      </c>
      <c r="BL232" s="2212">
        <v>103</v>
      </c>
      <c r="BM232" s="2208"/>
      <c r="BN232" s="263"/>
      <c r="BO232" s="2208"/>
      <c r="BP232" s="263"/>
      <c r="BQ232" s="263"/>
      <c r="BR232" s="263"/>
      <c r="BS232" s="263"/>
      <c r="BT232" s="2208"/>
      <c r="BU232" s="2217">
        <f t="shared" si="141"/>
        <v>8.168366711746053</v>
      </c>
      <c r="BV232" s="2217">
        <f t="shared" si="122"/>
        <v>7334.3964943641722</v>
      </c>
      <c r="BW232" s="2217">
        <f t="shared" si="132"/>
        <v>22.12314399062052</v>
      </c>
      <c r="BX232" s="2212">
        <v>103</v>
      </c>
      <c r="BY232" s="2219"/>
      <c r="BZ232" s="2213"/>
      <c r="CA232" s="2219"/>
      <c r="CB232" s="2213"/>
      <c r="CC232" s="2213"/>
      <c r="CD232" s="2213"/>
      <c r="CE232" s="2213"/>
      <c r="CF232" s="2208"/>
      <c r="CG232" s="2217">
        <f t="shared" si="142"/>
        <v>10.823143990620519</v>
      </c>
      <c r="CH232" s="2217">
        <f t="shared" si="123"/>
        <v>7334.3964943641722</v>
      </c>
      <c r="CI232" s="2217">
        <f t="shared" si="133"/>
        <v>22.12314399062052</v>
      </c>
      <c r="CJ232" s="2212">
        <v>103</v>
      </c>
      <c r="CK232" s="2219"/>
      <c r="CL232" s="2213"/>
      <c r="CM232" s="2219"/>
      <c r="CN232" s="2213"/>
      <c r="CO232" s="2213"/>
      <c r="CP232" s="2213"/>
      <c r="CQ232" s="2213"/>
      <c r="CR232" s="2208"/>
      <c r="CS232" s="2217">
        <f t="shared" si="143"/>
        <v>8.0764254166836515</v>
      </c>
      <c r="CT232" s="2217">
        <f t="shared" si="134"/>
        <v>6080.7423268331913</v>
      </c>
      <c r="CU232" s="2217">
        <f t="shared" si="124"/>
        <v>14.352907716061964</v>
      </c>
      <c r="CV232" s="2212">
        <v>103</v>
      </c>
      <c r="CW232" s="2208"/>
      <c r="CX232" s="263"/>
      <c r="CY232" s="2208"/>
      <c r="CZ232" s="263"/>
      <c r="DA232" s="263"/>
      <c r="DB232" s="263"/>
      <c r="DC232" s="263"/>
      <c r="DD232" s="2208"/>
    </row>
    <row r="233" spans="1:108">
      <c r="A233" s="2217">
        <f t="shared" si="135"/>
        <v>14.39247274707645</v>
      </c>
      <c r="B233" s="2217">
        <f t="shared" si="117"/>
        <v>7312.2733503735517</v>
      </c>
      <c r="C233" s="2217">
        <f t="shared" si="125"/>
        <v>22.341280649631699</v>
      </c>
      <c r="D233" s="2212">
        <v>102</v>
      </c>
      <c r="E233" s="2219"/>
      <c r="F233" s="2213"/>
      <c r="G233" s="2219"/>
      <c r="H233" s="2213"/>
      <c r="I233" s="2213"/>
      <c r="J233" s="2213"/>
      <c r="K233" s="2213"/>
      <c r="L233" s="2213"/>
      <c r="M233" s="2217">
        <f t="shared" si="136"/>
        <v>15.95636239255067</v>
      </c>
      <c r="N233" s="2217">
        <f t="shared" si="118"/>
        <v>7312.2733503735517</v>
      </c>
      <c r="O233" s="2217">
        <f t="shared" si="126"/>
        <v>22.341280649631699</v>
      </c>
      <c r="P233" s="2212">
        <v>102</v>
      </c>
      <c r="Q233" s="2219"/>
      <c r="R233" s="2213"/>
      <c r="S233" s="2219"/>
      <c r="T233" s="2213"/>
      <c r="U233" s="2213"/>
      <c r="V233" s="2213"/>
      <c r="W233" s="2213"/>
      <c r="X233" s="2213"/>
      <c r="Y233" s="2217">
        <f t="shared" si="137"/>
        <v>17.967077651017526</v>
      </c>
      <c r="Z233" s="2217">
        <f t="shared" si="127"/>
        <v>7312.2733503735517</v>
      </c>
      <c r="AA233" s="2217">
        <f t="shared" si="128"/>
        <v>22.341280649631699</v>
      </c>
      <c r="AB233" s="2212">
        <v>102</v>
      </c>
      <c r="AC233" s="2219"/>
      <c r="AD233" s="2213"/>
      <c r="AE233" s="2219"/>
      <c r="AF233" s="2213"/>
      <c r="AG233" s="2213"/>
      <c r="AH233" s="2213"/>
      <c r="AI233" s="2213"/>
      <c r="AJ233" s="2213"/>
      <c r="AK233" s="2217">
        <f t="shared" si="138"/>
        <v>8.3603269716758923</v>
      </c>
      <c r="AL233" s="2217">
        <f t="shared" si="119"/>
        <v>7312.2733503735517</v>
      </c>
      <c r="AM233" s="2217">
        <f t="shared" si="129"/>
        <v>22.341280649631699</v>
      </c>
      <c r="AN233" s="2212">
        <v>102</v>
      </c>
      <c r="AO233" s="2219"/>
      <c r="AP233" s="2213"/>
      <c r="AQ233" s="2219"/>
      <c r="AR233" s="2213"/>
      <c r="AS233" s="2213"/>
      <c r="AT233" s="2213"/>
      <c r="AU233" s="2213"/>
      <c r="AV233" s="2213"/>
      <c r="AW233" s="2217">
        <f t="shared" si="139"/>
        <v>4.2483429385225104</v>
      </c>
      <c r="AX233" s="2217">
        <f t="shared" si="130"/>
        <v>6066.3894191171294</v>
      </c>
      <c r="AY233" s="2217">
        <f t="shared" si="120"/>
        <v>14.668248055209915</v>
      </c>
      <c r="AZ233" s="2212">
        <v>102</v>
      </c>
      <c r="BA233" s="2208"/>
      <c r="BB233" s="263"/>
      <c r="BC233" s="2208"/>
      <c r="BD233" s="263"/>
      <c r="BE233" s="263"/>
      <c r="BF233" s="263"/>
      <c r="BG233" s="263"/>
      <c r="BH233" s="2208"/>
      <c r="BI233" s="2217">
        <f t="shared" si="140"/>
        <v>8.7954998356375853</v>
      </c>
      <c r="BJ233" s="2217">
        <f t="shared" si="131"/>
        <v>6066.3894191171294</v>
      </c>
      <c r="BK233" s="2217">
        <f t="shared" si="121"/>
        <v>14.668248055209915</v>
      </c>
      <c r="BL233" s="2212">
        <v>102</v>
      </c>
      <c r="BM233" s="2208"/>
      <c r="BN233" s="263"/>
      <c r="BO233" s="2208"/>
      <c r="BP233" s="263"/>
      <c r="BQ233" s="263"/>
      <c r="BR233" s="263"/>
      <c r="BS233" s="263"/>
      <c r="BT233" s="2208"/>
      <c r="BU233" s="2217">
        <f t="shared" si="141"/>
        <v>8.3603269716758923</v>
      </c>
      <c r="BV233" s="2217">
        <f t="shared" si="122"/>
        <v>7312.2733503735517</v>
      </c>
      <c r="BW233" s="2217">
        <f t="shared" si="132"/>
        <v>22.341280649631699</v>
      </c>
      <c r="BX233" s="2212">
        <v>102</v>
      </c>
      <c r="BY233" s="2219"/>
      <c r="BZ233" s="2213"/>
      <c r="CA233" s="2219"/>
      <c r="CB233" s="2213"/>
      <c r="CC233" s="2213"/>
      <c r="CD233" s="2213"/>
      <c r="CE233" s="2213"/>
      <c r="CF233" s="2208"/>
      <c r="CG233" s="2217">
        <f t="shared" si="142"/>
        <v>11.041280649631698</v>
      </c>
      <c r="CH233" s="2217">
        <f t="shared" si="123"/>
        <v>7312.2733503735517</v>
      </c>
      <c r="CI233" s="2217">
        <f t="shared" si="133"/>
        <v>22.341280649631699</v>
      </c>
      <c r="CJ233" s="2212">
        <v>102</v>
      </c>
      <c r="CK233" s="2219"/>
      <c r="CL233" s="2213"/>
      <c r="CM233" s="2219"/>
      <c r="CN233" s="2213"/>
      <c r="CO233" s="2213"/>
      <c r="CP233" s="2213"/>
      <c r="CQ233" s="2213"/>
      <c r="CR233" s="2208"/>
      <c r="CS233" s="2217">
        <f t="shared" si="143"/>
        <v>8.502134874533386</v>
      </c>
      <c r="CT233" s="2217">
        <f t="shared" si="134"/>
        <v>6066.3894191171294</v>
      </c>
      <c r="CU233" s="2217">
        <f t="shared" si="124"/>
        <v>14.668248055209915</v>
      </c>
      <c r="CV233" s="2212">
        <v>102</v>
      </c>
      <c r="CW233" s="2208"/>
      <c r="CX233" s="263"/>
      <c r="CY233" s="2208"/>
      <c r="CZ233" s="263"/>
      <c r="DA233" s="263"/>
      <c r="DB233" s="263"/>
      <c r="DC233" s="263"/>
      <c r="DD233" s="2208"/>
    </row>
    <row r="234" spans="1:108">
      <c r="A234" s="2217">
        <f t="shared" si="135"/>
        <v>14.644298812441864</v>
      </c>
      <c r="B234" s="2217">
        <f t="shared" si="117"/>
        <v>7289.93206972392</v>
      </c>
      <c r="C234" s="2217">
        <f t="shared" si="125"/>
        <v>22.560259836905971</v>
      </c>
      <c r="D234" s="2212">
        <v>101</v>
      </c>
      <c r="E234" s="2219"/>
      <c r="F234" s="2213"/>
      <c r="G234" s="2219"/>
      <c r="H234" s="2213"/>
      <c r="I234" s="2213"/>
      <c r="J234" s="2213"/>
      <c r="K234" s="2213"/>
      <c r="L234" s="2213"/>
      <c r="M234" s="2217">
        <f t="shared" si="136"/>
        <v>16.223517001025282</v>
      </c>
      <c r="N234" s="2217">
        <f t="shared" si="118"/>
        <v>7289.93206972392</v>
      </c>
      <c r="O234" s="2217">
        <f t="shared" si="126"/>
        <v>22.560259836905971</v>
      </c>
      <c r="P234" s="2212">
        <v>101</v>
      </c>
      <c r="Q234" s="2219"/>
      <c r="R234" s="2213"/>
      <c r="S234" s="2219"/>
      <c r="T234" s="2213"/>
      <c r="U234" s="2213"/>
      <c r="V234" s="2213"/>
      <c r="W234" s="2213"/>
      <c r="X234" s="2213"/>
      <c r="Y234" s="2217">
        <f t="shared" si="137"/>
        <v>18.253940386346823</v>
      </c>
      <c r="Z234" s="2217">
        <f t="shared" si="127"/>
        <v>7289.93206972392</v>
      </c>
      <c r="AA234" s="2217">
        <f t="shared" si="128"/>
        <v>22.560259836905971</v>
      </c>
      <c r="AB234" s="2212">
        <v>101</v>
      </c>
      <c r="AC234" s="2219"/>
      <c r="AD234" s="2213"/>
      <c r="AE234" s="2219"/>
      <c r="AF234" s="2213"/>
      <c r="AG234" s="2213"/>
      <c r="AH234" s="2213"/>
      <c r="AI234" s="2213"/>
      <c r="AJ234" s="2213"/>
      <c r="AK234" s="2217">
        <f t="shared" si="138"/>
        <v>8.5530286564772524</v>
      </c>
      <c r="AL234" s="2217">
        <f t="shared" si="119"/>
        <v>7289.93206972392</v>
      </c>
      <c r="AM234" s="2217">
        <f t="shared" si="129"/>
        <v>22.560259836905971</v>
      </c>
      <c r="AN234" s="2212">
        <v>101</v>
      </c>
      <c r="AO234" s="2219"/>
      <c r="AP234" s="2213"/>
      <c r="AQ234" s="2219"/>
      <c r="AR234" s="2213"/>
      <c r="AS234" s="2213"/>
      <c r="AT234" s="2213"/>
      <c r="AU234" s="2213"/>
      <c r="AV234" s="2213"/>
      <c r="AW234" s="2217">
        <f t="shared" si="139"/>
        <v>4.5824384180539717</v>
      </c>
      <c r="AX234" s="2217">
        <f t="shared" si="130"/>
        <v>6051.7211710619194</v>
      </c>
      <c r="AY234" s="2217">
        <f t="shared" si="120"/>
        <v>14.983432469862237</v>
      </c>
      <c r="AZ234" s="2212">
        <v>101</v>
      </c>
      <c r="BA234" s="2208"/>
      <c r="BB234" s="263"/>
      <c r="BC234" s="2208"/>
      <c r="BD234" s="263"/>
      <c r="BE234" s="263"/>
      <c r="BF234" s="263"/>
      <c r="BG234" s="263"/>
      <c r="BH234" s="2208"/>
      <c r="BI234" s="2217">
        <f t="shared" si="140"/>
        <v>9.2273024837112665</v>
      </c>
      <c r="BJ234" s="2217">
        <f t="shared" si="131"/>
        <v>6051.7211710619194</v>
      </c>
      <c r="BK234" s="2217">
        <f t="shared" si="121"/>
        <v>14.983432469862237</v>
      </c>
      <c r="BL234" s="2212">
        <v>101</v>
      </c>
      <c r="BM234" s="2208"/>
      <c r="BN234" s="263"/>
      <c r="BO234" s="2208"/>
      <c r="BP234" s="263"/>
      <c r="BQ234" s="263"/>
      <c r="BR234" s="263"/>
      <c r="BS234" s="263"/>
      <c r="BT234" s="2208"/>
      <c r="BU234" s="2217">
        <f t="shared" si="141"/>
        <v>8.5530286564772524</v>
      </c>
      <c r="BV234" s="2217">
        <f t="shared" si="122"/>
        <v>7289.93206972392</v>
      </c>
      <c r="BW234" s="2217">
        <f t="shared" si="132"/>
        <v>22.560259836905971</v>
      </c>
      <c r="BX234" s="2212">
        <v>101</v>
      </c>
      <c r="BY234" s="2219"/>
      <c r="BZ234" s="2213"/>
      <c r="CA234" s="2219"/>
      <c r="CB234" s="2213"/>
      <c r="CC234" s="2213"/>
      <c r="CD234" s="2213"/>
      <c r="CE234" s="2213"/>
      <c r="CF234" s="2208"/>
      <c r="CG234" s="2217">
        <f t="shared" si="142"/>
        <v>11.26025983690597</v>
      </c>
      <c r="CH234" s="2217">
        <f t="shared" si="123"/>
        <v>7289.93206972392</v>
      </c>
      <c r="CI234" s="2217">
        <f t="shared" si="133"/>
        <v>22.560259836905971</v>
      </c>
      <c r="CJ234" s="2212">
        <v>101</v>
      </c>
      <c r="CK234" s="2219"/>
      <c r="CL234" s="2213"/>
      <c r="CM234" s="2219"/>
      <c r="CN234" s="2213"/>
      <c r="CO234" s="2213"/>
      <c r="CP234" s="2213"/>
      <c r="CQ234" s="2213"/>
      <c r="CR234" s="2208"/>
      <c r="CS234" s="2217">
        <f t="shared" si="143"/>
        <v>8.9276338343140189</v>
      </c>
      <c r="CT234" s="2217">
        <f t="shared" si="134"/>
        <v>6051.7211710619194</v>
      </c>
      <c r="CU234" s="2217">
        <f t="shared" si="124"/>
        <v>14.983432469862237</v>
      </c>
      <c r="CV234" s="2212">
        <v>101</v>
      </c>
      <c r="CW234" s="2208"/>
      <c r="CX234" s="263"/>
      <c r="CY234" s="2208"/>
      <c r="CZ234" s="263"/>
      <c r="DA234" s="263"/>
      <c r="DB234" s="263"/>
      <c r="DC234" s="263"/>
      <c r="DD234" s="2208"/>
    </row>
    <row r="235" spans="1:108">
      <c r="A235" s="2217">
        <f t="shared" si="135"/>
        <v>14.897093785324476</v>
      </c>
      <c r="B235" s="2217">
        <f t="shared" si="117"/>
        <v>7267.371809887014</v>
      </c>
      <c r="C235" s="2217">
        <f t="shared" si="125"/>
        <v>22.780081552456068</v>
      </c>
      <c r="D235" s="2212">
        <v>100</v>
      </c>
      <c r="E235" s="2219"/>
      <c r="F235" s="2213"/>
      <c r="G235" s="2219"/>
      <c r="H235" s="2213"/>
      <c r="I235" s="2213"/>
      <c r="J235" s="2213"/>
      <c r="K235" s="2213"/>
      <c r="L235" s="2213"/>
      <c r="M235" s="2217">
        <f t="shared" si="136"/>
        <v>16.4916994939964</v>
      </c>
      <c r="N235" s="2217">
        <f t="shared" si="118"/>
        <v>7267.371809887014</v>
      </c>
      <c r="O235" s="2217">
        <f t="shared" si="126"/>
        <v>22.780081552456068</v>
      </c>
      <c r="P235" s="2212">
        <v>100</v>
      </c>
      <c r="Q235" s="2219"/>
      <c r="R235" s="2213"/>
      <c r="S235" s="2219"/>
      <c r="T235" s="2213"/>
      <c r="U235" s="2213"/>
      <c r="V235" s="2213"/>
      <c r="W235" s="2213"/>
      <c r="X235" s="2213"/>
      <c r="Y235" s="2217">
        <f t="shared" si="137"/>
        <v>18.541906833717448</v>
      </c>
      <c r="Z235" s="2217">
        <f t="shared" si="127"/>
        <v>7267.371809887014</v>
      </c>
      <c r="AA235" s="2217">
        <f t="shared" si="128"/>
        <v>22.780081552456068</v>
      </c>
      <c r="AB235" s="2212">
        <v>100</v>
      </c>
      <c r="AC235" s="2219"/>
      <c r="AD235" s="2213"/>
      <c r="AE235" s="2219"/>
      <c r="AF235" s="2213"/>
      <c r="AG235" s="2213"/>
      <c r="AH235" s="2213"/>
      <c r="AI235" s="2213"/>
      <c r="AJ235" s="2213"/>
      <c r="AK235" s="2217">
        <f t="shared" si="138"/>
        <v>8.7464717661613349</v>
      </c>
      <c r="AL235" s="2217">
        <f t="shared" si="119"/>
        <v>7267.371809887014</v>
      </c>
      <c r="AM235" s="2217">
        <f t="shared" si="129"/>
        <v>22.780081552456068</v>
      </c>
      <c r="AN235" s="2212">
        <v>100</v>
      </c>
      <c r="AO235" s="2219"/>
      <c r="AP235" s="2213"/>
      <c r="AQ235" s="2219"/>
      <c r="AR235" s="2213"/>
      <c r="AS235" s="2213"/>
      <c r="AT235" s="2213"/>
      <c r="AU235" s="2213"/>
      <c r="AV235" s="2213"/>
      <c r="AW235" s="2217">
        <f t="shared" si="139"/>
        <v>4.9163686176075316</v>
      </c>
      <c r="AX235" s="2217">
        <f t="shared" si="130"/>
        <v>6036.7377385920572</v>
      </c>
      <c r="AY235" s="2217">
        <f t="shared" si="120"/>
        <v>15.298460960007105</v>
      </c>
      <c r="AZ235" s="2212">
        <v>100</v>
      </c>
      <c r="BA235" s="2208"/>
      <c r="BB235" s="263"/>
      <c r="BC235" s="2208"/>
      <c r="BD235" s="263"/>
      <c r="BE235" s="263"/>
      <c r="BF235" s="263"/>
      <c r="BG235" s="263"/>
      <c r="BH235" s="2208"/>
      <c r="BI235" s="2217">
        <f t="shared" si="140"/>
        <v>9.658891515209735</v>
      </c>
      <c r="BJ235" s="2217">
        <f t="shared" si="131"/>
        <v>6036.7377385920572</v>
      </c>
      <c r="BK235" s="2217">
        <f t="shared" si="121"/>
        <v>15.298460960007105</v>
      </c>
      <c r="BL235" s="2212">
        <v>100</v>
      </c>
      <c r="BM235" s="2208"/>
      <c r="BN235" s="263"/>
      <c r="BO235" s="2208"/>
      <c r="BP235" s="263"/>
      <c r="BQ235" s="263"/>
      <c r="BR235" s="263"/>
      <c r="BS235" s="263"/>
      <c r="BT235" s="2208"/>
      <c r="BU235" s="2217">
        <f t="shared" si="141"/>
        <v>8.7464717661613349</v>
      </c>
      <c r="BV235" s="2217">
        <f t="shared" si="122"/>
        <v>7267.371809887014</v>
      </c>
      <c r="BW235" s="2217">
        <f t="shared" si="132"/>
        <v>22.780081552456068</v>
      </c>
      <c r="BX235" s="2212">
        <v>100</v>
      </c>
      <c r="BY235" s="2219"/>
      <c r="BZ235" s="2213"/>
      <c r="CA235" s="2219"/>
      <c r="CB235" s="2213"/>
      <c r="CC235" s="2213"/>
      <c r="CD235" s="2213"/>
      <c r="CE235" s="2213"/>
      <c r="CF235" s="2208"/>
      <c r="CG235" s="2217">
        <f t="shared" si="142"/>
        <v>11.480081552456067</v>
      </c>
      <c r="CH235" s="2217">
        <f t="shared" si="123"/>
        <v>7267.371809887014</v>
      </c>
      <c r="CI235" s="2217">
        <f t="shared" si="133"/>
        <v>22.780081552456068</v>
      </c>
      <c r="CJ235" s="2212">
        <v>100</v>
      </c>
      <c r="CK235" s="2219"/>
      <c r="CL235" s="2213"/>
      <c r="CM235" s="2219"/>
      <c r="CN235" s="2213"/>
      <c r="CO235" s="2213"/>
      <c r="CP235" s="2213"/>
      <c r="CQ235" s="2213"/>
      <c r="CR235" s="2208"/>
      <c r="CS235" s="2217">
        <f t="shared" si="143"/>
        <v>9.3529222960095915</v>
      </c>
      <c r="CT235" s="2217">
        <f t="shared" si="134"/>
        <v>6036.7377385920572</v>
      </c>
      <c r="CU235" s="2217">
        <f t="shared" si="124"/>
        <v>15.298460960007105</v>
      </c>
      <c r="CV235" s="2212">
        <v>100</v>
      </c>
      <c r="CW235" s="2208"/>
      <c r="CX235" s="263"/>
      <c r="CY235" s="2208"/>
      <c r="CZ235" s="263"/>
      <c r="DA235" s="263"/>
      <c r="DB235" s="263"/>
      <c r="DC235" s="263"/>
      <c r="DD235" s="2208"/>
    </row>
    <row r="236" spans="1:108">
      <c r="A236" s="2217">
        <f t="shared" si="135"/>
        <v>15.150857665712781</v>
      </c>
      <c r="B236" s="2217">
        <f t="shared" si="117"/>
        <v>7244.591728334558</v>
      </c>
      <c r="C236" s="2217">
        <f t="shared" si="125"/>
        <v>23.000745796271985</v>
      </c>
      <c r="D236" s="2212">
        <v>99</v>
      </c>
      <c r="E236" s="2219"/>
      <c r="F236" s="2213"/>
      <c r="G236" s="2219"/>
      <c r="H236" s="2213"/>
      <c r="I236" s="2213"/>
      <c r="J236" s="2213"/>
      <c r="K236" s="2213"/>
      <c r="L236" s="2213"/>
      <c r="M236" s="2217">
        <f t="shared" si="136"/>
        <v>16.760909871451823</v>
      </c>
      <c r="N236" s="2217">
        <f t="shared" si="118"/>
        <v>7244.591728334558</v>
      </c>
      <c r="O236" s="2217">
        <f t="shared" si="126"/>
        <v>23.000745796271985</v>
      </c>
      <c r="P236" s="2212">
        <v>99</v>
      </c>
      <c r="Q236" s="2219"/>
      <c r="R236" s="2213"/>
      <c r="S236" s="2219"/>
      <c r="T236" s="2213"/>
      <c r="U236" s="2213"/>
      <c r="V236" s="2213"/>
      <c r="W236" s="2213"/>
      <c r="X236" s="2213"/>
      <c r="Y236" s="2217">
        <f t="shared" si="137"/>
        <v>18.830976993116302</v>
      </c>
      <c r="Z236" s="2217">
        <f t="shared" si="127"/>
        <v>7244.591728334558</v>
      </c>
      <c r="AA236" s="2217">
        <f t="shared" si="128"/>
        <v>23.000745796271985</v>
      </c>
      <c r="AB236" s="2212">
        <v>99</v>
      </c>
      <c r="AC236" s="2219"/>
      <c r="AD236" s="2213"/>
      <c r="AE236" s="2219"/>
      <c r="AF236" s="2213"/>
      <c r="AG236" s="2213"/>
      <c r="AH236" s="2213"/>
      <c r="AI236" s="2213"/>
      <c r="AJ236" s="2213"/>
      <c r="AK236" s="2217">
        <f t="shared" si="138"/>
        <v>8.9406563007193434</v>
      </c>
      <c r="AL236" s="2217">
        <f t="shared" si="119"/>
        <v>7244.591728334558</v>
      </c>
      <c r="AM236" s="2217">
        <f t="shared" si="129"/>
        <v>23.000745796271985</v>
      </c>
      <c r="AN236" s="2212">
        <v>99</v>
      </c>
      <c r="AO236" s="2219"/>
      <c r="AP236" s="2213"/>
      <c r="AQ236" s="2219"/>
      <c r="AR236" s="2213"/>
      <c r="AS236" s="2213"/>
      <c r="AT236" s="2213"/>
      <c r="AU236" s="2213"/>
      <c r="AV236" s="2213"/>
      <c r="AW236" s="2217">
        <f t="shared" si="139"/>
        <v>5.2501335371976516</v>
      </c>
      <c r="AX236" s="2217">
        <f t="shared" si="130"/>
        <v>6021.4392776320501</v>
      </c>
      <c r="AY236" s="2217">
        <f t="shared" si="120"/>
        <v>15.613333525658163</v>
      </c>
      <c r="AZ236" s="2212">
        <v>99</v>
      </c>
      <c r="BA236" s="2208"/>
      <c r="BB236" s="263"/>
      <c r="BC236" s="2208"/>
      <c r="BD236" s="263"/>
      <c r="BE236" s="263"/>
      <c r="BF236" s="263"/>
      <c r="BG236" s="263"/>
      <c r="BH236" s="2208"/>
      <c r="BI236" s="2217">
        <f t="shared" si="140"/>
        <v>10.090266930151685</v>
      </c>
      <c r="BJ236" s="2217">
        <f t="shared" si="131"/>
        <v>6021.4392776320501</v>
      </c>
      <c r="BK236" s="2217">
        <f t="shared" si="121"/>
        <v>15.613333525658163</v>
      </c>
      <c r="BL236" s="2212">
        <v>99</v>
      </c>
      <c r="BM236" s="2208"/>
      <c r="BN236" s="263"/>
      <c r="BO236" s="2208"/>
      <c r="BP236" s="263"/>
      <c r="BQ236" s="263"/>
      <c r="BR236" s="263"/>
      <c r="BS236" s="263"/>
      <c r="BT236" s="2208"/>
      <c r="BU236" s="2217">
        <f t="shared" si="141"/>
        <v>8.9406563007193434</v>
      </c>
      <c r="BV236" s="2217">
        <f t="shared" si="122"/>
        <v>7244.591728334558</v>
      </c>
      <c r="BW236" s="2217">
        <f t="shared" si="132"/>
        <v>23.000745796271985</v>
      </c>
      <c r="BX236" s="2212">
        <v>99</v>
      </c>
      <c r="BY236" s="2219"/>
      <c r="BZ236" s="2213"/>
      <c r="CA236" s="2219"/>
      <c r="CB236" s="2213"/>
      <c r="CC236" s="2213"/>
      <c r="CD236" s="2213"/>
      <c r="CE236" s="2213"/>
      <c r="CF236" s="2208"/>
      <c r="CG236" s="2217">
        <f t="shared" si="142"/>
        <v>11.700745796271985</v>
      </c>
      <c r="CH236" s="2217">
        <f t="shared" si="123"/>
        <v>7244.591728334558</v>
      </c>
      <c r="CI236" s="2217">
        <f t="shared" si="133"/>
        <v>23.000745796271985</v>
      </c>
      <c r="CJ236" s="2212">
        <v>99</v>
      </c>
      <c r="CK236" s="2219"/>
      <c r="CL236" s="2213"/>
      <c r="CM236" s="2219"/>
      <c r="CN236" s="2213"/>
      <c r="CO236" s="2213"/>
      <c r="CP236" s="2213"/>
      <c r="CQ236" s="2213"/>
      <c r="CR236" s="2208"/>
      <c r="CS236" s="2217">
        <f t="shared" si="143"/>
        <v>9.7780002596385209</v>
      </c>
      <c r="CT236" s="2217">
        <f t="shared" si="134"/>
        <v>6021.4392776320501</v>
      </c>
      <c r="CU236" s="2217">
        <f t="shared" si="124"/>
        <v>15.613333525658163</v>
      </c>
      <c r="CV236" s="2212">
        <v>99</v>
      </c>
      <c r="CW236" s="2208"/>
      <c r="CX236" s="263"/>
      <c r="CY236" s="2208"/>
      <c r="CZ236" s="263"/>
      <c r="DA236" s="263"/>
      <c r="DB236" s="263"/>
      <c r="DC236" s="263"/>
      <c r="DD236" s="2208"/>
    </row>
    <row r="237" spans="1:108">
      <c r="A237" s="2217">
        <f t="shared" si="135"/>
        <v>15.405590453610962</v>
      </c>
      <c r="B237" s="2217">
        <f t="shared" si="117"/>
        <v>7221.590982538286</v>
      </c>
      <c r="C237" s="2217">
        <f t="shared" si="125"/>
        <v>23.222252568357362</v>
      </c>
      <c r="D237" s="2212">
        <v>98</v>
      </c>
      <c r="E237" s="2219"/>
      <c r="F237" s="2213"/>
      <c r="G237" s="2219"/>
      <c r="H237" s="2213"/>
      <c r="I237" s="2213"/>
      <c r="J237" s="2213"/>
      <c r="K237" s="2213"/>
      <c r="L237" s="2213"/>
      <c r="M237" s="2217">
        <f t="shared" si="136"/>
        <v>17.03114813339598</v>
      </c>
      <c r="N237" s="2217">
        <f t="shared" si="118"/>
        <v>7221.590982538286</v>
      </c>
      <c r="O237" s="2217">
        <f t="shared" si="126"/>
        <v>23.222252568357362</v>
      </c>
      <c r="P237" s="2212">
        <v>98</v>
      </c>
      <c r="Q237" s="2219"/>
      <c r="R237" s="2213"/>
      <c r="S237" s="2219"/>
      <c r="T237" s="2213"/>
      <c r="U237" s="2213"/>
      <c r="V237" s="2213"/>
      <c r="W237" s="2213"/>
      <c r="X237" s="2213"/>
      <c r="Y237" s="2217">
        <f t="shared" si="137"/>
        <v>19.121150864548145</v>
      </c>
      <c r="Z237" s="2217">
        <f t="shared" si="127"/>
        <v>7221.590982538286</v>
      </c>
      <c r="AA237" s="2217">
        <f t="shared" si="128"/>
        <v>23.222252568357362</v>
      </c>
      <c r="AB237" s="2212">
        <v>98</v>
      </c>
      <c r="AC237" s="2219"/>
      <c r="AD237" s="2213"/>
      <c r="AE237" s="2219"/>
      <c r="AF237" s="2213"/>
      <c r="AG237" s="2213"/>
      <c r="AH237" s="2213"/>
      <c r="AI237" s="2213"/>
      <c r="AJ237" s="2213"/>
      <c r="AK237" s="2217">
        <f t="shared" si="138"/>
        <v>9.1355822601544752</v>
      </c>
      <c r="AL237" s="2217">
        <f t="shared" si="119"/>
        <v>7221.590982538286</v>
      </c>
      <c r="AM237" s="2217">
        <f t="shared" si="129"/>
        <v>23.222252568357362</v>
      </c>
      <c r="AN237" s="2212">
        <v>98</v>
      </c>
      <c r="AO237" s="2219"/>
      <c r="AP237" s="2213"/>
      <c r="AQ237" s="2219"/>
      <c r="AR237" s="2213"/>
      <c r="AS237" s="2213"/>
      <c r="AT237" s="2213"/>
      <c r="AU237" s="2213"/>
      <c r="AV237" s="2213"/>
      <c r="AW237" s="2217">
        <f t="shared" si="139"/>
        <v>5.5837331768118013</v>
      </c>
      <c r="AX237" s="2217">
        <f t="shared" si="130"/>
        <v>6005.8259441063919</v>
      </c>
      <c r="AY237" s="2217">
        <f t="shared" si="120"/>
        <v>15.928050166803587</v>
      </c>
      <c r="AZ237" s="2212">
        <v>98</v>
      </c>
      <c r="BA237" s="2208"/>
      <c r="BB237" s="263"/>
      <c r="BC237" s="2208"/>
      <c r="BD237" s="263"/>
      <c r="BE237" s="263"/>
      <c r="BF237" s="263"/>
      <c r="BG237" s="263"/>
      <c r="BH237" s="2208"/>
      <c r="BI237" s="2217">
        <f t="shared" si="140"/>
        <v>10.521428728520913</v>
      </c>
      <c r="BJ237" s="2217">
        <f t="shared" si="131"/>
        <v>6005.8259441063919</v>
      </c>
      <c r="BK237" s="2217">
        <f t="shared" si="121"/>
        <v>15.928050166803587</v>
      </c>
      <c r="BL237" s="2212">
        <v>98</v>
      </c>
      <c r="BM237" s="2208"/>
      <c r="BN237" s="263"/>
      <c r="BO237" s="2208"/>
      <c r="BP237" s="263"/>
      <c r="BQ237" s="263"/>
      <c r="BR237" s="263"/>
      <c r="BS237" s="263"/>
      <c r="BT237" s="2208"/>
      <c r="BU237" s="2217">
        <f t="shared" si="141"/>
        <v>9.1355822601544752</v>
      </c>
      <c r="BV237" s="2217">
        <f t="shared" si="122"/>
        <v>7221.590982538286</v>
      </c>
      <c r="BW237" s="2217">
        <f t="shared" si="132"/>
        <v>23.222252568357362</v>
      </c>
      <c r="BX237" s="2212">
        <v>98</v>
      </c>
      <c r="BY237" s="2219"/>
      <c r="BZ237" s="2213"/>
      <c r="CA237" s="2219"/>
      <c r="CB237" s="2213"/>
      <c r="CC237" s="2213"/>
      <c r="CD237" s="2213"/>
      <c r="CE237" s="2213"/>
      <c r="CF237" s="2208"/>
      <c r="CG237" s="2217">
        <f t="shared" si="142"/>
        <v>11.922252568357361</v>
      </c>
      <c r="CH237" s="2217">
        <f t="shared" si="123"/>
        <v>7221.590982538286</v>
      </c>
      <c r="CI237" s="2217">
        <f t="shared" si="133"/>
        <v>23.222252568357362</v>
      </c>
      <c r="CJ237" s="2212">
        <v>98</v>
      </c>
      <c r="CK237" s="2219"/>
      <c r="CL237" s="2213"/>
      <c r="CM237" s="2219"/>
      <c r="CN237" s="2213"/>
      <c r="CO237" s="2213"/>
      <c r="CP237" s="2213"/>
      <c r="CQ237" s="2213"/>
      <c r="CR237" s="2208"/>
      <c r="CS237" s="2217">
        <f t="shared" si="143"/>
        <v>10.202867725184841</v>
      </c>
      <c r="CT237" s="2217">
        <f t="shared" si="134"/>
        <v>6005.8259441063919</v>
      </c>
      <c r="CU237" s="2217">
        <f t="shared" si="124"/>
        <v>15.928050166803587</v>
      </c>
      <c r="CV237" s="2212">
        <v>98</v>
      </c>
      <c r="CW237" s="2208"/>
      <c r="CX237" s="263"/>
      <c r="CY237" s="2208"/>
      <c r="CZ237" s="263"/>
      <c r="DA237" s="263"/>
      <c r="DB237" s="263"/>
      <c r="DC237" s="263"/>
      <c r="DD237" s="2208"/>
    </row>
    <row r="238" spans="1:108">
      <c r="A238" s="2217">
        <f t="shared" si="135"/>
        <v>15.661292149023208</v>
      </c>
      <c r="B238" s="2217">
        <f t="shared" si="117"/>
        <v>7198.3687299699286</v>
      </c>
      <c r="C238" s="2217">
        <f t="shared" si="125"/>
        <v>23.444601868715836</v>
      </c>
      <c r="D238" s="2212">
        <v>97</v>
      </c>
      <c r="E238" s="2219"/>
      <c r="F238" s="2213"/>
      <c r="G238" s="2219"/>
      <c r="H238" s="2213"/>
      <c r="I238" s="2213"/>
      <c r="J238" s="2213"/>
      <c r="K238" s="2213"/>
      <c r="L238" s="2213"/>
      <c r="M238" s="2217">
        <f t="shared" si="136"/>
        <v>17.302414279833318</v>
      </c>
      <c r="N238" s="2217">
        <f t="shared" si="118"/>
        <v>7198.3687299699286</v>
      </c>
      <c r="O238" s="2217">
        <f t="shared" si="126"/>
        <v>23.444601868715836</v>
      </c>
      <c r="P238" s="2212">
        <v>97</v>
      </c>
      <c r="Q238" s="2219"/>
      <c r="R238" s="2213"/>
      <c r="S238" s="2219"/>
      <c r="T238" s="2213"/>
      <c r="U238" s="2213"/>
      <c r="V238" s="2213"/>
      <c r="W238" s="2213"/>
      <c r="X238" s="2213"/>
      <c r="Y238" s="2217">
        <f t="shared" si="137"/>
        <v>19.412428448017746</v>
      </c>
      <c r="Z238" s="2217">
        <f t="shared" si="127"/>
        <v>7198.3687299699286</v>
      </c>
      <c r="AA238" s="2217">
        <f t="shared" si="128"/>
        <v>23.444601868715836</v>
      </c>
      <c r="AB238" s="2212">
        <v>97</v>
      </c>
      <c r="AC238" s="2219"/>
      <c r="AD238" s="2213"/>
      <c r="AE238" s="2219"/>
      <c r="AF238" s="2213"/>
      <c r="AG238" s="2213"/>
      <c r="AH238" s="2213"/>
      <c r="AI238" s="2213"/>
      <c r="AJ238" s="2213"/>
      <c r="AK238" s="2217">
        <f t="shared" si="138"/>
        <v>9.3312496444699313</v>
      </c>
      <c r="AL238" s="2217">
        <f t="shared" si="119"/>
        <v>7198.3687299699286</v>
      </c>
      <c r="AM238" s="2217">
        <f t="shared" si="129"/>
        <v>23.444601868715836</v>
      </c>
      <c r="AN238" s="2212">
        <v>97</v>
      </c>
      <c r="AO238" s="2219"/>
      <c r="AP238" s="2213"/>
      <c r="AQ238" s="2219"/>
      <c r="AR238" s="2213"/>
      <c r="AS238" s="2213"/>
      <c r="AT238" s="2213"/>
      <c r="AU238" s="2213"/>
      <c r="AV238" s="2213"/>
      <c r="AW238" s="2217">
        <f t="shared" si="139"/>
        <v>5.9171675364586562</v>
      </c>
      <c r="AX238" s="2217">
        <f t="shared" si="130"/>
        <v>5989.8978939395884</v>
      </c>
      <c r="AY238" s="2217">
        <f t="shared" si="120"/>
        <v>16.242610883451562</v>
      </c>
      <c r="AZ238" s="2212">
        <v>97</v>
      </c>
      <c r="BA238" s="2208"/>
      <c r="BB238" s="263"/>
      <c r="BC238" s="2208"/>
      <c r="BD238" s="263"/>
      <c r="BE238" s="263"/>
      <c r="BF238" s="263"/>
      <c r="BG238" s="263"/>
      <c r="BH238" s="2208"/>
      <c r="BI238" s="2217">
        <f t="shared" si="140"/>
        <v>10.952376910328642</v>
      </c>
      <c r="BJ238" s="2217">
        <f t="shared" si="131"/>
        <v>5989.8978939395884</v>
      </c>
      <c r="BK238" s="2217">
        <f t="shared" si="121"/>
        <v>16.242610883451562</v>
      </c>
      <c r="BL238" s="2212">
        <v>97</v>
      </c>
      <c r="BM238" s="2208"/>
      <c r="BN238" s="263"/>
      <c r="BO238" s="2208"/>
      <c r="BP238" s="263"/>
      <c r="BQ238" s="263"/>
      <c r="BR238" s="263"/>
      <c r="BS238" s="263"/>
      <c r="BT238" s="2208"/>
      <c r="BU238" s="2217">
        <f t="shared" si="141"/>
        <v>9.3312496444699313</v>
      </c>
      <c r="BV238" s="2217">
        <f t="shared" si="122"/>
        <v>7198.3687299699286</v>
      </c>
      <c r="BW238" s="2217">
        <f t="shared" si="132"/>
        <v>23.444601868715836</v>
      </c>
      <c r="BX238" s="2212">
        <v>97</v>
      </c>
      <c r="BY238" s="2219"/>
      <c r="BZ238" s="2213"/>
      <c r="CA238" s="2219"/>
      <c r="CB238" s="2213"/>
      <c r="CC238" s="2213"/>
      <c r="CD238" s="2213"/>
      <c r="CE238" s="2213"/>
      <c r="CF238" s="2208"/>
      <c r="CG238" s="2217">
        <f t="shared" si="142"/>
        <v>12.144601868715835</v>
      </c>
      <c r="CH238" s="2217">
        <f t="shared" si="123"/>
        <v>7198.3687299699286</v>
      </c>
      <c r="CI238" s="2217">
        <f t="shared" si="133"/>
        <v>23.444601868715836</v>
      </c>
      <c r="CJ238" s="2212">
        <v>97</v>
      </c>
      <c r="CK238" s="2219"/>
      <c r="CL238" s="2213"/>
      <c r="CM238" s="2219"/>
      <c r="CN238" s="2213"/>
      <c r="CO238" s="2213"/>
      <c r="CP238" s="2213"/>
      <c r="CQ238" s="2213"/>
      <c r="CR238" s="2208"/>
      <c r="CS238" s="2217">
        <f t="shared" si="143"/>
        <v>10.627524692659609</v>
      </c>
      <c r="CT238" s="2217">
        <f t="shared" si="134"/>
        <v>5989.8978939395884</v>
      </c>
      <c r="CU238" s="2217">
        <f t="shared" si="124"/>
        <v>16.242610883451562</v>
      </c>
      <c r="CV238" s="2212">
        <v>97</v>
      </c>
      <c r="CW238" s="2208"/>
      <c r="CX238" s="263"/>
      <c r="CY238" s="2208"/>
      <c r="CZ238" s="263"/>
      <c r="DA238" s="263"/>
      <c r="DB238" s="263"/>
      <c r="DC238" s="263"/>
      <c r="DD238" s="2208"/>
    </row>
    <row r="239" spans="1:108">
      <c r="A239" s="2217">
        <f t="shared" si="135"/>
        <v>15.917962751943239</v>
      </c>
      <c r="B239" s="2217">
        <f t="shared" si="117"/>
        <v>7174.9241281012128</v>
      </c>
      <c r="C239" s="2217">
        <f t="shared" si="125"/>
        <v>23.667793697341949</v>
      </c>
      <c r="D239" s="2212">
        <v>96</v>
      </c>
      <c r="E239" s="2219"/>
      <c r="F239" s="2213"/>
      <c r="G239" s="2219"/>
      <c r="H239" s="2213"/>
      <c r="I239" s="2213"/>
      <c r="J239" s="2213"/>
      <c r="K239" s="2213"/>
      <c r="L239" s="2213"/>
      <c r="M239" s="2217">
        <f t="shared" si="136"/>
        <v>17.574708310757178</v>
      </c>
      <c r="N239" s="2217">
        <f t="shared" si="118"/>
        <v>7174.9241281012128</v>
      </c>
      <c r="O239" s="2217">
        <f t="shared" si="126"/>
        <v>23.667793697341949</v>
      </c>
      <c r="P239" s="2212">
        <v>96</v>
      </c>
      <c r="Q239" s="2219"/>
      <c r="R239" s="2213"/>
      <c r="S239" s="2219"/>
      <c r="T239" s="2213"/>
      <c r="U239" s="2213"/>
      <c r="V239" s="2213"/>
      <c r="W239" s="2213"/>
      <c r="X239" s="2213"/>
      <c r="Y239" s="2217">
        <f t="shared" si="137"/>
        <v>19.704809743517956</v>
      </c>
      <c r="Z239" s="2217">
        <f t="shared" si="127"/>
        <v>7174.9241281012128</v>
      </c>
      <c r="AA239" s="2217">
        <f t="shared" si="128"/>
        <v>23.667793697341949</v>
      </c>
      <c r="AB239" s="2212">
        <v>96</v>
      </c>
      <c r="AC239" s="2219"/>
      <c r="AD239" s="2213"/>
      <c r="AE239" s="2219"/>
      <c r="AF239" s="2213"/>
      <c r="AG239" s="2213"/>
      <c r="AH239" s="2213"/>
      <c r="AI239" s="2213"/>
      <c r="AJ239" s="2213"/>
      <c r="AK239" s="2217">
        <f t="shared" si="138"/>
        <v>9.5276584536609121</v>
      </c>
      <c r="AL239" s="2217">
        <f t="shared" si="119"/>
        <v>7174.9241281012128</v>
      </c>
      <c r="AM239" s="2217">
        <f t="shared" si="129"/>
        <v>23.667793697341949</v>
      </c>
      <c r="AN239" s="2212">
        <v>96</v>
      </c>
      <c r="AO239" s="2219"/>
      <c r="AP239" s="2213"/>
      <c r="AQ239" s="2219"/>
      <c r="AR239" s="2213"/>
      <c r="AS239" s="2213"/>
      <c r="AT239" s="2213"/>
      <c r="AU239" s="2213"/>
      <c r="AV239" s="2213"/>
      <c r="AW239" s="2217">
        <f t="shared" si="139"/>
        <v>6.250436616133392</v>
      </c>
      <c r="AX239" s="2217">
        <f t="shared" si="130"/>
        <v>5973.6552830561368</v>
      </c>
      <c r="AY239" s="2217">
        <f t="shared" si="120"/>
        <v>16.55701567559754</v>
      </c>
      <c r="AZ239" s="2212">
        <v>96</v>
      </c>
      <c r="BA239" s="2208"/>
      <c r="BB239" s="263"/>
      <c r="BC239" s="2208"/>
      <c r="BD239" s="263"/>
      <c r="BE239" s="263"/>
      <c r="BF239" s="263"/>
      <c r="BG239" s="263"/>
      <c r="BH239" s="2208"/>
      <c r="BI239" s="2217">
        <f t="shared" si="140"/>
        <v>11.383111475568633</v>
      </c>
      <c r="BJ239" s="2217">
        <f t="shared" si="131"/>
        <v>5973.6552830561368</v>
      </c>
      <c r="BK239" s="2217">
        <f t="shared" si="121"/>
        <v>16.55701567559754</v>
      </c>
      <c r="BL239" s="2212">
        <v>96</v>
      </c>
      <c r="BM239" s="2208"/>
      <c r="BN239" s="263"/>
      <c r="BO239" s="2208"/>
      <c r="BP239" s="263"/>
      <c r="BQ239" s="263"/>
      <c r="BR239" s="263"/>
      <c r="BS239" s="263"/>
      <c r="BT239" s="2208"/>
      <c r="BU239" s="2217">
        <f t="shared" si="141"/>
        <v>9.5276584536609121</v>
      </c>
      <c r="BV239" s="2217">
        <f t="shared" si="122"/>
        <v>7174.9241281012128</v>
      </c>
      <c r="BW239" s="2217">
        <f t="shared" si="132"/>
        <v>23.667793697341949</v>
      </c>
      <c r="BX239" s="2212">
        <v>96</v>
      </c>
      <c r="BY239" s="2219"/>
      <c r="BZ239" s="2213"/>
      <c r="CA239" s="2219"/>
      <c r="CB239" s="2213"/>
      <c r="CC239" s="2213"/>
      <c r="CD239" s="2213"/>
      <c r="CE239" s="2213"/>
      <c r="CF239" s="2208"/>
      <c r="CG239" s="2217">
        <f t="shared" si="142"/>
        <v>12.367793697341948</v>
      </c>
      <c r="CH239" s="2217">
        <f t="shared" si="123"/>
        <v>7174.9241281012128</v>
      </c>
      <c r="CI239" s="2217">
        <f t="shared" si="133"/>
        <v>23.667793697341949</v>
      </c>
      <c r="CJ239" s="2212">
        <v>96</v>
      </c>
      <c r="CK239" s="2219"/>
      <c r="CL239" s="2213"/>
      <c r="CM239" s="2219"/>
      <c r="CN239" s="2213"/>
      <c r="CO239" s="2213"/>
      <c r="CP239" s="2213"/>
      <c r="CQ239" s="2213"/>
      <c r="CR239" s="2208"/>
      <c r="CS239" s="2217">
        <f t="shared" si="143"/>
        <v>11.051971162056681</v>
      </c>
      <c r="CT239" s="2217">
        <f t="shared" si="134"/>
        <v>5973.6552830561368</v>
      </c>
      <c r="CU239" s="2217">
        <f t="shared" si="124"/>
        <v>16.55701567559754</v>
      </c>
      <c r="CV239" s="2212">
        <v>96</v>
      </c>
      <c r="CW239" s="2208"/>
      <c r="CX239" s="263"/>
      <c r="CY239" s="2208"/>
      <c r="CZ239" s="263"/>
      <c r="DA239" s="263"/>
      <c r="DB239" s="263"/>
      <c r="DC239" s="263"/>
      <c r="DD239" s="2208"/>
    </row>
    <row r="240" spans="1:108">
      <c r="A240" s="2217">
        <f t="shared" si="135"/>
        <v>16.175602262372102</v>
      </c>
      <c r="B240" s="2217">
        <f t="shared" si="117"/>
        <v>7151.2563344038708</v>
      </c>
      <c r="C240" s="2217">
        <f t="shared" si="125"/>
        <v>23.891828054236612</v>
      </c>
      <c r="D240" s="2212">
        <v>95</v>
      </c>
      <c r="E240" s="2219"/>
      <c r="F240" s="2213"/>
      <c r="G240" s="2219"/>
      <c r="H240" s="2213"/>
      <c r="I240" s="2213"/>
      <c r="J240" s="2213"/>
      <c r="K240" s="2213"/>
      <c r="L240" s="2213"/>
      <c r="M240" s="2217">
        <f t="shared" si="136"/>
        <v>17.848030226168664</v>
      </c>
      <c r="N240" s="2217">
        <f t="shared" si="118"/>
        <v>7151.2563344038708</v>
      </c>
      <c r="O240" s="2217">
        <f t="shared" si="126"/>
        <v>23.891828054236612</v>
      </c>
      <c r="P240" s="2212">
        <v>95</v>
      </c>
      <c r="Q240" s="2219"/>
      <c r="R240" s="2213"/>
      <c r="S240" s="2219"/>
      <c r="T240" s="2213"/>
      <c r="U240" s="2213"/>
      <c r="V240" s="2213"/>
      <c r="W240" s="2213"/>
      <c r="X240" s="2213"/>
      <c r="Y240" s="2217">
        <f t="shared" si="137"/>
        <v>19.998294751049961</v>
      </c>
      <c r="Z240" s="2217">
        <f t="shared" si="127"/>
        <v>7151.2563344038708</v>
      </c>
      <c r="AA240" s="2217">
        <f t="shared" si="128"/>
        <v>23.891828054236612</v>
      </c>
      <c r="AB240" s="2212">
        <v>95</v>
      </c>
      <c r="AC240" s="2219"/>
      <c r="AD240" s="2213"/>
      <c r="AE240" s="2219"/>
      <c r="AF240" s="2213"/>
      <c r="AG240" s="2213"/>
      <c r="AH240" s="2213"/>
      <c r="AI240" s="2213"/>
      <c r="AJ240" s="2213"/>
      <c r="AK240" s="2217">
        <f t="shared" si="138"/>
        <v>9.7248086877282169</v>
      </c>
      <c r="AL240" s="2217">
        <f t="shared" si="119"/>
        <v>7151.2563344038708</v>
      </c>
      <c r="AM240" s="2217">
        <f t="shared" si="129"/>
        <v>23.891828054236612</v>
      </c>
      <c r="AN240" s="2212">
        <v>95</v>
      </c>
      <c r="AO240" s="2219"/>
      <c r="AP240" s="2213"/>
      <c r="AQ240" s="2219"/>
      <c r="AR240" s="2213"/>
      <c r="AS240" s="2213"/>
      <c r="AT240" s="2213"/>
      <c r="AU240" s="2213"/>
      <c r="AV240" s="2213"/>
      <c r="AW240" s="2217">
        <f t="shared" si="139"/>
        <v>6.5835404158379411</v>
      </c>
      <c r="AX240" s="2217">
        <f t="shared" si="130"/>
        <v>5957.0982673805393</v>
      </c>
      <c r="AY240" s="2217">
        <f t="shared" si="120"/>
        <v>16.871264543243342</v>
      </c>
      <c r="AZ240" s="2212">
        <v>95</v>
      </c>
      <c r="BA240" s="2208"/>
      <c r="BB240" s="263"/>
      <c r="BC240" s="2208"/>
      <c r="BD240" s="263"/>
      <c r="BE240" s="263"/>
      <c r="BF240" s="263"/>
      <c r="BG240" s="263"/>
      <c r="BH240" s="2208"/>
      <c r="BI240" s="2217">
        <f t="shared" si="140"/>
        <v>11.81363242424338</v>
      </c>
      <c r="BJ240" s="2217">
        <f t="shared" si="131"/>
        <v>5957.0982673805393</v>
      </c>
      <c r="BK240" s="2217">
        <f t="shared" si="121"/>
        <v>16.871264543243342</v>
      </c>
      <c r="BL240" s="2212">
        <v>95</v>
      </c>
      <c r="BM240" s="2208"/>
      <c r="BN240" s="263"/>
      <c r="BO240" s="2208"/>
      <c r="BP240" s="263"/>
      <c r="BQ240" s="263"/>
      <c r="BR240" s="263"/>
      <c r="BS240" s="263"/>
      <c r="BT240" s="2208"/>
      <c r="BU240" s="2217">
        <f t="shared" si="141"/>
        <v>9.7248086877282169</v>
      </c>
      <c r="BV240" s="2217">
        <f t="shared" si="122"/>
        <v>7151.2563344038708</v>
      </c>
      <c r="BW240" s="2217">
        <f t="shared" si="132"/>
        <v>23.891828054236612</v>
      </c>
      <c r="BX240" s="2212">
        <v>95</v>
      </c>
      <c r="BY240" s="2219"/>
      <c r="BZ240" s="2213"/>
      <c r="CA240" s="2219"/>
      <c r="CB240" s="2213"/>
      <c r="CC240" s="2213"/>
      <c r="CD240" s="2213"/>
      <c r="CE240" s="2213"/>
      <c r="CF240" s="2208"/>
      <c r="CG240" s="2217">
        <f t="shared" si="142"/>
        <v>12.591828054236611</v>
      </c>
      <c r="CH240" s="2217">
        <f t="shared" si="123"/>
        <v>7151.2563344038708</v>
      </c>
      <c r="CI240" s="2217">
        <f t="shared" si="133"/>
        <v>23.891828054236612</v>
      </c>
      <c r="CJ240" s="2212">
        <v>95</v>
      </c>
      <c r="CK240" s="2219"/>
      <c r="CL240" s="2213"/>
      <c r="CM240" s="2219"/>
      <c r="CN240" s="2213"/>
      <c r="CO240" s="2213"/>
      <c r="CP240" s="2213"/>
      <c r="CQ240" s="2213"/>
      <c r="CR240" s="2208"/>
      <c r="CS240" s="2217">
        <f t="shared" si="143"/>
        <v>11.476207133378512</v>
      </c>
      <c r="CT240" s="2217">
        <f t="shared" si="134"/>
        <v>5957.0982673805393</v>
      </c>
      <c r="CU240" s="2217">
        <f t="shared" si="124"/>
        <v>16.871264543243342</v>
      </c>
      <c r="CV240" s="2212">
        <v>95</v>
      </c>
      <c r="CW240" s="2208"/>
      <c r="CX240" s="263"/>
      <c r="CY240" s="2208"/>
      <c r="CZ240" s="263"/>
      <c r="DA240" s="263"/>
      <c r="DB240" s="263"/>
      <c r="DC240" s="263"/>
      <c r="DD240" s="2208"/>
    </row>
    <row r="241" spans="1:108">
      <c r="A241" s="2217">
        <f t="shared" si="135"/>
        <v>16.434210680311885</v>
      </c>
      <c r="B241" s="2217">
        <f t="shared" si="117"/>
        <v>7127.3645063496342</v>
      </c>
      <c r="C241" s="2217">
        <f t="shared" si="125"/>
        <v>24.116704939401643</v>
      </c>
      <c r="D241" s="2212">
        <v>94</v>
      </c>
      <c r="E241" s="2219"/>
      <c r="F241" s="2213"/>
      <c r="G241" s="2219"/>
      <c r="H241" s="2213"/>
      <c r="I241" s="2213"/>
      <c r="J241" s="2213"/>
      <c r="K241" s="2213"/>
      <c r="L241" s="2213"/>
      <c r="M241" s="2217">
        <f t="shared" si="136"/>
        <v>18.122380026070005</v>
      </c>
      <c r="N241" s="2217">
        <f t="shared" si="118"/>
        <v>7127.3645063496342</v>
      </c>
      <c r="O241" s="2217">
        <f t="shared" si="126"/>
        <v>24.116704939401643</v>
      </c>
      <c r="P241" s="2212">
        <v>94</v>
      </c>
      <c r="Q241" s="2219"/>
      <c r="R241" s="2213"/>
      <c r="S241" s="2219"/>
      <c r="T241" s="2213"/>
      <c r="U241" s="2213"/>
      <c r="V241" s="2213"/>
      <c r="W241" s="2213"/>
      <c r="X241" s="2213"/>
      <c r="Y241" s="2217">
        <f t="shared" si="137"/>
        <v>20.292883470616154</v>
      </c>
      <c r="Z241" s="2217">
        <f t="shared" si="127"/>
        <v>7127.3645063496342</v>
      </c>
      <c r="AA241" s="2217">
        <f t="shared" si="128"/>
        <v>24.116704939401643</v>
      </c>
      <c r="AB241" s="2212">
        <v>94</v>
      </c>
      <c r="AC241" s="2219"/>
      <c r="AD241" s="2213"/>
      <c r="AE241" s="2219"/>
      <c r="AF241" s="2213"/>
      <c r="AG241" s="2213"/>
      <c r="AH241" s="2213"/>
      <c r="AI241" s="2213"/>
      <c r="AJ241" s="2213"/>
      <c r="AK241" s="2217">
        <f t="shared" si="138"/>
        <v>9.9227003466734409</v>
      </c>
      <c r="AL241" s="2217">
        <f t="shared" si="119"/>
        <v>7127.3645063496342</v>
      </c>
      <c r="AM241" s="2217">
        <f t="shared" si="129"/>
        <v>24.116704939401643</v>
      </c>
      <c r="AN241" s="2212">
        <v>94</v>
      </c>
      <c r="AO241" s="2219"/>
      <c r="AP241" s="2213"/>
      <c r="AQ241" s="2219"/>
      <c r="AR241" s="2213"/>
      <c r="AS241" s="2213"/>
      <c r="AT241" s="2213"/>
      <c r="AU241" s="2213"/>
      <c r="AV241" s="2213"/>
      <c r="AW241" s="2217">
        <f t="shared" si="139"/>
        <v>6.9164789355742329</v>
      </c>
      <c r="AX241" s="2217">
        <f t="shared" si="130"/>
        <v>5940.2270028372959</v>
      </c>
      <c r="AY241" s="2217">
        <f t="shared" si="120"/>
        <v>17.185357486390785</v>
      </c>
      <c r="AZ241" s="2212">
        <v>94</v>
      </c>
      <c r="BA241" s="2208"/>
      <c r="BB241" s="263"/>
      <c r="BC241" s="2208"/>
      <c r="BD241" s="263"/>
      <c r="BE241" s="263"/>
      <c r="BF241" s="263"/>
      <c r="BG241" s="263"/>
      <c r="BH241" s="2208"/>
      <c r="BI241" s="2217">
        <f t="shared" si="140"/>
        <v>12.243939756355378</v>
      </c>
      <c r="BJ241" s="2217">
        <f t="shared" si="131"/>
        <v>5940.2270028372959</v>
      </c>
      <c r="BK241" s="2217">
        <f t="shared" si="121"/>
        <v>17.185357486390785</v>
      </c>
      <c r="BL241" s="2212">
        <v>94</v>
      </c>
      <c r="BM241" s="2208"/>
      <c r="BN241" s="263"/>
      <c r="BO241" s="2208"/>
      <c r="BP241" s="263"/>
      <c r="BQ241" s="263"/>
      <c r="BR241" s="263"/>
      <c r="BS241" s="263"/>
      <c r="BT241" s="2208"/>
      <c r="BU241" s="2217">
        <f t="shared" si="141"/>
        <v>9.9227003466734409</v>
      </c>
      <c r="BV241" s="2217">
        <f t="shared" si="122"/>
        <v>7127.3645063496342</v>
      </c>
      <c r="BW241" s="2217">
        <f t="shared" si="132"/>
        <v>24.116704939401643</v>
      </c>
      <c r="BX241" s="2212">
        <v>94</v>
      </c>
      <c r="BY241" s="2219"/>
      <c r="BZ241" s="2213"/>
      <c r="CA241" s="2219"/>
      <c r="CB241" s="2213"/>
      <c r="CC241" s="2213"/>
      <c r="CD241" s="2213"/>
      <c r="CE241" s="2213"/>
      <c r="CF241" s="2208"/>
      <c r="CG241" s="2217">
        <f t="shared" si="142"/>
        <v>12.816704939401642</v>
      </c>
      <c r="CH241" s="2217">
        <f t="shared" si="123"/>
        <v>7127.3645063496342</v>
      </c>
      <c r="CI241" s="2217">
        <f t="shared" si="133"/>
        <v>24.116704939401643</v>
      </c>
      <c r="CJ241" s="2212">
        <v>94</v>
      </c>
      <c r="CK241" s="2219"/>
      <c r="CL241" s="2213"/>
      <c r="CM241" s="2219"/>
      <c r="CN241" s="2213"/>
      <c r="CO241" s="2213"/>
      <c r="CP241" s="2213"/>
      <c r="CQ241" s="2213"/>
      <c r="CR241" s="2208"/>
      <c r="CS241" s="2217">
        <f t="shared" si="143"/>
        <v>11.900232606627561</v>
      </c>
      <c r="CT241" s="2217">
        <f t="shared" si="134"/>
        <v>5940.2270028372959</v>
      </c>
      <c r="CU241" s="2217">
        <f t="shared" si="124"/>
        <v>17.185357486390785</v>
      </c>
      <c r="CV241" s="2212">
        <v>94</v>
      </c>
      <c r="CW241" s="2208"/>
      <c r="CX241" s="263"/>
      <c r="CY241" s="2208"/>
      <c r="CZ241" s="263"/>
      <c r="DA241" s="263"/>
      <c r="DB241" s="263"/>
      <c r="DC241" s="263"/>
      <c r="DD241" s="2208"/>
    </row>
    <row r="242" spans="1:108">
      <c r="A242" s="2217">
        <f t="shared" si="135"/>
        <v>16.693788005764688</v>
      </c>
      <c r="B242" s="2217">
        <f t="shared" si="117"/>
        <v>7103.2478014102326</v>
      </c>
      <c r="C242" s="2217">
        <f t="shared" si="125"/>
        <v>24.342424352838862</v>
      </c>
      <c r="D242" s="2212">
        <v>93</v>
      </c>
      <c r="E242" s="2219"/>
      <c r="F242" s="2213"/>
      <c r="G242" s="2219"/>
      <c r="H242" s="2213"/>
      <c r="I242" s="2213"/>
      <c r="J242" s="2213"/>
      <c r="K242" s="2213"/>
      <c r="L242" s="2213"/>
      <c r="M242" s="2217">
        <f t="shared" si="136"/>
        <v>18.397757710463409</v>
      </c>
      <c r="N242" s="2217">
        <f t="shared" si="118"/>
        <v>7103.2478014102326</v>
      </c>
      <c r="O242" s="2217">
        <f t="shared" si="126"/>
        <v>24.342424352838862</v>
      </c>
      <c r="P242" s="2212">
        <v>93</v>
      </c>
      <c r="Q242" s="2219"/>
      <c r="R242" s="2213"/>
      <c r="S242" s="2219"/>
      <c r="T242" s="2213"/>
      <c r="U242" s="2213"/>
      <c r="V242" s="2213"/>
      <c r="W242" s="2213"/>
      <c r="X242" s="2213"/>
      <c r="Y242" s="2217">
        <f t="shared" si="137"/>
        <v>20.58857590221891</v>
      </c>
      <c r="Z242" s="2217">
        <f t="shared" si="127"/>
        <v>7103.2478014102326</v>
      </c>
      <c r="AA242" s="2217">
        <f t="shared" si="128"/>
        <v>24.342424352838862</v>
      </c>
      <c r="AB242" s="2212">
        <v>93</v>
      </c>
      <c r="AC242" s="2219"/>
      <c r="AD242" s="2213"/>
      <c r="AE242" s="2219"/>
      <c r="AF242" s="2213"/>
      <c r="AG242" s="2213"/>
      <c r="AH242" s="2213"/>
      <c r="AI242" s="2213"/>
      <c r="AJ242" s="2213"/>
      <c r="AK242" s="2217">
        <f t="shared" si="138"/>
        <v>10.121333430498193</v>
      </c>
      <c r="AL242" s="2217">
        <f t="shared" si="119"/>
        <v>7103.2478014102326</v>
      </c>
      <c r="AM242" s="2217">
        <f t="shared" si="129"/>
        <v>24.342424352838862</v>
      </c>
      <c r="AN242" s="2212">
        <v>93</v>
      </c>
      <c r="AO242" s="2219"/>
      <c r="AP242" s="2213"/>
      <c r="AQ242" s="2219"/>
      <c r="AR242" s="2213"/>
      <c r="AS242" s="2213"/>
      <c r="AT242" s="2213"/>
      <c r="AU242" s="2213"/>
      <c r="AV242" s="2213"/>
      <c r="AW242" s="2217">
        <f t="shared" si="139"/>
        <v>7.2492521753355135</v>
      </c>
      <c r="AX242" s="2217">
        <f t="shared" si="130"/>
        <v>5923.0416453509051</v>
      </c>
      <c r="AY242" s="2217">
        <f t="shared" si="120"/>
        <v>17.499294505033504</v>
      </c>
      <c r="AZ242" s="2212">
        <v>93</v>
      </c>
      <c r="BA242" s="2208"/>
      <c r="BB242" s="263"/>
      <c r="BC242" s="2208"/>
      <c r="BD242" s="263"/>
      <c r="BE242" s="263"/>
      <c r="BF242" s="263"/>
      <c r="BG242" s="263"/>
      <c r="BH242" s="2208"/>
      <c r="BI242" s="2217">
        <f t="shared" si="140"/>
        <v>12.6740334718959</v>
      </c>
      <c r="BJ242" s="2217">
        <f t="shared" si="131"/>
        <v>5923.0416453509051</v>
      </c>
      <c r="BK242" s="2217">
        <f t="shared" si="121"/>
        <v>17.499294505033504</v>
      </c>
      <c r="BL242" s="2212">
        <v>93</v>
      </c>
      <c r="BM242" s="2208"/>
      <c r="BN242" s="263"/>
      <c r="BO242" s="2208"/>
      <c r="BP242" s="263"/>
      <c r="BQ242" s="263"/>
      <c r="BR242" s="263"/>
      <c r="BS242" s="263"/>
      <c r="BT242" s="2208"/>
      <c r="BU242" s="2217">
        <f t="shared" si="141"/>
        <v>10.121333430498193</v>
      </c>
      <c r="BV242" s="2217">
        <f t="shared" si="122"/>
        <v>7103.2478014102326</v>
      </c>
      <c r="BW242" s="2217">
        <f t="shared" si="132"/>
        <v>24.342424352838862</v>
      </c>
      <c r="BX242" s="2212">
        <v>93</v>
      </c>
      <c r="BY242" s="2219"/>
      <c r="BZ242" s="2213"/>
      <c r="CA242" s="2219"/>
      <c r="CB242" s="2213"/>
      <c r="CC242" s="2213"/>
      <c r="CD242" s="2213"/>
      <c r="CE242" s="2213"/>
      <c r="CF242" s="2208"/>
      <c r="CG242" s="2217">
        <f t="shared" si="142"/>
        <v>13.042424352838861</v>
      </c>
      <c r="CH242" s="2217">
        <f t="shared" si="123"/>
        <v>7103.2478014102326</v>
      </c>
      <c r="CI242" s="2217">
        <f t="shared" si="133"/>
        <v>24.342424352838862</v>
      </c>
      <c r="CJ242" s="2212">
        <v>93</v>
      </c>
      <c r="CK242" s="2219"/>
      <c r="CL242" s="2213"/>
      <c r="CM242" s="2219"/>
      <c r="CN242" s="2213"/>
      <c r="CO242" s="2213"/>
      <c r="CP242" s="2213"/>
      <c r="CQ242" s="2213"/>
      <c r="CR242" s="2208"/>
      <c r="CS242" s="2217">
        <f t="shared" si="143"/>
        <v>12.324047581795231</v>
      </c>
      <c r="CT242" s="2217">
        <f t="shared" si="134"/>
        <v>5923.0416453509051</v>
      </c>
      <c r="CU242" s="2217">
        <f t="shared" si="124"/>
        <v>17.499294505033504</v>
      </c>
      <c r="CV242" s="2212">
        <v>93</v>
      </c>
      <c r="CW242" s="2208"/>
      <c r="CX242" s="263"/>
      <c r="CY242" s="2208"/>
      <c r="CZ242" s="263"/>
      <c r="DA242" s="263"/>
      <c r="DB242" s="263"/>
      <c r="DC242" s="263"/>
      <c r="DD242" s="2208"/>
    </row>
    <row r="243" spans="1:108">
      <c r="A243" s="2217">
        <f t="shared" si="135"/>
        <v>16.954334238721092</v>
      </c>
      <c r="B243" s="2217">
        <f t="shared" si="117"/>
        <v>7078.9053770573937</v>
      </c>
      <c r="C243" s="2217">
        <f t="shared" si="125"/>
        <v>24.568986294540082</v>
      </c>
      <c r="D243" s="2212">
        <v>92</v>
      </c>
      <c r="E243" s="2219"/>
      <c r="F243" s="2213"/>
      <c r="G243" s="2219"/>
      <c r="H243" s="2213"/>
      <c r="I243" s="2213"/>
      <c r="J243" s="2213"/>
      <c r="K243" s="2213"/>
      <c r="L243" s="2213"/>
      <c r="M243" s="2217">
        <f t="shared" si="136"/>
        <v>18.674163279338899</v>
      </c>
      <c r="N243" s="2217">
        <f t="shared" si="118"/>
        <v>7078.9053770573937</v>
      </c>
      <c r="O243" s="2217">
        <f t="shared" si="126"/>
        <v>24.568986294540082</v>
      </c>
      <c r="P243" s="2212">
        <v>92</v>
      </c>
      <c r="Q243" s="2219"/>
      <c r="R243" s="2213"/>
      <c r="S243" s="2219"/>
      <c r="T243" s="2213"/>
      <c r="U243" s="2213"/>
      <c r="V243" s="2213"/>
      <c r="W243" s="2213"/>
      <c r="X243" s="2213"/>
      <c r="Y243" s="2217">
        <f t="shared" si="137"/>
        <v>20.885372045847507</v>
      </c>
      <c r="Z243" s="2217">
        <f t="shared" si="127"/>
        <v>7078.9053770573937</v>
      </c>
      <c r="AA243" s="2217">
        <f t="shared" si="128"/>
        <v>24.568986294540082</v>
      </c>
      <c r="AB243" s="2212">
        <v>92</v>
      </c>
      <c r="AC243" s="2219"/>
      <c r="AD243" s="2213"/>
      <c r="AE243" s="2219"/>
      <c r="AF243" s="2213"/>
      <c r="AG243" s="2213"/>
      <c r="AH243" s="2213"/>
      <c r="AI243" s="2213"/>
      <c r="AJ243" s="2213"/>
      <c r="AK243" s="2217">
        <f t="shared" si="138"/>
        <v>10.32070793919527</v>
      </c>
      <c r="AL243" s="2217">
        <f t="shared" si="119"/>
        <v>7078.9053770573937</v>
      </c>
      <c r="AM243" s="2217">
        <f t="shared" si="129"/>
        <v>24.568986294540082</v>
      </c>
      <c r="AN243" s="2212">
        <v>92</v>
      </c>
      <c r="AO243" s="2219"/>
      <c r="AP243" s="2213"/>
      <c r="AQ243" s="2219"/>
      <c r="AR243" s="2213"/>
      <c r="AS243" s="2213"/>
      <c r="AT243" s="2213"/>
      <c r="AU243" s="2213"/>
      <c r="AV243" s="2213"/>
      <c r="AW243" s="2217">
        <f t="shared" si="139"/>
        <v>7.5818601351294994</v>
      </c>
      <c r="AX243" s="2217">
        <f t="shared" si="130"/>
        <v>5905.5423508458716</v>
      </c>
      <c r="AY243" s="2217">
        <f t="shared" si="120"/>
        <v>17.813075599178774</v>
      </c>
      <c r="AZ243" s="2212">
        <v>92</v>
      </c>
      <c r="BA243" s="2208"/>
      <c r="BB243" s="263"/>
      <c r="BC243" s="2208"/>
      <c r="BD243" s="263"/>
      <c r="BE243" s="263"/>
      <c r="BF243" s="263"/>
      <c r="BG243" s="263"/>
      <c r="BH243" s="2208"/>
      <c r="BI243" s="2217">
        <f t="shared" si="140"/>
        <v>13.103913570874923</v>
      </c>
      <c r="BJ243" s="2217">
        <f t="shared" si="131"/>
        <v>5905.5423508458716</v>
      </c>
      <c r="BK243" s="2217">
        <f t="shared" si="121"/>
        <v>17.813075599178774</v>
      </c>
      <c r="BL243" s="2212">
        <v>92</v>
      </c>
      <c r="BM243" s="2208"/>
      <c r="BN243" s="263"/>
      <c r="BO243" s="2208"/>
      <c r="BP243" s="263"/>
      <c r="BQ243" s="263"/>
      <c r="BR243" s="263"/>
      <c r="BS243" s="263"/>
      <c r="BT243" s="2208"/>
      <c r="BU243" s="2217">
        <f t="shared" si="141"/>
        <v>10.32070793919527</v>
      </c>
      <c r="BV243" s="2217">
        <f t="shared" si="122"/>
        <v>7078.9053770573937</v>
      </c>
      <c r="BW243" s="2217">
        <f t="shared" si="132"/>
        <v>24.568986294540082</v>
      </c>
      <c r="BX243" s="2212">
        <v>92</v>
      </c>
      <c r="BY243" s="2219"/>
      <c r="BZ243" s="2213"/>
      <c r="CA243" s="2219"/>
      <c r="CB243" s="2213"/>
      <c r="CC243" s="2213"/>
      <c r="CD243" s="2213"/>
      <c r="CE243" s="2213"/>
      <c r="CF243" s="2208"/>
      <c r="CG243" s="2217">
        <f t="shared" si="142"/>
        <v>13.268986294540081</v>
      </c>
      <c r="CH243" s="2217">
        <f t="shared" si="123"/>
        <v>7078.9053770573937</v>
      </c>
      <c r="CI243" s="2217">
        <f t="shared" si="133"/>
        <v>24.568986294540082</v>
      </c>
      <c r="CJ243" s="2212">
        <v>92</v>
      </c>
      <c r="CK243" s="2219"/>
      <c r="CL243" s="2213"/>
      <c r="CM243" s="2219"/>
      <c r="CN243" s="2213"/>
      <c r="CO243" s="2213"/>
      <c r="CP243" s="2213"/>
      <c r="CQ243" s="2213"/>
      <c r="CR243" s="2208"/>
      <c r="CS243" s="2217">
        <f t="shared" si="143"/>
        <v>12.747652058891344</v>
      </c>
      <c r="CT243" s="2217">
        <f t="shared" si="134"/>
        <v>5905.5423508458716</v>
      </c>
      <c r="CU243" s="2217">
        <f t="shared" si="124"/>
        <v>17.813075599178774</v>
      </c>
      <c r="CV243" s="2212">
        <v>92</v>
      </c>
      <c r="CW243" s="2208"/>
      <c r="CX243" s="263"/>
      <c r="CY243" s="2208"/>
      <c r="CZ243" s="263"/>
      <c r="DA243" s="263"/>
      <c r="DB243" s="263"/>
      <c r="DC243" s="263"/>
      <c r="DD243" s="2208"/>
    </row>
    <row r="244" spans="1:108">
      <c r="A244" s="2217">
        <f t="shared" si="135"/>
        <v>17.215849379194694</v>
      </c>
      <c r="B244" s="2217">
        <f t="shared" si="117"/>
        <v>7054.3363907628536</v>
      </c>
      <c r="C244" s="2217">
        <f t="shared" si="125"/>
        <v>24.796390764517128</v>
      </c>
      <c r="D244" s="2212">
        <v>91</v>
      </c>
      <c r="E244" s="2219"/>
      <c r="F244" s="2213"/>
      <c r="G244" s="2219"/>
      <c r="H244" s="2213"/>
      <c r="I244" s="2213"/>
      <c r="J244" s="2213"/>
      <c r="K244" s="2213"/>
      <c r="L244" s="2213"/>
      <c r="M244" s="2217">
        <f t="shared" si="136"/>
        <v>18.951596732710893</v>
      </c>
      <c r="N244" s="2217">
        <f t="shared" si="118"/>
        <v>7054.3363907628536</v>
      </c>
      <c r="O244" s="2217">
        <f t="shared" si="126"/>
        <v>24.796390764517128</v>
      </c>
      <c r="P244" s="2212">
        <v>91</v>
      </c>
      <c r="Q244" s="2219"/>
      <c r="R244" s="2213"/>
      <c r="S244" s="2219"/>
      <c r="T244" s="2213"/>
      <c r="U244" s="2213"/>
      <c r="V244" s="2213"/>
      <c r="W244" s="2213"/>
      <c r="X244" s="2213"/>
      <c r="Y244" s="2217">
        <f t="shared" si="137"/>
        <v>21.18327190151744</v>
      </c>
      <c r="Z244" s="2217">
        <f t="shared" si="127"/>
        <v>7054.3363907628536</v>
      </c>
      <c r="AA244" s="2217">
        <f t="shared" si="128"/>
        <v>24.796390764517128</v>
      </c>
      <c r="AB244" s="2212">
        <v>91</v>
      </c>
      <c r="AC244" s="2219"/>
      <c r="AD244" s="2213"/>
      <c r="AE244" s="2219"/>
      <c r="AF244" s="2213"/>
      <c r="AG244" s="2213"/>
      <c r="AH244" s="2213"/>
      <c r="AI244" s="2213"/>
      <c r="AJ244" s="2213"/>
      <c r="AK244" s="2217">
        <f t="shared" si="138"/>
        <v>10.520823872775068</v>
      </c>
      <c r="AL244" s="2217">
        <f t="shared" si="119"/>
        <v>7054.3363907628536</v>
      </c>
      <c r="AM244" s="2217">
        <f t="shared" si="129"/>
        <v>24.796390764517128</v>
      </c>
      <c r="AN244" s="2212">
        <v>91</v>
      </c>
      <c r="AO244" s="2219"/>
      <c r="AP244" s="2213"/>
      <c r="AQ244" s="2219"/>
      <c r="AR244" s="2213"/>
      <c r="AS244" s="2213"/>
      <c r="AT244" s="2213"/>
      <c r="AU244" s="2213"/>
      <c r="AV244" s="2213"/>
      <c r="AW244" s="2217">
        <f t="shared" si="139"/>
        <v>7.9143028149513697</v>
      </c>
      <c r="AX244" s="2217">
        <f t="shared" si="130"/>
        <v>5887.7292752466929</v>
      </c>
      <c r="AY244" s="2217">
        <f t="shared" si="120"/>
        <v>18.126700768822047</v>
      </c>
      <c r="AZ244" s="2212">
        <v>91</v>
      </c>
      <c r="BA244" s="2208"/>
      <c r="BB244" s="263"/>
      <c r="BC244" s="2208"/>
      <c r="BD244" s="263"/>
      <c r="BE244" s="263"/>
      <c r="BF244" s="263"/>
      <c r="BG244" s="263"/>
      <c r="BH244" s="2208"/>
      <c r="BI244" s="2217">
        <f t="shared" si="140"/>
        <v>13.533580053286205</v>
      </c>
      <c r="BJ244" s="2217">
        <f t="shared" si="131"/>
        <v>5887.7292752466929</v>
      </c>
      <c r="BK244" s="2217">
        <f t="shared" si="121"/>
        <v>18.126700768822047</v>
      </c>
      <c r="BL244" s="2212">
        <v>91</v>
      </c>
      <c r="BM244" s="2208"/>
      <c r="BN244" s="263"/>
      <c r="BO244" s="2208"/>
      <c r="BP244" s="263"/>
      <c r="BQ244" s="263"/>
      <c r="BR244" s="263"/>
      <c r="BS244" s="263"/>
      <c r="BT244" s="2208"/>
      <c r="BU244" s="2217">
        <f t="shared" si="141"/>
        <v>10.520823872775068</v>
      </c>
      <c r="BV244" s="2217">
        <f t="shared" si="122"/>
        <v>7054.3363907628536</v>
      </c>
      <c r="BW244" s="2217">
        <f t="shared" si="132"/>
        <v>24.796390764517128</v>
      </c>
      <c r="BX244" s="2212">
        <v>91</v>
      </c>
      <c r="BY244" s="2219"/>
      <c r="BZ244" s="2213"/>
      <c r="CA244" s="2219"/>
      <c r="CB244" s="2213"/>
      <c r="CC244" s="2213"/>
      <c r="CD244" s="2213"/>
      <c r="CE244" s="2213"/>
      <c r="CF244" s="2208"/>
      <c r="CG244" s="2217">
        <f t="shared" si="142"/>
        <v>13.496390764517127</v>
      </c>
      <c r="CH244" s="2217">
        <f t="shared" si="123"/>
        <v>7054.3363907628536</v>
      </c>
      <c r="CI244" s="2217">
        <f t="shared" si="133"/>
        <v>24.796390764517128</v>
      </c>
      <c r="CJ244" s="2212">
        <v>91</v>
      </c>
      <c r="CK244" s="2219"/>
      <c r="CL244" s="2213"/>
      <c r="CM244" s="2219"/>
      <c r="CN244" s="2213"/>
      <c r="CO244" s="2213"/>
      <c r="CP244" s="2213"/>
      <c r="CQ244" s="2213"/>
      <c r="CR244" s="2208"/>
      <c r="CS244" s="2217">
        <f t="shared" si="143"/>
        <v>13.171046037909765</v>
      </c>
      <c r="CT244" s="2217">
        <f t="shared" si="134"/>
        <v>5887.7292752466929</v>
      </c>
      <c r="CU244" s="2217">
        <f t="shared" si="124"/>
        <v>18.126700768822047</v>
      </c>
      <c r="CV244" s="2212">
        <v>91</v>
      </c>
      <c r="CW244" s="2208"/>
      <c r="CX244" s="263"/>
      <c r="CY244" s="2208"/>
      <c r="CZ244" s="263"/>
      <c r="DA244" s="263"/>
      <c r="DB244" s="263"/>
      <c r="DC244" s="263"/>
      <c r="DD244" s="2208"/>
    </row>
    <row r="245" spans="1:108">
      <c r="A245" s="2217">
        <f t="shared" si="135"/>
        <v>17.478333427172945</v>
      </c>
      <c r="B245" s="2217">
        <f t="shared" si="117"/>
        <v>7029.5399999983365</v>
      </c>
      <c r="C245" s="2217">
        <f t="shared" si="125"/>
        <v>25.024637762759085</v>
      </c>
      <c r="D245" s="2212">
        <v>90</v>
      </c>
      <c r="E245" s="2219"/>
      <c r="F245" s="2213"/>
      <c r="G245" s="2219"/>
      <c r="H245" s="2213"/>
      <c r="I245" s="2213"/>
      <c r="J245" s="2213"/>
      <c r="K245" s="2213"/>
      <c r="L245" s="2213"/>
      <c r="M245" s="2217">
        <f t="shared" si="136"/>
        <v>19.230058070566081</v>
      </c>
      <c r="N245" s="2217">
        <f t="shared" si="118"/>
        <v>7029.5399999983365</v>
      </c>
      <c r="O245" s="2217">
        <f t="shared" si="126"/>
        <v>25.024637762759085</v>
      </c>
      <c r="P245" s="2212">
        <v>90</v>
      </c>
      <c r="Q245" s="2219"/>
      <c r="R245" s="2213"/>
      <c r="S245" s="2219"/>
      <c r="T245" s="2213"/>
      <c r="U245" s="2213"/>
      <c r="V245" s="2213"/>
      <c r="W245" s="2213"/>
      <c r="X245" s="2213"/>
      <c r="Y245" s="2217">
        <f t="shared" si="137"/>
        <v>21.482275469214404</v>
      </c>
      <c r="Z245" s="2217">
        <f t="shared" si="127"/>
        <v>7029.5399999983365</v>
      </c>
      <c r="AA245" s="2217">
        <f t="shared" si="128"/>
        <v>25.024637762759085</v>
      </c>
      <c r="AB245" s="2212">
        <v>90</v>
      </c>
      <c r="AC245" s="2219"/>
      <c r="AD245" s="2213"/>
      <c r="AE245" s="2219"/>
      <c r="AF245" s="2213"/>
      <c r="AG245" s="2213"/>
      <c r="AH245" s="2213"/>
      <c r="AI245" s="2213"/>
      <c r="AJ245" s="2213"/>
      <c r="AK245" s="2217">
        <f t="shared" si="138"/>
        <v>10.72168123122799</v>
      </c>
      <c r="AL245" s="2217">
        <f t="shared" si="119"/>
        <v>7029.5399999983365</v>
      </c>
      <c r="AM245" s="2217">
        <f t="shared" si="129"/>
        <v>25.024637762759085</v>
      </c>
      <c r="AN245" s="2212">
        <v>90</v>
      </c>
      <c r="AO245" s="2219"/>
      <c r="AP245" s="2213"/>
      <c r="AQ245" s="2219"/>
      <c r="AR245" s="2213"/>
      <c r="AS245" s="2213"/>
      <c r="AT245" s="2213"/>
      <c r="AU245" s="2213"/>
      <c r="AV245" s="2213"/>
      <c r="AW245" s="2217">
        <f t="shared" si="139"/>
        <v>8.2465802148049825</v>
      </c>
      <c r="AX245" s="2217">
        <f t="shared" si="130"/>
        <v>5869.6025744778708</v>
      </c>
      <c r="AY245" s="2217">
        <f t="shared" si="120"/>
        <v>18.440170013966963</v>
      </c>
      <c r="AZ245" s="2212">
        <v>90</v>
      </c>
      <c r="BA245" s="2208"/>
      <c r="BB245" s="263"/>
      <c r="BC245" s="2208"/>
      <c r="BD245" s="263"/>
      <c r="BE245" s="263"/>
      <c r="BF245" s="263"/>
      <c r="BG245" s="263"/>
      <c r="BH245" s="2208"/>
      <c r="BI245" s="2217">
        <f t="shared" si="140"/>
        <v>13.96303291913474</v>
      </c>
      <c r="BJ245" s="2217">
        <f t="shared" si="131"/>
        <v>5869.6025744778708</v>
      </c>
      <c r="BK245" s="2217">
        <f t="shared" si="121"/>
        <v>18.440170013966963</v>
      </c>
      <c r="BL245" s="2212">
        <v>90</v>
      </c>
      <c r="BM245" s="2208"/>
      <c r="BN245" s="263"/>
      <c r="BO245" s="2208"/>
      <c r="BP245" s="263"/>
      <c r="BQ245" s="263"/>
      <c r="BR245" s="263"/>
      <c r="BS245" s="263"/>
      <c r="BT245" s="2208"/>
      <c r="BU245" s="2217">
        <f t="shared" si="141"/>
        <v>10.72168123122799</v>
      </c>
      <c r="BV245" s="2217">
        <f t="shared" si="122"/>
        <v>7029.5399999983365</v>
      </c>
      <c r="BW245" s="2217">
        <f t="shared" si="132"/>
        <v>25.024637762759085</v>
      </c>
      <c r="BX245" s="2212">
        <v>90</v>
      </c>
      <c r="BY245" s="2219"/>
      <c r="BZ245" s="2213"/>
      <c r="CA245" s="2219"/>
      <c r="CB245" s="2213"/>
      <c r="CC245" s="2213"/>
      <c r="CD245" s="2213"/>
      <c r="CE245" s="2213"/>
      <c r="CF245" s="2208"/>
      <c r="CG245" s="2217">
        <f t="shared" si="142"/>
        <v>13.724637762759084</v>
      </c>
      <c r="CH245" s="2217">
        <f t="shared" si="123"/>
        <v>7029.5399999983365</v>
      </c>
      <c r="CI245" s="2217">
        <f t="shared" si="133"/>
        <v>25.024637762759085</v>
      </c>
      <c r="CJ245" s="2212">
        <v>90</v>
      </c>
      <c r="CK245" s="2219"/>
      <c r="CL245" s="2213"/>
      <c r="CM245" s="2219"/>
      <c r="CN245" s="2213"/>
      <c r="CO245" s="2213"/>
      <c r="CP245" s="2213"/>
      <c r="CQ245" s="2213"/>
      <c r="CR245" s="2208"/>
      <c r="CS245" s="2217">
        <f t="shared" si="143"/>
        <v>13.5942295188554</v>
      </c>
      <c r="CT245" s="2217">
        <f t="shared" si="134"/>
        <v>5869.6025744778708</v>
      </c>
      <c r="CU245" s="2217">
        <f t="shared" si="124"/>
        <v>18.440170013966963</v>
      </c>
      <c r="CV245" s="2212">
        <v>90</v>
      </c>
      <c r="CW245" s="2208"/>
      <c r="CX245" s="263"/>
      <c r="CY245" s="2208"/>
      <c r="CZ245" s="263"/>
      <c r="DA245" s="263"/>
      <c r="DB245" s="263"/>
      <c r="DC245" s="263"/>
      <c r="DD245" s="2208"/>
    </row>
    <row r="246" spans="1:108">
      <c r="A246" s="2217">
        <f t="shared" si="135"/>
        <v>17.741786382665257</v>
      </c>
      <c r="B246" s="2217">
        <f t="shared" si="117"/>
        <v>7004.5153622355774</v>
      </c>
      <c r="C246" s="2217">
        <f t="shared" si="125"/>
        <v>25.253727289274138</v>
      </c>
      <c r="D246" s="2212">
        <v>89</v>
      </c>
      <c r="E246" s="2219"/>
      <c r="F246" s="2213"/>
      <c r="G246" s="2219"/>
      <c r="H246" s="2213"/>
      <c r="I246" s="2213"/>
      <c r="J246" s="2213"/>
      <c r="K246" s="2213"/>
      <c r="L246" s="2213"/>
      <c r="M246" s="2217">
        <f t="shared" si="136"/>
        <v>19.509547292914448</v>
      </c>
      <c r="N246" s="2217">
        <f t="shared" si="118"/>
        <v>7004.5153622355774</v>
      </c>
      <c r="O246" s="2217">
        <f t="shared" si="126"/>
        <v>25.253727289274138</v>
      </c>
      <c r="P246" s="2212">
        <v>89</v>
      </c>
      <c r="Q246" s="2219"/>
      <c r="R246" s="2213"/>
      <c r="S246" s="2219"/>
      <c r="T246" s="2213"/>
      <c r="U246" s="2213"/>
      <c r="V246" s="2213"/>
      <c r="W246" s="2213"/>
      <c r="X246" s="2213"/>
      <c r="Y246" s="2217">
        <f t="shared" si="137"/>
        <v>21.782382748949122</v>
      </c>
      <c r="Z246" s="2217">
        <f t="shared" si="127"/>
        <v>7004.5153622355774</v>
      </c>
      <c r="AA246" s="2217">
        <f t="shared" si="128"/>
        <v>25.253727289274138</v>
      </c>
      <c r="AB246" s="2212">
        <v>89</v>
      </c>
      <c r="AC246" s="2219"/>
      <c r="AD246" s="2213"/>
      <c r="AE246" s="2219"/>
      <c r="AF246" s="2213"/>
      <c r="AG246" s="2213"/>
      <c r="AH246" s="2213"/>
      <c r="AI246" s="2213"/>
      <c r="AJ246" s="2213"/>
      <c r="AK246" s="2217">
        <f t="shared" si="138"/>
        <v>10.923280014561239</v>
      </c>
      <c r="AL246" s="2217">
        <f t="shared" si="119"/>
        <v>7004.5153622355774</v>
      </c>
      <c r="AM246" s="2217">
        <f t="shared" si="129"/>
        <v>25.253727289274138</v>
      </c>
      <c r="AN246" s="2212">
        <v>89</v>
      </c>
      <c r="AO246" s="2219"/>
      <c r="AP246" s="2213"/>
      <c r="AQ246" s="2219"/>
      <c r="AR246" s="2213"/>
      <c r="AS246" s="2213"/>
      <c r="AT246" s="2213"/>
      <c r="AU246" s="2213"/>
      <c r="AV246" s="2213"/>
      <c r="AW246" s="2217">
        <f t="shared" si="139"/>
        <v>8.5786923346864761</v>
      </c>
      <c r="AX246" s="2217">
        <f t="shared" si="130"/>
        <v>5851.1624044639038</v>
      </c>
      <c r="AY246" s="2217">
        <f t="shared" si="120"/>
        <v>18.753483334609882</v>
      </c>
      <c r="AZ246" s="2212">
        <v>89</v>
      </c>
      <c r="BA246" s="2208"/>
      <c r="BB246" s="263"/>
      <c r="BC246" s="2208"/>
      <c r="BD246" s="263"/>
      <c r="BE246" s="263"/>
      <c r="BF246" s="263"/>
      <c r="BG246" s="263"/>
      <c r="BH246" s="2208"/>
      <c r="BI246" s="2217">
        <f t="shared" si="140"/>
        <v>14.392272168415541</v>
      </c>
      <c r="BJ246" s="2217">
        <f t="shared" si="131"/>
        <v>5851.1624044639038</v>
      </c>
      <c r="BK246" s="2217">
        <f t="shared" si="121"/>
        <v>18.753483334609882</v>
      </c>
      <c r="BL246" s="2212">
        <v>89</v>
      </c>
      <c r="BM246" s="2208"/>
      <c r="BN246" s="263"/>
      <c r="BO246" s="2208"/>
      <c r="BP246" s="263"/>
      <c r="BQ246" s="263"/>
      <c r="BR246" s="263"/>
      <c r="BS246" s="263"/>
      <c r="BT246" s="2208"/>
      <c r="BU246" s="2217">
        <f t="shared" si="141"/>
        <v>10.923280014561239</v>
      </c>
      <c r="BV246" s="2217">
        <f t="shared" si="122"/>
        <v>7004.5153622355774</v>
      </c>
      <c r="BW246" s="2217">
        <f t="shared" si="132"/>
        <v>25.253727289274138</v>
      </c>
      <c r="BX246" s="2212">
        <v>89</v>
      </c>
      <c r="BY246" s="2219"/>
      <c r="BZ246" s="2213"/>
      <c r="CA246" s="2219"/>
      <c r="CB246" s="2213"/>
      <c r="CC246" s="2213"/>
      <c r="CD246" s="2213"/>
      <c r="CE246" s="2213"/>
      <c r="CF246" s="2208"/>
      <c r="CG246" s="2217">
        <f t="shared" si="142"/>
        <v>13.953727289274138</v>
      </c>
      <c r="CH246" s="2217">
        <f t="shared" si="123"/>
        <v>7004.5153622355774</v>
      </c>
      <c r="CI246" s="2217">
        <f t="shared" si="133"/>
        <v>25.253727289274138</v>
      </c>
      <c r="CJ246" s="2212">
        <v>89</v>
      </c>
      <c r="CK246" s="2219"/>
      <c r="CL246" s="2213"/>
      <c r="CM246" s="2219"/>
      <c r="CN246" s="2213"/>
      <c r="CO246" s="2213"/>
      <c r="CP246" s="2213"/>
      <c r="CQ246" s="2213"/>
      <c r="CR246" s="2208"/>
      <c r="CS246" s="2217">
        <f t="shared" si="143"/>
        <v>14.017202501723343</v>
      </c>
      <c r="CT246" s="2217">
        <f t="shared" si="134"/>
        <v>5851.1624044639038</v>
      </c>
      <c r="CU246" s="2217">
        <f t="shared" si="124"/>
        <v>18.753483334609882</v>
      </c>
      <c r="CV246" s="2212">
        <v>89</v>
      </c>
      <c r="CW246" s="2208"/>
      <c r="CX246" s="263"/>
      <c r="CY246" s="2208"/>
      <c r="CZ246" s="263"/>
      <c r="DA246" s="263"/>
      <c r="DB246" s="263"/>
      <c r="DC246" s="263"/>
      <c r="DD246" s="2208"/>
    </row>
    <row r="247" spans="1:108">
      <c r="A247" s="2217">
        <f t="shared" si="135"/>
        <v>18.006208245664308</v>
      </c>
      <c r="B247" s="2217">
        <f t="shared" si="117"/>
        <v>6979.2616349463033</v>
      </c>
      <c r="C247" s="2217">
        <f t="shared" si="125"/>
        <v>25.483659344055923</v>
      </c>
      <c r="D247" s="2212">
        <v>88</v>
      </c>
      <c r="E247" s="2219"/>
      <c r="F247" s="2213"/>
      <c r="G247" s="2219"/>
      <c r="H247" s="2213"/>
      <c r="I247" s="2213"/>
      <c r="J247" s="2213"/>
      <c r="K247" s="2213"/>
      <c r="L247" s="2213"/>
      <c r="M247" s="2217">
        <f t="shared" si="136"/>
        <v>19.790064399748225</v>
      </c>
      <c r="N247" s="2217">
        <f t="shared" si="118"/>
        <v>6979.2616349463033</v>
      </c>
      <c r="O247" s="2217">
        <f t="shared" si="126"/>
        <v>25.483659344055923</v>
      </c>
      <c r="P247" s="2212">
        <v>88</v>
      </c>
      <c r="Q247" s="2219"/>
      <c r="R247" s="2213"/>
      <c r="S247" s="2219"/>
      <c r="T247" s="2213"/>
      <c r="U247" s="2213"/>
      <c r="V247" s="2213"/>
      <c r="W247" s="2213"/>
      <c r="X247" s="2213"/>
      <c r="Y247" s="2217">
        <f t="shared" si="137"/>
        <v>22.083593740713258</v>
      </c>
      <c r="Z247" s="2217">
        <f t="shared" si="127"/>
        <v>6979.2616349463033</v>
      </c>
      <c r="AA247" s="2217">
        <f t="shared" si="128"/>
        <v>25.483659344055923</v>
      </c>
      <c r="AB247" s="2212">
        <v>88</v>
      </c>
      <c r="AC247" s="2219"/>
      <c r="AD247" s="2213"/>
      <c r="AE247" s="2219"/>
      <c r="AF247" s="2213"/>
      <c r="AG247" s="2213"/>
      <c r="AH247" s="2213"/>
      <c r="AI247" s="2213"/>
      <c r="AJ247" s="2213"/>
      <c r="AK247" s="2217">
        <f t="shared" si="138"/>
        <v>11.125620222769207</v>
      </c>
      <c r="AL247" s="2217">
        <f t="shared" si="119"/>
        <v>6979.2616349463033</v>
      </c>
      <c r="AM247" s="2217">
        <f t="shared" si="129"/>
        <v>25.483659344055923</v>
      </c>
      <c r="AN247" s="2212">
        <v>88</v>
      </c>
      <c r="AO247" s="2219"/>
      <c r="AP247" s="2213"/>
      <c r="AQ247" s="2219"/>
      <c r="AR247" s="2213"/>
      <c r="AS247" s="2213"/>
      <c r="AT247" s="2213"/>
      <c r="AU247" s="2213"/>
      <c r="AV247" s="2213"/>
      <c r="AW247" s="2217">
        <f t="shared" si="139"/>
        <v>8.9106391745968168</v>
      </c>
      <c r="AX247" s="2217">
        <f t="shared" si="130"/>
        <v>5832.408921129294</v>
      </c>
      <c r="AY247" s="2217">
        <f t="shared" si="120"/>
        <v>19.066640730751715</v>
      </c>
      <c r="AZ247" s="2212">
        <v>88</v>
      </c>
      <c r="BA247" s="2208"/>
      <c r="BB247" s="263"/>
      <c r="BC247" s="2208"/>
      <c r="BD247" s="263"/>
      <c r="BE247" s="263"/>
      <c r="BF247" s="263"/>
      <c r="BG247" s="263"/>
      <c r="BH247" s="2208"/>
      <c r="BI247" s="2217">
        <f t="shared" si="140"/>
        <v>14.821297801129852</v>
      </c>
      <c r="BJ247" s="2217">
        <f t="shared" si="131"/>
        <v>5832.408921129294</v>
      </c>
      <c r="BK247" s="2217">
        <f t="shared" si="121"/>
        <v>19.066640730751715</v>
      </c>
      <c r="BL247" s="2212">
        <v>88</v>
      </c>
      <c r="BM247" s="2208"/>
      <c r="BN247" s="263"/>
      <c r="BO247" s="2208"/>
      <c r="BP247" s="263"/>
      <c r="BQ247" s="263"/>
      <c r="BR247" s="263"/>
      <c r="BS247" s="263"/>
      <c r="BT247" s="2208"/>
      <c r="BU247" s="2217">
        <f t="shared" si="141"/>
        <v>11.125620222769207</v>
      </c>
      <c r="BV247" s="2217">
        <f t="shared" si="122"/>
        <v>6979.2616349463033</v>
      </c>
      <c r="BW247" s="2217">
        <f t="shared" si="132"/>
        <v>25.483659344055923</v>
      </c>
      <c r="BX247" s="2212">
        <v>88</v>
      </c>
      <c r="BY247" s="2219"/>
      <c r="BZ247" s="2213"/>
      <c r="CA247" s="2219"/>
      <c r="CB247" s="2213"/>
      <c r="CC247" s="2213"/>
      <c r="CD247" s="2213"/>
      <c r="CE247" s="2213"/>
      <c r="CF247" s="2208"/>
      <c r="CG247" s="2217">
        <f t="shared" si="142"/>
        <v>14.183659344055922</v>
      </c>
      <c r="CH247" s="2217">
        <f t="shared" si="123"/>
        <v>6979.2616349463033</v>
      </c>
      <c r="CI247" s="2217">
        <f t="shared" si="133"/>
        <v>25.483659344055923</v>
      </c>
      <c r="CJ247" s="2212">
        <v>88</v>
      </c>
      <c r="CK247" s="2219"/>
      <c r="CL247" s="2213"/>
      <c r="CM247" s="2219"/>
      <c r="CN247" s="2213"/>
      <c r="CO247" s="2213"/>
      <c r="CP247" s="2213"/>
      <c r="CQ247" s="2213"/>
      <c r="CR247" s="2208"/>
      <c r="CS247" s="2217">
        <f t="shared" si="143"/>
        <v>14.439964986514816</v>
      </c>
      <c r="CT247" s="2217">
        <f t="shared" si="134"/>
        <v>5832.408921129294</v>
      </c>
      <c r="CU247" s="2217">
        <f t="shared" si="124"/>
        <v>19.066640730751715</v>
      </c>
      <c r="CV247" s="2212">
        <v>88</v>
      </c>
      <c r="CW247" s="2208"/>
      <c r="CX247" s="263"/>
      <c r="CY247" s="2208"/>
      <c r="CZ247" s="263"/>
      <c r="DA247" s="263"/>
      <c r="DB247" s="263"/>
      <c r="DC247" s="263"/>
      <c r="DD247" s="2208"/>
    </row>
    <row r="248" spans="1:108">
      <c r="A248" s="2217">
        <f t="shared" si="135"/>
        <v>18.271599016174285</v>
      </c>
      <c r="B248" s="2217">
        <f t="shared" si="117"/>
        <v>6953.7779756022474</v>
      </c>
      <c r="C248" s="2217">
        <f t="shared" si="125"/>
        <v>25.714433927108075</v>
      </c>
      <c r="D248" s="2212">
        <v>87</v>
      </c>
      <c r="E248" s="2219"/>
      <c r="F248" s="2213"/>
      <c r="G248" s="2219"/>
      <c r="H248" s="2213"/>
      <c r="I248" s="2213"/>
      <c r="J248" s="2213"/>
      <c r="K248" s="2213"/>
      <c r="L248" s="2213"/>
      <c r="M248" s="2217">
        <f t="shared" si="136"/>
        <v>20.071609391071849</v>
      </c>
      <c r="N248" s="2217">
        <f t="shared" si="118"/>
        <v>6953.7779756022474</v>
      </c>
      <c r="O248" s="2217">
        <f t="shared" si="126"/>
        <v>25.714433927108075</v>
      </c>
      <c r="P248" s="2212">
        <v>87</v>
      </c>
      <c r="Q248" s="2219"/>
      <c r="R248" s="2213"/>
      <c r="S248" s="2219"/>
      <c r="T248" s="2213"/>
      <c r="U248" s="2213"/>
      <c r="V248" s="2213"/>
      <c r="W248" s="2213"/>
      <c r="X248" s="2213"/>
      <c r="Y248" s="2217">
        <f t="shared" si="137"/>
        <v>22.385908444511582</v>
      </c>
      <c r="Z248" s="2217">
        <f t="shared" si="127"/>
        <v>6953.7779756022474</v>
      </c>
      <c r="AA248" s="2217">
        <f t="shared" si="128"/>
        <v>25.714433927108075</v>
      </c>
      <c r="AB248" s="2212">
        <v>87</v>
      </c>
      <c r="AC248" s="2219"/>
      <c r="AD248" s="2213"/>
      <c r="AE248" s="2219"/>
      <c r="AF248" s="2213"/>
      <c r="AG248" s="2213"/>
      <c r="AH248" s="2213"/>
      <c r="AI248" s="2213"/>
      <c r="AJ248" s="2213"/>
      <c r="AK248" s="2217">
        <f t="shared" si="138"/>
        <v>11.328701855855101</v>
      </c>
      <c r="AL248" s="2217">
        <f t="shared" si="119"/>
        <v>6953.7779756022474</v>
      </c>
      <c r="AM248" s="2217">
        <f t="shared" si="129"/>
        <v>25.714433927108075</v>
      </c>
      <c r="AN248" s="2212">
        <v>87</v>
      </c>
      <c r="AO248" s="2219"/>
      <c r="AP248" s="2213"/>
      <c r="AQ248" s="2219"/>
      <c r="AR248" s="2213"/>
      <c r="AS248" s="2213"/>
      <c r="AT248" s="2213"/>
      <c r="AU248" s="2213"/>
      <c r="AV248" s="2213"/>
      <c r="AW248" s="2217">
        <f t="shared" si="139"/>
        <v>9.2424207345389</v>
      </c>
      <c r="AX248" s="2217">
        <f t="shared" si="130"/>
        <v>5813.3422803985422</v>
      </c>
      <c r="AY248" s="2217">
        <f t="shared" si="120"/>
        <v>19.379642202395189</v>
      </c>
      <c r="AZ248" s="2212">
        <v>87</v>
      </c>
      <c r="BA248" s="2208"/>
      <c r="BB248" s="263"/>
      <c r="BC248" s="2208"/>
      <c r="BD248" s="263"/>
      <c r="BE248" s="263"/>
      <c r="BF248" s="263"/>
      <c r="BG248" s="263"/>
      <c r="BH248" s="2208"/>
      <c r="BI248" s="2217">
        <f t="shared" si="140"/>
        <v>15.250109817281409</v>
      </c>
      <c r="BJ248" s="2217">
        <f t="shared" si="131"/>
        <v>5813.3422803985422</v>
      </c>
      <c r="BK248" s="2217">
        <f t="shared" si="121"/>
        <v>19.379642202395189</v>
      </c>
      <c r="BL248" s="2212">
        <v>87</v>
      </c>
      <c r="BM248" s="2208"/>
      <c r="BN248" s="263"/>
      <c r="BO248" s="2208"/>
      <c r="BP248" s="263"/>
      <c r="BQ248" s="263"/>
      <c r="BR248" s="263"/>
      <c r="BS248" s="263"/>
      <c r="BT248" s="2208"/>
      <c r="BU248" s="2217">
        <f t="shared" si="141"/>
        <v>11.328701855855101</v>
      </c>
      <c r="BV248" s="2217">
        <f t="shared" si="122"/>
        <v>6953.7779756022474</v>
      </c>
      <c r="BW248" s="2217">
        <f t="shared" si="132"/>
        <v>25.714433927108075</v>
      </c>
      <c r="BX248" s="2212">
        <v>87</v>
      </c>
      <c r="BY248" s="2219"/>
      <c r="BZ248" s="2213"/>
      <c r="CA248" s="2219"/>
      <c r="CB248" s="2213"/>
      <c r="CC248" s="2213"/>
      <c r="CD248" s="2213"/>
      <c r="CE248" s="2213"/>
      <c r="CF248" s="2208"/>
      <c r="CG248" s="2217">
        <f t="shared" si="142"/>
        <v>14.414433927108075</v>
      </c>
      <c r="CH248" s="2217">
        <f t="shared" si="123"/>
        <v>6953.7779756022474</v>
      </c>
      <c r="CI248" s="2217">
        <f t="shared" si="133"/>
        <v>25.714433927108075</v>
      </c>
      <c r="CJ248" s="2212">
        <v>87</v>
      </c>
      <c r="CK248" s="2219"/>
      <c r="CL248" s="2213"/>
      <c r="CM248" s="2219"/>
      <c r="CN248" s="2213"/>
      <c r="CO248" s="2213"/>
      <c r="CP248" s="2213"/>
      <c r="CQ248" s="2213"/>
      <c r="CR248" s="2208"/>
      <c r="CS248" s="2217">
        <f t="shared" si="143"/>
        <v>14.862516973233507</v>
      </c>
      <c r="CT248" s="2217">
        <f t="shared" si="134"/>
        <v>5813.3422803985422</v>
      </c>
      <c r="CU248" s="2217">
        <f t="shared" si="124"/>
        <v>19.379642202395189</v>
      </c>
      <c r="CV248" s="2212">
        <v>87</v>
      </c>
      <c r="CW248" s="2208"/>
      <c r="CX248" s="263"/>
      <c r="CY248" s="2208"/>
      <c r="CZ248" s="263"/>
      <c r="DA248" s="263"/>
      <c r="DB248" s="263"/>
      <c r="DC248" s="263"/>
      <c r="DD248" s="2208"/>
    </row>
    <row r="249" spans="1:108">
      <c r="A249" s="2217">
        <f t="shared" si="135"/>
        <v>18.537958694196227</v>
      </c>
      <c r="B249" s="2217">
        <f t="shared" si="117"/>
        <v>6928.0635416751393</v>
      </c>
      <c r="C249" s="2217">
        <f t="shared" si="125"/>
        <v>25.946051038431506</v>
      </c>
      <c r="D249" s="2212">
        <v>86</v>
      </c>
      <c r="E249" s="2219"/>
      <c r="F249" s="2213"/>
      <c r="G249" s="2219"/>
      <c r="H249" s="2213"/>
      <c r="I249" s="2213"/>
      <c r="J249" s="2213"/>
      <c r="K249" s="2213"/>
      <c r="L249" s="2213"/>
      <c r="M249" s="2217">
        <f t="shared" si="136"/>
        <v>20.354182266886436</v>
      </c>
      <c r="N249" s="2217">
        <f t="shared" si="118"/>
        <v>6928.0635416751393</v>
      </c>
      <c r="O249" s="2217">
        <f t="shared" si="126"/>
        <v>25.946051038431506</v>
      </c>
      <c r="P249" s="2212">
        <v>86</v>
      </c>
      <c r="Q249" s="2219"/>
      <c r="R249" s="2213"/>
      <c r="S249" s="2219"/>
      <c r="T249" s="2213"/>
      <c r="U249" s="2213"/>
      <c r="V249" s="2213"/>
      <c r="W249" s="2213"/>
      <c r="X249" s="2213"/>
      <c r="Y249" s="2217">
        <f t="shared" si="137"/>
        <v>22.689326860345272</v>
      </c>
      <c r="Z249" s="2217">
        <f t="shared" si="127"/>
        <v>6928.0635416751393</v>
      </c>
      <c r="AA249" s="2217">
        <f t="shared" si="128"/>
        <v>25.946051038431506</v>
      </c>
      <c r="AB249" s="2212">
        <v>86</v>
      </c>
      <c r="AC249" s="2219"/>
      <c r="AD249" s="2213"/>
      <c r="AE249" s="2219"/>
      <c r="AF249" s="2213"/>
      <c r="AG249" s="2213"/>
      <c r="AH249" s="2213"/>
      <c r="AI249" s="2213"/>
      <c r="AJ249" s="2213"/>
      <c r="AK249" s="2217">
        <f t="shared" si="138"/>
        <v>11.532524913819721</v>
      </c>
      <c r="AL249" s="2217">
        <f t="shared" si="119"/>
        <v>6928.0635416751393</v>
      </c>
      <c r="AM249" s="2217">
        <f t="shared" si="129"/>
        <v>25.946051038431506</v>
      </c>
      <c r="AN249" s="2212">
        <v>86</v>
      </c>
      <c r="AO249" s="2219"/>
      <c r="AP249" s="2213"/>
      <c r="AQ249" s="2219"/>
      <c r="AR249" s="2213"/>
      <c r="AS249" s="2213"/>
      <c r="AT249" s="2213"/>
      <c r="AU249" s="2213"/>
      <c r="AV249" s="2213"/>
      <c r="AW249" s="2217">
        <f t="shared" si="139"/>
        <v>9.5740370145059757</v>
      </c>
      <c r="AX249" s="2217">
        <f t="shared" si="130"/>
        <v>5793.9626381961471</v>
      </c>
      <c r="AY249" s="2217">
        <f t="shared" si="120"/>
        <v>19.692487749533939</v>
      </c>
      <c r="AZ249" s="2212">
        <v>86</v>
      </c>
      <c r="BA249" s="2208"/>
      <c r="BB249" s="263"/>
      <c r="BC249" s="2208"/>
      <c r="BD249" s="263"/>
      <c r="BE249" s="263"/>
      <c r="BF249" s="263"/>
      <c r="BG249" s="263"/>
      <c r="BH249" s="2208"/>
      <c r="BI249" s="2217">
        <f t="shared" si="140"/>
        <v>15.678708216861498</v>
      </c>
      <c r="BJ249" s="2217">
        <f t="shared" si="131"/>
        <v>5793.9626381961471</v>
      </c>
      <c r="BK249" s="2217">
        <f t="shared" si="121"/>
        <v>19.692487749533939</v>
      </c>
      <c r="BL249" s="2212">
        <v>86</v>
      </c>
      <c r="BM249" s="2208"/>
      <c r="BN249" s="263"/>
      <c r="BO249" s="2208"/>
      <c r="BP249" s="263"/>
      <c r="BQ249" s="263"/>
      <c r="BR249" s="263"/>
      <c r="BS249" s="263"/>
      <c r="BT249" s="2208"/>
      <c r="BU249" s="2217">
        <f t="shared" si="141"/>
        <v>11.532524913819721</v>
      </c>
      <c r="BV249" s="2217">
        <f t="shared" si="122"/>
        <v>6928.0635416751393</v>
      </c>
      <c r="BW249" s="2217">
        <f t="shared" si="132"/>
        <v>25.946051038431506</v>
      </c>
      <c r="BX249" s="2212">
        <v>86</v>
      </c>
      <c r="BY249" s="2219"/>
      <c r="BZ249" s="2213"/>
      <c r="CA249" s="2219"/>
      <c r="CB249" s="2213"/>
      <c r="CC249" s="2213"/>
      <c r="CD249" s="2213"/>
      <c r="CE249" s="2213"/>
      <c r="CF249" s="2208"/>
      <c r="CG249" s="2217">
        <f t="shared" si="142"/>
        <v>14.646051038431505</v>
      </c>
      <c r="CH249" s="2217">
        <f t="shared" si="123"/>
        <v>6928.0635416751393</v>
      </c>
      <c r="CI249" s="2217">
        <f t="shared" si="133"/>
        <v>25.946051038431506</v>
      </c>
      <c r="CJ249" s="2212">
        <v>86</v>
      </c>
      <c r="CK249" s="2219"/>
      <c r="CL249" s="2213"/>
      <c r="CM249" s="2219"/>
      <c r="CN249" s="2213"/>
      <c r="CO249" s="2213"/>
      <c r="CP249" s="2213"/>
      <c r="CQ249" s="2213"/>
      <c r="CR249" s="2208"/>
      <c r="CS249" s="2217">
        <f t="shared" si="143"/>
        <v>15.284858461870819</v>
      </c>
      <c r="CT249" s="2217">
        <f t="shared" si="134"/>
        <v>5793.9626381961471</v>
      </c>
      <c r="CU249" s="2217">
        <f t="shared" si="124"/>
        <v>19.692487749533939</v>
      </c>
      <c r="CV249" s="2212">
        <v>86</v>
      </c>
      <c r="CW249" s="2208"/>
      <c r="CX249" s="263"/>
      <c r="CY249" s="2208"/>
      <c r="CZ249" s="263"/>
      <c r="DA249" s="263"/>
      <c r="DB249" s="263"/>
      <c r="DC249" s="263"/>
      <c r="DD249" s="2208"/>
    </row>
    <row r="250" spans="1:108">
      <c r="A250" s="2217">
        <f t="shared" si="135"/>
        <v>18.805287279727004</v>
      </c>
      <c r="B250" s="2217">
        <f t="shared" si="117"/>
        <v>6902.1174906367078</v>
      </c>
      <c r="C250" s="2217">
        <f t="shared" si="125"/>
        <v>26.178510678023486</v>
      </c>
      <c r="D250" s="2212">
        <v>85</v>
      </c>
      <c r="E250" s="2219"/>
      <c r="F250" s="2213"/>
      <c r="G250" s="2219"/>
      <c r="H250" s="2213"/>
      <c r="I250" s="2213"/>
      <c r="J250" s="2213"/>
      <c r="K250" s="2213"/>
      <c r="L250" s="2213"/>
      <c r="M250" s="2217">
        <f t="shared" si="136"/>
        <v>20.63778302718865</v>
      </c>
      <c r="N250" s="2217">
        <f t="shared" si="118"/>
        <v>6902.1174906367078</v>
      </c>
      <c r="O250" s="2217">
        <f t="shared" si="126"/>
        <v>26.178510678023486</v>
      </c>
      <c r="P250" s="2212">
        <v>85</v>
      </c>
      <c r="Q250" s="2219"/>
      <c r="R250" s="2213"/>
      <c r="S250" s="2219"/>
      <c r="T250" s="2213"/>
      <c r="U250" s="2213"/>
      <c r="V250" s="2213"/>
      <c r="W250" s="2213"/>
      <c r="X250" s="2213"/>
      <c r="Y250" s="2217">
        <f t="shared" si="137"/>
        <v>22.993848988210768</v>
      </c>
      <c r="Z250" s="2217">
        <f t="shared" si="127"/>
        <v>6902.1174906367078</v>
      </c>
      <c r="AA250" s="2217">
        <f t="shared" si="128"/>
        <v>26.178510678023486</v>
      </c>
      <c r="AB250" s="2212">
        <v>85</v>
      </c>
      <c r="AC250" s="2219"/>
      <c r="AD250" s="2213"/>
      <c r="AE250" s="2219"/>
      <c r="AF250" s="2213"/>
      <c r="AG250" s="2213"/>
      <c r="AH250" s="2213"/>
      <c r="AI250" s="2213"/>
      <c r="AJ250" s="2213"/>
      <c r="AK250" s="2217">
        <f t="shared" si="138"/>
        <v>11.737089396660664</v>
      </c>
      <c r="AL250" s="2217">
        <f t="shared" si="119"/>
        <v>6902.1174906367078</v>
      </c>
      <c r="AM250" s="2217">
        <f t="shared" si="129"/>
        <v>26.178510678023486</v>
      </c>
      <c r="AN250" s="2212">
        <v>85</v>
      </c>
      <c r="AO250" s="2219"/>
      <c r="AP250" s="2213"/>
      <c r="AQ250" s="2219"/>
      <c r="AR250" s="2213"/>
      <c r="AS250" s="2213"/>
      <c r="AT250" s="2213"/>
      <c r="AU250" s="2213"/>
      <c r="AV250" s="2213"/>
      <c r="AW250" s="2217">
        <f t="shared" si="139"/>
        <v>9.9054880145096114</v>
      </c>
      <c r="AX250" s="2217">
        <f t="shared" si="130"/>
        <v>5774.2701504466131</v>
      </c>
      <c r="AY250" s="2217">
        <f t="shared" si="120"/>
        <v>20.005177372178878</v>
      </c>
      <c r="AZ250" s="2212">
        <v>85</v>
      </c>
      <c r="BA250" s="2208"/>
      <c r="BB250" s="263"/>
      <c r="BC250" s="2208"/>
      <c r="BD250" s="263"/>
      <c r="BE250" s="263"/>
      <c r="BF250" s="263"/>
      <c r="BG250" s="263"/>
      <c r="BH250" s="2208"/>
      <c r="BI250" s="2217">
        <f t="shared" si="140"/>
        <v>16.107092999885065</v>
      </c>
      <c r="BJ250" s="2217">
        <f t="shared" si="131"/>
        <v>5774.2701504466131</v>
      </c>
      <c r="BK250" s="2217">
        <f t="shared" si="121"/>
        <v>20.005177372178878</v>
      </c>
      <c r="BL250" s="2212">
        <v>85</v>
      </c>
      <c r="BM250" s="2208"/>
      <c r="BN250" s="263"/>
      <c r="BO250" s="2208"/>
      <c r="BP250" s="263"/>
      <c r="BQ250" s="263"/>
      <c r="BR250" s="263"/>
      <c r="BS250" s="263"/>
      <c r="BT250" s="2208"/>
      <c r="BU250" s="2217">
        <f t="shared" si="141"/>
        <v>11.737089396660664</v>
      </c>
      <c r="BV250" s="2217">
        <f t="shared" si="122"/>
        <v>6902.1174906367078</v>
      </c>
      <c r="BW250" s="2217">
        <f t="shared" si="132"/>
        <v>26.178510678023486</v>
      </c>
      <c r="BX250" s="2212">
        <v>85</v>
      </c>
      <c r="BY250" s="2219"/>
      <c r="BZ250" s="2213"/>
      <c r="CA250" s="2219"/>
      <c r="CB250" s="2213"/>
      <c r="CC250" s="2213"/>
      <c r="CD250" s="2213"/>
      <c r="CE250" s="2213"/>
      <c r="CF250" s="2208"/>
      <c r="CG250" s="2217">
        <f t="shared" si="142"/>
        <v>14.878510678023485</v>
      </c>
      <c r="CH250" s="2217">
        <f t="shared" si="123"/>
        <v>6902.1174906367078</v>
      </c>
      <c r="CI250" s="2217">
        <f t="shared" si="133"/>
        <v>26.178510678023486</v>
      </c>
      <c r="CJ250" s="2212">
        <v>85</v>
      </c>
      <c r="CK250" s="2219"/>
      <c r="CL250" s="2213"/>
      <c r="CM250" s="2219"/>
      <c r="CN250" s="2213"/>
      <c r="CO250" s="2213"/>
      <c r="CP250" s="2213"/>
      <c r="CQ250" s="2213"/>
      <c r="CR250" s="2208"/>
      <c r="CS250" s="2217">
        <f t="shared" si="143"/>
        <v>15.706989452441487</v>
      </c>
      <c r="CT250" s="2217">
        <f t="shared" si="134"/>
        <v>5774.2701504466131</v>
      </c>
      <c r="CU250" s="2217">
        <f t="shared" si="124"/>
        <v>20.005177372178878</v>
      </c>
      <c r="CV250" s="2212">
        <v>85</v>
      </c>
      <c r="CW250" s="2208"/>
      <c r="CX250" s="263"/>
      <c r="CY250" s="2208"/>
      <c r="CZ250" s="263"/>
      <c r="DA250" s="263"/>
      <c r="DB250" s="263"/>
      <c r="DC250" s="263"/>
      <c r="DD250" s="2208"/>
    </row>
    <row r="251" spans="1:108">
      <c r="A251" s="2217">
        <f t="shared" si="135"/>
        <v>19.073584772765567</v>
      </c>
      <c r="B251" s="2217">
        <f t="shared" si="117"/>
        <v>6875.9389799586843</v>
      </c>
      <c r="C251" s="2217">
        <f t="shared" si="125"/>
        <v>26.411812845883105</v>
      </c>
      <c r="D251" s="2212">
        <v>84</v>
      </c>
      <c r="E251" s="2219"/>
      <c r="F251" s="2213"/>
      <c r="G251" s="2219"/>
      <c r="H251" s="2213"/>
      <c r="I251" s="2213"/>
      <c r="J251" s="2213"/>
      <c r="K251" s="2213"/>
      <c r="L251" s="2213"/>
      <c r="M251" s="2217">
        <f t="shared" si="136"/>
        <v>20.92241167197739</v>
      </c>
      <c r="N251" s="2217">
        <f t="shared" si="118"/>
        <v>6875.9389799586843</v>
      </c>
      <c r="O251" s="2217">
        <f t="shared" si="126"/>
        <v>26.411812845883105</v>
      </c>
      <c r="P251" s="2212">
        <v>84</v>
      </c>
      <c r="Q251" s="2219"/>
      <c r="R251" s="2213"/>
      <c r="S251" s="2219"/>
      <c r="T251" s="2213"/>
      <c r="U251" s="2213"/>
      <c r="V251" s="2213"/>
      <c r="W251" s="2213"/>
      <c r="X251" s="2213"/>
      <c r="Y251" s="2217">
        <f t="shared" si="137"/>
        <v>23.29947482810687</v>
      </c>
      <c r="Z251" s="2217">
        <f t="shared" si="127"/>
        <v>6875.9389799586843</v>
      </c>
      <c r="AA251" s="2217">
        <f t="shared" si="128"/>
        <v>26.411812845883105</v>
      </c>
      <c r="AB251" s="2212">
        <v>84</v>
      </c>
      <c r="AC251" s="2219"/>
      <c r="AD251" s="2213"/>
      <c r="AE251" s="2219"/>
      <c r="AF251" s="2213"/>
      <c r="AG251" s="2213"/>
      <c r="AH251" s="2213"/>
      <c r="AI251" s="2213"/>
      <c r="AJ251" s="2213"/>
      <c r="AK251" s="2217">
        <f t="shared" si="138"/>
        <v>11.942395304377129</v>
      </c>
      <c r="AL251" s="2217">
        <f t="shared" si="119"/>
        <v>6875.9389799586843</v>
      </c>
      <c r="AM251" s="2217">
        <f t="shared" si="129"/>
        <v>26.411812845883105</v>
      </c>
      <c r="AN251" s="2212">
        <v>84</v>
      </c>
      <c r="AO251" s="2219"/>
      <c r="AP251" s="2213"/>
      <c r="AQ251" s="2219"/>
      <c r="AR251" s="2213"/>
      <c r="AS251" s="2213"/>
      <c r="AT251" s="2213"/>
      <c r="AU251" s="2213"/>
      <c r="AV251" s="2213"/>
      <c r="AW251" s="2217">
        <f t="shared" si="139"/>
        <v>10.236773734534381</v>
      </c>
      <c r="AX251" s="2217">
        <f t="shared" si="130"/>
        <v>5754.2649730744342</v>
      </c>
      <c r="AY251" s="2217">
        <f t="shared" si="120"/>
        <v>20.317711070315454</v>
      </c>
      <c r="AZ251" s="2212">
        <v>84</v>
      </c>
      <c r="BA251" s="2208"/>
      <c r="BB251" s="263"/>
      <c r="BC251" s="2208"/>
      <c r="BD251" s="263"/>
      <c r="BE251" s="263"/>
      <c r="BF251" s="263"/>
      <c r="BG251" s="263"/>
      <c r="BH251" s="2208"/>
      <c r="BI251" s="2217">
        <f t="shared" si="140"/>
        <v>16.535264166332173</v>
      </c>
      <c r="BJ251" s="2217">
        <f t="shared" si="131"/>
        <v>5754.2649730744342</v>
      </c>
      <c r="BK251" s="2217">
        <f t="shared" si="121"/>
        <v>20.317711070315454</v>
      </c>
      <c r="BL251" s="2212">
        <v>84</v>
      </c>
      <c r="BM251" s="2208"/>
      <c r="BN251" s="263"/>
      <c r="BO251" s="2208"/>
      <c r="BP251" s="263"/>
      <c r="BQ251" s="263"/>
      <c r="BR251" s="263"/>
      <c r="BS251" s="263"/>
      <c r="BT251" s="2208"/>
      <c r="BU251" s="2217">
        <f t="shared" si="141"/>
        <v>11.942395304377129</v>
      </c>
      <c r="BV251" s="2217">
        <f t="shared" si="122"/>
        <v>6875.9389799586843</v>
      </c>
      <c r="BW251" s="2217">
        <f t="shared" si="132"/>
        <v>26.411812845883105</v>
      </c>
      <c r="BX251" s="2212">
        <v>84</v>
      </c>
      <c r="BY251" s="2219"/>
      <c r="BZ251" s="2213"/>
      <c r="CA251" s="2219"/>
      <c r="CB251" s="2213"/>
      <c r="CC251" s="2213"/>
      <c r="CD251" s="2213"/>
      <c r="CE251" s="2213"/>
      <c r="CF251" s="2208"/>
      <c r="CG251" s="2217">
        <f t="shared" si="142"/>
        <v>15.111812845883104</v>
      </c>
      <c r="CH251" s="2217">
        <f t="shared" si="123"/>
        <v>6875.9389799586843</v>
      </c>
      <c r="CI251" s="2217">
        <f t="shared" si="133"/>
        <v>26.411812845883105</v>
      </c>
      <c r="CJ251" s="2212">
        <v>84</v>
      </c>
      <c r="CK251" s="2219"/>
      <c r="CL251" s="2213"/>
      <c r="CM251" s="2219"/>
      <c r="CN251" s="2213"/>
      <c r="CO251" s="2213"/>
      <c r="CP251" s="2213"/>
      <c r="CQ251" s="2213"/>
      <c r="CR251" s="2208"/>
      <c r="CS251" s="2217">
        <f t="shared" si="143"/>
        <v>16.128909944925866</v>
      </c>
      <c r="CT251" s="2217">
        <f t="shared" si="134"/>
        <v>5754.2649730744342</v>
      </c>
      <c r="CU251" s="2217">
        <f t="shared" si="124"/>
        <v>20.317711070315454</v>
      </c>
      <c r="CV251" s="2212">
        <v>84</v>
      </c>
      <c r="CW251" s="2208"/>
      <c r="CX251" s="263"/>
      <c r="CY251" s="2208"/>
      <c r="CZ251" s="263"/>
      <c r="DA251" s="263"/>
      <c r="DB251" s="263"/>
      <c r="DC251" s="263"/>
      <c r="DD251" s="2208"/>
    </row>
    <row r="252" spans="1:108">
      <c r="A252" s="2217">
        <f t="shared" si="135"/>
        <v>19.342851173319239</v>
      </c>
      <c r="B252" s="2217">
        <f t="shared" si="117"/>
        <v>6849.5271671128012</v>
      </c>
      <c r="C252" s="2217">
        <f t="shared" si="125"/>
        <v>26.645957542016731</v>
      </c>
      <c r="D252" s="2212">
        <v>83</v>
      </c>
      <c r="E252" s="2219"/>
      <c r="F252" s="2213"/>
      <c r="G252" s="2219"/>
      <c r="H252" s="2213"/>
      <c r="I252" s="2213"/>
      <c r="J252" s="2213"/>
      <c r="K252" s="2213"/>
      <c r="L252" s="2213"/>
      <c r="M252" s="2217">
        <f t="shared" si="136"/>
        <v>21.208068201260414</v>
      </c>
      <c r="N252" s="2217">
        <f t="shared" si="118"/>
        <v>6849.5271671128012</v>
      </c>
      <c r="O252" s="2217">
        <f t="shared" si="126"/>
        <v>26.645957542016731</v>
      </c>
      <c r="P252" s="2212">
        <v>83</v>
      </c>
      <c r="Q252" s="2219"/>
      <c r="R252" s="2213"/>
      <c r="S252" s="2219"/>
      <c r="T252" s="2213"/>
      <c r="U252" s="2213"/>
      <c r="V252" s="2213"/>
      <c r="W252" s="2213"/>
      <c r="X252" s="2213"/>
      <c r="Y252" s="2217">
        <f t="shared" si="137"/>
        <v>23.60620438004192</v>
      </c>
      <c r="Z252" s="2217">
        <f t="shared" si="127"/>
        <v>6849.5271671128012</v>
      </c>
      <c r="AA252" s="2217">
        <f t="shared" si="128"/>
        <v>26.645957542016731</v>
      </c>
      <c r="AB252" s="2212">
        <v>83</v>
      </c>
      <c r="AC252" s="2219"/>
      <c r="AD252" s="2213"/>
      <c r="AE252" s="2219"/>
      <c r="AF252" s="2213"/>
      <c r="AG252" s="2213"/>
      <c r="AH252" s="2213"/>
      <c r="AI252" s="2213"/>
      <c r="AJ252" s="2213"/>
      <c r="AK252" s="2217">
        <f t="shared" si="138"/>
        <v>12.148442636974721</v>
      </c>
      <c r="AL252" s="2217">
        <f t="shared" si="119"/>
        <v>6849.5271671128012</v>
      </c>
      <c r="AM252" s="2217">
        <f t="shared" si="129"/>
        <v>26.645957542016731</v>
      </c>
      <c r="AN252" s="2212">
        <v>83</v>
      </c>
      <c r="AO252" s="2219"/>
      <c r="AP252" s="2213"/>
      <c r="AQ252" s="2219"/>
      <c r="AR252" s="2213"/>
      <c r="AS252" s="2213"/>
      <c r="AT252" s="2213"/>
      <c r="AU252" s="2213"/>
      <c r="AV252" s="2213"/>
      <c r="AW252" s="2217">
        <f t="shared" si="139"/>
        <v>10.567894174594748</v>
      </c>
      <c r="AX252" s="2217">
        <f t="shared" si="130"/>
        <v>5733.9472620041188</v>
      </c>
      <c r="AY252" s="2217">
        <f t="shared" si="120"/>
        <v>20.63008884395731</v>
      </c>
      <c r="AZ252" s="2212">
        <v>83</v>
      </c>
      <c r="BA252" s="2208"/>
      <c r="BB252" s="263"/>
      <c r="BC252" s="2208"/>
      <c r="BD252" s="263"/>
      <c r="BE252" s="263"/>
      <c r="BF252" s="263"/>
      <c r="BG252" s="263"/>
      <c r="BH252" s="2208"/>
      <c r="BI252" s="2217">
        <f t="shared" si="140"/>
        <v>16.963221716221515</v>
      </c>
      <c r="BJ252" s="2217">
        <f t="shared" si="131"/>
        <v>5733.9472620041188</v>
      </c>
      <c r="BK252" s="2217">
        <f t="shared" si="121"/>
        <v>20.63008884395731</v>
      </c>
      <c r="BL252" s="2212">
        <v>83</v>
      </c>
      <c r="BM252" s="2208"/>
      <c r="BN252" s="263"/>
      <c r="BO252" s="2208"/>
      <c r="BP252" s="263"/>
      <c r="BQ252" s="263"/>
      <c r="BR252" s="263"/>
      <c r="BS252" s="263"/>
      <c r="BT252" s="2208"/>
      <c r="BU252" s="2217">
        <f t="shared" si="141"/>
        <v>12.148442636974721</v>
      </c>
      <c r="BV252" s="2217">
        <f t="shared" si="122"/>
        <v>6849.5271671128012</v>
      </c>
      <c r="BW252" s="2217">
        <f t="shared" si="132"/>
        <v>26.645957542016731</v>
      </c>
      <c r="BX252" s="2212">
        <v>83</v>
      </c>
      <c r="BY252" s="2219"/>
      <c r="BZ252" s="2213"/>
      <c r="CA252" s="2219"/>
      <c r="CB252" s="2213"/>
      <c r="CC252" s="2213"/>
      <c r="CD252" s="2213"/>
      <c r="CE252" s="2213"/>
      <c r="CF252" s="2208"/>
      <c r="CG252" s="2217">
        <f t="shared" si="142"/>
        <v>15.34595754201673</v>
      </c>
      <c r="CH252" s="2217">
        <f t="shared" si="123"/>
        <v>6849.5271671128012</v>
      </c>
      <c r="CI252" s="2217">
        <f t="shared" si="133"/>
        <v>26.645957542016731</v>
      </c>
      <c r="CJ252" s="2212">
        <v>83</v>
      </c>
      <c r="CK252" s="2219"/>
      <c r="CL252" s="2213"/>
      <c r="CM252" s="2219"/>
      <c r="CN252" s="2213"/>
      <c r="CO252" s="2213"/>
      <c r="CP252" s="2213"/>
      <c r="CQ252" s="2213"/>
      <c r="CR252" s="2208"/>
      <c r="CS252" s="2217">
        <f t="shared" si="143"/>
        <v>16.550619939342369</v>
      </c>
      <c r="CT252" s="2217">
        <f t="shared" si="134"/>
        <v>5733.9472620041188</v>
      </c>
      <c r="CU252" s="2217">
        <f t="shared" si="124"/>
        <v>20.63008884395731</v>
      </c>
      <c r="CV252" s="2212">
        <v>83</v>
      </c>
      <c r="CW252" s="2208"/>
      <c r="CX252" s="263"/>
      <c r="CY252" s="2208"/>
      <c r="CZ252" s="263"/>
      <c r="DA252" s="263"/>
      <c r="DB252" s="263"/>
      <c r="DC252" s="263"/>
      <c r="DD252" s="2208"/>
    </row>
    <row r="253" spans="1:108">
      <c r="A253" s="2217">
        <f t="shared" si="135"/>
        <v>19.613086481378602</v>
      </c>
      <c r="B253" s="2217">
        <f t="shared" si="117"/>
        <v>6822.8812095707844</v>
      </c>
      <c r="C253" s="2217">
        <f t="shared" si="125"/>
        <v>26.880944766416178</v>
      </c>
      <c r="D253" s="2212">
        <v>82</v>
      </c>
      <c r="E253" s="2219"/>
      <c r="F253" s="2213"/>
      <c r="G253" s="2219"/>
      <c r="H253" s="2213"/>
      <c r="I253" s="2213"/>
      <c r="J253" s="2213"/>
      <c r="K253" s="2213"/>
      <c r="L253" s="2213"/>
      <c r="M253" s="2217">
        <f t="shared" si="136"/>
        <v>21.494752615027739</v>
      </c>
      <c r="N253" s="2217">
        <f t="shared" si="118"/>
        <v>6822.8812095707844</v>
      </c>
      <c r="O253" s="2217">
        <f t="shared" si="126"/>
        <v>26.880944766416178</v>
      </c>
      <c r="P253" s="2212">
        <v>82</v>
      </c>
      <c r="Q253" s="2219"/>
      <c r="R253" s="2213"/>
      <c r="S253" s="2219"/>
      <c r="T253" s="2213"/>
      <c r="U253" s="2213"/>
      <c r="V253" s="2213"/>
      <c r="W253" s="2213"/>
      <c r="X253" s="2213"/>
      <c r="Y253" s="2217">
        <f t="shared" si="137"/>
        <v>23.914037644005194</v>
      </c>
      <c r="Z253" s="2217">
        <f t="shared" si="127"/>
        <v>6822.8812095707844</v>
      </c>
      <c r="AA253" s="2217">
        <f t="shared" si="128"/>
        <v>26.880944766416178</v>
      </c>
      <c r="AB253" s="2212">
        <v>82</v>
      </c>
      <c r="AC253" s="2219"/>
      <c r="AD253" s="2213"/>
      <c r="AE253" s="2219"/>
      <c r="AF253" s="2213"/>
      <c r="AG253" s="2213"/>
      <c r="AH253" s="2213"/>
      <c r="AI253" s="2213"/>
      <c r="AJ253" s="2213"/>
      <c r="AK253" s="2217">
        <f t="shared" si="138"/>
        <v>12.355231394446232</v>
      </c>
      <c r="AL253" s="2217">
        <f t="shared" si="119"/>
        <v>6822.8812095707844</v>
      </c>
      <c r="AM253" s="2217">
        <f t="shared" si="129"/>
        <v>26.880944766416178</v>
      </c>
      <c r="AN253" s="2212">
        <v>82</v>
      </c>
      <c r="AO253" s="2219"/>
      <c r="AP253" s="2213"/>
      <c r="AQ253" s="2219"/>
      <c r="AR253" s="2213"/>
      <c r="AS253" s="2213"/>
      <c r="AT253" s="2213"/>
      <c r="AU253" s="2213"/>
      <c r="AV253" s="2213"/>
      <c r="AW253" s="2217">
        <f t="shared" si="139"/>
        <v>10.898849334683</v>
      </c>
      <c r="AX253" s="2217">
        <f t="shared" si="130"/>
        <v>5713.3171731601615</v>
      </c>
      <c r="AY253" s="2217">
        <f t="shared" si="120"/>
        <v>20.94231069309717</v>
      </c>
      <c r="AZ253" s="2212">
        <v>82</v>
      </c>
      <c r="BA253" s="2208"/>
      <c r="BB253" s="263"/>
      <c r="BC253" s="2208"/>
      <c r="BD253" s="263"/>
      <c r="BE253" s="263"/>
      <c r="BF253" s="263"/>
      <c r="BG253" s="263"/>
      <c r="BH253" s="2208"/>
      <c r="BI253" s="2217">
        <f t="shared" si="140"/>
        <v>17.390965649543123</v>
      </c>
      <c r="BJ253" s="2217">
        <f t="shared" si="131"/>
        <v>5713.3171731601615</v>
      </c>
      <c r="BK253" s="2217">
        <f t="shared" si="121"/>
        <v>20.94231069309717</v>
      </c>
      <c r="BL253" s="2212">
        <v>82</v>
      </c>
      <c r="BM253" s="2208"/>
      <c r="BN253" s="263"/>
      <c r="BO253" s="2208"/>
      <c r="BP253" s="263"/>
      <c r="BQ253" s="263"/>
      <c r="BR253" s="263"/>
      <c r="BS253" s="263"/>
      <c r="BT253" s="2208"/>
      <c r="BU253" s="2217">
        <f t="shared" si="141"/>
        <v>12.355231394446232</v>
      </c>
      <c r="BV253" s="2217">
        <f t="shared" si="122"/>
        <v>6822.8812095707844</v>
      </c>
      <c r="BW253" s="2217">
        <f t="shared" si="132"/>
        <v>26.880944766416178</v>
      </c>
      <c r="BX253" s="2212">
        <v>82</v>
      </c>
      <c r="BY253" s="2219"/>
      <c r="BZ253" s="2213"/>
      <c r="CA253" s="2219"/>
      <c r="CB253" s="2213"/>
      <c r="CC253" s="2213"/>
      <c r="CD253" s="2213"/>
      <c r="CE253" s="2213"/>
      <c r="CF253" s="2208"/>
      <c r="CG253" s="2217">
        <f t="shared" si="142"/>
        <v>15.580944766416177</v>
      </c>
      <c r="CH253" s="2217">
        <f t="shared" si="123"/>
        <v>6822.8812095707844</v>
      </c>
      <c r="CI253" s="2217">
        <f t="shared" si="133"/>
        <v>26.880944766416178</v>
      </c>
      <c r="CJ253" s="2212">
        <v>82</v>
      </c>
      <c r="CK253" s="2219"/>
      <c r="CL253" s="2213"/>
      <c r="CM253" s="2219"/>
      <c r="CN253" s="2213"/>
      <c r="CO253" s="2213"/>
      <c r="CP253" s="2213"/>
      <c r="CQ253" s="2213"/>
      <c r="CR253" s="2208"/>
      <c r="CS253" s="2217">
        <f t="shared" si="143"/>
        <v>16.972119435681179</v>
      </c>
      <c r="CT253" s="2217">
        <f t="shared" si="134"/>
        <v>5713.3171731601615</v>
      </c>
      <c r="CU253" s="2217">
        <f t="shared" si="124"/>
        <v>20.94231069309717</v>
      </c>
      <c r="CV253" s="2212">
        <v>82</v>
      </c>
      <c r="CW253" s="2208"/>
      <c r="CX253" s="263"/>
      <c r="CY253" s="2208"/>
      <c r="CZ253" s="263"/>
      <c r="DA253" s="263"/>
      <c r="DB253" s="263"/>
      <c r="DC253" s="263"/>
      <c r="DD253" s="2208"/>
    </row>
    <row r="254" spans="1:108">
      <c r="A254" s="2217">
        <f t="shared" si="135"/>
        <v>19.884290696949936</v>
      </c>
      <c r="B254" s="2217">
        <f t="shared" si="117"/>
        <v>6796.0002648043683</v>
      </c>
      <c r="C254" s="2217">
        <f t="shared" si="125"/>
        <v>27.116774519086903</v>
      </c>
      <c r="D254" s="2212">
        <v>81</v>
      </c>
      <c r="E254" s="2219"/>
      <c r="F254" s="2213"/>
      <c r="G254" s="2219"/>
      <c r="H254" s="2213"/>
      <c r="I254" s="2213"/>
      <c r="J254" s="2213"/>
      <c r="K254" s="2213"/>
      <c r="L254" s="2213"/>
      <c r="M254" s="2217">
        <f t="shared" si="136"/>
        <v>21.782464913286017</v>
      </c>
      <c r="N254" s="2217">
        <f t="shared" si="118"/>
        <v>6796.0002648043683</v>
      </c>
      <c r="O254" s="2217">
        <f t="shared" si="126"/>
        <v>27.116774519086903</v>
      </c>
      <c r="P254" s="2212">
        <v>81</v>
      </c>
      <c r="Q254" s="2219"/>
      <c r="R254" s="2213"/>
      <c r="S254" s="2219"/>
      <c r="T254" s="2213"/>
      <c r="U254" s="2213"/>
      <c r="V254" s="2213"/>
      <c r="W254" s="2213"/>
      <c r="X254" s="2213"/>
      <c r="Y254" s="2217">
        <f t="shared" si="137"/>
        <v>24.222974620003843</v>
      </c>
      <c r="Z254" s="2217">
        <f t="shared" si="127"/>
        <v>6796.0002648043683</v>
      </c>
      <c r="AA254" s="2217">
        <f t="shared" si="128"/>
        <v>27.116774519086903</v>
      </c>
      <c r="AB254" s="2212">
        <v>81</v>
      </c>
      <c r="AC254" s="2219"/>
      <c r="AD254" s="2213"/>
      <c r="AE254" s="2219"/>
      <c r="AF254" s="2213"/>
      <c r="AG254" s="2213"/>
      <c r="AH254" s="2213"/>
      <c r="AI254" s="2213"/>
      <c r="AJ254" s="2213"/>
      <c r="AK254" s="2217">
        <f t="shared" si="138"/>
        <v>12.562761576796472</v>
      </c>
      <c r="AL254" s="2217">
        <f t="shared" si="119"/>
        <v>6796.0002648043683</v>
      </c>
      <c r="AM254" s="2217">
        <f t="shared" si="129"/>
        <v>27.116774519086903</v>
      </c>
      <c r="AN254" s="2212">
        <v>81</v>
      </c>
      <c r="AO254" s="2219"/>
      <c r="AP254" s="2213"/>
      <c r="AQ254" s="2219"/>
      <c r="AR254" s="2213"/>
      <c r="AS254" s="2213"/>
      <c r="AT254" s="2213"/>
      <c r="AU254" s="2213"/>
      <c r="AV254" s="2213"/>
      <c r="AW254" s="2217">
        <f t="shared" si="139"/>
        <v>11.229639214799136</v>
      </c>
      <c r="AX254" s="2217">
        <f t="shared" si="130"/>
        <v>5692.3748624670643</v>
      </c>
      <c r="AY254" s="2217">
        <f t="shared" si="120"/>
        <v>21.254376617735034</v>
      </c>
      <c r="AZ254" s="2212">
        <v>81</v>
      </c>
      <c r="BA254" s="2208"/>
      <c r="BB254" s="263"/>
      <c r="BC254" s="2208"/>
      <c r="BD254" s="263"/>
      <c r="BE254" s="263"/>
      <c r="BF254" s="263"/>
      <c r="BG254" s="263"/>
      <c r="BH254" s="2208"/>
      <c r="BI254" s="2217">
        <f t="shared" si="140"/>
        <v>17.818495966296997</v>
      </c>
      <c r="BJ254" s="2217">
        <f t="shared" si="131"/>
        <v>5692.3748624670643</v>
      </c>
      <c r="BK254" s="2217">
        <f t="shared" si="121"/>
        <v>21.254376617735034</v>
      </c>
      <c r="BL254" s="2212">
        <v>81</v>
      </c>
      <c r="BM254" s="2208"/>
      <c r="BN254" s="263"/>
      <c r="BO254" s="2208"/>
      <c r="BP254" s="263"/>
      <c r="BQ254" s="263"/>
      <c r="BR254" s="263"/>
      <c r="BS254" s="263"/>
      <c r="BT254" s="2208"/>
      <c r="BU254" s="2217">
        <f t="shared" si="141"/>
        <v>12.562761576796472</v>
      </c>
      <c r="BV254" s="2217">
        <f t="shared" si="122"/>
        <v>6796.0002648043683</v>
      </c>
      <c r="BW254" s="2217">
        <f t="shared" si="132"/>
        <v>27.116774519086903</v>
      </c>
      <c r="BX254" s="2212">
        <v>81</v>
      </c>
      <c r="BY254" s="2219"/>
      <c r="BZ254" s="2213"/>
      <c r="CA254" s="2219"/>
      <c r="CB254" s="2213"/>
      <c r="CC254" s="2213"/>
      <c r="CD254" s="2213"/>
      <c r="CE254" s="2213"/>
      <c r="CF254" s="2208"/>
      <c r="CG254" s="2217">
        <f t="shared" si="142"/>
        <v>15.816774519086902</v>
      </c>
      <c r="CH254" s="2217">
        <f t="shared" si="123"/>
        <v>6796.0002648043683</v>
      </c>
      <c r="CI254" s="2217">
        <f t="shared" si="133"/>
        <v>27.116774519086903</v>
      </c>
      <c r="CJ254" s="2212">
        <v>81</v>
      </c>
      <c r="CK254" s="2219"/>
      <c r="CL254" s="2213"/>
      <c r="CM254" s="2219"/>
      <c r="CN254" s="2213"/>
      <c r="CO254" s="2213"/>
      <c r="CP254" s="2213"/>
      <c r="CQ254" s="2213"/>
      <c r="CR254" s="2208"/>
      <c r="CS254" s="2217">
        <f t="shared" si="143"/>
        <v>17.393408433942298</v>
      </c>
      <c r="CT254" s="2217">
        <f t="shared" si="134"/>
        <v>5692.3748624670643</v>
      </c>
      <c r="CU254" s="2217">
        <f t="shared" si="124"/>
        <v>21.254376617735034</v>
      </c>
      <c r="CV254" s="2212">
        <v>81</v>
      </c>
      <c r="CW254" s="2208"/>
      <c r="CX254" s="263"/>
      <c r="CY254" s="2208"/>
      <c r="CZ254" s="263"/>
      <c r="DA254" s="263"/>
      <c r="DB254" s="263"/>
      <c r="DC254" s="263"/>
      <c r="DD254" s="2208"/>
    </row>
    <row r="255" spans="1:108">
      <c r="A255" s="2217">
        <f t="shared" si="135"/>
        <v>20.156463820030101</v>
      </c>
      <c r="B255" s="2217">
        <f t="shared" si="117"/>
        <v>6768.8834902852814</v>
      </c>
      <c r="C255" s="2217">
        <f t="shared" si="125"/>
        <v>27.353446800026177</v>
      </c>
      <c r="D255" s="2212">
        <v>80</v>
      </c>
      <c r="E255" s="2219"/>
      <c r="F255" s="2213"/>
      <c r="G255" s="2219"/>
      <c r="H255" s="2213"/>
      <c r="I255" s="2213"/>
      <c r="J255" s="2213"/>
      <c r="K255" s="2213"/>
      <c r="L255" s="2213"/>
      <c r="M255" s="2217">
        <f t="shared" si="136"/>
        <v>22.071205096031935</v>
      </c>
      <c r="N255" s="2217">
        <f t="shared" si="118"/>
        <v>6768.8834902852814</v>
      </c>
      <c r="O255" s="2217">
        <f t="shared" si="126"/>
        <v>27.353446800026177</v>
      </c>
      <c r="P255" s="2212">
        <v>80</v>
      </c>
      <c r="Q255" s="2219"/>
      <c r="R255" s="2213"/>
      <c r="S255" s="2219"/>
      <c r="T255" s="2213"/>
      <c r="U255" s="2213"/>
      <c r="V255" s="2213"/>
      <c r="W255" s="2213"/>
      <c r="X255" s="2213"/>
      <c r="Y255" s="2217">
        <f t="shared" si="137"/>
        <v>24.53301530803429</v>
      </c>
      <c r="Z255" s="2217">
        <f t="shared" si="127"/>
        <v>6768.8834902852814</v>
      </c>
      <c r="AA255" s="2217">
        <f t="shared" si="128"/>
        <v>27.353446800026177</v>
      </c>
      <c r="AB255" s="2212">
        <v>80</v>
      </c>
      <c r="AC255" s="2219"/>
      <c r="AD255" s="2213"/>
      <c r="AE255" s="2219"/>
      <c r="AF255" s="2213"/>
      <c r="AG255" s="2213"/>
      <c r="AH255" s="2213"/>
      <c r="AI255" s="2213"/>
      <c r="AJ255" s="2213"/>
      <c r="AK255" s="2217">
        <f t="shared" si="138"/>
        <v>12.771033184023032</v>
      </c>
      <c r="AL255" s="2217">
        <f t="shared" si="119"/>
        <v>6768.8834902852814</v>
      </c>
      <c r="AM255" s="2217">
        <f t="shared" si="129"/>
        <v>27.353446800026177</v>
      </c>
      <c r="AN255" s="2212">
        <v>80</v>
      </c>
      <c r="AO255" s="2219"/>
      <c r="AP255" s="2213"/>
      <c r="AQ255" s="2219"/>
      <c r="AR255" s="2213"/>
      <c r="AS255" s="2213"/>
      <c r="AT255" s="2213"/>
      <c r="AU255" s="2213"/>
      <c r="AV255" s="2213"/>
      <c r="AW255" s="2217">
        <f t="shared" si="139"/>
        <v>11.560263814947977</v>
      </c>
      <c r="AX255" s="2217">
        <f t="shared" si="130"/>
        <v>5671.1204858493293</v>
      </c>
      <c r="AY255" s="2217">
        <f t="shared" si="120"/>
        <v>21.566286617875448</v>
      </c>
      <c r="AZ255" s="2212">
        <v>80</v>
      </c>
      <c r="BA255" s="2208"/>
      <c r="BB255" s="263"/>
      <c r="BC255" s="2208"/>
      <c r="BD255" s="263"/>
      <c r="BE255" s="263"/>
      <c r="BF255" s="263"/>
      <c r="BG255" s="263"/>
      <c r="BH255" s="2208"/>
      <c r="BI255" s="2217">
        <f t="shared" si="140"/>
        <v>18.245812666489368</v>
      </c>
      <c r="BJ255" s="2217">
        <f t="shared" si="131"/>
        <v>5671.1204858493293</v>
      </c>
      <c r="BK255" s="2217">
        <f t="shared" si="121"/>
        <v>21.566286617875448</v>
      </c>
      <c r="BL255" s="2212">
        <v>80</v>
      </c>
      <c r="BM255" s="2208"/>
      <c r="BN255" s="263"/>
      <c r="BO255" s="2208"/>
      <c r="BP255" s="263"/>
      <c r="BQ255" s="263"/>
      <c r="BR255" s="263"/>
      <c r="BS255" s="263"/>
      <c r="BT255" s="2208"/>
      <c r="BU255" s="2217">
        <f t="shared" si="141"/>
        <v>12.771033184023032</v>
      </c>
      <c r="BV255" s="2217">
        <f t="shared" si="122"/>
        <v>6768.8834902852814</v>
      </c>
      <c r="BW255" s="2217">
        <f t="shared" si="132"/>
        <v>27.353446800026177</v>
      </c>
      <c r="BX255" s="2212">
        <v>80</v>
      </c>
      <c r="BY255" s="2219"/>
      <c r="BZ255" s="2213"/>
      <c r="CA255" s="2219"/>
      <c r="CB255" s="2213"/>
      <c r="CC255" s="2213"/>
      <c r="CD255" s="2213"/>
      <c r="CE255" s="2213"/>
      <c r="CF255" s="2208"/>
      <c r="CG255" s="2217">
        <f t="shared" si="142"/>
        <v>16.053446800026176</v>
      </c>
      <c r="CH255" s="2217">
        <f t="shared" si="123"/>
        <v>6768.8834902852814</v>
      </c>
      <c r="CI255" s="2217">
        <f t="shared" si="133"/>
        <v>27.353446800026177</v>
      </c>
      <c r="CJ255" s="2212">
        <v>80</v>
      </c>
      <c r="CK255" s="2219"/>
      <c r="CL255" s="2213"/>
      <c r="CM255" s="2219"/>
      <c r="CN255" s="2213"/>
      <c r="CO255" s="2213"/>
      <c r="CP255" s="2213"/>
      <c r="CQ255" s="2213"/>
      <c r="CR255" s="2208"/>
      <c r="CS255" s="2217">
        <f t="shared" si="143"/>
        <v>17.814486934131857</v>
      </c>
      <c r="CT255" s="2217">
        <f t="shared" si="134"/>
        <v>5671.1204858493293</v>
      </c>
      <c r="CU255" s="2217">
        <f t="shared" si="124"/>
        <v>21.566286617875448</v>
      </c>
      <c r="CV255" s="2212">
        <v>80</v>
      </c>
      <c r="CW255" s="2208"/>
      <c r="CX255" s="263"/>
      <c r="CY255" s="2208"/>
      <c r="CZ255" s="263"/>
      <c r="DA255" s="263"/>
      <c r="DB255" s="263"/>
      <c r="DC255" s="263"/>
      <c r="DD255" s="2208"/>
    </row>
    <row r="256" spans="1:108">
      <c r="A256" s="2217">
        <f t="shared" si="135"/>
        <v>20.429605850623282</v>
      </c>
      <c r="B256" s="2217">
        <f t="shared" si="117"/>
        <v>6741.5300434852552</v>
      </c>
      <c r="C256" s="2217">
        <f t="shared" si="125"/>
        <v>27.590961609237638</v>
      </c>
      <c r="D256" s="2212">
        <v>79</v>
      </c>
      <c r="E256" s="2219"/>
      <c r="F256" s="2213"/>
      <c r="G256" s="2219"/>
      <c r="H256" s="2213"/>
      <c r="I256" s="2213"/>
      <c r="J256" s="2213"/>
      <c r="K256" s="2213"/>
      <c r="L256" s="2213"/>
      <c r="M256" s="2217">
        <f t="shared" si="136"/>
        <v>22.360973163269914</v>
      </c>
      <c r="N256" s="2217">
        <f t="shared" si="118"/>
        <v>6741.5300434852552</v>
      </c>
      <c r="O256" s="2217">
        <f t="shared" si="126"/>
        <v>27.590961609237638</v>
      </c>
      <c r="P256" s="2212">
        <v>79</v>
      </c>
      <c r="Q256" s="2219"/>
      <c r="R256" s="2213"/>
      <c r="S256" s="2219"/>
      <c r="T256" s="2213"/>
      <c r="U256" s="2213"/>
      <c r="V256" s="2213"/>
      <c r="W256" s="2213"/>
      <c r="X256" s="2213"/>
      <c r="Y256" s="2217">
        <f t="shared" si="137"/>
        <v>24.844159708101305</v>
      </c>
      <c r="Z256" s="2217">
        <f t="shared" si="127"/>
        <v>6741.5300434852552</v>
      </c>
      <c r="AA256" s="2217">
        <f t="shared" si="128"/>
        <v>27.590961609237638</v>
      </c>
      <c r="AB256" s="2212">
        <v>79</v>
      </c>
      <c r="AC256" s="2219"/>
      <c r="AD256" s="2213"/>
      <c r="AE256" s="2219"/>
      <c r="AF256" s="2213"/>
      <c r="AG256" s="2213"/>
      <c r="AH256" s="2213"/>
      <c r="AI256" s="2213"/>
      <c r="AJ256" s="2213"/>
      <c r="AK256" s="2217">
        <f t="shared" si="138"/>
        <v>12.980046216129118</v>
      </c>
      <c r="AL256" s="2217">
        <f t="shared" si="119"/>
        <v>6741.5300434852552</v>
      </c>
      <c r="AM256" s="2217">
        <f t="shared" si="129"/>
        <v>27.590961609237638</v>
      </c>
      <c r="AN256" s="2212">
        <v>79</v>
      </c>
      <c r="AO256" s="2219"/>
      <c r="AP256" s="2213"/>
      <c r="AQ256" s="2219"/>
      <c r="AR256" s="2213"/>
      <c r="AS256" s="2213"/>
      <c r="AT256" s="2213"/>
      <c r="AU256" s="2213"/>
      <c r="AV256" s="2213"/>
      <c r="AW256" s="2217">
        <f t="shared" si="139"/>
        <v>11.890723135122773</v>
      </c>
      <c r="AX256" s="2217">
        <f t="shared" si="130"/>
        <v>5649.5541992314538</v>
      </c>
      <c r="AY256" s="2217">
        <f t="shared" si="120"/>
        <v>21.878040693512048</v>
      </c>
      <c r="AZ256" s="2212">
        <v>79</v>
      </c>
      <c r="BA256" s="2208"/>
      <c r="BB256" s="263"/>
      <c r="BC256" s="2208"/>
      <c r="BD256" s="263"/>
      <c r="BE256" s="263"/>
      <c r="BF256" s="263"/>
      <c r="BG256" s="263"/>
      <c r="BH256" s="2208"/>
      <c r="BI256" s="2217">
        <f t="shared" si="140"/>
        <v>18.672915750111507</v>
      </c>
      <c r="BJ256" s="2217">
        <f t="shared" si="131"/>
        <v>5649.5541992314538</v>
      </c>
      <c r="BK256" s="2217">
        <f t="shared" si="121"/>
        <v>21.878040693512048</v>
      </c>
      <c r="BL256" s="2212">
        <v>79</v>
      </c>
      <c r="BM256" s="2208"/>
      <c r="BN256" s="263"/>
      <c r="BO256" s="2208"/>
      <c r="BP256" s="263"/>
      <c r="BQ256" s="263"/>
      <c r="BR256" s="263"/>
      <c r="BS256" s="263"/>
      <c r="BT256" s="2208"/>
      <c r="BU256" s="2217">
        <f t="shared" si="141"/>
        <v>12.980046216129118</v>
      </c>
      <c r="BV256" s="2217">
        <f t="shared" si="122"/>
        <v>6741.5300434852552</v>
      </c>
      <c r="BW256" s="2217">
        <f t="shared" si="132"/>
        <v>27.590961609237638</v>
      </c>
      <c r="BX256" s="2212">
        <v>79</v>
      </c>
      <c r="BY256" s="2219"/>
      <c r="BZ256" s="2213"/>
      <c r="CA256" s="2219"/>
      <c r="CB256" s="2213"/>
      <c r="CC256" s="2213"/>
      <c r="CD256" s="2213"/>
      <c r="CE256" s="2213"/>
      <c r="CF256" s="2208"/>
      <c r="CG256" s="2217">
        <f t="shared" si="142"/>
        <v>16.290961609237637</v>
      </c>
      <c r="CH256" s="2217">
        <f t="shared" si="123"/>
        <v>6741.5300434852552</v>
      </c>
      <c r="CI256" s="2217">
        <f t="shared" si="133"/>
        <v>27.590961609237638</v>
      </c>
      <c r="CJ256" s="2212">
        <v>79</v>
      </c>
      <c r="CK256" s="2219"/>
      <c r="CL256" s="2213"/>
      <c r="CM256" s="2219"/>
      <c r="CN256" s="2213"/>
      <c r="CO256" s="2213"/>
      <c r="CP256" s="2213"/>
      <c r="CQ256" s="2213"/>
      <c r="CR256" s="2208"/>
      <c r="CS256" s="2217">
        <f t="shared" si="143"/>
        <v>18.235354936241265</v>
      </c>
      <c r="CT256" s="2217">
        <f t="shared" si="134"/>
        <v>5649.5541992314538</v>
      </c>
      <c r="CU256" s="2217">
        <f t="shared" si="124"/>
        <v>21.878040693512048</v>
      </c>
      <c r="CV256" s="2212">
        <v>79</v>
      </c>
      <c r="CW256" s="2208"/>
      <c r="CX256" s="263"/>
      <c r="CY256" s="2208"/>
      <c r="CZ256" s="263"/>
      <c r="DA256" s="263"/>
      <c r="DB256" s="263"/>
      <c r="DC256" s="263"/>
      <c r="DD256" s="2208"/>
    </row>
    <row r="257" spans="1:108">
      <c r="A257" s="2217">
        <f t="shared" si="135"/>
        <v>20.703716788723202</v>
      </c>
      <c r="B257" s="2217">
        <f t="shared" si="117"/>
        <v>6713.9390818760176</v>
      </c>
      <c r="C257" s="2217">
        <f t="shared" si="125"/>
        <v>27.82931894671583</v>
      </c>
      <c r="D257" s="2212">
        <v>78</v>
      </c>
      <c r="E257" s="2219"/>
      <c r="F257" s="2213"/>
      <c r="G257" s="2219"/>
      <c r="H257" s="2213"/>
      <c r="I257" s="2213"/>
      <c r="J257" s="2213"/>
      <c r="K257" s="2213"/>
      <c r="L257" s="2213"/>
      <c r="M257" s="2217">
        <f t="shared" si="136"/>
        <v>22.651769114993311</v>
      </c>
      <c r="N257" s="2217">
        <f t="shared" si="118"/>
        <v>6713.9390818760176</v>
      </c>
      <c r="O257" s="2217">
        <f t="shared" si="126"/>
        <v>27.82931894671583</v>
      </c>
      <c r="P257" s="2212">
        <v>78</v>
      </c>
      <c r="Q257" s="2219"/>
      <c r="R257" s="2213"/>
      <c r="S257" s="2219"/>
      <c r="T257" s="2213"/>
      <c r="U257" s="2213"/>
      <c r="V257" s="2213"/>
      <c r="W257" s="2213"/>
      <c r="X257" s="2213"/>
      <c r="Y257" s="2217">
        <f t="shared" si="137"/>
        <v>25.156407820197739</v>
      </c>
      <c r="Z257" s="2217">
        <f t="shared" si="127"/>
        <v>6713.9390818760176</v>
      </c>
      <c r="AA257" s="2217">
        <f t="shared" si="128"/>
        <v>27.82931894671583</v>
      </c>
      <c r="AB257" s="2212">
        <v>78</v>
      </c>
      <c r="AC257" s="2219"/>
      <c r="AD257" s="2213"/>
      <c r="AE257" s="2219"/>
      <c r="AF257" s="2213"/>
      <c r="AG257" s="2213"/>
      <c r="AH257" s="2213"/>
      <c r="AI257" s="2213"/>
      <c r="AJ257" s="2213"/>
      <c r="AK257" s="2217">
        <f t="shared" si="138"/>
        <v>13.189800673109925</v>
      </c>
      <c r="AL257" s="2217">
        <f t="shared" si="119"/>
        <v>6713.9390818760176</v>
      </c>
      <c r="AM257" s="2217">
        <f t="shared" si="129"/>
        <v>27.82931894671583</v>
      </c>
      <c r="AN257" s="2212">
        <v>78</v>
      </c>
      <c r="AO257" s="2219"/>
      <c r="AP257" s="2213"/>
      <c r="AQ257" s="2219"/>
      <c r="AR257" s="2213"/>
      <c r="AS257" s="2213"/>
      <c r="AT257" s="2213"/>
      <c r="AU257" s="2213"/>
      <c r="AV257" s="2213"/>
      <c r="AW257" s="2217">
        <f t="shared" si="139"/>
        <v>12.221017175330271</v>
      </c>
      <c r="AX257" s="2217">
        <f t="shared" si="130"/>
        <v>5627.6761585379418</v>
      </c>
      <c r="AY257" s="2217">
        <f t="shared" si="120"/>
        <v>22.189638844651199</v>
      </c>
      <c r="AZ257" s="2212">
        <v>78</v>
      </c>
      <c r="BA257" s="2208"/>
      <c r="BB257" s="263"/>
      <c r="BC257" s="2208"/>
      <c r="BD257" s="263"/>
      <c r="BE257" s="263"/>
      <c r="BF257" s="263"/>
      <c r="BG257" s="263"/>
      <c r="BH257" s="2208"/>
      <c r="BI257" s="2217">
        <f t="shared" si="140"/>
        <v>19.099805217172143</v>
      </c>
      <c r="BJ257" s="2217">
        <f t="shared" si="131"/>
        <v>5627.6761585379418</v>
      </c>
      <c r="BK257" s="2217">
        <f t="shared" si="121"/>
        <v>22.189638844651199</v>
      </c>
      <c r="BL257" s="2212">
        <v>78</v>
      </c>
      <c r="BM257" s="2208"/>
      <c r="BN257" s="263"/>
      <c r="BO257" s="2208"/>
      <c r="BP257" s="263"/>
      <c r="BQ257" s="263"/>
      <c r="BR257" s="263"/>
      <c r="BS257" s="263"/>
      <c r="BT257" s="2208"/>
      <c r="BU257" s="2217">
        <f t="shared" si="141"/>
        <v>13.189800673109925</v>
      </c>
      <c r="BV257" s="2217">
        <f t="shared" si="122"/>
        <v>6713.9390818760176</v>
      </c>
      <c r="BW257" s="2217">
        <f t="shared" si="132"/>
        <v>27.82931894671583</v>
      </c>
      <c r="BX257" s="2212">
        <v>78</v>
      </c>
      <c r="BY257" s="2219"/>
      <c r="BZ257" s="2213"/>
      <c r="CA257" s="2219"/>
      <c r="CB257" s="2213"/>
      <c r="CC257" s="2213"/>
      <c r="CD257" s="2213"/>
      <c r="CE257" s="2213"/>
      <c r="CF257" s="2208"/>
      <c r="CG257" s="2217">
        <f t="shared" si="142"/>
        <v>16.529318946715829</v>
      </c>
      <c r="CH257" s="2217">
        <f t="shared" si="123"/>
        <v>6713.9390818760176</v>
      </c>
      <c r="CI257" s="2217">
        <f t="shared" si="133"/>
        <v>27.82931894671583</v>
      </c>
      <c r="CJ257" s="2212">
        <v>78</v>
      </c>
      <c r="CK257" s="2219"/>
      <c r="CL257" s="2213"/>
      <c r="CM257" s="2219"/>
      <c r="CN257" s="2213"/>
      <c r="CO257" s="2213"/>
      <c r="CP257" s="2213"/>
      <c r="CQ257" s="2213"/>
      <c r="CR257" s="2208"/>
      <c r="CS257" s="2217">
        <f t="shared" si="143"/>
        <v>18.65601244027912</v>
      </c>
      <c r="CT257" s="2217">
        <f t="shared" si="134"/>
        <v>5627.6761585379418</v>
      </c>
      <c r="CU257" s="2217">
        <f t="shared" si="124"/>
        <v>22.189638844651199</v>
      </c>
      <c r="CV257" s="2212">
        <v>78</v>
      </c>
      <c r="CW257" s="2208"/>
      <c r="CX257" s="263"/>
      <c r="CY257" s="2208"/>
      <c r="CZ257" s="263"/>
      <c r="DA257" s="263"/>
      <c r="DB257" s="263"/>
      <c r="DC257" s="263"/>
      <c r="DD257" s="2208"/>
    </row>
    <row r="258" spans="1:108">
      <c r="A258" s="2217">
        <f t="shared" si="135"/>
        <v>20.978796634334042</v>
      </c>
      <c r="B258" s="2217">
        <f t="shared" si="117"/>
        <v>6686.1097629293017</v>
      </c>
      <c r="C258" s="2217">
        <f t="shared" si="125"/>
        <v>28.06851881246439</v>
      </c>
      <c r="D258" s="2212">
        <v>77</v>
      </c>
      <c r="E258" s="2219"/>
      <c r="F258" s="2213"/>
      <c r="G258" s="2219"/>
      <c r="H258" s="2213"/>
      <c r="I258" s="2213"/>
      <c r="J258" s="2213"/>
      <c r="K258" s="2213"/>
      <c r="L258" s="2213"/>
      <c r="M258" s="2217">
        <f t="shared" si="136"/>
        <v>22.943592951206558</v>
      </c>
      <c r="N258" s="2217">
        <f t="shared" si="118"/>
        <v>6686.1097629293017</v>
      </c>
      <c r="O258" s="2217">
        <f t="shared" si="126"/>
        <v>28.06851881246439</v>
      </c>
      <c r="P258" s="2212">
        <v>77</v>
      </c>
      <c r="Q258" s="2219"/>
      <c r="R258" s="2213"/>
      <c r="S258" s="2219"/>
      <c r="T258" s="2213"/>
      <c r="U258" s="2213"/>
      <c r="V258" s="2213"/>
      <c r="W258" s="2213"/>
      <c r="X258" s="2213"/>
      <c r="Y258" s="2217">
        <f t="shared" si="137"/>
        <v>25.469759644328352</v>
      </c>
      <c r="Z258" s="2217">
        <f t="shared" si="127"/>
        <v>6686.1097629293017</v>
      </c>
      <c r="AA258" s="2217">
        <f t="shared" si="128"/>
        <v>28.06851881246439</v>
      </c>
      <c r="AB258" s="2212">
        <v>77</v>
      </c>
      <c r="AC258" s="2219"/>
      <c r="AD258" s="2213"/>
      <c r="AE258" s="2219"/>
      <c r="AF258" s="2213"/>
      <c r="AG258" s="2213"/>
      <c r="AH258" s="2213"/>
      <c r="AI258" s="2213"/>
      <c r="AJ258" s="2213"/>
      <c r="AK258" s="2217">
        <f t="shared" si="138"/>
        <v>13.400296554968659</v>
      </c>
      <c r="AL258" s="2217">
        <f t="shared" si="119"/>
        <v>6686.1097629293017</v>
      </c>
      <c r="AM258" s="2217">
        <f t="shared" si="129"/>
        <v>28.06851881246439</v>
      </c>
      <c r="AN258" s="2212">
        <v>77</v>
      </c>
      <c r="AO258" s="2219"/>
      <c r="AP258" s="2213"/>
      <c r="AQ258" s="2219"/>
      <c r="AR258" s="2213"/>
      <c r="AS258" s="2213"/>
      <c r="AT258" s="2213"/>
      <c r="AU258" s="2213"/>
      <c r="AV258" s="2213"/>
      <c r="AW258" s="2217">
        <f t="shared" si="139"/>
        <v>12.551145935562765</v>
      </c>
      <c r="AX258" s="2217">
        <f t="shared" si="130"/>
        <v>5605.4865196932906</v>
      </c>
      <c r="AY258" s="2217">
        <f t="shared" si="120"/>
        <v>22.501081071285626</v>
      </c>
      <c r="AZ258" s="2212">
        <v>77</v>
      </c>
      <c r="BA258" s="2208"/>
      <c r="BB258" s="263"/>
      <c r="BC258" s="2208"/>
      <c r="BD258" s="263"/>
      <c r="BE258" s="263"/>
      <c r="BF258" s="263"/>
      <c r="BG258" s="263"/>
      <c r="BH258" s="2208"/>
      <c r="BI258" s="2217">
        <f t="shared" si="140"/>
        <v>19.526481067661308</v>
      </c>
      <c r="BJ258" s="2217">
        <f t="shared" si="131"/>
        <v>5605.4865196932906</v>
      </c>
      <c r="BK258" s="2217">
        <f t="shared" si="121"/>
        <v>22.501081071285626</v>
      </c>
      <c r="BL258" s="2212">
        <v>77</v>
      </c>
      <c r="BM258" s="2208"/>
      <c r="BN258" s="263"/>
      <c r="BO258" s="2208"/>
      <c r="BP258" s="263"/>
      <c r="BQ258" s="263"/>
      <c r="BR258" s="263"/>
      <c r="BS258" s="263"/>
      <c r="BT258" s="2208"/>
      <c r="BU258" s="2217">
        <f t="shared" si="141"/>
        <v>13.400296554968659</v>
      </c>
      <c r="BV258" s="2217">
        <f t="shared" si="122"/>
        <v>6686.1097629293017</v>
      </c>
      <c r="BW258" s="2217">
        <f t="shared" si="132"/>
        <v>28.06851881246439</v>
      </c>
      <c r="BX258" s="2212">
        <v>77</v>
      </c>
      <c r="BY258" s="2219"/>
      <c r="BZ258" s="2213"/>
      <c r="CA258" s="2219"/>
      <c r="CB258" s="2213"/>
      <c r="CC258" s="2213"/>
      <c r="CD258" s="2213"/>
      <c r="CE258" s="2213"/>
      <c r="CF258" s="2208"/>
      <c r="CG258" s="2217">
        <f t="shared" si="142"/>
        <v>16.768518812464389</v>
      </c>
      <c r="CH258" s="2217">
        <f t="shared" si="123"/>
        <v>6686.1097629293017</v>
      </c>
      <c r="CI258" s="2217">
        <f t="shared" si="133"/>
        <v>28.06851881246439</v>
      </c>
      <c r="CJ258" s="2212">
        <v>77</v>
      </c>
      <c r="CK258" s="2219"/>
      <c r="CL258" s="2213"/>
      <c r="CM258" s="2219"/>
      <c r="CN258" s="2213"/>
      <c r="CO258" s="2213"/>
      <c r="CP258" s="2213"/>
      <c r="CQ258" s="2213"/>
      <c r="CR258" s="2208"/>
      <c r="CS258" s="2217">
        <f t="shared" si="143"/>
        <v>19.076459446235596</v>
      </c>
      <c r="CT258" s="2217">
        <f t="shared" si="134"/>
        <v>5605.4865196932906</v>
      </c>
      <c r="CU258" s="2217">
        <f t="shared" si="124"/>
        <v>22.501081071285626</v>
      </c>
      <c r="CV258" s="2212">
        <v>77</v>
      </c>
      <c r="CW258" s="2208"/>
      <c r="CX258" s="263"/>
      <c r="CY258" s="2208"/>
      <c r="CZ258" s="263"/>
      <c r="DA258" s="263"/>
      <c r="DB258" s="263"/>
      <c r="DC258" s="263"/>
      <c r="DD258" s="2208"/>
    </row>
    <row r="259" spans="1:108">
      <c r="A259" s="2217">
        <f t="shared" si="135"/>
        <v>21.254845387454768</v>
      </c>
      <c r="B259" s="2217">
        <f t="shared" si="117"/>
        <v>6658.0412441168373</v>
      </c>
      <c r="C259" s="2217">
        <f t="shared" si="125"/>
        <v>28.308561206482409</v>
      </c>
      <c r="D259" s="2212">
        <v>76</v>
      </c>
      <c r="E259" s="2219"/>
      <c r="F259" s="2213"/>
      <c r="G259" s="2219"/>
      <c r="H259" s="2213"/>
      <c r="I259" s="2213"/>
      <c r="J259" s="2213"/>
      <c r="K259" s="2213"/>
      <c r="L259" s="2213"/>
      <c r="M259" s="2217">
        <f t="shared" si="136"/>
        <v>23.23644467190854</v>
      </c>
      <c r="N259" s="2217">
        <f t="shared" si="118"/>
        <v>6658.0412441168373</v>
      </c>
      <c r="O259" s="2217">
        <f t="shared" si="126"/>
        <v>28.308561206482409</v>
      </c>
      <c r="P259" s="2212">
        <v>76</v>
      </c>
      <c r="Q259" s="2219"/>
      <c r="R259" s="2213"/>
      <c r="S259" s="2219"/>
      <c r="T259" s="2213"/>
      <c r="U259" s="2213"/>
      <c r="V259" s="2213"/>
      <c r="W259" s="2213"/>
      <c r="X259" s="2213"/>
      <c r="Y259" s="2217">
        <f t="shared" si="137"/>
        <v>25.784215180491959</v>
      </c>
      <c r="Z259" s="2217">
        <f t="shared" si="127"/>
        <v>6658.0412441168373</v>
      </c>
      <c r="AA259" s="2217">
        <f t="shared" si="128"/>
        <v>28.308561206482409</v>
      </c>
      <c r="AB259" s="2212">
        <v>76</v>
      </c>
      <c r="AC259" s="2219"/>
      <c r="AD259" s="2213"/>
      <c r="AE259" s="2219"/>
      <c r="AF259" s="2213"/>
      <c r="AG259" s="2213"/>
      <c r="AH259" s="2213"/>
      <c r="AI259" s="2213"/>
      <c r="AJ259" s="2213"/>
      <c r="AK259" s="2217">
        <f t="shared" si="138"/>
        <v>13.611533861704515</v>
      </c>
      <c r="AL259" s="2217">
        <f t="shared" si="119"/>
        <v>6658.0412441168373</v>
      </c>
      <c r="AM259" s="2217">
        <f t="shared" si="129"/>
        <v>28.308561206482409</v>
      </c>
      <c r="AN259" s="2212">
        <v>76</v>
      </c>
      <c r="AO259" s="2219"/>
      <c r="AP259" s="2213"/>
      <c r="AQ259" s="2219"/>
      <c r="AR259" s="2213"/>
      <c r="AS259" s="2213"/>
      <c r="AT259" s="2213"/>
      <c r="AU259" s="2213"/>
      <c r="AV259" s="2213"/>
      <c r="AW259" s="2217">
        <f t="shared" si="139"/>
        <v>12.881109415828924</v>
      </c>
      <c r="AX259" s="2217">
        <f t="shared" si="130"/>
        <v>5582.9854386220049</v>
      </c>
      <c r="AY259" s="2217">
        <f t="shared" si="120"/>
        <v>22.812367373423513</v>
      </c>
      <c r="AZ259" s="2212">
        <v>76</v>
      </c>
      <c r="BA259" s="2208"/>
      <c r="BB259" s="263"/>
      <c r="BC259" s="2208"/>
      <c r="BD259" s="263"/>
      <c r="BE259" s="263"/>
      <c r="BF259" s="263"/>
      <c r="BG259" s="263"/>
      <c r="BH259" s="2208"/>
      <c r="BI259" s="2217">
        <f t="shared" si="140"/>
        <v>19.952943301590214</v>
      </c>
      <c r="BJ259" s="2217">
        <f t="shared" si="131"/>
        <v>5582.9854386220049</v>
      </c>
      <c r="BK259" s="2217">
        <f t="shared" si="121"/>
        <v>22.812367373423513</v>
      </c>
      <c r="BL259" s="2212">
        <v>76</v>
      </c>
      <c r="BM259" s="2208"/>
      <c r="BN259" s="263"/>
      <c r="BO259" s="2208"/>
      <c r="BP259" s="263"/>
      <c r="BQ259" s="263"/>
      <c r="BR259" s="263"/>
      <c r="BS259" s="263"/>
      <c r="BT259" s="2208"/>
      <c r="BU259" s="2217">
        <f t="shared" si="141"/>
        <v>13.611533861704515</v>
      </c>
      <c r="BV259" s="2217">
        <f t="shared" si="122"/>
        <v>6658.0412441168373</v>
      </c>
      <c r="BW259" s="2217">
        <f t="shared" si="132"/>
        <v>28.308561206482409</v>
      </c>
      <c r="BX259" s="2212">
        <v>76</v>
      </c>
      <c r="BY259" s="2219"/>
      <c r="BZ259" s="2213"/>
      <c r="CA259" s="2219"/>
      <c r="CB259" s="2213"/>
      <c r="CC259" s="2213"/>
      <c r="CD259" s="2213"/>
      <c r="CE259" s="2213"/>
      <c r="CF259" s="2208"/>
      <c r="CG259" s="2217">
        <f t="shared" si="142"/>
        <v>17.008561206482408</v>
      </c>
      <c r="CH259" s="2217">
        <f t="shared" si="123"/>
        <v>6658.0412441168373</v>
      </c>
      <c r="CI259" s="2217">
        <f t="shared" si="133"/>
        <v>28.308561206482409</v>
      </c>
      <c r="CJ259" s="2212">
        <v>76</v>
      </c>
      <c r="CK259" s="2219"/>
      <c r="CL259" s="2213"/>
      <c r="CM259" s="2219"/>
      <c r="CN259" s="2213"/>
      <c r="CO259" s="2213"/>
      <c r="CP259" s="2213"/>
      <c r="CQ259" s="2213"/>
      <c r="CR259" s="2208"/>
      <c r="CS259" s="2217">
        <f t="shared" si="143"/>
        <v>19.496695954121744</v>
      </c>
      <c r="CT259" s="2217">
        <f t="shared" si="134"/>
        <v>5582.9854386220049</v>
      </c>
      <c r="CU259" s="2217">
        <f t="shared" si="124"/>
        <v>22.812367373423513</v>
      </c>
      <c r="CV259" s="2212">
        <v>76</v>
      </c>
      <c r="CW259" s="2208"/>
      <c r="CX259" s="263"/>
      <c r="CY259" s="2208"/>
      <c r="CZ259" s="263"/>
      <c r="DA259" s="263"/>
      <c r="DB259" s="263"/>
      <c r="DC259" s="263"/>
      <c r="DD259" s="2208"/>
    </row>
    <row r="260" spans="1:108">
      <c r="A260" s="2217">
        <f t="shared" si="135"/>
        <v>21.531863048087455</v>
      </c>
      <c r="B260" s="2217">
        <f t="shared" si="117"/>
        <v>6629.7326829103549</v>
      </c>
      <c r="C260" s="2217">
        <f t="shared" si="125"/>
        <v>28.549446128771706</v>
      </c>
      <c r="D260" s="2212">
        <v>75</v>
      </c>
      <c r="E260" s="2219"/>
      <c r="F260" s="2213"/>
      <c r="G260" s="2219"/>
      <c r="H260" s="2213"/>
      <c r="I260" s="2213"/>
      <c r="J260" s="2213"/>
      <c r="K260" s="2213"/>
      <c r="L260" s="2213"/>
      <c r="M260" s="2217">
        <f t="shared" si="136"/>
        <v>23.530324277101482</v>
      </c>
      <c r="N260" s="2217">
        <f t="shared" si="118"/>
        <v>6629.7326829103549</v>
      </c>
      <c r="O260" s="2217">
        <f t="shared" si="126"/>
        <v>28.549446128771706</v>
      </c>
      <c r="P260" s="2212">
        <v>75</v>
      </c>
      <c r="Q260" s="2219"/>
      <c r="R260" s="2213"/>
      <c r="S260" s="2219"/>
      <c r="T260" s="2213"/>
      <c r="U260" s="2213"/>
      <c r="V260" s="2213"/>
      <c r="W260" s="2213"/>
      <c r="X260" s="2213"/>
      <c r="Y260" s="2217">
        <f t="shared" si="137"/>
        <v>26.099774428690939</v>
      </c>
      <c r="Z260" s="2217">
        <f t="shared" si="127"/>
        <v>6629.7326829103549</v>
      </c>
      <c r="AA260" s="2217">
        <f t="shared" si="128"/>
        <v>28.549446128771706</v>
      </c>
      <c r="AB260" s="2212">
        <v>75</v>
      </c>
      <c r="AC260" s="2219"/>
      <c r="AD260" s="2213"/>
      <c r="AE260" s="2219"/>
      <c r="AF260" s="2213"/>
      <c r="AG260" s="2213"/>
      <c r="AH260" s="2213"/>
      <c r="AI260" s="2213"/>
      <c r="AJ260" s="2213"/>
      <c r="AK260" s="2217">
        <f t="shared" si="138"/>
        <v>13.823512593319098</v>
      </c>
      <c r="AL260" s="2217">
        <f t="shared" si="119"/>
        <v>6629.7326829103549</v>
      </c>
      <c r="AM260" s="2217">
        <f t="shared" si="129"/>
        <v>28.549446128771706</v>
      </c>
      <c r="AN260" s="2212">
        <v>75</v>
      </c>
      <c r="AO260" s="2219"/>
      <c r="AP260" s="2213"/>
      <c r="AQ260" s="2219"/>
      <c r="AR260" s="2213"/>
      <c r="AS260" s="2213"/>
      <c r="AT260" s="2213"/>
      <c r="AU260" s="2213"/>
      <c r="AV260" s="2213"/>
      <c r="AW260" s="2217">
        <f t="shared" si="139"/>
        <v>13.210907616123933</v>
      </c>
      <c r="AX260" s="2217">
        <f t="shared" si="130"/>
        <v>5560.1730712485814</v>
      </c>
      <c r="AY260" s="2217">
        <f t="shared" si="120"/>
        <v>23.123497751060313</v>
      </c>
      <c r="AZ260" s="2212">
        <v>75</v>
      </c>
      <c r="BA260" s="2208"/>
      <c r="BB260" s="263"/>
      <c r="BC260" s="2208"/>
      <c r="BD260" s="263"/>
      <c r="BE260" s="263"/>
      <c r="BF260" s="263"/>
      <c r="BG260" s="263"/>
      <c r="BH260" s="2208"/>
      <c r="BI260" s="2217">
        <f t="shared" si="140"/>
        <v>20.379191918952632</v>
      </c>
      <c r="BJ260" s="2217">
        <f t="shared" si="131"/>
        <v>5560.1730712485814</v>
      </c>
      <c r="BK260" s="2217">
        <f t="shared" si="121"/>
        <v>23.123497751060313</v>
      </c>
      <c r="BL260" s="2212">
        <v>75</v>
      </c>
      <c r="BM260" s="2208"/>
      <c r="BN260" s="263"/>
      <c r="BO260" s="2208"/>
      <c r="BP260" s="263"/>
      <c r="BQ260" s="263"/>
      <c r="BR260" s="263"/>
      <c r="BS260" s="263"/>
      <c r="BT260" s="2208"/>
      <c r="BU260" s="2217">
        <f t="shared" si="141"/>
        <v>13.823512593319098</v>
      </c>
      <c r="BV260" s="2217">
        <f t="shared" si="122"/>
        <v>6629.7326829103549</v>
      </c>
      <c r="BW260" s="2217">
        <f t="shared" si="132"/>
        <v>28.549446128771706</v>
      </c>
      <c r="BX260" s="2212">
        <v>75</v>
      </c>
      <c r="BY260" s="2219"/>
      <c r="BZ260" s="2213"/>
      <c r="CA260" s="2219"/>
      <c r="CB260" s="2213"/>
      <c r="CC260" s="2213"/>
      <c r="CD260" s="2213"/>
      <c r="CE260" s="2213"/>
      <c r="CF260" s="2208"/>
      <c r="CG260" s="2217">
        <f t="shared" si="142"/>
        <v>17.249446128771705</v>
      </c>
      <c r="CH260" s="2217">
        <f t="shared" si="123"/>
        <v>6629.7326829103549</v>
      </c>
      <c r="CI260" s="2217">
        <f t="shared" si="133"/>
        <v>28.549446128771706</v>
      </c>
      <c r="CJ260" s="2212">
        <v>75</v>
      </c>
      <c r="CK260" s="2219"/>
      <c r="CL260" s="2213"/>
      <c r="CM260" s="2219"/>
      <c r="CN260" s="2213"/>
      <c r="CO260" s="2213"/>
      <c r="CP260" s="2213"/>
      <c r="CQ260" s="2213"/>
      <c r="CR260" s="2208"/>
      <c r="CS260" s="2217">
        <f t="shared" si="143"/>
        <v>19.916721963931423</v>
      </c>
      <c r="CT260" s="2217">
        <f t="shared" si="134"/>
        <v>5560.1730712485814</v>
      </c>
      <c r="CU260" s="2217">
        <f t="shared" si="124"/>
        <v>23.123497751060313</v>
      </c>
      <c r="CV260" s="2212">
        <v>75</v>
      </c>
      <c r="CW260" s="2208"/>
      <c r="CX260" s="263"/>
      <c r="CY260" s="2208"/>
      <c r="CZ260" s="263"/>
      <c r="DA260" s="263"/>
      <c r="DB260" s="263"/>
      <c r="DC260" s="263"/>
      <c r="DD260" s="2208"/>
    </row>
    <row r="261" spans="1:108">
      <c r="A261" s="2217">
        <f t="shared" si="135"/>
        <v>21.809849616227933</v>
      </c>
      <c r="B261" s="2217">
        <f t="shared" si="117"/>
        <v>6601.1832367815832</v>
      </c>
      <c r="C261" s="2217">
        <f t="shared" si="125"/>
        <v>28.791173579328643</v>
      </c>
      <c r="D261" s="2212">
        <v>74</v>
      </c>
      <c r="E261" s="2219"/>
      <c r="F261" s="2213"/>
      <c r="G261" s="2219"/>
      <c r="H261" s="2213"/>
      <c r="I261" s="2213"/>
      <c r="J261" s="2213"/>
      <c r="K261" s="2213"/>
      <c r="L261" s="2213"/>
      <c r="M261" s="2217">
        <f t="shared" si="136"/>
        <v>23.825231766780941</v>
      </c>
      <c r="N261" s="2217">
        <f t="shared" si="118"/>
        <v>6601.1832367815832</v>
      </c>
      <c r="O261" s="2217">
        <f t="shared" si="126"/>
        <v>28.791173579328643</v>
      </c>
      <c r="P261" s="2212">
        <v>74</v>
      </c>
      <c r="Q261" s="2219"/>
      <c r="R261" s="2213"/>
      <c r="S261" s="2219"/>
      <c r="T261" s="2213"/>
      <c r="U261" s="2213"/>
      <c r="V261" s="2213"/>
      <c r="W261" s="2213"/>
      <c r="X261" s="2213"/>
      <c r="Y261" s="2217">
        <f t="shared" si="137"/>
        <v>26.416437388920524</v>
      </c>
      <c r="Z261" s="2217">
        <f t="shared" si="127"/>
        <v>6601.1832367815832</v>
      </c>
      <c r="AA261" s="2217">
        <f t="shared" si="128"/>
        <v>28.791173579328643</v>
      </c>
      <c r="AB261" s="2212">
        <v>74</v>
      </c>
      <c r="AC261" s="2219"/>
      <c r="AD261" s="2213"/>
      <c r="AE261" s="2219"/>
      <c r="AF261" s="2213"/>
      <c r="AG261" s="2213"/>
      <c r="AH261" s="2213"/>
      <c r="AI261" s="2213"/>
      <c r="AJ261" s="2213"/>
      <c r="AK261" s="2217">
        <f t="shared" si="138"/>
        <v>14.036232749809201</v>
      </c>
      <c r="AL261" s="2217">
        <f t="shared" si="119"/>
        <v>6601.1832367815832</v>
      </c>
      <c r="AM261" s="2217">
        <f t="shared" si="129"/>
        <v>28.791173579328643</v>
      </c>
      <c r="AN261" s="2212">
        <v>74</v>
      </c>
      <c r="AO261" s="2219"/>
      <c r="AP261" s="2213"/>
      <c r="AQ261" s="2219"/>
      <c r="AR261" s="2213"/>
      <c r="AS261" s="2213"/>
      <c r="AT261" s="2213"/>
      <c r="AU261" s="2213"/>
      <c r="AV261" s="2213"/>
      <c r="AW261" s="2217">
        <f t="shared" si="139"/>
        <v>13.54054053644586</v>
      </c>
      <c r="AX261" s="2217">
        <f t="shared" si="130"/>
        <v>5537.0495734975211</v>
      </c>
      <c r="AY261" s="2217">
        <f t="shared" si="120"/>
        <v>23.434472204194208</v>
      </c>
      <c r="AZ261" s="2212">
        <v>74</v>
      </c>
      <c r="BA261" s="2208"/>
      <c r="BB261" s="263"/>
      <c r="BC261" s="2208"/>
      <c r="BD261" s="263"/>
      <c r="BE261" s="263"/>
      <c r="BF261" s="263"/>
      <c r="BG261" s="263"/>
      <c r="BH261" s="2208"/>
      <c r="BI261" s="2217">
        <f t="shared" si="140"/>
        <v>20.805226919746065</v>
      </c>
      <c r="BJ261" s="2217">
        <f t="shared" si="131"/>
        <v>5537.0495734975211</v>
      </c>
      <c r="BK261" s="2217">
        <f t="shared" si="121"/>
        <v>23.434472204194208</v>
      </c>
      <c r="BL261" s="2212">
        <v>74</v>
      </c>
      <c r="BM261" s="2208"/>
      <c r="BN261" s="263"/>
      <c r="BO261" s="2208"/>
      <c r="BP261" s="263"/>
      <c r="BQ261" s="263"/>
      <c r="BR261" s="263"/>
      <c r="BS261" s="263"/>
      <c r="BT261" s="2208"/>
      <c r="BU261" s="2217">
        <f t="shared" si="141"/>
        <v>14.036232749809201</v>
      </c>
      <c r="BV261" s="2217">
        <f t="shared" si="122"/>
        <v>6601.1832367815832</v>
      </c>
      <c r="BW261" s="2217">
        <f t="shared" si="132"/>
        <v>28.791173579328643</v>
      </c>
      <c r="BX261" s="2212">
        <v>74</v>
      </c>
      <c r="BY261" s="2219"/>
      <c r="BZ261" s="2213"/>
      <c r="CA261" s="2219"/>
      <c r="CB261" s="2213"/>
      <c r="CC261" s="2213"/>
      <c r="CD261" s="2213"/>
      <c r="CE261" s="2213"/>
      <c r="CF261" s="2208"/>
      <c r="CG261" s="2217">
        <f t="shared" si="142"/>
        <v>17.491173579328642</v>
      </c>
      <c r="CH261" s="2217">
        <f t="shared" si="123"/>
        <v>6601.1832367815832</v>
      </c>
      <c r="CI261" s="2217">
        <f t="shared" si="133"/>
        <v>28.791173579328643</v>
      </c>
      <c r="CJ261" s="2212">
        <v>74</v>
      </c>
      <c r="CK261" s="2219"/>
      <c r="CL261" s="2213"/>
      <c r="CM261" s="2219"/>
      <c r="CN261" s="2213"/>
      <c r="CO261" s="2213"/>
      <c r="CP261" s="2213"/>
      <c r="CQ261" s="2213"/>
      <c r="CR261" s="2208"/>
      <c r="CS261" s="2217">
        <f t="shared" si="143"/>
        <v>20.336537475662183</v>
      </c>
      <c r="CT261" s="2217">
        <f t="shared" si="134"/>
        <v>5537.0495734975211</v>
      </c>
      <c r="CU261" s="2217">
        <f t="shared" si="124"/>
        <v>23.434472204194208</v>
      </c>
      <c r="CV261" s="2212">
        <v>74</v>
      </c>
      <c r="CW261" s="2208"/>
      <c r="CX261" s="263"/>
      <c r="CY261" s="2208"/>
      <c r="CZ261" s="263"/>
      <c r="DA261" s="263"/>
      <c r="DB261" s="263"/>
      <c r="DC261" s="263"/>
      <c r="DD261" s="2208"/>
    </row>
    <row r="262" spans="1:108">
      <c r="A262" s="2217">
        <f t="shared" si="135"/>
        <v>22.088805091878289</v>
      </c>
      <c r="B262" s="2217">
        <f t="shared" si="117"/>
        <v>6572.3920632022546</v>
      </c>
      <c r="C262" s="2217">
        <f t="shared" si="125"/>
        <v>29.033743558155038</v>
      </c>
      <c r="D262" s="2212">
        <v>73</v>
      </c>
      <c r="E262" s="2219"/>
      <c r="F262" s="2213"/>
      <c r="G262" s="2219"/>
      <c r="H262" s="2213"/>
      <c r="I262" s="2213"/>
      <c r="J262" s="2213"/>
      <c r="K262" s="2213"/>
      <c r="L262" s="2213"/>
      <c r="M262" s="2217">
        <f t="shared" si="136"/>
        <v>24.121167140949144</v>
      </c>
      <c r="N262" s="2217">
        <f t="shared" si="118"/>
        <v>6572.3920632022546</v>
      </c>
      <c r="O262" s="2217">
        <f t="shared" si="126"/>
        <v>29.033743558155038</v>
      </c>
      <c r="P262" s="2212">
        <v>73</v>
      </c>
      <c r="Q262" s="2219"/>
      <c r="R262" s="2213"/>
      <c r="S262" s="2219"/>
      <c r="T262" s="2213"/>
      <c r="U262" s="2213"/>
      <c r="V262" s="2213"/>
      <c r="W262" s="2213"/>
      <c r="X262" s="2213"/>
      <c r="Y262" s="2217">
        <f t="shared" si="137"/>
        <v>26.734204061183103</v>
      </c>
      <c r="Z262" s="2217">
        <f t="shared" si="127"/>
        <v>6572.3920632022546</v>
      </c>
      <c r="AA262" s="2217">
        <f t="shared" si="128"/>
        <v>29.033743558155038</v>
      </c>
      <c r="AB262" s="2212">
        <v>73</v>
      </c>
      <c r="AC262" s="2219"/>
      <c r="AD262" s="2213"/>
      <c r="AE262" s="2219"/>
      <c r="AF262" s="2213"/>
      <c r="AG262" s="2213"/>
      <c r="AH262" s="2213"/>
      <c r="AI262" s="2213"/>
      <c r="AJ262" s="2213"/>
      <c r="AK262" s="2217">
        <f t="shared" si="138"/>
        <v>14.249694331176428</v>
      </c>
      <c r="AL262" s="2217">
        <f t="shared" si="119"/>
        <v>6572.3920632022546</v>
      </c>
      <c r="AM262" s="2217">
        <f t="shared" si="129"/>
        <v>29.033743558155038</v>
      </c>
      <c r="AN262" s="2212">
        <v>73</v>
      </c>
      <c r="AO262" s="2219"/>
      <c r="AP262" s="2213"/>
      <c r="AQ262" s="2219"/>
      <c r="AR262" s="2213"/>
      <c r="AS262" s="2213"/>
      <c r="AT262" s="2213"/>
      <c r="AU262" s="2213"/>
      <c r="AV262" s="2213"/>
      <c r="AW262" s="2217">
        <f t="shared" si="139"/>
        <v>13.870008176800493</v>
      </c>
      <c r="AX262" s="2217">
        <f t="shared" si="130"/>
        <v>5513.6151012933269</v>
      </c>
      <c r="AY262" s="2217">
        <f t="shared" si="120"/>
        <v>23.745290732830654</v>
      </c>
      <c r="AZ262" s="2212">
        <v>73</v>
      </c>
      <c r="BA262" s="2208"/>
      <c r="BB262" s="263"/>
      <c r="BC262" s="2208"/>
      <c r="BD262" s="263"/>
      <c r="BE262" s="263"/>
      <c r="BF262" s="263"/>
      <c r="BG262" s="263"/>
      <c r="BH262" s="2208"/>
      <c r="BI262" s="2217">
        <f t="shared" si="140"/>
        <v>21.231048303977996</v>
      </c>
      <c r="BJ262" s="2217">
        <f t="shared" si="131"/>
        <v>5513.6151012933269</v>
      </c>
      <c r="BK262" s="2217">
        <f t="shared" si="121"/>
        <v>23.745290732830654</v>
      </c>
      <c r="BL262" s="2212">
        <v>73</v>
      </c>
      <c r="BM262" s="2208"/>
      <c r="BN262" s="263"/>
      <c r="BO262" s="2208"/>
      <c r="BP262" s="263"/>
      <c r="BQ262" s="263"/>
      <c r="BR262" s="263"/>
      <c r="BS262" s="263"/>
      <c r="BT262" s="2208"/>
      <c r="BU262" s="2217">
        <f t="shared" si="141"/>
        <v>14.249694331176428</v>
      </c>
      <c r="BV262" s="2217">
        <f t="shared" si="122"/>
        <v>6572.3920632022546</v>
      </c>
      <c r="BW262" s="2217">
        <f t="shared" si="132"/>
        <v>29.033743558155038</v>
      </c>
      <c r="BX262" s="2212">
        <v>73</v>
      </c>
      <c r="BY262" s="2219"/>
      <c r="BZ262" s="2213"/>
      <c r="CA262" s="2219"/>
      <c r="CB262" s="2213"/>
      <c r="CC262" s="2213"/>
      <c r="CD262" s="2213"/>
      <c r="CE262" s="2213"/>
      <c r="CF262" s="2208"/>
      <c r="CG262" s="2217">
        <f t="shared" si="142"/>
        <v>17.733743558155037</v>
      </c>
      <c r="CH262" s="2217">
        <f t="shared" si="123"/>
        <v>6572.3920632022546</v>
      </c>
      <c r="CI262" s="2217">
        <f t="shared" si="133"/>
        <v>29.033743558155038</v>
      </c>
      <c r="CJ262" s="2212">
        <v>73</v>
      </c>
      <c r="CK262" s="2219"/>
      <c r="CL262" s="2213"/>
      <c r="CM262" s="2219"/>
      <c r="CN262" s="2213"/>
      <c r="CO262" s="2213"/>
      <c r="CP262" s="2213"/>
      <c r="CQ262" s="2213"/>
      <c r="CR262" s="2208"/>
      <c r="CS262" s="2217">
        <f t="shared" si="143"/>
        <v>20.75614248932138</v>
      </c>
      <c r="CT262" s="2217">
        <f t="shared" si="134"/>
        <v>5513.6151012933269</v>
      </c>
      <c r="CU262" s="2217">
        <f t="shared" si="124"/>
        <v>23.745290732830654</v>
      </c>
      <c r="CV262" s="2212">
        <v>73</v>
      </c>
      <c r="CW262" s="2208"/>
      <c r="CX262" s="263"/>
      <c r="CY262" s="2208"/>
      <c r="CZ262" s="263"/>
      <c r="DA262" s="263"/>
      <c r="DB262" s="263"/>
      <c r="DC262" s="263"/>
      <c r="DD262" s="2208"/>
    </row>
    <row r="263" spans="1:108">
      <c r="A263" s="2217">
        <f t="shared" si="135"/>
        <v>22.368729475042709</v>
      </c>
      <c r="B263" s="2217">
        <f t="shared" si="117"/>
        <v>6543.3583196440995</v>
      </c>
      <c r="C263" s="2217">
        <f t="shared" si="125"/>
        <v>29.27715606525453</v>
      </c>
      <c r="D263" s="2212">
        <v>72</v>
      </c>
      <c r="E263" s="2219"/>
      <c r="F263" s="2213"/>
      <c r="G263" s="2219"/>
      <c r="H263" s="2213"/>
      <c r="I263" s="2213"/>
      <c r="J263" s="2213"/>
      <c r="K263" s="2213"/>
      <c r="L263" s="2213"/>
      <c r="M263" s="2217">
        <f t="shared" si="136"/>
        <v>24.418130399610522</v>
      </c>
      <c r="N263" s="2217">
        <f t="shared" si="118"/>
        <v>6543.3583196440995</v>
      </c>
      <c r="O263" s="2217">
        <f t="shared" si="126"/>
        <v>29.27715606525453</v>
      </c>
      <c r="P263" s="2212">
        <v>72</v>
      </c>
      <c r="Q263" s="2219"/>
      <c r="R263" s="2213"/>
      <c r="S263" s="2219"/>
      <c r="T263" s="2213"/>
      <c r="U263" s="2213"/>
      <c r="V263" s="2213"/>
      <c r="W263" s="2213"/>
      <c r="X263" s="2213"/>
      <c r="Y263" s="2217">
        <f t="shared" si="137"/>
        <v>27.053074445483436</v>
      </c>
      <c r="Z263" s="2217">
        <f t="shared" si="127"/>
        <v>6543.3583196440995</v>
      </c>
      <c r="AA263" s="2217">
        <f t="shared" si="128"/>
        <v>29.27715606525453</v>
      </c>
      <c r="AB263" s="2212">
        <v>72</v>
      </c>
      <c r="AC263" s="2219"/>
      <c r="AD263" s="2213"/>
      <c r="AE263" s="2219"/>
      <c r="AF263" s="2213"/>
      <c r="AG263" s="2213"/>
      <c r="AH263" s="2213"/>
      <c r="AI263" s="2213"/>
      <c r="AJ263" s="2213"/>
      <c r="AK263" s="2217">
        <f t="shared" si="138"/>
        <v>14.463897337423983</v>
      </c>
      <c r="AL263" s="2217">
        <f t="shared" si="119"/>
        <v>6543.3583196440995</v>
      </c>
      <c r="AM263" s="2217">
        <f t="shared" si="129"/>
        <v>29.27715606525453</v>
      </c>
      <c r="AN263" s="2212">
        <v>72</v>
      </c>
      <c r="AO263" s="2219"/>
      <c r="AP263" s="2213"/>
      <c r="AQ263" s="2219"/>
      <c r="AR263" s="2213"/>
      <c r="AS263" s="2213"/>
      <c r="AT263" s="2213"/>
      <c r="AU263" s="2213"/>
      <c r="AV263" s="2213"/>
      <c r="AW263" s="2217">
        <f t="shared" si="139"/>
        <v>14.199310537181081</v>
      </c>
      <c r="AX263" s="2217">
        <f t="shared" si="130"/>
        <v>5489.8698105604963</v>
      </c>
      <c r="AY263" s="2217">
        <f t="shared" si="120"/>
        <v>24.055953336963285</v>
      </c>
      <c r="AZ263" s="2212">
        <v>72</v>
      </c>
      <c r="BA263" s="2208"/>
      <c r="BB263" s="263"/>
      <c r="BC263" s="2208"/>
      <c r="BD263" s="263"/>
      <c r="BE263" s="263"/>
      <c r="BF263" s="263"/>
      <c r="BG263" s="263"/>
      <c r="BH263" s="2208"/>
      <c r="BI263" s="2217">
        <f t="shared" si="140"/>
        <v>21.656656071639699</v>
      </c>
      <c r="BJ263" s="2217">
        <f t="shared" si="131"/>
        <v>5489.8698105604963</v>
      </c>
      <c r="BK263" s="2217">
        <f t="shared" si="121"/>
        <v>24.055953336963285</v>
      </c>
      <c r="BL263" s="2212">
        <v>72</v>
      </c>
      <c r="BM263" s="2208"/>
      <c r="BN263" s="263"/>
      <c r="BO263" s="2208"/>
      <c r="BP263" s="263"/>
      <c r="BQ263" s="263"/>
      <c r="BR263" s="263"/>
      <c r="BS263" s="263"/>
      <c r="BT263" s="2208"/>
      <c r="BU263" s="2217">
        <f t="shared" si="141"/>
        <v>14.463897337423983</v>
      </c>
      <c r="BV263" s="2217">
        <f t="shared" si="122"/>
        <v>6543.3583196440995</v>
      </c>
      <c r="BW263" s="2217">
        <f t="shared" si="132"/>
        <v>29.27715606525453</v>
      </c>
      <c r="BX263" s="2212">
        <v>72</v>
      </c>
      <c r="BY263" s="2219"/>
      <c r="BZ263" s="2213"/>
      <c r="CA263" s="2219"/>
      <c r="CB263" s="2213"/>
      <c r="CC263" s="2213"/>
      <c r="CD263" s="2213"/>
      <c r="CE263" s="2213"/>
      <c r="CF263" s="2208"/>
      <c r="CG263" s="2217">
        <f t="shared" si="142"/>
        <v>17.97715606525453</v>
      </c>
      <c r="CH263" s="2217">
        <f t="shared" si="123"/>
        <v>6543.3583196440995</v>
      </c>
      <c r="CI263" s="2217">
        <f t="shared" si="133"/>
        <v>29.27715606525453</v>
      </c>
      <c r="CJ263" s="2212">
        <v>72</v>
      </c>
      <c r="CK263" s="2219"/>
      <c r="CL263" s="2213"/>
      <c r="CM263" s="2219"/>
      <c r="CN263" s="2213"/>
      <c r="CO263" s="2213"/>
      <c r="CP263" s="2213"/>
      <c r="CQ263" s="2213"/>
      <c r="CR263" s="2208"/>
      <c r="CS263" s="2217">
        <f t="shared" si="143"/>
        <v>21.175537004900438</v>
      </c>
      <c r="CT263" s="2217">
        <f t="shared" si="134"/>
        <v>5489.8698105604963</v>
      </c>
      <c r="CU263" s="2217">
        <f t="shared" si="124"/>
        <v>24.055953336963285</v>
      </c>
      <c r="CV263" s="2212">
        <v>72</v>
      </c>
      <c r="CW263" s="2208"/>
      <c r="CX263" s="263"/>
      <c r="CY263" s="2208"/>
      <c r="CZ263" s="263"/>
      <c r="DA263" s="263"/>
      <c r="DB263" s="263"/>
      <c r="DC263" s="263"/>
      <c r="DD263" s="2208"/>
    </row>
    <row r="264" spans="1:108">
      <c r="A264" s="2217">
        <f t="shared" si="135"/>
        <v>22.649622765713861</v>
      </c>
      <c r="B264" s="2217">
        <f t="shared" si="117"/>
        <v>6514.081163578845</v>
      </c>
      <c r="C264" s="2217">
        <f t="shared" si="125"/>
        <v>29.521411100620753</v>
      </c>
      <c r="D264" s="2212">
        <v>71</v>
      </c>
      <c r="E264" s="2219"/>
      <c r="F264" s="2213"/>
      <c r="G264" s="2219"/>
      <c r="H264" s="2213"/>
      <c r="I264" s="2213"/>
      <c r="J264" s="2213"/>
      <c r="K264" s="2213"/>
      <c r="L264" s="2213"/>
      <c r="M264" s="2217">
        <f t="shared" si="136"/>
        <v>24.716121542757318</v>
      </c>
      <c r="N264" s="2217">
        <f t="shared" si="118"/>
        <v>6514.081163578845</v>
      </c>
      <c r="O264" s="2217">
        <f t="shared" si="126"/>
        <v>29.521411100620753</v>
      </c>
      <c r="P264" s="2212">
        <v>71</v>
      </c>
      <c r="Q264" s="2219"/>
      <c r="R264" s="2213"/>
      <c r="S264" s="2219"/>
      <c r="T264" s="2213"/>
      <c r="U264" s="2213"/>
      <c r="V264" s="2213"/>
      <c r="W264" s="2213"/>
      <c r="X264" s="2213"/>
      <c r="Y264" s="2217">
        <f t="shared" si="137"/>
        <v>27.373048541813187</v>
      </c>
      <c r="Z264" s="2217">
        <f t="shared" si="127"/>
        <v>6514.081163578845</v>
      </c>
      <c r="AA264" s="2217">
        <f t="shared" si="128"/>
        <v>29.521411100620753</v>
      </c>
      <c r="AB264" s="2212">
        <v>71</v>
      </c>
      <c r="AC264" s="2219"/>
      <c r="AD264" s="2213"/>
      <c r="AE264" s="2219"/>
      <c r="AF264" s="2213"/>
      <c r="AG264" s="2213"/>
      <c r="AH264" s="2213"/>
      <c r="AI264" s="2213"/>
      <c r="AJ264" s="2213"/>
      <c r="AK264" s="2217">
        <f t="shared" si="138"/>
        <v>14.67884176854626</v>
      </c>
      <c r="AL264" s="2217">
        <f t="shared" si="119"/>
        <v>6514.081163578845</v>
      </c>
      <c r="AM264" s="2217">
        <f t="shared" si="129"/>
        <v>29.521411100620753</v>
      </c>
      <c r="AN264" s="2212">
        <v>71</v>
      </c>
      <c r="AO264" s="2219"/>
      <c r="AP264" s="2213"/>
      <c r="AQ264" s="2219"/>
      <c r="AR264" s="2213"/>
      <c r="AS264" s="2213"/>
      <c r="AT264" s="2213"/>
      <c r="AU264" s="2213"/>
      <c r="AV264" s="2213"/>
      <c r="AW264" s="2217">
        <f t="shared" si="139"/>
        <v>14.52844761759534</v>
      </c>
      <c r="AX264" s="2217">
        <f t="shared" si="130"/>
        <v>5465.813857223533</v>
      </c>
      <c r="AY264" s="2217">
        <f t="shared" si="120"/>
        <v>24.366460016599376</v>
      </c>
      <c r="AZ264" s="2212">
        <v>71</v>
      </c>
      <c r="BA264" s="2208"/>
      <c r="BB264" s="263"/>
      <c r="BC264" s="2208"/>
      <c r="BD264" s="263"/>
      <c r="BE264" s="263"/>
      <c r="BF264" s="263"/>
      <c r="BG264" s="263"/>
      <c r="BH264" s="2208"/>
      <c r="BI264" s="2217">
        <f t="shared" si="140"/>
        <v>22.082050222741149</v>
      </c>
      <c r="BJ264" s="2217">
        <f t="shared" si="131"/>
        <v>5465.813857223533</v>
      </c>
      <c r="BK264" s="2217">
        <f t="shared" si="121"/>
        <v>24.366460016599376</v>
      </c>
      <c r="BL264" s="2212">
        <v>71</v>
      </c>
      <c r="BM264" s="2208"/>
      <c r="BN264" s="263"/>
      <c r="BO264" s="2208"/>
      <c r="BP264" s="263"/>
      <c r="BQ264" s="263"/>
      <c r="BR264" s="263"/>
      <c r="BS264" s="263"/>
      <c r="BT264" s="2208"/>
      <c r="BU264" s="2217">
        <f t="shared" si="141"/>
        <v>14.67884176854626</v>
      </c>
      <c r="BV264" s="2217">
        <f t="shared" si="122"/>
        <v>6514.081163578845</v>
      </c>
      <c r="BW264" s="2217">
        <f t="shared" si="132"/>
        <v>29.521411100620753</v>
      </c>
      <c r="BX264" s="2212">
        <v>71</v>
      </c>
      <c r="BY264" s="2219"/>
      <c r="BZ264" s="2213"/>
      <c r="CA264" s="2219"/>
      <c r="CB264" s="2213"/>
      <c r="CC264" s="2213"/>
      <c r="CD264" s="2213"/>
      <c r="CE264" s="2213"/>
      <c r="CF264" s="2208"/>
      <c r="CG264" s="2217">
        <f t="shared" si="142"/>
        <v>18.221411100620752</v>
      </c>
      <c r="CH264" s="2217">
        <f t="shared" si="123"/>
        <v>6514.081163578845</v>
      </c>
      <c r="CI264" s="2217">
        <f t="shared" si="133"/>
        <v>29.521411100620753</v>
      </c>
      <c r="CJ264" s="2212">
        <v>71</v>
      </c>
      <c r="CK264" s="2219"/>
      <c r="CL264" s="2213"/>
      <c r="CM264" s="2219"/>
      <c r="CN264" s="2213"/>
      <c r="CO264" s="2213"/>
      <c r="CP264" s="2213"/>
      <c r="CQ264" s="2213"/>
      <c r="CR264" s="2208"/>
      <c r="CS264" s="2217">
        <f t="shared" si="143"/>
        <v>21.594721022409157</v>
      </c>
      <c r="CT264" s="2217">
        <f t="shared" si="134"/>
        <v>5465.813857223533</v>
      </c>
      <c r="CU264" s="2217">
        <f t="shared" si="124"/>
        <v>24.366460016599376</v>
      </c>
      <c r="CV264" s="2212">
        <v>71</v>
      </c>
      <c r="CW264" s="2208"/>
      <c r="CX264" s="263"/>
      <c r="CY264" s="2208"/>
      <c r="CZ264" s="263"/>
      <c r="DA264" s="263"/>
      <c r="DB264" s="263"/>
      <c r="DC264" s="263"/>
      <c r="DD264" s="2208"/>
    </row>
    <row r="265" spans="1:108">
      <c r="A265" s="2217">
        <f t="shared" si="135"/>
        <v>22.931484963893848</v>
      </c>
      <c r="B265" s="2217">
        <f t="shared" si="117"/>
        <v>6484.5597524782243</v>
      </c>
      <c r="C265" s="2217">
        <f t="shared" si="125"/>
        <v>29.766508664255525</v>
      </c>
      <c r="D265" s="2212">
        <v>70</v>
      </c>
      <c r="E265" s="2219"/>
      <c r="F265" s="2213"/>
      <c r="G265" s="2219"/>
      <c r="H265" s="2213"/>
      <c r="I265" s="2213"/>
      <c r="J265" s="2213"/>
      <c r="K265" s="2213"/>
      <c r="L265" s="2213"/>
      <c r="M265" s="2217">
        <f t="shared" si="136"/>
        <v>25.01514057039174</v>
      </c>
      <c r="N265" s="2217">
        <f t="shared" si="118"/>
        <v>6484.5597524782243</v>
      </c>
      <c r="O265" s="2217">
        <f t="shared" si="126"/>
        <v>29.766508664255525</v>
      </c>
      <c r="P265" s="2212">
        <v>70</v>
      </c>
      <c r="Q265" s="2219"/>
      <c r="R265" s="2213"/>
      <c r="S265" s="2219"/>
      <c r="T265" s="2213"/>
      <c r="U265" s="2213"/>
      <c r="V265" s="2213"/>
      <c r="W265" s="2213"/>
      <c r="X265" s="2213"/>
      <c r="Y265" s="2217">
        <f t="shared" si="137"/>
        <v>27.694126350174738</v>
      </c>
      <c r="Z265" s="2217">
        <f t="shared" si="127"/>
        <v>6484.5597524782243</v>
      </c>
      <c r="AA265" s="2217">
        <f t="shared" si="128"/>
        <v>29.766508664255525</v>
      </c>
      <c r="AB265" s="2212">
        <v>70</v>
      </c>
      <c r="AC265" s="2219"/>
      <c r="AD265" s="2213"/>
      <c r="AE265" s="2219"/>
      <c r="AF265" s="2213"/>
      <c r="AG265" s="2213"/>
      <c r="AH265" s="2213"/>
      <c r="AI265" s="2213"/>
      <c r="AJ265" s="2213"/>
      <c r="AK265" s="2217">
        <f t="shared" si="138"/>
        <v>14.894527624544857</v>
      </c>
      <c r="AL265" s="2217">
        <f t="shared" si="119"/>
        <v>6484.5597524782243</v>
      </c>
      <c r="AM265" s="2217">
        <f t="shared" si="129"/>
        <v>29.766508664255525</v>
      </c>
      <c r="AN265" s="2212">
        <v>70</v>
      </c>
      <c r="AO265" s="2219"/>
      <c r="AP265" s="2213"/>
      <c r="AQ265" s="2219"/>
      <c r="AR265" s="2213"/>
      <c r="AS265" s="2213"/>
      <c r="AT265" s="2213"/>
      <c r="AU265" s="2213"/>
      <c r="AV265" s="2213"/>
      <c r="AW265" s="2217">
        <f t="shared" si="139"/>
        <v>14.857419418035551</v>
      </c>
      <c r="AX265" s="2217">
        <f t="shared" si="130"/>
        <v>5441.4473972069336</v>
      </c>
      <c r="AY265" s="2217">
        <f t="shared" si="120"/>
        <v>24.676810771731652</v>
      </c>
      <c r="AZ265" s="2212">
        <v>70</v>
      </c>
      <c r="BA265" s="2208"/>
      <c r="BB265" s="263"/>
      <c r="BC265" s="2208"/>
      <c r="BD265" s="263"/>
      <c r="BE265" s="263"/>
      <c r="BF265" s="263"/>
      <c r="BG265" s="263"/>
      <c r="BH265" s="2208"/>
      <c r="BI265" s="2217">
        <f t="shared" si="140"/>
        <v>22.507230757272364</v>
      </c>
      <c r="BJ265" s="2217">
        <f t="shared" si="131"/>
        <v>5441.4473972069336</v>
      </c>
      <c r="BK265" s="2217">
        <f t="shared" si="121"/>
        <v>24.676810771731652</v>
      </c>
      <c r="BL265" s="2212">
        <v>70</v>
      </c>
      <c r="BM265" s="2208"/>
      <c r="BN265" s="263"/>
      <c r="BO265" s="2208"/>
      <c r="BP265" s="263"/>
      <c r="BQ265" s="263"/>
      <c r="BR265" s="263"/>
      <c r="BS265" s="263"/>
      <c r="BT265" s="2208"/>
      <c r="BU265" s="2217">
        <f t="shared" si="141"/>
        <v>14.894527624544857</v>
      </c>
      <c r="BV265" s="2217">
        <f t="shared" si="122"/>
        <v>6484.5597524782243</v>
      </c>
      <c r="BW265" s="2217">
        <f t="shared" si="132"/>
        <v>29.766508664255525</v>
      </c>
      <c r="BX265" s="2212">
        <v>70</v>
      </c>
      <c r="BY265" s="2219"/>
      <c r="BZ265" s="2213"/>
      <c r="CA265" s="2219"/>
      <c r="CB265" s="2213"/>
      <c r="CC265" s="2213"/>
      <c r="CD265" s="2213"/>
      <c r="CE265" s="2213"/>
      <c r="CF265" s="2208"/>
      <c r="CG265" s="2217">
        <f t="shared" si="142"/>
        <v>18.466508664255525</v>
      </c>
      <c r="CH265" s="2217">
        <f t="shared" si="123"/>
        <v>6484.5597524782243</v>
      </c>
      <c r="CI265" s="2217">
        <f t="shared" si="133"/>
        <v>29.766508664255525</v>
      </c>
      <c r="CJ265" s="2212">
        <v>70</v>
      </c>
      <c r="CK265" s="2219"/>
      <c r="CL265" s="2213"/>
      <c r="CM265" s="2219"/>
      <c r="CN265" s="2213"/>
      <c r="CO265" s="2213"/>
      <c r="CP265" s="2213"/>
      <c r="CQ265" s="2213"/>
      <c r="CR265" s="2208"/>
      <c r="CS265" s="2217">
        <f t="shared" si="143"/>
        <v>22.013694541837733</v>
      </c>
      <c r="CT265" s="2217">
        <f t="shared" si="134"/>
        <v>5441.4473972069336</v>
      </c>
      <c r="CU265" s="2217">
        <f t="shared" si="124"/>
        <v>24.676810771731652</v>
      </c>
      <c r="CV265" s="2212">
        <v>70</v>
      </c>
      <c r="CW265" s="2208"/>
      <c r="CX265" s="263"/>
      <c r="CY265" s="2208"/>
      <c r="CZ265" s="263"/>
      <c r="DA265" s="263"/>
      <c r="DB265" s="263"/>
      <c r="DC265" s="263"/>
      <c r="DD265" s="2208"/>
    </row>
    <row r="266" spans="1:108">
      <c r="A266" s="2217">
        <f t="shared" si="135"/>
        <v>23.214316069585809</v>
      </c>
      <c r="B266" s="2217">
        <f t="shared" si="117"/>
        <v>6454.7932438139687</v>
      </c>
      <c r="C266" s="2217">
        <f t="shared" si="125"/>
        <v>30.012448756161575</v>
      </c>
      <c r="D266" s="2212">
        <v>69</v>
      </c>
      <c r="E266" s="2219"/>
      <c r="F266" s="2213"/>
      <c r="G266" s="2219"/>
      <c r="H266" s="2213"/>
      <c r="I266" s="2213"/>
      <c r="J266" s="2213"/>
      <c r="K266" s="2213"/>
      <c r="L266" s="2213"/>
      <c r="M266" s="2217">
        <f t="shared" si="136"/>
        <v>25.315187482517121</v>
      </c>
      <c r="N266" s="2217">
        <f t="shared" si="118"/>
        <v>6454.7932438139687</v>
      </c>
      <c r="O266" s="2217">
        <f t="shared" si="126"/>
        <v>30.012448756161575</v>
      </c>
      <c r="P266" s="2212">
        <v>69</v>
      </c>
      <c r="Q266" s="2219"/>
      <c r="R266" s="2213"/>
      <c r="S266" s="2219"/>
      <c r="T266" s="2213"/>
      <c r="U266" s="2213"/>
      <c r="V266" s="2213"/>
      <c r="W266" s="2213"/>
      <c r="X266" s="2213"/>
      <c r="Y266" s="2217">
        <f t="shared" si="137"/>
        <v>28.016307870571662</v>
      </c>
      <c r="Z266" s="2217">
        <f t="shared" si="127"/>
        <v>6454.7932438139687</v>
      </c>
      <c r="AA266" s="2217">
        <f t="shared" si="128"/>
        <v>30.012448756161575</v>
      </c>
      <c r="AB266" s="2212">
        <v>69</v>
      </c>
      <c r="AC266" s="2219"/>
      <c r="AD266" s="2213"/>
      <c r="AE266" s="2219"/>
      <c r="AF266" s="2213"/>
      <c r="AG266" s="2213"/>
      <c r="AH266" s="2213"/>
      <c r="AI266" s="2213"/>
      <c r="AJ266" s="2213"/>
      <c r="AK266" s="2217">
        <f t="shared" si="138"/>
        <v>15.110954905422183</v>
      </c>
      <c r="AL266" s="2217">
        <f t="shared" si="119"/>
        <v>6454.7932438139687</v>
      </c>
      <c r="AM266" s="2217">
        <f t="shared" si="129"/>
        <v>30.012448756161575</v>
      </c>
      <c r="AN266" s="2212">
        <v>69</v>
      </c>
      <c r="AO266" s="2219"/>
      <c r="AP266" s="2213"/>
      <c r="AQ266" s="2219"/>
      <c r="AR266" s="2213"/>
      <c r="AS266" s="2213"/>
      <c r="AT266" s="2213"/>
      <c r="AU266" s="2213"/>
      <c r="AV266" s="2213"/>
      <c r="AW266" s="2217">
        <f t="shared" si="139"/>
        <v>15.186225938507505</v>
      </c>
      <c r="AX266" s="2217">
        <f t="shared" si="130"/>
        <v>5416.7705864352019</v>
      </c>
      <c r="AY266" s="2217">
        <f t="shared" si="120"/>
        <v>24.987005602365571</v>
      </c>
      <c r="AZ266" s="2212">
        <v>69</v>
      </c>
      <c r="BA266" s="2208"/>
      <c r="BB266" s="263"/>
      <c r="BC266" s="2208"/>
      <c r="BD266" s="263"/>
      <c r="BE266" s="263"/>
      <c r="BF266" s="263"/>
      <c r="BG266" s="263"/>
      <c r="BH266" s="2208"/>
      <c r="BI266" s="2217">
        <f t="shared" si="140"/>
        <v>22.932197675240833</v>
      </c>
      <c r="BJ266" s="2217">
        <f t="shared" si="131"/>
        <v>5416.7705864352019</v>
      </c>
      <c r="BK266" s="2217">
        <f t="shared" si="121"/>
        <v>24.987005602365571</v>
      </c>
      <c r="BL266" s="2212">
        <v>69</v>
      </c>
      <c r="BM266" s="2208"/>
      <c r="BN266" s="263"/>
      <c r="BO266" s="2208"/>
      <c r="BP266" s="263"/>
      <c r="BQ266" s="263"/>
      <c r="BR266" s="263"/>
      <c r="BS266" s="263"/>
      <c r="BT266" s="2208"/>
      <c r="BU266" s="2217">
        <f t="shared" si="141"/>
        <v>15.110954905422183</v>
      </c>
      <c r="BV266" s="2217">
        <f t="shared" si="122"/>
        <v>6454.7932438139687</v>
      </c>
      <c r="BW266" s="2217">
        <f t="shared" si="132"/>
        <v>30.012448756161575</v>
      </c>
      <c r="BX266" s="2212">
        <v>69</v>
      </c>
      <c r="BY266" s="2219"/>
      <c r="BZ266" s="2213"/>
      <c r="CA266" s="2219"/>
      <c r="CB266" s="2213"/>
      <c r="CC266" s="2213"/>
      <c r="CD266" s="2213"/>
      <c r="CE266" s="2213"/>
      <c r="CF266" s="2208"/>
      <c r="CG266" s="2217">
        <f t="shared" si="142"/>
        <v>18.712448756161574</v>
      </c>
      <c r="CH266" s="2217">
        <f t="shared" si="123"/>
        <v>6454.7932438139687</v>
      </c>
      <c r="CI266" s="2217">
        <f t="shared" si="133"/>
        <v>30.012448756161575</v>
      </c>
      <c r="CJ266" s="2212">
        <v>69</v>
      </c>
      <c r="CK266" s="2219"/>
      <c r="CL266" s="2213"/>
      <c r="CM266" s="2219"/>
      <c r="CN266" s="2213"/>
      <c r="CO266" s="2213"/>
      <c r="CP266" s="2213"/>
      <c r="CQ266" s="2213"/>
      <c r="CR266" s="2208"/>
      <c r="CS266" s="2217">
        <f t="shared" si="143"/>
        <v>22.43245756319352</v>
      </c>
      <c r="CT266" s="2217">
        <f t="shared" si="134"/>
        <v>5416.7705864352019</v>
      </c>
      <c r="CU266" s="2217">
        <f t="shared" si="124"/>
        <v>24.987005602365571</v>
      </c>
      <c r="CV266" s="2212">
        <v>69</v>
      </c>
      <c r="CW266" s="2208"/>
      <c r="CX266" s="263"/>
      <c r="CY266" s="2208"/>
      <c r="CZ266" s="263"/>
      <c r="DA266" s="263"/>
      <c r="DB266" s="263"/>
      <c r="DC266" s="263"/>
      <c r="DD266" s="2208"/>
    </row>
    <row r="267" spans="1:108">
      <c r="A267" s="2217">
        <f t="shared" si="135"/>
        <v>23.498116082789732</v>
      </c>
      <c r="B267" s="2217">
        <f t="shared" si="117"/>
        <v>6424.7807950578072</v>
      </c>
      <c r="C267" s="2217">
        <f t="shared" si="125"/>
        <v>30.259231376338903</v>
      </c>
      <c r="D267" s="2212">
        <v>68</v>
      </c>
      <c r="E267" s="2219"/>
      <c r="F267" s="2213"/>
      <c r="G267" s="2219"/>
      <c r="H267" s="2213"/>
      <c r="I267" s="2213"/>
      <c r="J267" s="2213"/>
      <c r="K267" s="2213"/>
      <c r="L267" s="2213"/>
      <c r="M267" s="2217">
        <f t="shared" si="136"/>
        <v>25.616262279133462</v>
      </c>
      <c r="N267" s="2217">
        <f t="shared" si="118"/>
        <v>6424.7807950578072</v>
      </c>
      <c r="O267" s="2217">
        <f t="shared" si="126"/>
        <v>30.259231376338903</v>
      </c>
      <c r="P267" s="2212">
        <v>68</v>
      </c>
      <c r="Q267" s="2219"/>
      <c r="R267" s="2213"/>
      <c r="S267" s="2219"/>
      <c r="T267" s="2213"/>
      <c r="U267" s="2213"/>
      <c r="V267" s="2213"/>
      <c r="W267" s="2213"/>
      <c r="X267" s="2213"/>
      <c r="Y267" s="2217">
        <f t="shared" si="137"/>
        <v>28.339593103003967</v>
      </c>
      <c r="Z267" s="2217">
        <f t="shared" si="127"/>
        <v>6424.7807950578072</v>
      </c>
      <c r="AA267" s="2217">
        <f t="shared" si="128"/>
        <v>30.259231376338903</v>
      </c>
      <c r="AB267" s="2212">
        <v>68</v>
      </c>
      <c r="AC267" s="2219"/>
      <c r="AD267" s="2213"/>
      <c r="AE267" s="2219"/>
      <c r="AF267" s="2213"/>
      <c r="AG267" s="2213"/>
      <c r="AH267" s="2213"/>
      <c r="AI267" s="2213"/>
      <c r="AJ267" s="2213"/>
      <c r="AK267" s="2217">
        <f t="shared" si="138"/>
        <v>15.328123611178231</v>
      </c>
      <c r="AL267" s="2217">
        <f t="shared" si="119"/>
        <v>6424.7807950578072</v>
      </c>
      <c r="AM267" s="2217">
        <f t="shared" si="129"/>
        <v>30.259231376338903</v>
      </c>
      <c r="AN267" s="2212">
        <v>68</v>
      </c>
      <c r="AO267" s="2219"/>
      <c r="AP267" s="2213"/>
      <c r="AQ267" s="2219"/>
      <c r="AR267" s="2213"/>
      <c r="AS267" s="2213"/>
      <c r="AT267" s="2213"/>
      <c r="AU267" s="2213"/>
      <c r="AV267" s="2213"/>
      <c r="AW267" s="2217">
        <f t="shared" si="139"/>
        <v>15.514867179007343</v>
      </c>
      <c r="AX267" s="2217">
        <f t="shared" si="130"/>
        <v>5391.7835808328364</v>
      </c>
      <c r="AY267" s="2217">
        <f t="shared" si="120"/>
        <v>25.297044508497493</v>
      </c>
      <c r="AZ267" s="2212">
        <v>68</v>
      </c>
      <c r="BA267" s="2208"/>
      <c r="BB267" s="263"/>
      <c r="BC267" s="2208"/>
      <c r="BD267" s="263"/>
      <c r="BE267" s="263"/>
      <c r="BF267" s="263"/>
      <c r="BG267" s="263"/>
      <c r="BH267" s="2208"/>
      <c r="BI267" s="2217">
        <f t="shared" si="140"/>
        <v>23.356950976641567</v>
      </c>
      <c r="BJ267" s="2217">
        <f t="shared" si="131"/>
        <v>5391.7835808328364</v>
      </c>
      <c r="BK267" s="2217">
        <f t="shared" si="121"/>
        <v>25.297044508497493</v>
      </c>
      <c r="BL267" s="2212">
        <v>68</v>
      </c>
      <c r="BM267" s="2208"/>
      <c r="BN267" s="263"/>
      <c r="BO267" s="2208"/>
      <c r="BP267" s="263"/>
      <c r="BQ267" s="263"/>
      <c r="BR267" s="263"/>
      <c r="BS267" s="263"/>
      <c r="BT267" s="2208"/>
      <c r="BU267" s="2217">
        <f t="shared" si="141"/>
        <v>15.328123611178231</v>
      </c>
      <c r="BV267" s="2217">
        <f t="shared" si="122"/>
        <v>6424.7807950578072</v>
      </c>
      <c r="BW267" s="2217">
        <f t="shared" si="132"/>
        <v>30.259231376338903</v>
      </c>
      <c r="BX267" s="2212">
        <v>68</v>
      </c>
      <c r="BY267" s="2219"/>
      <c r="BZ267" s="2213"/>
      <c r="CA267" s="2219"/>
      <c r="CB267" s="2213"/>
      <c r="CC267" s="2213"/>
      <c r="CD267" s="2213"/>
      <c r="CE267" s="2213"/>
      <c r="CF267" s="2208"/>
      <c r="CG267" s="2217">
        <f t="shared" si="142"/>
        <v>18.959231376338902</v>
      </c>
      <c r="CH267" s="2217">
        <f t="shared" si="123"/>
        <v>6424.7807950578072</v>
      </c>
      <c r="CI267" s="2217">
        <f t="shared" si="133"/>
        <v>30.259231376338903</v>
      </c>
      <c r="CJ267" s="2212">
        <v>68</v>
      </c>
      <c r="CK267" s="2219"/>
      <c r="CL267" s="2213"/>
      <c r="CM267" s="2219"/>
      <c r="CN267" s="2213"/>
      <c r="CO267" s="2213"/>
      <c r="CP267" s="2213"/>
      <c r="CQ267" s="2213"/>
      <c r="CR267" s="2208"/>
      <c r="CS267" s="2217">
        <f t="shared" si="143"/>
        <v>22.851010086471614</v>
      </c>
      <c r="CT267" s="2217">
        <f t="shared" si="134"/>
        <v>5391.7835808328364</v>
      </c>
      <c r="CU267" s="2217">
        <f t="shared" si="124"/>
        <v>25.297044508497493</v>
      </c>
      <c r="CV267" s="2212">
        <v>68</v>
      </c>
      <c r="CW267" s="2208"/>
      <c r="CX267" s="263"/>
      <c r="CY267" s="2208"/>
      <c r="CZ267" s="263"/>
      <c r="DA267" s="263"/>
      <c r="DB267" s="263"/>
      <c r="DC267" s="263"/>
      <c r="DD267" s="2208"/>
    </row>
    <row r="268" spans="1:108">
      <c r="A268" s="2217">
        <f t="shared" si="135"/>
        <v>23.782885003498311</v>
      </c>
      <c r="B268" s="2217">
        <f t="shared" si="117"/>
        <v>6394.5215636814683</v>
      </c>
      <c r="C268" s="2217">
        <f t="shared" si="125"/>
        <v>30.506856524781142</v>
      </c>
      <c r="D268" s="2212">
        <v>67</v>
      </c>
      <c r="E268" s="2219"/>
      <c r="F268" s="2213"/>
      <c r="G268" s="2219"/>
      <c r="H268" s="2213"/>
      <c r="I268" s="2213"/>
      <c r="J268" s="2213"/>
      <c r="K268" s="2213"/>
      <c r="L268" s="2213"/>
      <c r="M268" s="2217">
        <f t="shared" si="136"/>
        <v>25.918364960232989</v>
      </c>
      <c r="N268" s="2217">
        <f t="shared" si="118"/>
        <v>6394.5215636814683</v>
      </c>
      <c r="O268" s="2217">
        <f t="shared" si="126"/>
        <v>30.506856524781142</v>
      </c>
      <c r="P268" s="2212">
        <v>67</v>
      </c>
      <c r="Q268" s="2219"/>
      <c r="R268" s="2213"/>
      <c r="S268" s="2219"/>
      <c r="T268" s="2213"/>
      <c r="U268" s="2213"/>
      <c r="V268" s="2213"/>
      <c r="W268" s="2213"/>
      <c r="X268" s="2213"/>
      <c r="Y268" s="2217">
        <f t="shared" si="137"/>
        <v>28.663982047463296</v>
      </c>
      <c r="Z268" s="2217">
        <f t="shared" si="127"/>
        <v>6394.5215636814683</v>
      </c>
      <c r="AA268" s="2217">
        <f t="shared" si="128"/>
        <v>30.506856524781142</v>
      </c>
      <c r="AB268" s="2212">
        <v>67</v>
      </c>
      <c r="AC268" s="2219"/>
      <c r="AD268" s="2213"/>
      <c r="AE268" s="2219"/>
      <c r="AF268" s="2213"/>
      <c r="AG268" s="2213"/>
      <c r="AH268" s="2213"/>
      <c r="AI268" s="2213"/>
      <c r="AJ268" s="2213"/>
      <c r="AK268" s="2217">
        <f t="shared" si="138"/>
        <v>15.546033741807403</v>
      </c>
      <c r="AL268" s="2217">
        <f t="shared" si="119"/>
        <v>6394.5215636814683</v>
      </c>
      <c r="AM268" s="2217">
        <f t="shared" si="129"/>
        <v>30.506856524781142</v>
      </c>
      <c r="AN268" s="2212">
        <v>67</v>
      </c>
      <c r="AO268" s="2219"/>
      <c r="AP268" s="2213"/>
      <c r="AQ268" s="2219"/>
      <c r="AR268" s="2213"/>
      <c r="AS268" s="2213"/>
      <c r="AT268" s="2213"/>
      <c r="AU268" s="2213"/>
      <c r="AV268" s="2213"/>
      <c r="AW268" s="2217">
        <f t="shared" si="139"/>
        <v>15.843343139537957</v>
      </c>
      <c r="AX268" s="2217">
        <f t="shared" si="130"/>
        <v>5366.4865363243389</v>
      </c>
      <c r="AY268" s="2217">
        <f t="shared" si="120"/>
        <v>25.606927490130147</v>
      </c>
      <c r="AZ268" s="2212">
        <v>67</v>
      </c>
      <c r="BA268" s="2208"/>
      <c r="BB268" s="263"/>
      <c r="BC268" s="2208"/>
      <c r="BD268" s="263"/>
      <c r="BE268" s="263"/>
      <c r="BF268" s="263"/>
      <c r="BG268" s="263"/>
      <c r="BH268" s="2208"/>
      <c r="BI268" s="2217">
        <f t="shared" si="140"/>
        <v>23.781490661478305</v>
      </c>
      <c r="BJ268" s="2217">
        <f t="shared" si="131"/>
        <v>5366.4865363243389</v>
      </c>
      <c r="BK268" s="2217">
        <f t="shared" si="121"/>
        <v>25.606927490130147</v>
      </c>
      <c r="BL268" s="2212">
        <v>67</v>
      </c>
      <c r="BM268" s="2208"/>
      <c r="BN268" s="263"/>
      <c r="BO268" s="2208"/>
      <c r="BP268" s="263"/>
      <c r="BQ268" s="263"/>
      <c r="BR268" s="263"/>
      <c r="BS268" s="263"/>
      <c r="BT268" s="2208"/>
      <c r="BU268" s="2217">
        <f t="shared" si="141"/>
        <v>15.546033741807403</v>
      </c>
      <c r="BV268" s="2217">
        <f t="shared" si="122"/>
        <v>6394.5215636814683</v>
      </c>
      <c r="BW268" s="2217">
        <f t="shared" si="132"/>
        <v>30.506856524781142</v>
      </c>
      <c r="BX268" s="2212">
        <v>67</v>
      </c>
      <c r="BY268" s="2219"/>
      <c r="BZ268" s="2213"/>
      <c r="CA268" s="2219"/>
      <c r="CB268" s="2213"/>
      <c r="CC268" s="2213"/>
      <c r="CD268" s="2213"/>
      <c r="CE268" s="2213"/>
      <c r="CF268" s="2208"/>
      <c r="CG268" s="2217">
        <f t="shared" si="142"/>
        <v>19.206856524781141</v>
      </c>
      <c r="CH268" s="2217">
        <f t="shared" si="123"/>
        <v>6394.5215636814683</v>
      </c>
      <c r="CI268" s="2217">
        <f t="shared" si="133"/>
        <v>30.506856524781142</v>
      </c>
      <c r="CJ268" s="2212">
        <v>67</v>
      </c>
      <c r="CK268" s="2219"/>
      <c r="CL268" s="2213"/>
      <c r="CM268" s="2219"/>
      <c r="CN268" s="2213"/>
      <c r="CO268" s="2213"/>
      <c r="CP268" s="2213"/>
      <c r="CQ268" s="2213"/>
      <c r="CR268" s="2208"/>
      <c r="CS268" s="2217">
        <f t="shared" si="143"/>
        <v>23.269352111675698</v>
      </c>
      <c r="CT268" s="2217">
        <f t="shared" si="134"/>
        <v>5366.4865363243389</v>
      </c>
      <c r="CU268" s="2217">
        <f t="shared" si="124"/>
        <v>25.606927490130147</v>
      </c>
      <c r="CV268" s="2212">
        <v>67</v>
      </c>
      <c r="CW268" s="2208"/>
      <c r="CX268" s="263"/>
      <c r="CY268" s="2208"/>
      <c r="CZ268" s="263"/>
      <c r="DA268" s="263"/>
      <c r="DB268" s="263"/>
      <c r="DC268" s="263"/>
      <c r="DD268" s="2208"/>
    </row>
    <row r="269" spans="1:108">
      <c r="A269" s="2217">
        <f t="shared" si="135"/>
        <v>24.068622831721992</v>
      </c>
      <c r="B269" s="2217">
        <f t="shared" si="117"/>
        <v>6364.0147071566871</v>
      </c>
      <c r="C269" s="2217">
        <f t="shared" si="125"/>
        <v>30.755324201497388</v>
      </c>
      <c r="D269" s="2212">
        <v>66</v>
      </c>
      <c r="E269" s="2219"/>
      <c r="F269" s="2213"/>
      <c r="G269" s="2219"/>
      <c r="H269" s="2213"/>
      <c r="I269" s="2213"/>
      <c r="J269" s="2213"/>
      <c r="K269" s="2213"/>
      <c r="L269" s="2213"/>
      <c r="M269" s="2217">
        <f t="shared" si="136"/>
        <v>26.221495525826814</v>
      </c>
      <c r="N269" s="2217">
        <f t="shared" si="118"/>
        <v>6364.0147071566871</v>
      </c>
      <c r="O269" s="2217">
        <f t="shared" si="126"/>
        <v>30.755324201497388</v>
      </c>
      <c r="P269" s="2212">
        <v>66</v>
      </c>
      <c r="Q269" s="2219"/>
      <c r="R269" s="2213"/>
      <c r="S269" s="2219"/>
      <c r="T269" s="2213"/>
      <c r="U269" s="2213"/>
      <c r="V269" s="2213"/>
      <c r="W269" s="2213"/>
      <c r="X269" s="2213"/>
      <c r="Y269" s="2217">
        <f t="shared" si="137"/>
        <v>28.98947470396158</v>
      </c>
      <c r="Z269" s="2217">
        <f t="shared" si="127"/>
        <v>6364.0147071566871</v>
      </c>
      <c r="AA269" s="2217">
        <f t="shared" si="128"/>
        <v>30.755324201497388</v>
      </c>
      <c r="AB269" s="2212">
        <v>66</v>
      </c>
      <c r="AC269" s="2219"/>
      <c r="AD269" s="2213"/>
      <c r="AE269" s="2219"/>
      <c r="AF269" s="2213"/>
      <c r="AG269" s="2213"/>
      <c r="AH269" s="2213"/>
      <c r="AI269" s="2213"/>
      <c r="AJ269" s="2213"/>
      <c r="AK269" s="2217">
        <f t="shared" si="138"/>
        <v>15.764685297317698</v>
      </c>
      <c r="AL269" s="2217">
        <f t="shared" si="119"/>
        <v>6364.0147071566871</v>
      </c>
      <c r="AM269" s="2217">
        <f t="shared" si="129"/>
        <v>30.755324201497388</v>
      </c>
      <c r="AN269" s="2212">
        <v>66</v>
      </c>
      <c r="AO269" s="2219"/>
      <c r="AP269" s="2213"/>
      <c r="AQ269" s="2219"/>
      <c r="AR269" s="2213"/>
      <c r="AS269" s="2213"/>
      <c r="AT269" s="2213"/>
      <c r="AU269" s="2213"/>
      <c r="AV269" s="2213"/>
      <c r="AW269" s="2217">
        <f t="shared" si="139"/>
        <v>16.171653820097418</v>
      </c>
      <c r="AX269" s="2217">
        <f t="shared" si="130"/>
        <v>5340.8796088342087</v>
      </c>
      <c r="AY269" s="2217">
        <f t="shared" si="120"/>
        <v>25.916654547261714</v>
      </c>
      <c r="AZ269" s="2212">
        <v>66</v>
      </c>
      <c r="BA269" s="2208"/>
      <c r="BB269" s="263"/>
      <c r="BC269" s="2208"/>
      <c r="BD269" s="263"/>
      <c r="BE269" s="263"/>
      <c r="BF269" s="263"/>
      <c r="BG269" s="263"/>
      <c r="BH269" s="2208"/>
      <c r="BI269" s="2217">
        <f t="shared" si="140"/>
        <v>24.205816729748552</v>
      </c>
      <c r="BJ269" s="2217">
        <f t="shared" si="131"/>
        <v>5340.8796088342087</v>
      </c>
      <c r="BK269" s="2217">
        <f t="shared" si="121"/>
        <v>25.916654547261714</v>
      </c>
      <c r="BL269" s="2212">
        <v>66</v>
      </c>
      <c r="BM269" s="2208"/>
      <c r="BN269" s="263"/>
      <c r="BO269" s="2208"/>
      <c r="BP269" s="263"/>
      <c r="BQ269" s="263"/>
      <c r="BR269" s="263"/>
      <c r="BS269" s="263"/>
      <c r="BT269" s="2208"/>
      <c r="BU269" s="2217">
        <f t="shared" si="141"/>
        <v>15.764685297317698</v>
      </c>
      <c r="BV269" s="2217">
        <f t="shared" si="122"/>
        <v>6364.0147071566871</v>
      </c>
      <c r="BW269" s="2217">
        <f t="shared" si="132"/>
        <v>30.755324201497388</v>
      </c>
      <c r="BX269" s="2212">
        <v>66</v>
      </c>
      <c r="BY269" s="2219"/>
      <c r="BZ269" s="2213"/>
      <c r="CA269" s="2219"/>
      <c r="CB269" s="2213"/>
      <c r="CC269" s="2213"/>
      <c r="CD269" s="2213"/>
      <c r="CE269" s="2213"/>
      <c r="CF269" s="2208"/>
      <c r="CG269" s="2217">
        <f t="shared" si="142"/>
        <v>19.455324201497387</v>
      </c>
      <c r="CH269" s="2217">
        <f t="shared" si="123"/>
        <v>6364.0147071566871</v>
      </c>
      <c r="CI269" s="2217">
        <f t="shared" si="133"/>
        <v>30.755324201497388</v>
      </c>
      <c r="CJ269" s="2212">
        <v>66</v>
      </c>
      <c r="CK269" s="2219"/>
      <c r="CL269" s="2213"/>
      <c r="CM269" s="2219"/>
      <c r="CN269" s="2213"/>
      <c r="CO269" s="2213"/>
      <c r="CP269" s="2213"/>
      <c r="CQ269" s="2213"/>
      <c r="CR269" s="2208"/>
      <c r="CS269" s="2217">
        <f t="shared" si="143"/>
        <v>23.687483638803318</v>
      </c>
      <c r="CT269" s="2217">
        <f t="shared" si="134"/>
        <v>5340.8796088342087</v>
      </c>
      <c r="CU269" s="2217">
        <f t="shared" si="124"/>
        <v>25.916654547261714</v>
      </c>
      <c r="CV269" s="2212">
        <v>66</v>
      </c>
      <c r="CW269" s="2208"/>
      <c r="CX269" s="263"/>
      <c r="CY269" s="2208"/>
      <c r="CZ269" s="263"/>
      <c r="DA269" s="263"/>
      <c r="DB269" s="263"/>
      <c r="DC269" s="263"/>
      <c r="DD269" s="2208"/>
    </row>
    <row r="270" spans="1:108">
      <c r="A270" s="2217">
        <f t="shared" si="135"/>
        <v>24.355329567455552</v>
      </c>
      <c r="B270" s="2217">
        <f t="shared" si="117"/>
        <v>6333.2593829551897</v>
      </c>
      <c r="C270" s="2217">
        <f t="shared" si="125"/>
        <v>31.004634406483092</v>
      </c>
      <c r="D270" s="2212">
        <v>65</v>
      </c>
      <c r="E270" s="2219"/>
      <c r="F270" s="2213"/>
      <c r="G270" s="2219"/>
      <c r="H270" s="2213"/>
      <c r="I270" s="2213"/>
      <c r="J270" s="2213"/>
      <c r="K270" s="2213"/>
      <c r="L270" s="2213"/>
      <c r="M270" s="2217">
        <f t="shared" si="136"/>
        <v>26.525653975909368</v>
      </c>
      <c r="N270" s="2217">
        <f t="shared" si="118"/>
        <v>6333.2593829551897</v>
      </c>
      <c r="O270" s="2217">
        <f t="shared" si="126"/>
        <v>31.004634406483092</v>
      </c>
      <c r="P270" s="2212">
        <v>65</v>
      </c>
      <c r="Q270" s="2219"/>
      <c r="R270" s="2213"/>
      <c r="S270" s="2219"/>
      <c r="T270" s="2213"/>
      <c r="U270" s="2213"/>
      <c r="V270" s="2213"/>
      <c r="W270" s="2213"/>
      <c r="X270" s="2213"/>
      <c r="Y270" s="2217">
        <f t="shared" si="137"/>
        <v>29.31607107249285</v>
      </c>
      <c r="Z270" s="2217">
        <f t="shared" si="127"/>
        <v>6333.2593829551897</v>
      </c>
      <c r="AA270" s="2217">
        <f t="shared" si="128"/>
        <v>31.004634406483092</v>
      </c>
      <c r="AB270" s="2212">
        <v>65</v>
      </c>
      <c r="AC270" s="2219"/>
      <c r="AD270" s="2213"/>
      <c r="AE270" s="2219"/>
      <c r="AF270" s="2213"/>
      <c r="AG270" s="2213"/>
      <c r="AH270" s="2213"/>
      <c r="AI270" s="2213"/>
      <c r="AJ270" s="2213"/>
      <c r="AK270" s="2217">
        <f t="shared" si="138"/>
        <v>15.984078277705116</v>
      </c>
      <c r="AL270" s="2217">
        <f t="shared" si="119"/>
        <v>6333.2593829551897</v>
      </c>
      <c r="AM270" s="2217">
        <f t="shared" si="129"/>
        <v>31.004634406483092</v>
      </c>
      <c r="AN270" s="2212">
        <v>65</v>
      </c>
      <c r="AO270" s="2219"/>
      <c r="AP270" s="2213"/>
      <c r="AQ270" s="2219"/>
      <c r="AR270" s="2213"/>
      <c r="AS270" s="2213"/>
      <c r="AT270" s="2213"/>
      <c r="AU270" s="2213"/>
      <c r="AV270" s="2213"/>
      <c r="AW270" s="2217">
        <f t="shared" si="139"/>
        <v>16.499799220684764</v>
      </c>
      <c r="AX270" s="2217">
        <f t="shared" si="130"/>
        <v>5314.962954286947</v>
      </c>
      <c r="AY270" s="2217">
        <f t="shared" si="120"/>
        <v>26.226225679891286</v>
      </c>
      <c r="AZ270" s="2212">
        <v>65</v>
      </c>
      <c r="BA270" s="2208"/>
      <c r="BB270" s="263"/>
      <c r="BC270" s="2208"/>
      <c r="BD270" s="263"/>
      <c r="BE270" s="263"/>
      <c r="BF270" s="263"/>
      <c r="BG270" s="263"/>
      <c r="BH270" s="2208"/>
      <c r="BI270" s="2217">
        <f t="shared" si="140"/>
        <v>24.629929181451065</v>
      </c>
      <c r="BJ270" s="2217">
        <f t="shared" si="131"/>
        <v>5314.962954286947</v>
      </c>
      <c r="BK270" s="2217">
        <f t="shared" si="121"/>
        <v>26.226225679891286</v>
      </c>
      <c r="BL270" s="2212">
        <v>65</v>
      </c>
      <c r="BM270" s="2208"/>
      <c r="BN270" s="263"/>
      <c r="BO270" s="2208"/>
      <c r="BP270" s="263"/>
      <c r="BQ270" s="263"/>
      <c r="BR270" s="263"/>
      <c r="BS270" s="263"/>
      <c r="BT270" s="2208"/>
      <c r="BU270" s="2217">
        <f t="shared" si="141"/>
        <v>15.984078277705116</v>
      </c>
      <c r="BV270" s="2217">
        <f t="shared" si="122"/>
        <v>6333.2593829551897</v>
      </c>
      <c r="BW270" s="2217">
        <f t="shared" si="132"/>
        <v>31.004634406483092</v>
      </c>
      <c r="BX270" s="2212">
        <v>65</v>
      </c>
      <c r="BY270" s="2219"/>
      <c r="BZ270" s="2213"/>
      <c r="CA270" s="2219"/>
      <c r="CB270" s="2213"/>
      <c r="CC270" s="2213"/>
      <c r="CD270" s="2213"/>
      <c r="CE270" s="2213"/>
      <c r="CF270" s="2208"/>
      <c r="CG270" s="2217">
        <f t="shared" si="142"/>
        <v>19.704634406483091</v>
      </c>
      <c r="CH270" s="2217">
        <f t="shared" si="123"/>
        <v>6333.2593829551897</v>
      </c>
      <c r="CI270" s="2217">
        <f t="shared" si="133"/>
        <v>31.004634406483092</v>
      </c>
      <c r="CJ270" s="2212">
        <v>65</v>
      </c>
      <c r="CK270" s="2219"/>
      <c r="CL270" s="2213"/>
      <c r="CM270" s="2219"/>
      <c r="CN270" s="2213"/>
      <c r="CO270" s="2213"/>
      <c r="CP270" s="2213"/>
      <c r="CQ270" s="2213"/>
      <c r="CR270" s="2208"/>
      <c r="CS270" s="2217">
        <f t="shared" si="143"/>
        <v>24.105404667853239</v>
      </c>
      <c r="CT270" s="2217">
        <f t="shared" si="134"/>
        <v>5314.962954286947</v>
      </c>
      <c r="CU270" s="2217">
        <f t="shared" si="124"/>
        <v>26.226225679891286</v>
      </c>
      <c r="CV270" s="2212">
        <v>65</v>
      </c>
      <c r="CW270" s="2208"/>
      <c r="CX270" s="263"/>
      <c r="CY270" s="2208"/>
      <c r="CZ270" s="263"/>
      <c r="DA270" s="263"/>
      <c r="DB270" s="263"/>
      <c r="DC270" s="263"/>
      <c r="DD270" s="2208"/>
    </row>
    <row r="271" spans="1:108">
      <c r="A271" s="2217">
        <f t="shared" si="135"/>
        <v>24.643005210695851</v>
      </c>
      <c r="B271" s="2217">
        <f t="shared" si="117"/>
        <v>6302.2547485487066</v>
      </c>
      <c r="C271" s="2217">
        <f t="shared" si="125"/>
        <v>31.254787139735527</v>
      </c>
      <c r="D271" s="2212">
        <v>64</v>
      </c>
      <c r="E271" s="2219"/>
      <c r="F271" s="2213"/>
      <c r="G271" s="2219"/>
      <c r="H271" s="2213"/>
      <c r="I271" s="2213"/>
      <c r="J271" s="2213"/>
      <c r="K271" s="2213"/>
      <c r="L271" s="2213"/>
      <c r="M271" s="2217">
        <f t="shared" si="136"/>
        <v>26.830840310477338</v>
      </c>
      <c r="N271" s="2217">
        <f t="shared" si="118"/>
        <v>6302.2547485487066</v>
      </c>
      <c r="O271" s="2217">
        <f t="shared" si="126"/>
        <v>31.254787139735527</v>
      </c>
      <c r="P271" s="2212">
        <v>64</v>
      </c>
      <c r="Q271" s="2219"/>
      <c r="R271" s="2213"/>
      <c r="S271" s="2219"/>
      <c r="T271" s="2213"/>
      <c r="U271" s="2213"/>
      <c r="V271" s="2213"/>
      <c r="W271" s="2213"/>
      <c r="X271" s="2213"/>
      <c r="Y271" s="2217">
        <f t="shared" si="137"/>
        <v>29.643771153053539</v>
      </c>
      <c r="Z271" s="2217">
        <f t="shared" si="127"/>
        <v>6302.2547485487066</v>
      </c>
      <c r="AA271" s="2217">
        <f t="shared" si="128"/>
        <v>31.254787139735527</v>
      </c>
      <c r="AB271" s="2212">
        <v>64</v>
      </c>
      <c r="AC271" s="2219"/>
      <c r="AD271" s="2213"/>
      <c r="AE271" s="2219"/>
      <c r="AF271" s="2213"/>
      <c r="AG271" s="2213"/>
      <c r="AH271" s="2213"/>
      <c r="AI271" s="2213"/>
      <c r="AJ271" s="2213"/>
      <c r="AK271" s="2217">
        <f t="shared" si="138"/>
        <v>16.20421268296726</v>
      </c>
      <c r="AL271" s="2217">
        <f t="shared" si="119"/>
        <v>6302.2547485487066</v>
      </c>
      <c r="AM271" s="2217">
        <f t="shared" si="129"/>
        <v>31.254787139735527</v>
      </c>
      <c r="AN271" s="2212">
        <v>64</v>
      </c>
      <c r="AO271" s="2219"/>
      <c r="AP271" s="2213"/>
      <c r="AQ271" s="2219"/>
      <c r="AR271" s="2213"/>
      <c r="AS271" s="2213"/>
      <c r="AT271" s="2213"/>
      <c r="AU271" s="2213"/>
      <c r="AV271" s="2213"/>
      <c r="AW271" s="2217">
        <f t="shared" si="139"/>
        <v>16.827779341304815</v>
      </c>
      <c r="AX271" s="2217">
        <f t="shared" si="130"/>
        <v>5288.7367286070557</v>
      </c>
      <c r="AY271" s="2217">
        <f t="shared" si="120"/>
        <v>26.535640888023408</v>
      </c>
      <c r="AZ271" s="2212">
        <v>64</v>
      </c>
      <c r="BA271" s="2208"/>
      <c r="BB271" s="263"/>
      <c r="BC271" s="2208"/>
      <c r="BD271" s="263"/>
      <c r="BE271" s="263"/>
      <c r="BF271" s="263"/>
      <c r="BG271" s="263"/>
      <c r="BH271" s="2208"/>
      <c r="BI271" s="2217">
        <f t="shared" si="140"/>
        <v>25.053828016592075</v>
      </c>
      <c r="BJ271" s="2217">
        <f t="shared" si="131"/>
        <v>5288.7367286070557</v>
      </c>
      <c r="BK271" s="2217">
        <f t="shared" si="121"/>
        <v>26.535640888023408</v>
      </c>
      <c r="BL271" s="2212">
        <v>64</v>
      </c>
      <c r="BM271" s="2208"/>
      <c r="BN271" s="263"/>
      <c r="BO271" s="2208"/>
      <c r="BP271" s="263"/>
      <c r="BQ271" s="263"/>
      <c r="BR271" s="263"/>
      <c r="BS271" s="263"/>
      <c r="BT271" s="2208"/>
      <c r="BU271" s="2217">
        <f t="shared" si="141"/>
        <v>16.20421268296726</v>
      </c>
      <c r="BV271" s="2217">
        <f t="shared" si="122"/>
        <v>6302.2547485487066</v>
      </c>
      <c r="BW271" s="2217">
        <f t="shared" si="132"/>
        <v>31.254787139735527</v>
      </c>
      <c r="BX271" s="2212">
        <v>64</v>
      </c>
      <c r="BY271" s="2219"/>
      <c r="BZ271" s="2213"/>
      <c r="CA271" s="2219"/>
      <c r="CB271" s="2213"/>
      <c r="CC271" s="2213"/>
      <c r="CD271" s="2213"/>
      <c r="CE271" s="2213"/>
      <c r="CF271" s="2208"/>
      <c r="CG271" s="2217">
        <f t="shared" si="142"/>
        <v>19.954787139735526</v>
      </c>
      <c r="CH271" s="2217">
        <f t="shared" si="123"/>
        <v>6302.2547485487066</v>
      </c>
      <c r="CI271" s="2217">
        <f t="shared" si="133"/>
        <v>31.254787139735527</v>
      </c>
      <c r="CJ271" s="2212">
        <v>64</v>
      </c>
      <c r="CK271" s="2219"/>
      <c r="CL271" s="2213"/>
      <c r="CM271" s="2219"/>
      <c r="CN271" s="2213"/>
      <c r="CO271" s="2213"/>
      <c r="CP271" s="2213"/>
      <c r="CQ271" s="2213"/>
      <c r="CR271" s="2208"/>
      <c r="CS271" s="2217">
        <f t="shared" si="143"/>
        <v>24.523115198831601</v>
      </c>
      <c r="CT271" s="2217">
        <f t="shared" si="134"/>
        <v>5288.7367286070557</v>
      </c>
      <c r="CU271" s="2217">
        <f t="shared" si="124"/>
        <v>26.535640888023408</v>
      </c>
      <c r="CV271" s="2212">
        <v>64</v>
      </c>
      <c r="CW271" s="2208"/>
      <c r="CX271" s="263"/>
      <c r="CY271" s="2208"/>
      <c r="CZ271" s="263"/>
      <c r="DA271" s="263"/>
      <c r="DB271" s="263"/>
      <c r="DC271" s="263"/>
      <c r="DD271" s="2208"/>
    </row>
    <row r="272" spans="1:108">
      <c r="A272" s="2217">
        <f t="shared" si="135"/>
        <v>24.931649761448124</v>
      </c>
      <c r="B272" s="2217">
        <f t="shared" si="117"/>
        <v>6270.9999614089711</v>
      </c>
      <c r="C272" s="2217">
        <f t="shared" si="125"/>
        <v>31.505782401259239</v>
      </c>
      <c r="D272" s="2212">
        <v>63</v>
      </c>
      <c r="E272" s="2219"/>
      <c r="F272" s="2213"/>
      <c r="G272" s="2219"/>
      <c r="H272" s="2213"/>
      <c r="I272" s="2213"/>
      <c r="J272" s="2213"/>
      <c r="K272" s="2213"/>
      <c r="L272" s="2213"/>
      <c r="M272" s="2217">
        <f t="shared" si="136"/>
        <v>27.137054529536268</v>
      </c>
      <c r="N272" s="2217">
        <f t="shared" si="118"/>
        <v>6270.9999614089711</v>
      </c>
      <c r="O272" s="2217">
        <f t="shared" si="126"/>
        <v>31.505782401259239</v>
      </c>
      <c r="P272" s="2212">
        <v>63</v>
      </c>
      <c r="Q272" s="2219"/>
      <c r="R272" s="2213"/>
      <c r="S272" s="2219"/>
      <c r="T272" s="2213"/>
      <c r="U272" s="2213"/>
      <c r="V272" s="2213"/>
      <c r="W272" s="2213"/>
      <c r="X272" s="2213"/>
      <c r="Y272" s="2217">
        <f t="shared" si="137"/>
        <v>29.972574945649601</v>
      </c>
      <c r="Z272" s="2217">
        <f t="shared" si="127"/>
        <v>6270.9999614089711</v>
      </c>
      <c r="AA272" s="2217">
        <f t="shared" si="128"/>
        <v>31.505782401259239</v>
      </c>
      <c r="AB272" s="2212">
        <v>63</v>
      </c>
      <c r="AC272" s="2219"/>
      <c r="AD272" s="2213"/>
      <c r="AE272" s="2219"/>
      <c r="AF272" s="2213"/>
      <c r="AG272" s="2213"/>
      <c r="AH272" s="2213"/>
      <c r="AI272" s="2213"/>
      <c r="AJ272" s="2213"/>
      <c r="AK272" s="2217">
        <f t="shared" si="138"/>
        <v>16.425088513108125</v>
      </c>
      <c r="AL272" s="2217">
        <f t="shared" si="119"/>
        <v>6270.9999614089711</v>
      </c>
      <c r="AM272" s="2217">
        <f t="shared" si="129"/>
        <v>31.505782401259239</v>
      </c>
      <c r="AN272" s="2212">
        <v>63</v>
      </c>
      <c r="AO272" s="2219"/>
      <c r="AP272" s="2213"/>
      <c r="AQ272" s="2219"/>
      <c r="AR272" s="2213"/>
      <c r="AS272" s="2213"/>
      <c r="AT272" s="2213"/>
      <c r="AU272" s="2213"/>
      <c r="AV272" s="2213"/>
      <c r="AW272" s="2217">
        <f t="shared" si="139"/>
        <v>17.155594181951784</v>
      </c>
      <c r="AX272" s="2217">
        <f t="shared" si="130"/>
        <v>5262.2010877190323</v>
      </c>
      <c r="AY272" s="2217">
        <f t="shared" si="120"/>
        <v>26.844900171652625</v>
      </c>
      <c r="AZ272" s="2212">
        <v>63</v>
      </c>
      <c r="BA272" s="2208"/>
      <c r="BB272" s="263"/>
      <c r="BC272" s="2208"/>
      <c r="BD272" s="263"/>
      <c r="BE272" s="263"/>
      <c r="BF272" s="263"/>
      <c r="BG272" s="263"/>
      <c r="BH272" s="2208"/>
      <c r="BI272" s="2217">
        <f t="shared" si="140"/>
        <v>25.4775132351641</v>
      </c>
      <c r="BJ272" s="2217">
        <f t="shared" si="131"/>
        <v>5262.2010877190323</v>
      </c>
      <c r="BK272" s="2217">
        <f t="shared" si="121"/>
        <v>26.844900171652625</v>
      </c>
      <c r="BL272" s="2212">
        <v>63</v>
      </c>
      <c r="BM272" s="2208"/>
      <c r="BN272" s="263"/>
      <c r="BO272" s="2208"/>
      <c r="BP272" s="263"/>
      <c r="BQ272" s="263"/>
      <c r="BR272" s="263"/>
      <c r="BS272" s="263"/>
      <c r="BT272" s="2208"/>
      <c r="BU272" s="2217">
        <f t="shared" si="141"/>
        <v>16.425088513108125</v>
      </c>
      <c r="BV272" s="2217">
        <f t="shared" si="122"/>
        <v>6270.9999614089711</v>
      </c>
      <c r="BW272" s="2217">
        <f t="shared" si="132"/>
        <v>31.505782401259239</v>
      </c>
      <c r="BX272" s="2212">
        <v>63</v>
      </c>
      <c r="BY272" s="2219"/>
      <c r="BZ272" s="2213"/>
      <c r="CA272" s="2219"/>
      <c r="CB272" s="2213"/>
      <c r="CC272" s="2213"/>
      <c r="CD272" s="2213"/>
      <c r="CE272" s="2213"/>
      <c r="CF272" s="2208"/>
      <c r="CG272" s="2217">
        <f t="shared" si="142"/>
        <v>20.205782401259238</v>
      </c>
      <c r="CH272" s="2217">
        <f t="shared" si="123"/>
        <v>6270.9999614089711</v>
      </c>
      <c r="CI272" s="2217">
        <f t="shared" si="133"/>
        <v>31.505782401259239</v>
      </c>
      <c r="CJ272" s="2212">
        <v>63</v>
      </c>
      <c r="CK272" s="2219"/>
      <c r="CL272" s="2213"/>
      <c r="CM272" s="2219"/>
      <c r="CN272" s="2213"/>
      <c r="CO272" s="2213"/>
      <c r="CP272" s="2213"/>
      <c r="CQ272" s="2213"/>
      <c r="CR272" s="2208"/>
      <c r="CS272" s="2217">
        <f t="shared" si="143"/>
        <v>24.940615231731048</v>
      </c>
      <c r="CT272" s="2217">
        <f t="shared" si="134"/>
        <v>5262.2010877190323</v>
      </c>
      <c r="CU272" s="2217">
        <f t="shared" si="124"/>
        <v>26.844900171652625</v>
      </c>
      <c r="CV272" s="2212">
        <v>63</v>
      </c>
      <c r="CW272" s="2208"/>
      <c r="CX272" s="263"/>
      <c r="CY272" s="2208"/>
      <c r="CZ272" s="263"/>
      <c r="DA272" s="263"/>
      <c r="DB272" s="263"/>
      <c r="DC272" s="263"/>
      <c r="DD272" s="2208"/>
    </row>
    <row r="273" spans="1:108">
      <c r="A273" s="2217">
        <f t="shared" si="135"/>
        <v>25.221263219709225</v>
      </c>
      <c r="B273" s="2217">
        <f t="shared" si="117"/>
        <v>6239.4941790077119</v>
      </c>
      <c r="C273" s="2217">
        <f t="shared" si="125"/>
        <v>31.757620191051501</v>
      </c>
      <c r="D273" s="2212">
        <v>62</v>
      </c>
      <c r="E273" s="2219"/>
      <c r="F273" s="2213"/>
      <c r="G273" s="2219"/>
      <c r="H273" s="2213"/>
      <c r="I273" s="2213"/>
      <c r="J273" s="2213"/>
      <c r="K273" s="2213"/>
      <c r="L273" s="2213"/>
      <c r="M273" s="2217">
        <f t="shared" si="136"/>
        <v>27.444296633082832</v>
      </c>
      <c r="N273" s="2217">
        <f t="shared" si="118"/>
        <v>6239.4941790077119</v>
      </c>
      <c r="O273" s="2217">
        <f t="shared" si="126"/>
        <v>31.757620191051501</v>
      </c>
      <c r="P273" s="2212">
        <v>62</v>
      </c>
      <c r="Q273" s="2219"/>
      <c r="R273" s="2213"/>
      <c r="S273" s="2219"/>
      <c r="T273" s="2213"/>
      <c r="U273" s="2213"/>
      <c r="V273" s="2213"/>
      <c r="W273" s="2213"/>
      <c r="X273" s="2213"/>
      <c r="Y273" s="2217">
        <f t="shared" si="137"/>
        <v>30.30248245027747</v>
      </c>
      <c r="Z273" s="2217">
        <f t="shared" si="127"/>
        <v>6239.4941790077119</v>
      </c>
      <c r="AA273" s="2217">
        <f t="shared" si="128"/>
        <v>31.757620191051501</v>
      </c>
      <c r="AB273" s="2212">
        <v>62</v>
      </c>
      <c r="AC273" s="2219"/>
      <c r="AD273" s="2213"/>
      <c r="AE273" s="2219"/>
      <c r="AF273" s="2213"/>
      <c r="AG273" s="2213"/>
      <c r="AH273" s="2213"/>
      <c r="AI273" s="2213"/>
      <c r="AJ273" s="2213"/>
      <c r="AK273" s="2217">
        <f t="shared" si="138"/>
        <v>16.646705768125315</v>
      </c>
      <c r="AL273" s="2217">
        <f t="shared" si="119"/>
        <v>6239.4941790077119</v>
      </c>
      <c r="AM273" s="2217">
        <f t="shared" si="129"/>
        <v>31.757620191051501</v>
      </c>
      <c r="AN273" s="2212">
        <v>62</v>
      </c>
      <c r="AO273" s="2219"/>
      <c r="AP273" s="2213"/>
      <c r="AQ273" s="2219"/>
      <c r="AR273" s="2213"/>
      <c r="AS273" s="2213"/>
      <c r="AT273" s="2213"/>
      <c r="AU273" s="2213"/>
      <c r="AV273" s="2213"/>
      <c r="AW273" s="2217">
        <f t="shared" si="139"/>
        <v>17.483243742628567</v>
      </c>
      <c r="AX273" s="2217">
        <f t="shared" si="130"/>
        <v>5235.3561875473797</v>
      </c>
      <c r="AY273" s="2217">
        <f t="shared" si="120"/>
        <v>27.154003530781665</v>
      </c>
      <c r="AZ273" s="2212">
        <v>62</v>
      </c>
      <c r="BA273" s="2208"/>
      <c r="BB273" s="263"/>
      <c r="BC273" s="2208"/>
      <c r="BD273" s="263"/>
      <c r="BE273" s="263"/>
      <c r="BF273" s="263"/>
      <c r="BG273" s="263"/>
      <c r="BH273" s="2208"/>
      <c r="BI273" s="2217">
        <f t="shared" si="140"/>
        <v>25.900984837170885</v>
      </c>
      <c r="BJ273" s="2217">
        <f t="shared" si="131"/>
        <v>5235.3561875473797</v>
      </c>
      <c r="BK273" s="2217">
        <f t="shared" si="121"/>
        <v>27.154003530781665</v>
      </c>
      <c r="BL273" s="2212">
        <v>62</v>
      </c>
      <c r="BM273" s="2208"/>
      <c r="BN273" s="263"/>
      <c r="BO273" s="2208"/>
      <c r="BP273" s="263"/>
      <c r="BQ273" s="263"/>
      <c r="BR273" s="263"/>
      <c r="BS273" s="263"/>
      <c r="BT273" s="2208"/>
      <c r="BU273" s="2217">
        <f t="shared" si="141"/>
        <v>16.646705768125315</v>
      </c>
      <c r="BV273" s="2217">
        <f t="shared" si="122"/>
        <v>6239.4941790077119</v>
      </c>
      <c r="BW273" s="2217">
        <f t="shared" si="132"/>
        <v>31.757620191051501</v>
      </c>
      <c r="BX273" s="2212">
        <v>62</v>
      </c>
      <c r="BY273" s="2219"/>
      <c r="BZ273" s="2213"/>
      <c r="CA273" s="2219"/>
      <c r="CB273" s="2213"/>
      <c r="CC273" s="2213"/>
      <c r="CD273" s="2213"/>
      <c r="CE273" s="2213"/>
      <c r="CF273" s="2208"/>
      <c r="CG273" s="2217">
        <f t="shared" si="142"/>
        <v>20.4576201910515</v>
      </c>
      <c r="CH273" s="2217">
        <f t="shared" si="123"/>
        <v>6239.4941790077119</v>
      </c>
      <c r="CI273" s="2217">
        <f t="shared" si="133"/>
        <v>31.757620191051501</v>
      </c>
      <c r="CJ273" s="2212">
        <v>62</v>
      </c>
      <c r="CK273" s="2219"/>
      <c r="CL273" s="2213"/>
      <c r="CM273" s="2219"/>
      <c r="CN273" s="2213"/>
      <c r="CO273" s="2213"/>
      <c r="CP273" s="2213"/>
      <c r="CQ273" s="2213"/>
      <c r="CR273" s="2208"/>
      <c r="CS273" s="2217">
        <f t="shared" si="143"/>
        <v>25.357904766555247</v>
      </c>
      <c r="CT273" s="2217">
        <f t="shared" si="134"/>
        <v>5235.3561875473797</v>
      </c>
      <c r="CU273" s="2217">
        <f t="shared" si="124"/>
        <v>27.154003530781665</v>
      </c>
      <c r="CV273" s="2212">
        <v>62</v>
      </c>
      <c r="CW273" s="2208"/>
      <c r="CX273" s="263"/>
      <c r="CY273" s="2208"/>
      <c r="CZ273" s="263"/>
      <c r="DA273" s="263"/>
      <c r="DB273" s="263"/>
      <c r="DC273" s="263"/>
      <c r="DD273" s="2208"/>
    </row>
    <row r="274" spans="1:108">
      <c r="A274" s="2217">
        <f t="shared" si="135"/>
        <v>25.511845585484384</v>
      </c>
      <c r="B274" s="2217">
        <f t="shared" si="117"/>
        <v>6207.7365588166604</v>
      </c>
      <c r="C274" s="2217">
        <f t="shared" si="125"/>
        <v>32.01030050911686</v>
      </c>
      <c r="D274" s="2212">
        <v>61</v>
      </c>
      <c r="E274" s="2219"/>
      <c r="F274" s="2213"/>
      <c r="G274" s="2219"/>
      <c r="H274" s="2213"/>
      <c r="I274" s="2213"/>
      <c r="J274" s="2213"/>
      <c r="K274" s="2213"/>
      <c r="L274" s="2213"/>
      <c r="M274" s="2217">
        <f t="shared" si="136"/>
        <v>27.752566621122565</v>
      </c>
      <c r="N274" s="2217">
        <f t="shared" si="118"/>
        <v>6207.7365588166604</v>
      </c>
      <c r="O274" s="2217">
        <f t="shared" si="126"/>
        <v>32.01030050911686</v>
      </c>
      <c r="P274" s="2212">
        <v>61</v>
      </c>
      <c r="Q274" s="2219"/>
      <c r="R274" s="2213"/>
      <c r="S274" s="2219"/>
      <c r="T274" s="2213"/>
      <c r="U274" s="2213"/>
      <c r="V274" s="2213"/>
      <c r="W274" s="2213"/>
      <c r="X274" s="2213"/>
      <c r="Y274" s="2217">
        <f t="shared" si="137"/>
        <v>30.633493666943085</v>
      </c>
      <c r="Z274" s="2217">
        <f t="shared" si="127"/>
        <v>6207.7365588166604</v>
      </c>
      <c r="AA274" s="2217">
        <f t="shared" si="128"/>
        <v>32.01030050911686</v>
      </c>
      <c r="AB274" s="2212">
        <v>61</v>
      </c>
      <c r="AC274" s="2219"/>
      <c r="AD274" s="2213"/>
      <c r="AE274" s="2219"/>
      <c r="AF274" s="2213"/>
      <c r="AG274" s="2213"/>
      <c r="AH274" s="2213"/>
      <c r="AI274" s="2213"/>
      <c r="AJ274" s="2213"/>
      <c r="AK274" s="2217">
        <f t="shared" si="138"/>
        <v>16.869064448022833</v>
      </c>
      <c r="AL274" s="2217">
        <f t="shared" si="119"/>
        <v>6207.7365588166604</v>
      </c>
      <c r="AM274" s="2217">
        <f t="shared" si="129"/>
        <v>32.01030050911686</v>
      </c>
      <c r="AN274" s="2212">
        <v>61</v>
      </c>
      <c r="AO274" s="2219"/>
      <c r="AP274" s="2213"/>
      <c r="AQ274" s="2219"/>
      <c r="AR274" s="2213"/>
      <c r="AS274" s="2213"/>
      <c r="AT274" s="2213"/>
      <c r="AU274" s="2213"/>
      <c r="AV274" s="2213"/>
      <c r="AW274" s="2217">
        <f t="shared" si="139"/>
        <v>17.810728023336125</v>
      </c>
      <c r="AX274" s="2217">
        <f t="shared" si="130"/>
        <v>5208.202184016598</v>
      </c>
      <c r="AY274" s="2217">
        <f t="shared" si="120"/>
        <v>27.462950965411437</v>
      </c>
      <c r="AZ274" s="2212">
        <v>61</v>
      </c>
      <c r="BA274" s="2208"/>
      <c r="BB274" s="263"/>
      <c r="BC274" s="2208"/>
      <c r="BD274" s="263"/>
      <c r="BE274" s="263"/>
      <c r="BF274" s="263"/>
      <c r="BG274" s="263"/>
      <c r="BH274" s="2208"/>
      <c r="BI274" s="2217">
        <f t="shared" si="140"/>
        <v>26.324242822613673</v>
      </c>
      <c r="BJ274" s="2217">
        <f t="shared" si="131"/>
        <v>5208.202184016598</v>
      </c>
      <c r="BK274" s="2217">
        <f t="shared" si="121"/>
        <v>27.462950965411437</v>
      </c>
      <c r="BL274" s="2212">
        <v>61</v>
      </c>
      <c r="BM274" s="2208"/>
      <c r="BN274" s="263"/>
      <c r="BO274" s="2208"/>
      <c r="BP274" s="263"/>
      <c r="BQ274" s="263"/>
      <c r="BR274" s="263"/>
      <c r="BS274" s="263"/>
      <c r="BT274" s="2208"/>
      <c r="BU274" s="2217">
        <f t="shared" si="141"/>
        <v>16.869064448022833</v>
      </c>
      <c r="BV274" s="2217">
        <f t="shared" si="122"/>
        <v>6207.7365588166604</v>
      </c>
      <c r="BW274" s="2217">
        <f t="shared" si="132"/>
        <v>32.01030050911686</v>
      </c>
      <c r="BX274" s="2212">
        <v>61</v>
      </c>
      <c r="BY274" s="2219"/>
      <c r="BZ274" s="2213"/>
      <c r="CA274" s="2219"/>
      <c r="CB274" s="2213"/>
      <c r="CC274" s="2213"/>
      <c r="CD274" s="2213"/>
      <c r="CE274" s="2213"/>
      <c r="CF274" s="2208"/>
      <c r="CG274" s="2217">
        <f t="shared" si="142"/>
        <v>20.710300509116859</v>
      </c>
      <c r="CH274" s="2217">
        <f t="shared" si="123"/>
        <v>6207.7365588166604</v>
      </c>
      <c r="CI274" s="2217">
        <f t="shared" si="133"/>
        <v>32.01030050911686</v>
      </c>
      <c r="CJ274" s="2212">
        <v>61</v>
      </c>
      <c r="CK274" s="2219"/>
      <c r="CL274" s="2213"/>
      <c r="CM274" s="2219"/>
      <c r="CN274" s="2213"/>
      <c r="CO274" s="2213"/>
      <c r="CP274" s="2213"/>
      <c r="CQ274" s="2213"/>
      <c r="CR274" s="2208"/>
      <c r="CS274" s="2217">
        <f t="shared" si="143"/>
        <v>25.774983803305442</v>
      </c>
      <c r="CT274" s="2217">
        <f t="shared" si="134"/>
        <v>5208.202184016598</v>
      </c>
      <c r="CU274" s="2217">
        <f t="shared" si="124"/>
        <v>27.462950965411437</v>
      </c>
      <c r="CV274" s="2212">
        <v>61</v>
      </c>
      <c r="CW274" s="2208"/>
      <c r="CX274" s="263"/>
      <c r="CY274" s="2208"/>
      <c r="CZ274" s="263"/>
      <c r="DA274" s="263"/>
      <c r="DB274" s="263"/>
      <c r="DC274" s="263"/>
      <c r="DD274" s="2208"/>
    </row>
    <row r="275" spans="1:108">
      <c r="A275" s="2217">
        <f t="shared" si="135"/>
        <v>25.803396858764199</v>
      </c>
      <c r="B275" s="2217">
        <f t="shared" si="117"/>
        <v>6175.7262583075435</v>
      </c>
      <c r="C275" s="2217">
        <f t="shared" si="125"/>
        <v>32.26382335544713</v>
      </c>
      <c r="D275" s="2212">
        <v>60</v>
      </c>
      <c r="E275" s="2219"/>
      <c r="F275" s="2213"/>
      <c r="G275" s="2219"/>
      <c r="H275" s="2213"/>
      <c r="I275" s="2213"/>
      <c r="J275" s="2213"/>
      <c r="K275" s="2213"/>
      <c r="L275" s="2213"/>
      <c r="M275" s="2217">
        <f t="shared" si="136"/>
        <v>28.061864493645498</v>
      </c>
      <c r="N275" s="2217">
        <f t="shared" si="118"/>
        <v>6175.7262583075435</v>
      </c>
      <c r="O275" s="2217">
        <f t="shared" si="126"/>
        <v>32.26382335544713</v>
      </c>
      <c r="P275" s="2212">
        <v>60</v>
      </c>
      <c r="Q275" s="2219"/>
      <c r="R275" s="2213"/>
      <c r="S275" s="2219"/>
      <c r="T275" s="2213"/>
      <c r="U275" s="2213"/>
      <c r="V275" s="2213"/>
      <c r="W275" s="2213"/>
      <c r="X275" s="2213"/>
      <c r="Y275" s="2217">
        <f t="shared" si="137"/>
        <v>30.965608595635739</v>
      </c>
      <c r="Z275" s="2217">
        <f t="shared" si="127"/>
        <v>6175.7262583075435</v>
      </c>
      <c r="AA275" s="2217">
        <f t="shared" si="128"/>
        <v>32.26382335544713</v>
      </c>
      <c r="AB275" s="2212">
        <v>60</v>
      </c>
      <c r="AC275" s="2219"/>
      <c r="AD275" s="2213"/>
      <c r="AE275" s="2219"/>
      <c r="AF275" s="2213"/>
      <c r="AG275" s="2213"/>
      <c r="AH275" s="2213"/>
      <c r="AI275" s="2213"/>
      <c r="AJ275" s="2213"/>
      <c r="AK275" s="2217">
        <f t="shared" si="138"/>
        <v>17.09216455279347</v>
      </c>
      <c r="AL275" s="2217">
        <f t="shared" si="119"/>
        <v>6175.7262583075435</v>
      </c>
      <c r="AM275" s="2217">
        <f t="shared" si="129"/>
        <v>32.26382335544713</v>
      </c>
      <c r="AN275" s="2212">
        <v>60</v>
      </c>
      <c r="AO275" s="2219"/>
      <c r="AP275" s="2213"/>
      <c r="AQ275" s="2219"/>
      <c r="AR275" s="2213"/>
      <c r="AS275" s="2213"/>
      <c r="AT275" s="2213"/>
      <c r="AU275" s="2213"/>
      <c r="AV275" s="2213"/>
      <c r="AW275" s="2217">
        <f t="shared" si="139"/>
        <v>18.138047024072531</v>
      </c>
      <c r="AX275" s="2217">
        <f t="shared" si="130"/>
        <v>5180.7392330511866</v>
      </c>
      <c r="AY275" s="2217">
        <f t="shared" si="120"/>
        <v>27.771742475540123</v>
      </c>
      <c r="AZ275" s="2212">
        <v>60</v>
      </c>
      <c r="BA275" s="2208"/>
      <c r="BB275" s="263"/>
      <c r="BC275" s="2208"/>
      <c r="BD275" s="263"/>
      <c r="BE275" s="263"/>
      <c r="BF275" s="263"/>
      <c r="BG275" s="263"/>
      <c r="BH275" s="2208"/>
      <c r="BI275" s="2217">
        <f t="shared" si="140"/>
        <v>26.747287191489971</v>
      </c>
      <c r="BJ275" s="2217">
        <f t="shared" si="131"/>
        <v>5180.7392330511866</v>
      </c>
      <c r="BK275" s="2217">
        <f t="shared" si="121"/>
        <v>27.771742475540123</v>
      </c>
      <c r="BL275" s="2212">
        <v>60</v>
      </c>
      <c r="BM275" s="2208"/>
      <c r="BN275" s="263"/>
      <c r="BO275" s="2208"/>
      <c r="BP275" s="263"/>
      <c r="BQ275" s="263"/>
      <c r="BR275" s="263"/>
      <c r="BS275" s="263"/>
      <c r="BT275" s="2208"/>
      <c r="BU275" s="2217">
        <f t="shared" si="141"/>
        <v>17.09216455279347</v>
      </c>
      <c r="BV275" s="2217">
        <f t="shared" si="122"/>
        <v>6175.7262583075435</v>
      </c>
      <c r="BW275" s="2217">
        <f t="shared" si="132"/>
        <v>32.26382335544713</v>
      </c>
      <c r="BX275" s="2212">
        <v>60</v>
      </c>
      <c r="BY275" s="2219"/>
      <c r="BZ275" s="2213"/>
      <c r="CA275" s="2219"/>
      <c r="CB275" s="2213"/>
      <c r="CC275" s="2213"/>
      <c r="CD275" s="2213"/>
      <c r="CE275" s="2213"/>
      <c r="CF275" s="2208"/>
      <c r="CG275" s="2217">
        <f t="shared" si="142"/>
        <v>20.963823355447129</v>
      </c>
      <c r="CH275" s="2217">
        <f t="shared" si="123"/>
        <v>6175.7262583075435</v>
      </c>
      <c r="CI275" s="2217">
        <f t="shared" si="133"/>
        <v>32.26382335544713</v>
      </c>
      <c r="CJ275" s="2212">
        <v>60</v>
      </c>
      <c r="CK275" s="2219"/>
      <c r="CL275" s="2213"/>
      <c r="CM275" s="2219"/>
      <c r="CN275" s="2213"/>
      <c r="CO275" s="2213"/>
      <c r="CP275" s="2213"/>
      <c r="CQ275" s="2213"/>
      <c r="CR275" s="2208"/>
      <c r="CS275" s="2217">
        <f t="shared" si="143"/>
        <v>26.191852341979168</v>
      </c>
      <c r="CT275" s="2217">
        <f t="shared" si="134"/>
        <v>5180.7392330511866</v>
      </c>
      <c r="CU275" s="2217">
        <f t="shared" si="124"/>
        <v>27.771742475540123</v>
      </c>
      <c r="CV275" s="2212">
        <v>60</v>
      </c>
      <c r="CW275" s="2208"/>
      <c r="CX275" s="263"/>
      <c r="CY275" s="2208"/>
      <c r="CZ275" s="263"/>
      <c r="DA275" s="263"/>
      <c r="DB275" s="263"/>
      <c r="DC275" s="263"/>
      <c r="DD275" s="2208"/>
    </row>
    <row r="276" spans="1:108">
      <c r="A276" s="2217">
        <f t="shared" si="135"/>
        <v>26.095917039557019</v>
      </c>
      <c r="B276" s="2217">
        <f t="shared" si="117"/>
        <v>6143.4624349520964</v>
      </c>
      <c r="C276" s="2217">
        <f t="shared" si="125"/>
        <v>32.518188730049587</v>
      </c>
      <c r="D276" s="2212">
        <v>59</v>
      </c>
      <c r="E276" s="2219"/>
      <c r="F276" s="2213"/>
      <c r="G276" s="2219"/>
      <c r="H276" s="2213"/>
      <c r="I276" s="2213"/>
      <c r="J276" s="2213"/>
      <c r="K276" s="2213"/>
      <c r="L276" s="2213"/>
      <c r="M276" s="2217">
        <f t="shared" si="136"/>
        <v>28.372190250660498</v>
      </c>
      <c r="N276" s="2217">
        <f t="shared" si="118"/>
        <v>6143.4624349520964</v>
      </c>
      <c r="O276" s="2217">
        <f t="shared" si="126"/>
        <v>32.518188730049587</v>
      </c>
      <c r="P276" s="2212">
        <v>59</v>
      </c>
      <c r="Q276" s="2219"/>
      <c r="R276" s="2213"/>
      <c r="S276" s="2219"/>
      <c r="T276" s="2213"/>
      <c r="U276" s="2213"/>
      <c r="V276" s="2213"/>
      <c r="W276" s="2213"/>
      <c r="X276" s="2213"/>
      <c r="Y276" s="2217">
        <f t="shared" si="137"/>
        <v>31.298827236364961</v>
      </c>
      <c r="Z276" s="2217">
        <f t="shared" si="127"/>
        <v>6143.4624349520964</v>
      </c>
      <c r="AA276" s="2217">
        <f t="shared" si="128"/>
        <v>32.518188730049587</v>
      </c>
      <c r="AB276" s="2212">
        <v>59</v>
      </c>
      <c r="AC276" s="2219"/>
      <c r="AD276" s="2213"/>
      <c r="AE276" s="2219"/>
      <c r="AF276" s="2213"/>
      <c r="AG276" s="2213"/>
      <c r="AH276" s="2213"/>
      <c r="AI276" s="2213"/>
      <c r="AJ276" s="2213"/>
      <c r="AK276" s="2217">
        <f t="shared" si="138"/>
        <v>17.316006082443632</v>
      </c>
      <c r="AL276" s="2217">
        <f t="shared" si="119"/>
        <v>6143.4624349520964</v>
      </c>
      <c r="AM276" s="2217">
        <f t="shared" si="129"/>
        <v>32.518188730049587</v>
      </c>
      <c r="AN276" s="2212">
        <v>59</v>
      </c>
      <c r="AO276" s="2219"/>
      <c r="AP276" s="2213"/>
      <c r="AQ276" s="2219"/>
      <c r="AR276" s="2213"/>
      <c r="AS276" s="2213"/>
      <c r="AT276" s="2213"/>
      <c r="AU276" s="2213"/>
      <c r="AV276" s="2213"/>
      <c r="AW276" s="2217">
        <f t="shared" si="139"/>
        <v>18.465200744837784</v>
      </c>
      <c r="AX276" s="2217">
        <f t="shared" si="130"/>
        <v>5152.9674905756465</v>
      </c>
      <c r="AY276" s="2217">
        <f t="shared" si="120"/>
        <v>28.080378061167721</v>
      </c>
      <c r="AZ276" s="2212">
        <v>59</v>
      </c>
      <c r="BA276" s="2208"/>
      <c r="BB276" s="263"/>
      <c r="BC276" s="2208"/>
      <c r="BD276" s="263"/>
      <c r="BE276" s="263"/>
      <c r="BF276" s="263"/>
      <c r="BG276" s="263"/>
      <c r="BH276" s="2208"/>
      <c r="BI276" s="2217">
        <f t="shared" si="140"/>
        <v>27.170117943799777</v>
      </c>
      <c r="BJ276" s="2217">
        <f t="shared" si="131"/>
        <v>5152.9674905756465</v>
      </c>
      <c r="BK276" s="2217">
        <f t="shared" si="121"/>
        <v>28.080378061167721</v>
      </c>
      <c r="BL276" s="2212">
        <v>59</v>
      </c>
      <c r="BM276" s="2208"/>
      <c r="BN276" s="263"/>
      <c r="BO276" s="2208"/>
      <c r="BP276" s="263"/>
      <c r="BQ276" s="263"/>
      <c r="BR276" s="263"/>
      <c r="BS276" s="263"/>
      <c r="BT276" s="2208"/>
      <c r="BU276" s="2217">
        <f t="shared" si="141"/>
        <v>17.316006082443632</v>
      </c>
      <c r="BV276" s="2217">
        <f t="shared" si="122"/>
        <v>6143.4624349520964</v>
      </c>
      <c r="BW276" s="2217">
        <f t="shared" si="132"/>
        <v>32.518188730049587</v>
      </c>
      <c r="BX276" s="2212">
        <v>59</v>
      </c>
      <c r="BY276" s="2219"/>
      <c r="BZ276" s="2213"/>
      <c r="CA276" s="2219"/>
      <c r="CB276" s="2213"/>
      <c r="CC276" s="2213"/>
      <c r="CD276" s="2213"/>
      <c r="CE276" s="2213"/>
      <c r="CF276" s="2208"/>
      <c r="CG276" s="2217">
        <f t="shared" si="142"/>
        <v>21.218188730049587</v>
      </c>
      <c r="CH276" s="2217">
        <f t="shared" si="123"/>
        <v>6143.4624349520964</v>
      </c>
      <c r="CI276" s="2217">
        <f t="shared" si="133"/>
        <v>32.518188730049587</v>
      </c>
      <c r="CJ276" s="2212">
        <v>59</v>
      </c>
      <c r="CK276" s="2219"/>
      <c r="CL276" s="2213"/>
      <c r="CM276" s="2219"/>
      <c r="CN276" s="2213"/>
      <c r="CO276" s="2213"/>
      <c r="CP276" s="2213"/>
      <c r="CQ276" s="2213"/>
      <c r="CR276" s="2208"/>
      <c r="CS276" s="2217">
        <f t="shared" si="143"/>
        <v>26.608510382576423</v>
      </c>
      <c r="CT276" s="2217">
        <f t="shared" si="134"/>
        <v>5152.9674905756465</v>
      </c>
      <c r="CU276" s="2217">
        <f t="shared" si="124"/>
        <v>28.080378061167721</v>
      </c>
      <c r="CV276" s="2212">
        <v>59</v>
      </c>
      <c r="CW276" s="2208"/>
      <c r="CX276" s="263"/>
      <c r="CY276" s="2208"/>
      <c r="CZ276" s="263"/>
      <c r="DA276" s="263"/>
      <c r="DB276" s="263"/>
      <c r="DC276" s="263"/>
      <c r="DD276" s="2208"/>
    </row>
    <row r="277" spans="1:108">
      <c r="A277" s="2217">
        <f t="shared" si="135"/>
        <v>26.38940612786077</v>
      </c>
      <c r="B277" s="2217">
        <f t="shared" si="117"/>
        <v>6110.9442462220468</v>
      </c>
      <c r="C277" s="2217">
        <f t="shared" si="125"/>
        <v>32.773396632922413</v>
      </c>
      <c r="D277" s="2212">
        <v>58</v>
      </c>
      <c r="E277" s="2219"/>
      <c r="F277" s="2213"/>
      <c r="G277" s="2219"/>
      <c r="H277" s="2213"/>
      <c r="I277" s="2213"/>
      <c r="J277" s="2213"/>
      <c r="K277" s="2213"/>
      <c r="L277" s="2213"/>
      <c r="M277" s="2217">
        <f t="shared" si="136"/>
        <v>28.683543892165343</v>
      </c>
      <c r="N277" s="2217">
        <f t="shared" si="118"/>
        <v>6110.9442462220468</v>
      </c>
      <c r="O277" s="2217">
        <f t="shared" si="126"/>
        <v>32.773396632922413</v>
      </c>
      <c r="P277" s="2212">
        <v>58</v>
      </c>
      <c r="Q277" s="2219"/>
      <c r="R277" s="2213"/>
      <c r="S277" s="2219"/>
      <c r="T277" s="2213"/>
      <c r="U277" s="2213"/>
      <c r="V277" s="2213"/>
      <c r="W277" s="2213"/>
      <c r="X277" s="2213"/>
      <c r="Y277" s="2217">
        <f t="shared" si="137"/>
        <v>31.633149589128362</v>
      </c>
      <c r="Z277" s="2217">
        <f t="shared" si="127"/>
        <v>6110.9442462220468</v>
      </c>
      <c r="AA277" s="2217">
        <f t="shared" si="128"/>
        <v>32.773396632922413</v>
      </c>
      <c r="AB277" s="2212">
        <v>58</v>
      </c>
      <c r="AC277" s="2219"/>
      <c r="AD277" s="2213"/>
      <c r="AE277" s="2219"/>
      <c r="AF277" s="2213"/>
      <c r="AG277" s="2213"/>
      <c r="AH277" s="2213"/>
      <c r="AI277" s="2213"/>
      <c r="AJ277" s="2213"/>
      <c r="AK277" s="2217">
        <f t="shared" si="138"/>
        <v>17.540589036971721</v>
      </c>
      <c r="AL277" s="2217">
        <f t="shared" si="119"/>
        <v>6110.9442462220468</v>
      </c>
      <c r="AM277" s="2217">
        <f t="shared" si="129"/>
        <v>32.773396632922413</v>
      </c>
      <c r="AN277" s="2212">
        <v>58</v>
      </c>
      <c r="AO277" s="2219"/>
      <c r="AP277" s="2213"/>
      <c r="AQ277" s="2219"/>
      <c r="AR277" s="2213"/>
      <c r="AS277" s="2213"/>
      <c r="AT277" s="2213"/>
      <c r="AU277" s="2213"/>
      <c r="AV277" s="2213"/>
      <c r="AW277" s="2217">
        <f t="shared" si="139"/>
        <v>18.792189185632854</v>
      </c>
      <c r="AX277" s="2217">
        <f t="shared" si="130"/>
        <v>5124.8871125144788</v>
      </c>
      <c r="AY277" s="2217">
        <f t="shared" si="120"/>
        <v>28.388857722295143</v>
      </c>
      <c r="AZ277" s="2212">
        <v>58</v>
      </c>
      <c r="BA277" s="2208"/>
      <c r="BB277" s="263"/>
      <c r="BC277" s="2208"/>
      <c r="BD277" s="263"/>
      <c r="BE277" s="263"/>
      <c r="BF277" s="263"/>
      <c r="BG277" s="263"/>
      <c r="BH277" s="2208"/>
      <c r="BI277" s="2217">
        <f t="shared" si="140"/>
        <v>27.592735079544351</v>
      </c>
      <c r="BJ277" s="2217">
        <f t="shared" si="131"/>
        <v>5124.8871125144788</v>
      </c>
      <c r="BK277" s="2217">
        <f t="shared" si="121"/>
        <v>28.388857722295143</v>
      </c>
      <c r="BL277" s="2212">
        <v>58</v>
      </c>
      <c r="BM277" s="2208"/>
      <c r="BN277" s="263"/>
      <c r="BO277" s="2208"/>
      <c r="BP277" s="263"/>
      <c r="BQ277" s="263"/>
      <c r="BR277" s="263"/>
      <c r="BS277" s="263"/>
      <c r="BT277" s="2208"/>
      <c r="BU277" s="2217">
        <f t="shared" si="141"/>
        <v>17.540589036971721</v>
      </c>
      <c r="BV277" s="2217">
        <f t="shared" si="122"/>
        <v>6110.9442462220468</v>
      </c>
      <c r="BW277" s="2217">
        <f t="shared" si="132"/>
        <v>32.773396632922413</v>
      </c>
      <c r="BX277" s="2212">
        <v>58</v>
      </c>
      <c r="BY277" s="2219"/>
      <c r="BZ277" s="2213"/>
      <c r="CA277" s="2219"/>
      <c r="CB277" s="2213"/>
      <c r="CC277" s="2213"/>
      <c r="CD277" s="2213"/>
      <c r="CE277" s="2213"/>
      <c r="CF277" s="2208"/>
      <c r="CG277" s="2217">
        <f t="shared" si="142"/>
        <v>21.473396632922412</v>
      </c>
      <c r="CH277" s="2217">
        <f t="shared" si="123"/>
        <v>6110.9442462220468</v>
      </c>
      <c r="CI277" s="2217">
        <f t="shared" si="133"/>
        <v>32.773396632922413</v>
      </c>
      <c r="CJ277" s="2212">
        <v>58</v>
      </c>
      <c r="CK277" s="2219"/>
      <c r="CL277" s="2213"/>
      <c r="CM277" s="2219"/>
      <c r="CN277" s="2213"/>
      <c r="CO277" s="2213"/>
      <c r="CP277" s="2213"/>
      <c r="CQ277" s="2213"/>
      <c r="CR277" s="2208"/>
      <c r="CS277" s="2217">
        <f t="shared" si="143"/>
        <v>27.024957925098445</v>
      </c>
      <c r="CT277" s="2217">
        <f t="shared" si="134"/>
        <v>5124.8871125144788</v>
      </c>
      <c r="CU277" s="2217">
        <f t="shared" si="124"/>
        <v>28.388857722295143</v>
      </c>
      <c r="CV277" s="2212">
        <v>58</v>
      </c>
      <c r="CW277" s="2208"/>
      <c r="CX277" s="263"/>
      <c r="CY277" s="2208"/>
      <c r="CZ277" s="263"/>
      <c r="DA277" s="263"/>
      <c r="DB277" s="263"/>
      <c r="DC277" s="263"/>
      <c r="DD277" s="2208"/>
    </row>
    <row r="278" spans="1:108">
      <c r="A278" s="2217">
        <f t="shared" si="135"/>
        <v>26.683864123673356</v>
      </c>
      <c r="B278" s="2217">
        <f t="shared" si="117"/>
        <v>6078.1708495891244</v>
      </c>
      <c r="C278" s="2217">
        <f t="shared" si="125"/>
        <v>33.029447064063788</v>
      </c>
      <c r="D278" s="2212">
        <v>57</v>
      </c>
      <c r="E278" s="2219"/>
      <c r="F278" s="2213"/>
      <c r="G278" s="2219"/>
      <c r="H278" s="2213"/>
      <c r="I278" s="2213"/>
      <c r="J278" s="2213"/>
      <c r="K278" s="2213"/>
      <c r="L278" s="2213"/>
      <c r="M278" s="2217">
        <f t="shared" si="136"/>
        <v>28.995925418157821</v>
      </c>
      <c r="N278" s="2217">
        <f t="shared" si="118"/>
        <v>6078.1708495891244</v>
      </c>
      <c r="O278" s="2217">
        <f t="shared" si="126"/>
        <v>33.029447064063788</v>
      </c>
      <c r="P278" s="2212">
        <v>57</v>
      </c>
      <c r="Q278" s="2219"/>
      <c r="R278" s="2213"/>
      <c r="S278" s="2219"/>
      <c r="T278" s="2213"/>
      <c r="U278" s="2213"/>
      <c r="V278" s="2213"/>
      <c r="W278" s="2213"/>
      <c r="X278" s="2213"/>
      <c r="Y278" s="2217">
        <f t="shared" si="137"/>
        <v>31.968575653923562</v>
      </c>
      <c r="Z278" s="2217">
        <f t="shared" si="127"/>
        <v>6078.1708495891244</v>
      </c>
      <c r="AA278" s="2217">
        <f t="shared" si="128"/>
        <v>33.029447064063788</v>
      </c>
      <c r="AB278" s="2212">
        <v>57</v>
      </c>
      <c r="AC278" s="2219"/>
      <c r="AD278" s="2213"/>
      <c r="AE278" s="2219"/>
      <c r="AF278" s="2213"/>
      <c r="AG278" s="2213"/>
      <c r="AH278" s="2213"/>
      <c r="AI278" s="2213"/>
      <c r="AJ278" s="2213"/>
      <c r="AK278" s="2217">
        <f t="shared" si="138"/>
        <v>17.765913416376129</v>
      </c>
      <c r="AL278" s="2217">
        <f t="shared" si="119"/>
        <v>6078.1708495891244</v>
      </c>
      <c r="AM278" s="2217">
        <f t="shared" si="129"/>
        <v>33.029447064063788</v>
      </c>
      <c r="AN278" s="2212">
        <v>57</v>
      </c>
      <c r="AO278" s="2219"/>
      <c r="AP278" s="2213"/>
      <c r="AQ278" s="2219"/>
      <c r="AR278" s="2213"/>
      <c r="AS278" s="2213"/>
      <c r="AT278" s="2213"/>
      <c r="AU278" s="2213"/>
      <c r="AV278" s="2213"/>
      <c r="AW278" s="2217">
        <f t="shared" si="139"/>
        <v>19.119012346458696</v>
      </c>
      <c r="AX278" s="2217">
        <f t="shared" si="130"/>
        <v>5096.4982547921836</v>
      </c>
      <c r="AY278" s="2217">
        <f t="shared" si="120"/>
        <v>28.697181458923296</v>
      </c>
      <c r="AZ278" s="2212">
        <v>57</v>
      </c>
      <c r="BA278" s="2208"/>
      <c r="BB278" s="263"/>
      <c r="BC278" s="2208"/>
      <c r="BD278" s="263"/>
      <c r="BE278" s="263"/>
      <c r="BF278" s="263"/>
      <c r="BG278" s="263"/>
      <c r="BH278" s="2208"/>
      <c r="BI278" s="2217">
        <f t="shared" si="140"/>
        <v>28.015138598724921</v>
      </c>
      <c r="BJ278" s="2217">
        <f t="shared" si="131"/>
        <v>5096.4982547921836</v>
      </c>
      <c r="BK278" s="2217">
        <f t="shared" si="121"/>
        <v>28.697181458923296</v>
      </c>
      <c r="BL278" s="2212">
        <v>57</v>
      </c>
      <c r="BM278" s="2208"/>
      <c r="BN278" s="263"/>
      <c r="BO278" s="2208"/>
      <c r="BP278" s="263"/>
      <c r="BQ278" s="263"/>
      <c r="BR278" s="263"/>
      <c r="BS278" s="263"/>
      <c r="BT278" s="2208"/>
      <c r="BU278" s="2217">
        <f t="shared" si="141"/>
        <v>17.765913416376129</v>
      </c>
      <c r="BV278" s="2217">
        <f t="shared" si="122"/>
        <v>6078.1708495891244</v>
      </c>
      <c r="BW278" s="2217">
        <f t="shared" si="132"/>
        <v>33.029447064063788</v>
      </c>
      <c r="BX278" s="2212">
        <v>57</v>
      </c>
      <c r="BY278" s="2219"/>
      <c r="BZ278" s="2213"/>
      <c r="CA278" s="2219"/>
      <c r="CB278" s="2213"/>
      <c r="CC278" s="2213"/>
      <c r="CD278" s="2213"/>
      <c r="CE278" s="2213"/>
      <c r="CF278" s="2208"/>
      <c r="CG278" s="2217">
        <f t="shared" si="142"/>
        <v>21.729447064063788</v>
      </c>
      <c r="CH278" s="2217">
        <f t="shared" si="123"/>
        <v>6078.1708495891244</v>
      </c>
      <c r="CI278" s="2217">
        <f t="shared" si="133"/>
        <v>33.029447064063788</v>
      </c>
      <c r="CJ278" s="2212">
        <v>57</v>
      </c>
      <c r="CK278" s="2219"/>
      <c r="CL278" s="2213"/>
      <c r="CM278" s="2219"/>
      <c r="CN278" s="2213"/>
      <c r="CO278" s="2213"/>
      <c r="CP278" s="2213"/>
      <c r="CQ278" s="2213"/>
      <c r="CR278" s="2208"/>
      <c r="CS278" s="2217">
        <f t="shared" si="143"/>
        <v>27.441194969546455</v>
      </c>
      <c r="CT278" s="2217">
        <f t="shared" si="134"/>
        <v>5096.4982547921836</v>
      </c>
      <c r="CU278" s="2217">
        <f t="shared" si="124"/>
        <v>28.697181458923296</v>
      </c>
      <c r="CV278" s="2212">
        <v>57</v>
      </c>
      <c r="CW278" s="2208"/>
      <c r="CX278" s="263"/>
      <c r="CY278" s="2208"/>
      <c r="CZ278" s="263"/>
      <c r="DA278" s="263"/>
      <c r="DB278" s="263"/>
      <c r="DC278" s="263"/>
      <c r="DD278" s="2208"/>
    </row>
    <row r="279" spans="1:108">
      <c r="A279" s="2217">
        <f t="shared" si="135"/>
        <v>26.979291026994769</v>
      </c>
      <c r="B279" s="2217">
        <f t="shared" si="117"/>
        <v>6045.1414025250606</v>
      </c>
      <c r="C279" s="2217">
        <f t="shared" si="125"/>
        <v>33.286340023473713</v>
      </c>
      <c r="D279" s="2212">
        <v>56</v>
      </c>
      <c r="E279" s="2219"/>
      <c r="F279" s="2213"/>
      <c r="G279" s="2219"/>
      <c r="H279" s="2213"/>
      <c r="I279" s="2213"/>
      <c r="J279" s="2213"/>
      <c r="K279" s="2213"/>
      <c r="L279" s="2213"/>
      <c r="M279" s="2217">
        <f t="shared" si="136"/>
        <v>29.309334828637926</v>
      </c>
      <c r="N279" s="2217">
        <f t="shared" si="118"/>
        <v>6045.1414025250606</v>
      </c>
      <c r="O279" s="2217">
        <f t="shared" si="126"/>
        <v>33.286340023473713</v>
      </c>
      <c r="P279" s="2212">
        <v>56</v>
      </c>
      <c r="Q279" s="2219"/>
      <c r="R279" s="2213"/>
      <c r="S279" s="2219"/>
      <c r="T279" s="2213"/>
      <c r="U279" s="2213"/>
      <c r="V279" s="2213"/>
      <c r="W279" s="2213"/>
      <c r="X279" s="2213"/>
      <c r="Y279" s="2217">
        <f t="shared" si="137"/>
        <v>32.305105430750558</v>
      </c>
      <c r="Z279" s="2217">
        <f t="shared" si="127"/>
        <v>6045.1414025250606</v>
      </c>
      <c r="AA279" s="2217">
        <f t="shared" si="128"/>
        <v>33.286340023473713</v>
      </c>
      <c r="AB279" s="2212">
        <v>56</v>
      </c>
      <c r="AC279" s="2219"/>
      <c r="AD279" s="2213"/>
      <c r="AE279" s="2219"/>
      <c r="AF279" s="2213"/>
      <c r="AG279" s="2213"/>
      <c r="AH279" s="2213"/>
      <c r="AI279" s="2213"/>
      <c r="AJ279" s="2213"/>
      <c r="AK279" s="2217">
        <f t="shared" si="138"/>
        <v>17.991979220656862</v>
      </c>
      <c r="AL279" s="2217">
        <f t="shared" si="119"/>
        <v>6045.1414025250606</v>
      </c>
      <c r="AM279" s="2217">
        <f t="shared" si="129"/>
        <v>33.286340023473713</v>
      </c>
      <c r="AN279" s="2212">
        <v>56</v>
      </c>
      <c r="AO279" s="2219"/>
      <c r="AP279" s="2213"/>
      <c r="AQ279" s="2219"/>
      <c r="AR279" s="2213"/>
      <c r="AS279" s="2213"/>
      <c r="AT279" s="2213"/>
      <c r="AU279" s="2213"/>
      <c r="AV279" s="2213"/>
      <c r="AW279" s="2217">
        <f t="shared" si="139"/>
        <v>19.445670227311457</v>
      </c>
      <c r="AX279" s="2217">
        <f t="shared" si="130"/>
        <v>5067.8010733332603</v>
      </c>
      <c r="AY279" s="2217">
        <f t="shared" si="120"/>
        <v>29.005349271048544</v>
      </c>
      <c r="AZ279" s="2212">
        <v>56</v>
      </c>
      <c r="BA279" s="2208"/>
      <c r="BB279" s="263"/>
      <c r="BC279" s="2208"/>
      <c r="BD279" s="263"/>
      <c r="BE279" s="263"/>
      <c r="BF279" s="263"/>
      <c r="BG279" s="263"/>
      <c r="BH279" s="2208"/>
      <c r="BI279" s="2217">
        <f t="shared" si="140"/>
        <v>28.437328501336506</v>
      </c>
      <c r="BJ279" s="2217">
        <f t="shared" si="131"/>
        <v>5067.8010733332603</v>
      </c>
      <c r="BK279" s="2217">
        <f t="shared" si="121"/>
        <v>29.005349271048544</v>
      </c>
      <c r="BL279" s="2212">
        <v>56</v>
      </c>
      <c r="BM279" s="2208"/>
      <c r="BN279" s="263"/>
      <c r="BO279" s="2208"/>
      <c r="BP279" s="263"/>
      <c r="BQ279" s="263"/>
      <c r="BR279" s="263"/>
      <c r="BS279" s="263"/>
      <c r="BT279" s="2208"/>
      <c r="BU279" s="2217">
        <f t="shared" si="141"/>
        <v>17.991979220656862</v>
      </c>
      <c r="BV279" s="2217">
        <f t="shared" si="122"/>
        <v>6045.1414025250606</v>
      </c>
      <c r="BW279" s="2217">
        <f t="shared" si="132"/>
        <v>33.286340023473713</v>
      </c>
      <c r="BX279" s="2212">
        <v>56</v>
      </c>
      <c r="BY279" s="2219"/>
      <c r="BZ279" s="2213"/>
      <c r="CA279" s="2219"/>
      <c r="CB279" s="2213"/>
      <c r="CC279" s="2213"/>
      <c r="CD279" s="2213"/>
      <c r="CE279" s="2213"/>
      <c r="CF279" s="2208"/>
      <c r="CG279" s="2217">
        <f t="shared" si="142"/>
        <v>21.986340023473712</v>
      </c>
      <c r="CH279" s="2217">
        <f t="shared" si="123"/>
        <v>6045.1414025250606</v>
      </c>
      <c r="CI279" s="2217">
        <f t="shared" si="133"/>
        <v>33.286340023473713</v>
      </c>
      <c r="CJ279" s="2212">
        <v>56</v>
      </c>
      <c r="CK279" s="2219"/>
      <c r="CL279" s="2213"/>
      <c r="CM279" s="2219"/>
      <c r="CN279" s="2213"/>
      <c r="CO279" s="2213"/>
      <c r="CP279" s="2213"/>
      <c r="CQ279" s="2213"/>
      <c r="CR279" s="2208"/>
      <c r="CS279" s="2217">
        <f t="shared" si="143"/>
        <v>27.857221515915537</v>
      </c>
      <c r="CT279" s="2217">
        <f t="shared" si="134"/>
        <v>5067.8010733332603</v>
      </c>
      <c r="CU279" s="2217">
        <f t="shared" si="124"/>
        <v>29.005349271048544</v>
      </c>
      <c r="CV279" s="2212">
        <v>56</v>
      </c>
      <c r="CW279" s="2208"/>
      <c r="CX279" s="263"/>
      <c r="CY279" s="2208"/>
      <c r="CZ279" s="263"/>
      <c r="DA279" s="263"/>
      <c r="DB279" s="263"/>
      <c r="DC279" s="263"/>
      <c r="DD279" s="2208"/>
    </row>
    <row r="280" spans="1:108">
      <c r="A280" s="2217">
        <f t="shared" si="135"/>
        <v>27.275686837827106</v>
      </c>
      <c r="B280" s="2217">
        <f t="shared" si="117"/>
        <v>6011.8550625015869</v>
      </c>
      <c r="C280" s="2217">
        <f t="shared" si="125"/>
        <v>33.544075511154006</v>
      </c>
      <c r="D280" s="2212">
        <v>55</v>
      </c>
      <c r="E280" s="2219"/>
      <c r="F280" s="2213"/>
      <c r="G280" s="2219"/>
      <c r="H280" s="2213"/>
      <c r="I280" s="2213"/>
      <c r="J280" s="2213"/>
      <c r="K280" s="2213"/>
      <c r="L280" s="2213"/>
      <c r="M280" s="2217">
        <f t="shared" si="136"/>
        <v>29.623772123607882</v>
      </c>
      <c r="N280" s="2217">
        <f t="shared" si="118"/>
        <v>6011.8550625015869</v>
      </c>
      <c r="O280" s="2217">
        <f t="shared" si="126"/>
        <v>33.544075511154006</v>
      </c>
      <c r="P280" s="2212">
        <v>55</v>
      </c>
      <c r="Q280" s="2219"/>
      <c r="R280" s="2213"/>
      <c r="S280" s="2219"/>
      <c r="T280" s="2213"/>
      <c r="U280" s="2213"/>
      <c r="V280" s="2213"/>
      <c r="W280" s="2213"/>
      <c r="X280" s="2213"/>
      <c r="Y280" s="2217">
        <f t="shared" si="137"/>
        <v>32.642738919611745</v>
      </c>
      <c r="Z280" s="2217">
        <f t="shared" si="127"/>
        <v>6011.8550625015869</v>
      </c>
      <c r="AA280" s="2217">
        <f t="shared" si="128"/>
        <v>33.544075511154006</v>
      </c>
      <c r="AB280" s="2212">
        <v>55</v>
      </c>
      <c r="AC280" s="2219"/>
      <c r="AD280" s="2213"/>
      <c r="AE280" s="2219"/>
      <c r="AF280" s="2213"/>
      <c r="AG280" s="2213"/>
      <c r="AH280" s="2213"/>
      <c r="AI280" s="2213"/>
      <c r="AJ280" s="2213"/>
      <c r="AK280" s="2217">
        <f t="shared" si="138"/>
        <v>18.218786449815521</v>
      </c>
      <c r="AL280" s="2217">
        <f t="shared" si="119"/>
        <v>6011.8550625015869</v>
      </c>
      <c r="AM280" s="2217">
        <f t="shared" si="129"/>
        <v>33.544075511154006</v>
      </c>
      <c r="AN280" s="2212">
        <v>55</v>
      </c>
      <c r="AO280" s="2219"/>
      <c r="AP280" s="2213"/>
      <c r="AQ280" s="2219"/>
      <c r="AR280" s="2213"/>
      <c r="AS280" s="2213"/>
      <c r="AT280" s="2213"/>
      <c r="AU280" s="2213"/>
      <c r="AV280" s="2213"/>
      <c r="AW280" s="2217">
        <f t="shared" si="139"/>
        <v>19.772162828194997</v>
      </c>
      <c r="AX280" s="2217">
        <f t="shared" si="130"/>
        <v>5038.7957240622118</v>
      </c>
      <c r="AY280" s="2217">
        <f t="shared" si="120"/>
        <v>29.313361158674525</v>
      </c>
      <c r="AZ280" s="2212">
        <v>55</v>
      </c>
      <c r="BA280" s="2208"/>
      <c r="BB280" s="263"/>
      <c r="BC280" s="2208"/>
      <c r="BD280" s="263"/>
      <c r="BE280" s="263"/>
      <c r="BF280" s="263"/>
      <c r="BG280" s="263"/>
      <c r="BH280" s="2208"/>
      <c r="BI280" s="2217">
        <f t="shared" si="140"/>
        <v>28.859304787384101</v>
      </c>
      <c r="BJ280" s="2217">
        <f t="shared" si="131"/>
        <v>5038.7957240622118</v>
      </c>
      <c r="BK280" s="2217">
        <f t="shared" si="121"/>
        <v>29.313361158674525</v>
      </c>
      <c r="BL280" s="2212">
        <v>55</v>
      </c>
      <c r="BM280" s="2208"/>
      <c r="BN280" s="263"/>
      <c r="BO280" s="2208"/>
      <c r="BP280" s="263"/>
      <c r="BQ280" s="263"/>
      <c r="BR280" s="263"/>
      <c r="BS280" s="263"/>
      <c r="BT280" s="2208"/>
      <c r="BU280" s="2217">
        <f t="shared" si="141"/>
        <v>18.218786449815521</v>
      </c>
      <c r="BV280" s="2217">
        <f t="shared" si="122"/>
        <v>6011.8550625015869</v>
      </c>
      <c r="BW280" s="2217">
        <f t="shared" si="132"/>
        <v>33.544075511154006</v>
      </c>
      <c r="BX280" s="2212">
        <v>55</v>
      </c>
      <c r="BY280" s="2219"/>
      <c r="BZ280" s="2213"/>
      <c r="CA280" s="2219"/>
      <c r="CB280" s="2213"/>
      <c r="CC280" s="2213"/>
      <c r="CD280" s="2213"/>
      <c r="CE280" s="2213"/>
      <c r="CF280" s="2208"/>
      <c r="CG280" s="2217">
        <f t="shared" si="142"/>
        <v>22.244075511154005</v>
      </c>
      <c r="CH280" s="2217">
        <f t="shared" si="123"/>
        <v>6011.8550625015869</v>
      </c>
      <c r="CI280" s="2217">
        <f t="shared" si="133"/>
        <v>33.544075511154006</v>
      </c>
      <c r="CJ280" s="2212">
        <v>55</v>
      </c>
      <c r="CK280" s="2219"/>
      <c r="CL280" s="2213"/>
      <c r="CM280" s="2219"/>
      <c r="CN280" s="2213"/>
      <c r="CO280" s="2213"/>
      <c r="CP280" s="2213"/>
      <c r="CQ280" s="2213"/>
      <c r="CR280" s="2208"/>
      <c r="CS280" s="2217">
        <f t="shared" si="143"/>
        <v>28.273037564210608</v>
      </c>
      <c r="CT280" s="2217">
        <f t="shared" si="134"/>
        <v>5038.7957240622118</v>
      </c>
      <c r="CU280" s="2217">
        <f t="shared" si="124"/>
        <v>29.313361158674525</v>
      </c>
      <c r="CV280" s="2212">
        <v>55</v>
      </c>
      <c r="CW280" s="2208"/>
      <c r="CX280" s="263"/>
      <c r="CY280" s="2208"/>
      <c r="CZ280" s="263"/>
      <c r="DA280" s="263"/>
      <c r="DB280" s="263"/>
      <c r="DC280" s="263"/>
      <c r="DD280" s="2208"/>
    </row>
    <row r="281" spans="1:108">
      <c r="A281" s="2217">
        <f t="shared" si="135"/>
        <v>27.573051556170366</v>
      </c>
      <c r="B281" s="2217">
        <f t="shared" si="117"/>
        <v>5978.3109869904329</v>
      </c>
      <c r="C281" s="2217">
        <f t="shared" si="125"/>
        <v>33.802653527104667</v>
      </c>
      <c r="D281" s="2212">
        <v>54</v>
      </c>
      <c r="E281" s="2219"/>
      <c r="F281" s="2213"/>
      <c r="G281" s="2219"/>
      <c r="H281" s="2213"/>
      <c r="I281" s="2213"/>
      <c r="J281" s="2213"/>
      <c r="K281" s="2213"/>
      <c r="L281" s="2213"/>
      <c r="M281" s="2217">
        <f t="shared" si="136"/>
        <v>29.939237303067689</v>
      </c>
      <c r="N281" s="2217">
        <f t="shared" si="118"/>
        <v>5978.3109869904329</v>
      </c>
      <c r="O281" s="2217">
        <f t="shared" si="126"/>
        <v>33.802653527104667</v>
      </c>
      <c r="P281" s="2212">
        <v>54</v>
      </c>
      <c r="Q281" s="2219"/>
      <c r="R281" s="2213"/>
      <c r="S281" s="2219"/>
      <c r="T281" s="2213"/>
      <c r="U281" s="2213"/>
      <c r="V281" s="2213"/>
      <c r="W281" s="2213"/>
      <c r="X281" s="2213"/>
      <c r="Y281" s="2217">
        <f t="shared" si="137"/>
        <v>32.981476120507111</v>
      </c>
      <c r="Z281" s="2217">
        <f t="shared" si="127"/>
        <v>5978.3109869904329</v>
      </c>
      <c r="AA281" s="2217">
        <f t="shared" si="128"/>
        <v>33.802653527104667</v>
      </c>
      <c r="AB281" s="2212">
        <v>54</v>
      </c>
      <c r="AC281" s="2219"/>
      <c r="AD281" s="2213"/>
      <c r="AE281" s="2219"/>
      <c r="AF281" s="2213"/>
      <c r="AG281" s="2213"/>
      <c r="AH281" s="2213"/>
      <c r="AI281" s="2213"/>
      <c r="AJ281" s="2213"/>
      <c r="AK281" s="2217">
        <f t="shared" si="138"/>
        <v>18.446335103852103</v>
      </c>
      <c r="AL281" s="2217">
        <f t="shared" si="119"/>
        <v>5978.3109869904329</v>
      </c>
      <c r="AM281" s="2217">
        <f t="shared" si="129"/>
        <v>33.802653527104667</v>
      </c>
      <c r="AN281" s="2212">
        <v>54</v>
      </c>
      <c r="AO281" s="2219"/>
      <c r="AP281" s="2213"/>
      <c r="AQ281" s="2219"/>
      <c r="AR281" s="2213"/>
      <c r="AS281" s="2213"/>
      <c r="AT281" s="2213"/>
      <c r="AU281" s="2213"/>
      <c r="AV281" s="2213"/>
      <c r="AW281" s="2217">
        <f t="shared" si="139"/>
        <v>20.098490149109313</v>
      </c>
      <c r="AX281" s="2217">
        <f t="shared" si="130"/>
        <v>5009.4823629035373</v>
      </c>
      <c r="AY281" s="2217">
        <f t="shared" si="120"/>
        <v>29.621217121801237</v>
      </c>
      <c r="AZ281" s="2212">
        <v>54</v>
      </c>
      <c r="BA281" s="2208"/>
      <c r="BB281" s="263"/>
      <c r="BC281" s="2208"/>
      <c r="BD281" s="263"/>
      <c r="BE281" s="263"/>
      <c r="BF281" s="263"/>
      <c r="BG281" s="263"/>
      <c r="BH281" s="2208"/>
      <c r="BI281" s="2217">
        <f t="shared" si="140"/>
        <v>29.281067456867699</v>
      </c>
      <c r="BJ281" s="2217">
        <f t="shared" si="131"/>
        <v>5009.4823629035373</v>
      </c>
      <c r="BK281" s="2217">
        <f t="shared" si="121"/>
        <v>29.621217121801237</v>
      </c>
      <c r="BL281" s="2212">
        <v>54</v>
      </c>
      <c r="BM281" s="2208"/>
      <c r="BN281" s="263"/>
      <c r="BO281" s="2208"/>
      <c r="BP281" s="263"/>
      <c r="BQ281" s="263"/>
      <c r="BR281" s="263"/>
      <c r="BS281" s="263"/>
      <c r="BT281" s="2208"/>
      <c r="BU281" s="2217">
        <f t="shared" si="141"/>
        <v>18.446335103852103</v>
      </c>
      <c r="BV281" s="2217">
        <f t="shared" si="122"/>
        <v>5978.3109869904329</v>
      </c>
      <c r="BW281" s="2217">
        <f t="shared" si="132"/>
        <v>33.802653527104667</v>
      </c>
      <c r="BX281" s="2212">
        <v>54</v>
      </c>
      <c r="BY281" s="2219"/>
      <c r="BZ281" s="2213"/>
      <c r="CA281" s="2219"/>
      <c r="CB281" s="2213"/>
      <c r="CC281" s="2213"/>
      <c r="CD281" s="2213"/>
      <c r="CE281" s="2213"/>
      <c r="CF281" s="2208"/>
      <c r="CG281" s="2217">
        <f t="shared" si="142"/>
        <v>22.502653527104666</v>
      </c>
      <c r="CH281" s="2217">
        <f t="shared" si="123"/>
        <v>5978.3109869904329</v>
      </c>
      <c r="CI281" s="2217">
        <f t="shared" si="133"/>
        <v>33.802653527104667</v>
      </c>
      <c r="CJ281" s="2212">
        <v>54</v>
      </c>
      <c r="CK281" s="2219"/>
      <c r="CL281" s="2213"/>
      <c r="CM281" s="2219"/>
      <c r="CN281" s="2213"/>
      <c r="CO281" s="2213"/>
      <c r="CP281" s="2213"/>
      <c r="CQ281" s="2213"/>
      <c r="CR281" s="2208"/>
      <c r="CS281" s="2217">
        <f t="shared" si="143"/>
        <v>28.688643114431674</v>
      </c>
      <c r="CT281" s="2217">
        <f t="shared" si="134"/>
        <v>5009.4823629035373</v>
      </c>
      <c r="CU281" s="2217">
        <f t="shared" si="124"/>
        <v>29.621217121801237</v>
      </c>
      <c r="CV281" s="2212">
        <v>54</v>
      </c>
      <c r="CW281" s="2208"/>
      <c r="CX281" s="263"/>
      <c r="CY281" s="2208"/>
      <c r="CZ281" s="263"/>
      <c r="DA281" s="263"/>
      <c r="DB281" s="263"/>
      <c r="DC281" s="263"/>
      <c r="DD281" s="2208"/>
    </row>
    <row r="282" spans="1:108">
      <c r="A282" s="2217">
        <f t="shared" si="135"/>
        <v>27.871385182023499</v>
      </c>
      <c r="B282" s="2217">
        <f t="shared" si="117"/>
        <v>5944.5083334633282</v>
      </c>
      <c r="C282" s="2217">
        <f t="shared" si="125"/>
        <v>34.062074071324787</v>
      </c>
      <c r="D282" s="2212">
        <v>53</v>
      </c>
      <c r="E282" s="2219"/>
      <c r="F282" s="2213"/>
      <c r="G282" s="2219"/>
      <c r="H282" s="2213"/>
      <c r="I282" s="2213"/>
      <c r="J282" s="2213"/>
      <c r="K282" s="2213"/>
      <c r="L282" s="2213"/>
      <c r="M282" s="2217">
        <f t="shared" si="136"/>
        <v>30.255730367016238</v>
      </c>
      <c r="N282" s="2217">
        <f t="shared" si="118"/>
        <v>5944.5083334633282</v>
      </c>
      <c r="O282" s="2217">
        <f t="shared" si="126"/>
        <v>34.062074071324787</v>
      </c>
      <c r="P282" s="2212">
        <v>53</v>
      </c>
      <c r="Q282" s="2219"/>
      <c r="R282" s="2213"/>
      <c r="S282" s="2219"/>
      <c r="T282" s="2213"/>
      <c r="U282" s="2213"/>
      <c r="V282" s="2213"/>
      <c r="W282" s="2213"/>
      <c r="X282" s="2213"/>
      <c r="Y282" s="2217">
        <f t="shared" si="137"/>
        <v>33.321317033435477</v>
      </c>
      <c r="Z282" s="2217">
        <f t="shared" si="127"/>
        <v>5944.5083334633282</v>
      </c>
      <c r="AA282" s="2217">
        <f t="shared" si="128"/>
        <v>34.062074071324787</v>
      </c>
      <c r="AB282" s="2212">
        <v>53</v>
      </c>
      <c r="AC282" s="2219"/>
      <c r="AD282" s="2213"/>
      <c r="AE282" s="2219"/>
      <c r="AF282" s="2213"/>
      <c r="AG282" s="2213"/>
      <c r="AH282" s="2213"/>
      <c r="AI282" s="2213"/>
      <c r="AJ282" s="2213"/>
      <c r="AK282" s="2217">
        <f t="shared" si="138"/>
        <v>18.674625182765809</v>
      </c>
      <c r="AL282" s="2217">
        <f t="shared" si="119"/>
        <v>5944.5083334633282</v>
      </c>
      <c r="AM282" s="2217">
        <f t="shared" si="129"/>
        <v>34.062074071324787</v>
      </c>
      <c r="AN282" s="2212">
        <v>53</v>
      </c>
      <c r="AO282" s="2219"/>
      <c r="AP282" s="2213"/>
      <c r="AQ282" s="2219"/>
      <c r="AR282" s="2213"/>
      <c r="AS282" s="2213"/>
      <c r="AT282" s="2213"/>
      <c r="AU282" s="2213"/>
      <c r="AV282" s="2213"/>
      <c r="AW282" s="2217">
        <f t="shared" si="139"/>
        <v>20.424652190050548</v>
      </c>
      <c r="AX282" s="2217">
        <f t="shared" si="130"/>
        <v>4979.861145781736</v>
      </c>
      <c r="AY282" s="2217">
        <f t="shared" si="120"/>
        <v>29.928917160425044</v>
      </c>
      <c r="AZ282" s="2212">
        <v>53</v>
      </c>
      <c r="BA282" s="2208"/>
      <c r="BB282" s="263"/>
      <c r="BC282" s="2208"/>
      <c r="BD282" s="263"/>
      <c r="BE282" s="263"/>
      <c r="BF282" s="263"/>
      <c r="BG282" s="263"/>
      <c r="BH282" s="2208"/>
      <c r="BI282" s="2217">
        <f t="shared" si="140"/>
        <v>29.702616509782313</v>
      </c>
      <c r="BJ282" s="2217">
        <f t="shared" si="131"/>
        <v>4979.861145781736</v>
      </c>
      <c r="BK282" s="2217">
        <f t="shared" si="121"/>
        <v>29.928917160425044</v>
      </c>
      <c r="BL282" s="2212">
        <v>53</v>
      </c>
      <c r="BM282" s="2208"/>
      <c r="BN282" s="263"/>
      <c r="BO282" s="2208"/>
      <c r="BP282" s="263"/>
      <c r="BQ282" s="263"/>
      <c r="BR282" s="263"/>
      <c r="BS282" s="263"/>
      <c r="BT282" s="2208"/>
      <c r="BU282" s="2217">
        <f t="shared" si="141"/>
        <v>18.674625182765809</v>
      </c>
      <c r="BV282" s="2217">
        <f t="shared" si="122"/>
        <v>5944.5083334633282</v>
      </c>
      <c r="BW282" s="2217">
        <f t="shared" si="132"/>
        <v>34.062074071324787</v>
      </c>
      <c r="BX282" s="2212">
        <v>53</v>
      </c>
      <c r="BY282" s="2219"/>
      <c r="BZ282" s="2213"/>
      <c r="CA282" s="2219"/>
      <c r="CB282" s="2213"/>
      <c r="CC282" s="2213"/>
      <c r="CD282" s="2213"/>
      <c r="CE282" s="2213"/>
      <c r="CF282" s="2208"/>
      <c r="CG282" s="2217">
        <f t="shared" si="142"/>
        <v>22.762074071324786</v>
      </c>
      <c r="CH282" s="2217">
        <f t="shared" si="123"/>
        <v>5944.5083334633282</v>
      </c>
      <c r="CI282" s="2217">
        <f t="shared" si="133"/>
        <v>34.062074071324787</v>
      </c>
      <c r="CJ282" s="2212">
        <v>53</v>
      </c>
      <c r="CK282" s="2219"/>
      <c r="CL282" s="2213"/>
      <c r="CM282" s="2219"/>
      <c r="CN282" s="2213"/>
      <c r="CO282" s="2213"/>
      <c r="CP282" s="2213"/>
      <c r="CQ282" s="2213"/>
      <c r="CR282" s="2208"/>
      <c r="CS282" s="2217">
        <f t="shared" si="143"/>
        <v>29.104038166573812</v>
      </c>
      <c r="CT282" s="2217">
        <f t="shared" si="134"/>
        <v>4979.861145781736</v>
      </c>
      <c r="CU282" s="2217">
        <f t="shared" si="124"/>
        <v>29.928917160425044</v>
      </c>
      <c r="CV282" s="2212">
        <v>53</v>
      </c>
      <c r="CW282" s="2208"/>
      <c r="CX282" s="263"/>
      <c r="CY282" s="2208"/>
      <c r="CZ282" s="263"/>
      <c r="DA282" s="263"/>
      <c r="DB282" s="263"/>
      <c r="DC282" s="263"/>
      <c r="DD282" s="2208"/>
    </row>
    <row r="283" spans="1:108">
      <c r="A283" s="2217">
        <f t="shared" si="135"/>
        <v>28.170687715385473</v>
      </c>
      <c r="B283" s="2217">
        <f t="shared" si="117"/>
        <v>5910.4462593920034</v>
      </c>
      <c r="C283" s="2217">
        <f t="shared" si="125"/>
        <v>34.322337143813456</v>
      </c>
      <c r="D283" s="2212">
        <v>52</v>
      </c>
      <c r="E283" s="2219"/>
      <c r="F283" s="2213"/>
      <c r="G283" s="2219"/>
      <c r="H283" s="2213"/>
      <c r="I283" s="2213"/>
      <c r="J283" s="2213"/>
      <c r="K283" s="2213"/>
      <c r="L283" s="2213"/>
      <c r="M283" s="2217">
        <f t="shared" si="136"/>
        <v>30.573251315452413</v>
      </c>
      <c r="N283" s="2217">
        <f t="shared" si="118"/>
        <v>5910.4462593920034</v>
      </c>
      <c r="O283" s="2217">
        <f t="shared" si="126"/>
        <v>34.322337143813456</v>
      </c>
      <c r="P283" s="2212">
        <v>52</v>
      </c>
      <c r="Q283" s="2219"/>
      <c r="R283" s="2213"/>
      <c r="S283" s="2219"/>
      <c r="T283" s="2213"/>
      <c r="U283" s="2213"/>
      <c r="V283" s="2213"/>
      <c r="W283" s="2213"/>
      <c r="X283" s="2213"/>
      <c r="Y283" s="2217">
        <f t="shared" si="137"/>
        <v>33.662261658395636</v>
      </c>
      <c r="Z283" s="2217">
        <f t="shared" si="127"/>
        <v>5910.4462593920034</v>
      </c>
      <c r="AA283" s="2217">
        <f t="shared" si="128"/>
        <v>34.322337143813456</v>
      </c>
      <c r="AB283" s="2212">
        <v>52</v>
      </c>
      <c r="AC283" s="2219"/>
      <c r="AD283" s="2213"/>
      <c r="AE283" s="2219"/>
      <c r="AF283" s="2213"/>
      <c r="AG283" s="2213"/>
      <c r="AH283" s="2213"/>
      <c r="AI283" s="2213"/>
      <c r="AJ283" s="2213"/>
      <c r="AK283" s="2217">
        <f t="shared" si="138"/>
        <v>18.903656686555838</v>
      </c>
      <c r="AL283" s="2217">
        <f t="shared" si="119"/>
        <v>5910.4462593920034</v>
      </c>
      <c r="AM283" s="2217">
        <f t="shared" si="129"/>
        <v>34.322337143813456</v>
      </c>
      <c r="AN283" s="2212">
        <v>52</v>
      </c>
      <c r="AO283" s="2219"/>
      <c r="AP283" s="2213"/>
      <c r="AQ283" s="2219"/>
      <c r="AR283" s="2213"/>
      <c r="AS283" s="2213"/>
      <c r="AT283" s="2213"/>
      <c r="AU283" s="2213"/>
      <c r="AV283" s="2213"/>
      <c r="AW283" s="2217">
        <f t="shared" si="139"/>
        <v>20.750648951023525</v>
      </c>
      <c r="AX283" s="2217">
        <f t="shared" si="130"/>
        <v>4949.932228621311</v>
      </c>
      <c r="AY283" s="2217">
        <f t="shared" si="120"/>
        <v>30.236461274550493</v>
      </c>
      <c r="AZ283" s="2212">
        <v>52</v>
      </c>
      <c r="BA283" s="2208"/>
      <c r="BB283" s="263"/>
      <c r="BC283" s="2208"/>
      <c r="BD283" s="263"/>
      <c r="BE283" s="263"/>
      <c r="BF283" s="263"/>
      <c r="BG283" s="263"/>
      <c r="BH283" s="2208"/>
      <c r="BI283" s="2217">
        <f t="shared" si="140"/>
        <v>30.123951946134181</v>
      </c>
      <c r="BJ283" s="2217">
        <f t="shared" si="131"/>
        <v>4949.932228621311</v>
      </c>
      <c r="BK283" s="2217">
        <f t="shared" si="121"/>
        <v>30.236461274550493</v>
      </c>
      <c r="BL283" s="2212">
        <v>52</v>
      </c>
      <c r="BM283" s="2208"/>
      <c r="BN283" s="263"/>
      <c r="BO283" s="2208"/>
      <c r="BP283" s="263"/>
      <c r="BQ283" s="263"/>
      <c r="BR283" s="263"/>
      <c r="BS283" s="263"/>
      <c r="BT283" s="2208"/>
      <c r="BU283" s="2217">
        <f t="shared" si="141"/>
        <v>18.903656686555838</v>
      </c>
      <c r="BV283" s="2217">
        <f t="shared" si="122"/>
        <v>5910.4462593920034</v>
      </c>
      <c r="BW283" s="2217">
        <f t="shared" si="132"/>
        <v>34.322337143813456</v>
      </c>
      <c r="BX283" s="2212">
        <v>52</v>
      </c>
      <c r="BY283" s="2219"/>
      <c r="BZ283" s="2213"/>
      <c r="CA283" s="2219"/>
      <c r="CB283" s="2213"/>
      <c r="CC283" s="2213"/>
      <c r="CD283" s="2213"/>
      <c r="CE283" s="2213"/>
      <c r="CF283" s="2208"/>
      <c r="CG283" s="2217">
        <f t="shared" si="142"/>
        <v>23.022337143813456</v>
      </c>
      <c r="CH283" s="2217">
        <f t="shared" si="123"/>
        <v>5910.4462593920034</v>
      </c>
      <c r="CI283" s="2217">
        <f t="shared" si="133"/>
        <v>34.322337143813456</v>
      </c>
      <c r="CJ283" s="2212">
        <v>52</v>
      </c>
      <c r="CK283" s="2219"/>
      <c r="CL283" s="2213"/>
      <c r="CM283" s="2219"/>
      <c r="CN283" s="2213"/>
      <c r="CO283" s="2213"/>
      <c r="CP283" s="2213"/>
      <c r="CQ283" s="2213"/>
      <c r="CR283" s="2208"/>
      <c r="CS283" s="2217">
        <f t="shared" si="143"/>
        <v>29.519222720643167</v>
      </c>
      <c r="CT283" s="2217">
        <f t="shared" si="134"/>
        <v>4949.932228621311</v>
      </c>
      <c r="CU283" s="2217">
        <f t="shared" si="124"/>
        <v>30.236461274550493</v>
      </c>
      <c r="CV283" s="2212">
        <v>52</v>
      </c>
      <c r="CW283" s="2208"/>
      <c r="CX283" s="263"/>
      <c r="CY283" s="2208"/>
      <c r="CZ283" s="263"/>
      <c r="DA283" s="263"/>
      <c r="DB283" s="263"/>
      <c r="DC283" s="263"/>
      <c r="DD283" s="2208"/>
    </row>
    <row r="284" spans="1:108">
      <c r="A284" s="2217">
        <f t="shared" si="135"/>
        <v>28.470959156260459</v>
      </c>
      <c r="B284" s="2217">
        <f t="shared" si="117"/>
        <v>5876.12392224819</v>
      </c>
      <c r="C284" s="2217">
        <f t="shared" si="125"/>
        <v>34.583442744574313</v>
      </c>
      <c r="D284" s="2212">
        <v>51</v>
      </c>
      <c r="E284" s="2219"/>
      <c r="F284" s="2213"/>
      <c r="G284" s="2219"/>
      <c r="H284" s="2213"/>
      <c r="I284" s="2213"/>
      <c r="J284" s="2213"/>
      <c r="K284" s="2213"/>
      <c r="L284" s="2213"/>
      <c r="M284" s="2217">
        <f t="shared" si="136"/>
        <v>30.891800148380657</v>
      </c>
      <c r="N284" s="2217">
        <f t="shared" si="118"/>
        <v>5876.12392224819</v>
      </c>
      <c r="O284" s="2217">
        <f t="shared" si="126"/>
        <v>34.583442744574313</v>
      </c>
      <c r="P284" s="2212">
        <v>51</v>
      </c>
      <c r="Q284" s="2219"/>
      <c r="R284" s="2213"/>
      <c r="S284" s="2219"/>
      <c r="T284" s="2213"/>
      <c r="U284" s="2213"/>
      <c r="V284" s="2213"/>
      <c r="W284" s="2213"/>
      <c r="X284" s="2213"/>
      <c r="Y284" s="2217">
        <f t="shared" si="137"/>
        <v>34.004309995392347</v>
      </c>
      <c r="Z284" s="2217">
        <f t="shared" si="127"/>
        <v>5876.12392224819</v>
      </c>
      <c r="AA284" s="2217">
        <f t="shared" si="128"/>
        <v>34.583442744574313</v>
      </c>
      <c r="AB284" s="2212">
        <v>51</v>
      </c>
      <c r="AC284" s="2219"/>
      <c r="AD284" s="2213"/>
      <c r="AE284" s="2219"/>
      <c r="AF284" s="2213"/>
      <c r="AG284" s="2213"/>
      <c r="AH284" s="2213"/>
      <c r="AI284" s="2213"/>
      <c r="AJ284" s="2213"/>
      <c r="AK284" s="2217">
        <f t="shared" si="138"/>
        <v>19.133429615225392</v>
      </c>
      <c r="AL284" s="2217">
        <f t="shared" si="119"/>
        <v>5876.12392224819</v>
      </c>
      <c r="AM284" s="2217">
        <f t="shared" si="129"/>
        <v>34.583442744574313</v>
      </c>
      <c r="AN284" s="2212">
        <v>51</v>
      </c>
      <c r="AO284" s="2219"/>
      <c r="AP284" s="2213"/>
      <c r="AQ284" s="2219"/>
      <c r="AR284" s="2213"/>
      <c r="AS284" s="2213"/>
      <c r="AT284" s="2213"/>
      <c r="AU284" s="2213"/>
      <c r="AV284" s="2213"/>
      <c r="AW284" s="2217">
        <f t="shared" si="139"/>
        <v>21.07648043202342</v>
      </c>
      <c r="AX284" s="2217">
        <f t="shared" si="130"/>
        <v>4919.6957673467605</v>
      </c>
      <c r="AY284" s="2217">
        <f t="shared" si="120"/>
        <v>30.543849464173036</v>
      </c>
      <c r="AZ284" s="2212">
        <v>51</v>
      </c>
      <c r="BA284" s="2208"/>
      <c r="BB284" s="263"/>
      <c r="BC284" s="2208"/>
      <c r="BD284" s="263"/>
      <c r="BE284" s="263"/>
      <c r="BF284" s="263"/>
      <c r="BG284" s="263"/>
      <c r="BH284" s="2208"/>
      <c r="BI284" s="2217">
        <f t="shared" si="140"/>
        <v>30.545073765917063</v>
      </c>
      <c r="BJ284" s="2217">
        <f t="shared" si="131"/>
        <v>4919.6957673467605</v>
      </c>
      <c r="BK284" s="2217">
        <f t="shared" si="121"/>
        <v>30.543849464173036</v>
      </c>
      <c r="BL284" s="2212">
        <v>51</v>
      </c>
      <c r="BM284" s="2208"/>
      <c r="BN284" s="263"/>
      <c r="BO284" s="2208"/>
      <c r="BP284" s="263"/>
      <c r="BQ284" s="263"/>
      <c r="BR284" s="263"/>
      <c r="BS284" s="263"/>
      <c r="BT284" s="2208"/>
      <c r="BU284" s="2217">
        <f t="shared" si="141"/>
        <v>19.133429615225392</v>
      </c>
      <c r="BV284" s="2217">
        <f t="shared" si="122"/>
        <v>5876.12392224819</v>
      </c>
      <c r="BW284" s="2217">
        <f t="shared" si="132"/>
        <v>34.583442744574313</v>
      </c>
      <c r="BX284" s="2212">
        <v>51</v>
      </c>
      <c r="BY284" s="2219"/>
      <c r="BZ284" s="2213"/>
      <c r="CA284" s="2219"/>
      <c r="CB284" s="2213"/>
      <c r="CC284" s="2213"/>
      <c r="CD284" s="2213"/>
      <c r="CE284" s="2213"/>
      <c r="CF284" s="2208"/>
      <c r="CG284" s="2217">
        <f t="shared" si="142"/>
        <v>23.283442744574312</v>
      </c>
      <c r="CH284" s="2217">
        <f t="shared" si="123"/>
        <v>5876.12392224819</v>
      </c>
      <c r="CI284" s="2217">
        <f t="shared" si="133"/>
        <v>34.583442744574313</v>
      </c>
      <c r="CJ284" s="2212">
        <v>51</v>
      </c>
      <c r="CK284" s="2219"/>
      <c r="CL284" s="2213"/>
      <c r="CM284" s="2219"/>
      <c r="CN284" s="2213"/>
      <c r="CO284" s="2213"/>
      <c r="CP284" s="2213"/>
      <c r="CQ284" s="2213"/>
      <c r="CR284" s="2208"/>
      <c r="CS284" s="2217">
        <f t="shared" si="143"/>
        <v>29.934196776633602</v>
      </c>
      <c r="CT284" s="2217">
        <f t="shared" si="134"/>
        <v>4919.6957673467605</v>
      </c>
      <c r="CU284" s="2217">
        <f t="shared" si="124"/>
        <v>30.543849464173036</v>
      </c>
      <c r="CV284" s="2212">
        <v>51</v>
      </c>
      <c r="CW284" s="2208"/>
      <c r="CX284" s="263"/>
      <c r="CY284" s="2208"/>
      <c r="CZ284" s="263"/>
      <c r="DA284" s="263"/>
      <c r="DB284" s="263"/>
      <c r="DC284" s="263"/>
      <c r="DD284" s="2208"/>
    </row>
    <row r="285" spans="1:108">
      <c r="A285" s="2217">
        <f t="shared" si="135"/>
        <v>28.772199504642185</v>
      </c>
      <c r="B285" s="2217">
        <f t="shared" si="117"/>
        <v>5841.5404795036156</v>
      </c>
      <c r="C285" s="2217">
        <f t="shared" si="125"/>
        <v>34.8453908736019</v>
      </c>
      <c r="D285" s="2212">
        <v>50</v>
      </c>
      <c r="E285" s="2219"/>
      <c r="F285" s="2213"/>
      <c r="G285" s="2219"/>
      <c r="H285" s="2213"/>
      <c r="I285" s="2213"/>
      <c r="J285" s="2213"/>
      <c r="K285" s="2213"/>
      <c r="L285" s="2213"/>
      <c r="M285" s="2217">
        <f t="shared" si="136"/>
        <v>31.211376865794318</v>
      </c>
      <c r="N285" s="2217">
        <f t="shared" si="118"/>
        <v>5841.5404795036156</v>
      </c>
      <c r="O285" s="2217">
        <f t="shared" si="126"/>
        <v>34.8453908736019</v>
      </c>
      <c r="P285" s="2212">
        <v>50</v>
      </c>
      <c r="Q285" s="2219"/>
      <c r="R285" s="2213"/>
      <c r="S285" s="2219"/>
      <c r="T285" s="2213"/>
      <c r="U285" s="2213"/>
      <c r="V285" s="2213"/>
      <c r="W285" s="2213"/>
      <c r="X285" s="2213"/>
      <c r="Y285" s="2217">
        <f t="shared" si="137"/>
        <v>34.347462044418492</v>
      </c>
      <c r="Z285" s="2217">
        <f t="shared" si="127"/>
        <v>5841.5404795036156</v>
      </c>
      <c r="AA285" s="2217">
        <f t="shared" si="128"/>
        <v>34.8453908736019</v>
      </c>
      <c r="AB285" s="2212">
        <v>50</v>
      </c>
      <c r="AC285" s="2219"/>
      <c r="AD285" s="2213"/>
      <c r="AE285" s="2219"/>
      <c r="AF285" s="2213"/>
      <c r="AG285" s="2213"/>
      <c r="AH285" s="2213"/>
      <c r="AI285" s="2213"/>
      <c r="AJ285" s="2213"/>
      <c r="AK285" s="2217">
        <f t="shared" si="138"/>
        <v>19.363943968769668</v>
      </c>
      <c r="AL285" s="2217">
        <f t="shared" si="119"/>
        <v>5841.5404795036156</v>
      </c>
      <c r="AM285" s="2217">
        <f t="shared" si="129"/>
        <v>34.8453908736019</v>
      </c>
      <c r="AN285" s="2212">
        <v>50</v>
      </c>
      <c r="AO285" s="2219"/>
      <c r="AP285" s="2213"/>
      <c r="AQ285" s="2219"/>
      <c r="AR285" s="2213"/>
      <c r="AS285" s="2213"/>
      <c r="AT285" s="2213"/>
      <c r="AU285" s="2213"/>
      <c r="AV285" s="2213"/>
      <c r="AW285" s="2217">
        <f t="shared" si="139"/>
        <v>21.402146633056017</v>
      </c>
      <c r="AX285" s="2217">
        <f t="shared" si="130"/>
        <v>4889.1519178825874</v>
      </c>
      <c r="AY285" s="2217">
        <f t="shared" si="120"/>
        <v>30.85108172929813</v>
      </c>
      <c r="AZ285" s="2212">
        <v>50</v>
      </c>
      <c r="BA285" s="2208"/>
      <c r="BB285" s="263"/>
      <c r="BC285" s="2208"/>
      <c r="BD285" s="263"/>
      <c r="BE285" s="263"/>
      <c r="BF285" s="263"/>
      <c r="BG285" s="263"/>
      <c r="BH285" s="2208"/>
      <c r="BI285" s="2217">
        <f t="shared" si="140"/>
        <v>30.965981969138443</v>
      </c>
      <c r="BJ285" s="2217">
        <f t="shared" si="131"/>
        <v>4889.1519178825874</v>
      </c>
      <c r="BK285" s="2217">
        <f t="shared" si="121"/>
        <v>30.85108172929813</v>
      </c>
      <c r="BL285" s="2212">
        <v>50</v>
      </c>
      <c r="BM285" s="2208"/>
      <c r="BN285" s="263"/>
      <c r="BO285" s="2208"/>
      <c r="BP285" s="263"/>
      <c r="BQ285" s="263"/>
      <c r="BR285" s="263"/>
      <c r="BS285" s="263"/>
      <c r="BT285" s="2208"/>
      <c r="BU285" s="2217">
        <f t="shared" si="141"/>
        <v>19.363943968769668</v>
      </c>
      <c r="BV285" s="2217">
        <f t="shared" si="122"/>
        <v>5841.5404795036156</v>
      </c>
      <c r="BW285" s="2217">
        <f t="shared" si="132"/>
        <v>34.8453908736019</v>
      </c>
      <c r="BX285" s="2212">
        <v>50</v>
      </c>
      <c r="BY285" s="2219"/>
      <c r="BZ285" s="2213"/>
      <c r="CA285" s="2219"/>
      <c r="CB285" s="2213"/>
      <c r="CC285" s="2213"/>
      <c r="CD285" s="2213"/>
      <c r="CE285" s="2213"/>
      <c r="CF285" s="2208"/>
      <c r="CG285" s="2217">
        <f t="shared" si="142"/>
        <v>23.5453908736019</v>
      </c>
      <c r="CH285" s="2217">
        <f t="shared" si="123"/>
        <v>5841.5404795036156</v>
      </c>
      <c r="CI285" s="2217">
        <f t="shared" si="133"/>
        <v>34.8453908736019</v>
      </c>
      <c r="CJ285" s="2212">
        <v>50</v>
      </c>
      <c r="CK285" s="2219"/>
      <c r="CL285" s="2213"/>
      <c r="CM285" s="2219"/>
      <c r="CN285" s="2213"/>
      <c r="CO285" s="2213"/>
      <c r="CP285" s="2213"/>
      <c r="CQ285" s="2213"/>
      <c r="CR285" s="2208"/>
      <c r="CS285" s="2217">
        <f t="shared" si="143"/>
        <v>30.348960334552476</v>
      </c>
      <c r="CT285" s="2217">
        <f t="shared" si="134"/>
        <v>4889.1519178825874</v>
      </c>
      <c r="CU285" s="2217">
        <f t="shared" si="124"/>
        <v>30.85108172929813</v>
      </c>
      <c r="CV285" s="2212">
        <v>50</v>
      </c>
      <c r="CW285" s="2208"/>
      <c r="CX285" s="263"/>
      <c r="CY285" s="2208"/>
      <c r="CZ285" s="263"/>
      <c r="DA285" s="263"/>
      <c r="DB285" s="263"/>
      <c r="DC285" s="263"/>
      <c r="DD285" s="2208"/>
    </row>
    <row r="286" spans="1:108">
      <c r="A286" s="2217">
        <f t="shared" si="135"/>
        <v>29.074408760535878</v>
      </c>
      <c r="B286" s="2217">
        <f t="shared" si="117"/>
        <v>5806.6950886300137</v>
      </c>
      <c r="C286" s="2217">
        <f t="shared" si="125"/>
        <v>35.108181530900765</v>
      </c>
      <c r="D286" s="2212">
        <v>49</v>
      </c>
      <c r="E286" s="2219"/>
      <c r="F286" s="2213"/>
      <c r="G286" s="2219"/>
      <c r="H286" s="2213"/>
      <c r="I286" s="2213"/>
      <c r="J286" s="2213"/>
      <c r="K286" s="2213"/>
      <c r="L286" s="2213"/>
      <c r="M286" s="2217">
        <f t="shared" si="136"/>
        <v>31.53198146769893</v>
      </c>
      <c r="N286" s="2217">
        <f t="shared" si="118"/>
        <v>5806.6950886300137</v>
      </c>
      <c r="O286" s="2217">
        <f t="shared" si="126"/>
        <v>35.108181530900765</v>
      </c>
      <c r="P286" s="2212">
        <v>49</v>
      </c>
      <c r="Q286" s="2219"/>
      <c r="R286" s="2213"/>
      <c r="S286" s="2219"/>
      <c r="T286" s="2213"/>
      <c r="U286" s="2213"/>
      <c r="V286" s="2213"/>
      <c r="W286" s="2213"/>
      <c r="X286" s="2213"/>
      <c r="Y286" s="2217">
        <f t="shared" si="137"/>
        <v>34.69171780548001</v>
      </c>
      <c r="Z286" s="2217">
        <f t="shared" si="127"/>
        <v>5806.6950886300137</v>
      </c>
      <c r="AA286" s="2217">
        <f t="shared" si="128"/>
        <v>35.108181530900765</v>
      </c>
      <c r="AB286" s="2212">
        <v>49</v>
      </c>
      <c r="AC286" s="2219"/>
      <c r="AD286" s="2213"/>
      <c r="AE286" s="2219"/>
      <c r="AF286" s="2213"/>
      <c r="AG286" s="2213"/>
      <c r="AH286" s="2213"/>
      <c r="AI286" s="2213"/>
      <c r="AJ286" s="2213"/>
      <c r="AK286" s="2217">
        <f t="shared" si="138"/>
        <v>19.59519974719267</v>
      </c>
      <c r="AL286" s="2217">
        <f t="shared" si="119"/>
        <v>5806.6950886300137</v>
      </c>
      <c r="AM286" s="2217">
        <f t="shared" si="129"/>
        <v>35.108181530900765</v>
      </c>
      <c r="AN286" s="2212">
        <v>49</v>
      </c>
      <c r="AO286" s="2219"/>
      <c r="AP286" s="2213"/>
      <c r="AQ286" s="2219"/>
      <c r="AR286" s="2213"/>
      <c r="AS286" s="2213"/>
      <c r="AT286" s="2213"/>
      <c r="AU286" s="2213"/>
      <c r="AV286" s="2213"/>
      <c r="AW286" s="2217">
        <f t="shared" si="139"/>
        <v>21.727647554115538</v>
      </c>
      <c r="AX286" s="2217">
        <f t="shared" si="130"/>
        <v>4858.3008361532893</v>
      </c>
      <c r="AY286" s="2217">
        <f t="shared" si="120"/>
        <v>31.158158069920319</v>
      </c>
      <c r="AZ286" s="2212">
        <v>49</v>
      </c>
      <c r="BA286" s="2208"/>
      <c r="BB286" s="263"/>
      <c r="BC286" s="2208"/>
      <c r="BD286" s="263"/>
      <c r="BE286" s="263"/>
      <c r="BF286" s="263"/>
      <c r="BG286" s="263"/>
      <c r="BH286" s="2208"/>
      <c r="BI286" s="2217">
        <f t="shared" si="140"/>
        <v>31.386676555790839</v>
      </c>
      <c r="BJ286" s="2217">
        <f t="shared" si="131"/>
        <v>4858.3008361532893</v>
      </c>
      <c r="BK286" s="2217">
        <f t="shared" si="121"/>
        <v>31.158158069920319</v>
      </c>
      <c r="BL286" s="2212">
        <v>49</v>
      </c>
      <c r="BM286" s="2208"/>
      <c r="BN286" s="263"/>
      <c r="BO286" s="2208"/>
      <c r="BP286" s="263"/>
      <c r="BQ286" s="263"/>
      <c r="BR286" s="263"/>
      <c r="BS286" s="263"/>
      <c r="BT286" s="2208"/>
      <c r="BU286" s="2217">
        <f t="shared" si="141"/>
        <v>19.59519974719267</v>
      </c>
      <c r="BV286" s="2217">
        <f t="shared" si="122"/>
        <v>5806.6950886300137</v>
      </c>
      <c r="BW286" s="2217">
        <f t="shared" si="132"/>
        <v>35.108181530900765</v>
      </c>
      <c r="BX286" s="2212">
        <v>49</v>
      </c>
      <c r="BY286" s="2219"/>
      <c r="BZ286" s="2213"/>
      <c r="CA286" s="2219"/>
      <c r="CB286" s="2213"/>
      <c r="CC286" s="2213"/>
      <c r="CD286" s="2213"/>
      <c r="CE286" s="2213"/>
      <c r="CF286" s="2208"/>
      <c r="CG286" s="2217">
        <f t="shared" si="142"/>
        <v>23.808181530900764</v>
      </c>
      <c r="CH286" s="2217">
        <f t="shared" si="123"/>
        <v>5806.6950886300137</v>
      </c>
      <c r="CI286" s="2217">
        <f t="shared" si="133"/>
        <v>35.108181530900765</v>
      </c>
      <c r="CJ286" s="2212">
        <v>49</v>
      </c>
      <c r="CK286" s="2219"/>
      <c r="CL286" s="2213"/>
      <c r="CM286" s="2219"/>
      <c r="CN286" s="2213"/>
      <c r="CO286" s="2213"/>
      <c r="CP286" s="2213"/>
      <c r="CQ286" s="2213"/>
      <c r="CR286" s="2208"/>
      <c r="CS286" s="2217">
        <f t="shared" si="143"/>
        <v>30.763513394392429</v>
      </c>
      <c r="CT286" s="2217">
        <f t="shared" si="134"/>
        <v>4858.3008361532893</v>
      </c>
      <c r="CU286" s="2217">
        <f t="shared" si="124"/>
        <v>31.158158069920319</v>
      </c>
      <c r="CV286" s="2212">
        <v>49</v>
      </c>
      <c r="CW286" s="2208"/>
      <c r="CX286" s="263"/>
      <c r="CY286" s="2208"/>
      <c r="CZ286" s="263"/>
      <c r="DA286" s="263"/>
      <c r="DB286" s="263"/>
      <c r="DC286" s="263"/>
      <c r="DD286" s="2208"/>
    </row>
    <row r="287" spans="1:108">
      <c r="A287" s="2217">
        <f t="shared" si="135"/>
        <v>29.377586923937354</v>
      </c>
      <c r="B287" s="2217">
        <f t="shared" si="117"/>
        <v>5771.586907099113</v>
      </c>
      <c r="C287" s="2217">
        <f t="shared" si="125"/>
        <v>35.37181471646727</v>
      </c>
      <c r="D287" s="2212">
        <v>48</v>
      </c>
      <c r="E287" s="2219"/>
      <c r="F287" s="2213"/>
      <c r="G287" s="2219"/>
      <c r="H287" s="2213"/>
      <c r="I287" s="2213"/>
      <c r="J287" s="2213"/>
      <c r="K287" s="2213"/>
      <c r="L287" s="2213"/>
      <c r="M287" s="2217">
        <f t="shared" si="136"/>
        <v>31.853613954090068</v>
      </c>
      <c r="N287" s="2217">
        <f t="shared" si="118"/>
        <v>5771.586907099113</v>
      </c>
      <c r="O287" s="2217">
        <f t="shared" si="126"/>
        <v>35.37181471646727</v>
      </c>
      <c r="P287" s="2212">
        <v>48</v>
      </c>
      <c r="Q287" s="2219"/>
      <c r="R287" s="2213"/>
      <c r="S287" s="2219"/>
      <c r="T287" s="2213"/>
      <c r="U287" s="2213"/>
      <c r="V287" s="2213"/>
      <c r="W287" s="2213"/>
      <c r="X287" s="2213"/>
      <c r="Y287" s="2217">
        <f t="shared" si="137"/>
        <v>35.037077278572127</v>
      </c>
      <c r="Z287" s="2217">
        <f t="shared" si="127"/>
        <v>5771.586907099113</v>
      </c>
      <c r="AA287" s="2217">
        <f t="shared" si="128"/>
        <v>35.37181471646727</v>
      </c>
      <c r="AB287" s="2212">
        <v>48</v>
      </c>
      <c r="AC287" s="2219"/>
      <c r="AD287" s="2213"/>
      <c r="AE287" s="2219"/>
      <c r="AF287" s="2213"/>
      <c r="AG287" s="2213"/>
      <c r="AH287" s="2213"/>
      <c r="AI287" s="2213"/>
      <c r="AJ287" s="2213"/>
      <c r="AK287" s="2217">
        <f t="shared" si="138"/>
        <v>19.827196950491192</v>
      </c>
      <c r="AL287" s="2217">
        <f t="shared" si="119"/>
        <v>5771.586907099113</v>
      </c>
      <c r="AM287" s="2217">
        <f t="shared" si="129"/>
        <v>35.37181471646727</v>
      </c>
      <c r="AN287" s="2212">
        <v>48</v>
      </c>
      <c r="AO287" s="2219"/>
      <c r="AP287" s="2213"/>
      <c r="AQ287" s="2219"/>
      <c r="AR287" s="2213"/>
      <c r="AS287" s="2213"/>
      <c r="AT287" s="2213"/>
      <c r="AU287" s="2213"/>
      <c r="AV287" s="2213"/>
      <c r="AW287" s="2217">
        <f t="shared" si="139"/>
        <v>22.052983195205837</v>
      </c>
      <c r="AX287" s="2217">
        <f t="shared" si="130"/>
        <v>4827.142678083369</v>
      </c>
      <c r="AY287" s="2217">
        <f t="shared" si="120"/>
        <v>31.46507848604324</v>
      </c>
      <c r="AZ287" s="2212">
        <v>48</v>
      </c>
      <c r="BA287" s="2208"/>
      <c r="BB287" s="263"/>
      <c r="BC287" s="2208"/>
      <c r="BD287" s="263"/>
      <c r="BE287" s="263"/>
      <c r="BF287" s="263"/>
      <c r="BG287" s="263"/>
      <c r="BH287" s="2208"/>
      <c r="BI287" s="2217">
        <f t="shared" si="140"/>
        <v>31.807157525879244</v>
      </c>
      <c r="BJ287" s="2217">
        <f t="shared" si="131"/>
        <v>4827.142678083369</v>
      </c>
      <c r="BK287" s="2217">
        <f t="shared" si="121"/>
        <v>31.46507848604324</v>
      </c>
      <c r="BL287" s="2212">
        <v>48</v>
      </c>
      <c r="BM287" s="2208"/>
      <c r="BN287" s="263"/>
      <c r="BO287" s="2208"/>
      <c r="BP287" s="263"/>
      <c r="BQ287" s="263"/>
      <c r="BR287" s="263"/>
      <c r="BS287" s="263"/>
      <c r="BT287" s="2208"/>
      <c r="BU287" s="2217">
        <f t="shared" si="141"/>
        <v>19.827196950491192</v>
      </c>
      <c r="BV287" s="2217">
        <f t="shared" si="122"/>
        <v>5771.586907099113</v>
      </c>
      <c r="BW287" s="2217">
        <f t="shared" si="132"/>
        <v>35.37181471646727</v>
      </c>
      <c r="BX287" s="2212">
        <v>48</v>
      </c>
      <c r="BY287" s="2219"/>
      <c r="BZ287" s="2213"/>
      <c r="CA287" s="2219"/>
      <c r="CB287" s="2213"/>
      <c r="CC287" s="2213"/>
      <c r="CD287" s="2213"/>
      <c r="CE287" s="2213"/>
      <c r="CF287" s="2208"/>
      <c r="CG287" s="2217">
        <f t="shared" si="142"/>
        <v>24.071814716467269</v>
      </c>
      <c r="CH287" s="2217">
        <f t="shared" si="123"/>
        <v>5771.586907099113</v>
      </c>
      <c r="CI287" s="2217">
        <f t="shared" si="133"/>
        <v>35.37181471646727</v>
      </c>
      <c r="CJ287" s="2212">
        <v>48</v>
      </c>
      <c r="CK287" s="2219"/>
      <c r="CL287" s="2213"/>
      <c r="CM287" s="2219"/>
      <c r="CN287" s="2213"/>
      <c r="CO287" s="2213"/>
      <c r="CP287" s="2213"/>
      <c r="CQ287" s="2213"/>
      <c r="CR287" s="2208"/>
      <c r="CS287" s="2217">
        <f t="shared" si="143"/>
        <v>31.177855956158378</v>
      </c>
      <c r="CT287" s="2217">
        <f t="shared" si="134"/>
        <v>4827.142678083369</v>
      </c>
      <c r="CU287" s="2217">
        <f t="shared" si="124"/>
        <v>31.46507848604324</v>
      </c>
      <c r="CV287" s="2212">
        <v>48</v>
      </c>
      <c r="CW287" s="2208"/>
      <c r="CX287" s="263"/>
      <c r="CY287" s="2208"/>
      <c r="CZ287" s="263"/>
      <c r="DA287" s="263"/>
      <c r="DB287" s="263"/>
      <c r="DC287" s="263"/>
      <c r="DD287" s="2208"/>
    </row>
    <row r="288" spans="1:108">
      <c r="A288" s="2217">
        <f t="shared" si="135"/>
        <v>29.681733994852902</v>
      </c>
      <c r="B288" s="2217">
        <f t="shared" si="117"/>
        <v>5736.2150923826457</v>
      </c>
      <c r="C288" s="2217">
        <f t="shared" si="125"/>
        <v>35.636290430306872</v>
      </c>
      <c r="D288" s="2212">
        <v>47</v>
      </c>
      <c r="E288" s="2219"/>
      <c r="F288" s="2213"/>
      <c r="G288" s="2219"/>
      <c r="H288" s="2213"/>
      <c r="I288" s="2213"/>
      <c r="J288" s="2213"/>
      <c r="K288" s="2213"/>
      <c r="L288" s="2213"/>
      <c r="M288" s="2217">
        <f t="shared" si="136"/>
        <v>32.176274324974386</v>
      </c>
      <c r="N288" s="2217">
        <f t="shared" si="118"/>
        <v>5736.2150923826457</v>
      </c>
      <c r="O288" s="2217">
        <f t="shared" si="126"/>
        <v>35.636290430306872</v>
      </c>
      <c r="P288" s="2212">
        <v>47</v>
      </c>
      <c r="Q288" s="2219"/>
      <c r="R288" s="2213"/>
      <c r="S288" s="2219"/>
      <c r="T288" s="2213"/>
      <c r="U288" s="2213"/>
      <c r="V288" s="2213"/>
      <c r="W288" s="2213"/>
      <c r="X288" s="2213"/>
      <c r="Y288" s="2217">
        <f t="shared" si="137"/>
        <v>35.383540463702005</v>
      </c>
      <c r="Z288" s="2217">
        <f t="shared" si="127"/>
        <v>5736.2150923826457</v>
      </c>
      <c r="AA288" s="2217">
        <f t="shared" si="128"/>
        <v>35.636290430306872</v>
      </c>
      <c r="AB288" s="2212">
        <v>47</v>
      </c>
      <c r="AC288" s="2219"/>
      <c r="AD288" s="2213"/>
      <c r="AE288" s="2219"/>
      <c r="AF288" s="2213"/>
      <c r="AG288" s="2213"/>
      <c r="AH288" s="2213"/>
      <c r="AI288" s="2213"/>
      <c r="AJ288" s="2213"/>
      <c r="AK288" s="2217">
        <f t="shared" si="138"/>
        <v>20.059935578670043</v>
      </c>
      <c r="AL288" s="2217">
        <f t="shared" si="119"/>
        <v>5736.2150923826457</v>
      </c>
      <c r="AM288" s="2217">
        <f t="shared" si="129"/>
        <v>35.636290430306872</v>
      </c>
      <c r="AN288" s="2212">
        <v>47</v>
      </c>
      <c r="AO288" s="2219"/>
      <c r="AP288" s="2213"/>
      <c r="AQ288" s="2219"/>
      <c r="AR288" s="2213"/>
      <c r="AS288" s="2213"/>
      <c r="AT288" s="2213"/>
      <c r="AU288" s="2213"/>
      <c r="AV288" s="2213"/>
      <c r="AW288" s="2217">
        <f t="shared" si="139"/>
        <v>22.378153556324978</v>
      </c>
      <c r="AX288" s="2217">
        <f t="shared" si="130"/>
        <v>4795.6775995973258</v>
      </c>
      <c r="AY288" s="2217">
        <f t="shared" si="120"/>
        <v>31.771842977665074</v>
      </c>
      <c r="AZ288" s="2212">
        <v>47</v>
      </c>
      <c r="BA288" s="2208"/>
      <c r="BB288" s="263"/>
      <c r="BC288" s="2208"/>
      <c r="BD288" s="263"/>
      <c r="BE288" s="263"/>
      <c r="BF288" s="263"/>
      <c r="BG288" s="263"/>
      <c r="BH288" s="2208"/>
      <c r="BI288" s="2217">
        <f t="shared" si="140"/>
        <v>32.227424879401156</v>
      </c>
      <c r="BJ288" s="2217">
        <f t="shared" si="131"/>
        <v>4795.6775995973258</v>
      </c>
      <c r="BK288" s="2217">
        <f t="shared" si="121"/>
        <v>31.771842977665074</v>
      </c>
      <c r="BL288" s="2212">
        <v>47</v>
      </c>
      <c r="BM288" s="2208"/>
      <c r="BN288" s="263"/>
      <c r="BO288" s="2208"/>
      <c r="BP288" s="263"/>
      <c r="BQ288" s="263"/>
      <c r="BR288" s="263"/>
      <c r="BS288" s="263"/>
      <c r="BT288" s="2208"/>
      <c r="BU288" s="2217">
        <f t="shared" si="141"/>
        <v>20.059935578670043</v>
      </c>
      <c r="BV288" s="2217">
        <f t="shared" si="122"/>
        <v>5736.2150923826457</v>
      </c>
      <c r="BW288" s="2217">
        <f t="shared" si="132"/>
        <v>35.636290430306872</v>
      </c>
      <c r="BX288" s="2212">
        <v>47</v>
      </c>
      <c r="BY288" s="2219"/>
      <c r="BZ288" s="2213"/>
      <c r="CA288" s="2219"/>
      <c r="CB288" s="2213"/>
      <c r="CC288" s="2213"/>
      <c r="CD288" s="2213"/>
      <c r="CE288" s="2213"/>
      <c r="CF288" s="2208"/>
      <c r="CG288" s="2217">
        <f t="shared" si="142"/>
        <v>24.336290430306871</v>
      </c>
      <c r="CH288" s="2217">
        <f t="shared" si="123"/>
        <v>5736.2150923826457</v>
      </c>
      <c r="CI288" s="2217">
        <f t="shared" si="133"/>
        <v>35.636290430306872</v>
      </c>
      <c r="CJ288" s="2212">
        <v>47</v>
      </c>
      <c r="CK288" s="2219"/>
      <c r="CL288" s="2213"/>
      <c r="CM288" s="2219"/>
      <c r="CN288" s="2213"/>
      <c r="CO288" s="2213"/>
      <c r="CP288" s="2213"/>
      <c r="CQ288" s="2213"/>
      <c r="CR288" s="2208"/>
      <c r="CS288" s="2217">
        <f t="shared" si="143"/>
        <v>31.59198801984785</v>
      </c>
      <c r="CT288" s="2217">
        <f t="shared" si="134"/>
        <v>4795.6775995973258</v>
      </c>
      <c r="CU288" s="2217">
        <f t="shared" si="124"/>
        <v>31.771842977665074</v>
      </c>
      <c r="CV288" s="2212">
        <v>47</v>
      </c>
      <c r="CW288" s="2208"/>
      <c r="CX288" s="263"/>
      <c r="CY288" s="2208"/>
      <c r="CZ288" s="263"/>
      <c r="DA288" s="263"/>
      <c r="DB288" s="263"/>
      <c r="DC288" s="263"/>
      <c r="DD288" s="2208"/>
    </row>
    <row r="289" spans="1:108">
      <c r="A289" s="2217">
        <f t="shared" si="135"/>
        <v>29.986849973275181</v>
      </c>
      <c r="B289" s="2217">
        <f t="shared" si="117"/>
        <v>5700.5788019523388</v>
      </c>
      <c r="C289" s="2217">
        <f t="shared" si="125"/>
        <v>35.901608672413204</v>
      </c>
      <c r="D289" s="2212">
        <v>46</v>
      </c>
      <c r="E289" s="2219"/>
      <c r="F289" s="2213"/>
      <c r="G289" s="2219"/>
      <c r="H289" s="2213"/>
      <c r="I289" s="2213"/>
      <c r="J289" s="2213"/>
      <c r="K289" s="2213"/>
      <c r="L289" s="2213"/>
      <c r="M289" s="2217">
        <f t="shared" si="136"/>
        <v>32.499962580344103</v>
      </c>
      <c r="N289" s="2217">
        <f t="shared" si="118"/>
        <v>5700.5788019523388</v>
      </c>
      <c r="O289" s="2217">
        <f t="shared" si="126"/>
        <v>35.901608672413204</v>
      </c>
      <c r="P289" s="2212">
        <v>46</v>
      </c>
      <c r="Q289" s="2219"/>
      <c r="R289" s="2213"/>
      <c r="S289" s="2219"/>
      <c r="T289" s="2213"/>
      <c r="U289" s="2213"/>
      <c r="V289" s="2213"/>
      <c r="W289" s="2213"/>
      <c r="X289" s="2213"/>
      <c r="Y289" s="2217">
        <f t="shared" si="137"/>
        <v>35.731107360861301</v>
      </c>
      <c r="Z289" s="2217">
        <f t="shared" si="127"/>
        <v>5700.5788019523388</v>
      </c>
      <c r="AA289" s="2217">
        <f t="shared" si="128"/>
        <v>35.901608672413204</v>
      </c>
      <c r="AB289" s="2212">
        <v>46</v>
      </c>
      <c r="AC289" s="2219"/>
      <c r="AD289" s="2213"/>
      <c r="AE289" s="2219"/>
      <c r="AF289" s="2213"/>
      <c r="AG289" s="2213"/>
      <c r="AH289" s="2213"/>
      <c r="AI289" s="2213"/>
      <c r="AJ289" s="2213"/>
      <c r="AK289" s="2217">
        <f t="shared" si="138"/>
        <v>20.293415631723615</v>
      </c>
      <c r="AL289" s="2217">
        <f t="shared" si="119"/>
        <v>5700.5788019523388</v>
      </c>
      <c r="AM289" s="2217">
        <f t="shared" si="129"/>
        <v>35.901608672413204</v>
      </c>
      <c r="AN289" s="2212">
        <v>46</v>
      </c>
      <c r="AO289" s="2219"/>
      <c r="AP289" s="2213"/>
      <c r="AQ289" s="2219"/>
      <c r="AR289" s="2213"/>
      <c r="AS289" s="2213"/>
      <c r="AT289" s="2213"/>
      <c r="AU289" s="2213"/>
      <c r="AV289" s="2213"/>
      <c r="AW289" s="2217">
        <f t="shared" si="139"/>
        <v>22.703158637473937</v>
      </c>
      <c r="AX289" s="2217">
        <f t="shared" si="130"/>
        <v>4763.9057566196607</v>
      </c>
      <c r="AY289" s="2217">
        <f t="shared" si="120"/>
        <v>32.078451544786731</v>
      </c>
      <c r="AZ289" s="2212">
        <v>46</v>
      </c>
      <c r="BA289" s="2208"/>
      <c r="BB289" s="263"/>
      <c r="BC289" s="2208"/>
      <c r="BD289" s="263"/>
      <c r="BE289" s="263"/>
      <c r="BF289" s="263"/>
      <c r="BG289" s="263"/>
      <c r="BH289" s="2208"/>
      <c r="BI289" s="2217">
        <f t="shared" si="140"/>
        <v>32.64747861635783</v>
      </c>
      <c r="BJ289" s="2217">
        <f t="shared" si="131"/>
        <v>4763.9057566196607</v>
      </c>
      <c r="BK289" s="2217">
        <f t="shared" si="121"/>
        <v>32.078451544786731</v>
      </c>
      <c r="BL289" s="2212">
        <v>46</v>
      </c>
      <c r="BM289" s="2208"/>
      <c r="BN289" s="263"/>
      <c r="BO289" s="2208"/>
      <c r="BP289" s="263"/>
      <c r="BQ289" s="263"/>
      <c r="BR289" s="263"/>
      <c r="BS289" s="263"/>
      <c r="BT289" s="2208"/>
      <c r="BU289" s="2217">
        <f t="shared" si="141"/>
        <v>20.293415631723615</v>
      </c>
      <c r="BV289" s="2217">
        <f t="shared" si="122"/>
        <v>5700.5788019523388</v>
      </c>
      <c r="BW289" s="2217">
        <f t="shared" si="132"/>
        <v>35.901608672413204</v>
      </c>
      <c r="BX289" s="2212">
        <v>46</v>
      </c>
      <c r="BY289" s="2219"/>
      <c r="BZ289" s="2213"/>
      <c r="CA289" s="2219"/>
      <c r="CB289" s="2213"/>
      <c r="CC289" s="2213"/>
      <c r="CD289" s="2213"/>
      <c r="CE289" s="2213"/>
      <c r="CF289" s="2208"/>
      <c r="CG289" s="2217">
        <f t="shared" si="142"/>
        <v>24.601608672413203</v>
      </c>
      <c r="CH289" s="2217">
        <f t="shared" si="123"/>
        <v>5700.5788019523388</v>
      </c>
      <c r="CI289" s="2217">
        <f t="shared" si="133"/>
        <v>35.901608672413204</v>
      </c>
      <c r="CJ289" s="2212">
        <v>46</v>
      </c>
      <c r="CK289" s="2219"/>
      <c r="CL289" s="2213"/>
      <c r="CM289" s="2219"/>
      <c r="CN289" s="2213"/>
      <c r="CO289" s="2213"/>
      <c r="CP289" s="2213"/>
      <c r="CQ289" s="2213"/>
      <c r="CR289" s="2208"/>
      <c r="CS289" s="2217">
        <f t="shared" si="143"/>
        <v>32.005909585462092</v>
      </c>
      <c r="CT289" s="2217">
        <f t="shared" si="134"/>
        <v>4763.9057566196607</v>
      </c>
      <c r="CU289" s="2217">
        <f t="shared" si="124"/>
        <v>32.078451544786731</v>
      </c>
      <c r="CV289" s="2212">
        <v>46</v>
      </c>
      <c r="CW289" s="2208"/>
      <c r="CX289" s="263"/>
      <c r="CY289" s="2208"/>
      <c r="CZ289" s="263"/>
      <c r="DA289" s="263"/>
      <c r="DB289" s="263"/>
      <c r="DC289" s="263"/>
      <c r="DD289" s="2208"/>
    </row>
    <row r="290" spans="1:108">
      <c r="A290" s="2217">
        <f t="shared" si="135"/>
        <v>30.292934859207339</v>
      </c>
      <c r="B290" s="2217">
        <f t="shared" si="117"/>
        <v>5664.6771932799256</v>
      </c>
      <c r="C290" s="2217">
        <f t="shared" si="125"/>
        <v>36.167769442788995</v>
      </c>
      <c r="D290" s="2212">
        <v>45</v>
      </c>
      <c r="E290" s="2219"/>
      <c r="F290" s="2213"/>
      <c r="G290" s="2219"/>
      <c r="H290" s="2213"/>
      <c r="I290" s="2213"/>
      <c r="J290" s="2213"/>
      <c r="K290" s="2213"/>
      <c r="L290" s="2213"/>
      <c r="M290" s="2217">
        <f t="shared" si="136"/>
        <v>32.82467872020257</v>
      </c>
      <c r="N290" s="2217">
        <f t="shared" si="118"/>
        <v>5664.6771932799256</v>
      </c>
      <c r="O290" s="2217">
        <f t="shared" si="126"/>
        <v>36.167769442788995</v>
      </c>
      <c r="P290" s="2212">
        <v>45</v>
      </c>
      <c r="Q290" s="2219"/>
      <c r="R290" s="2213"/>
      <c r="S290" s="2219"/>
      <c r="T290" s="2213"/>
      <c r="U290" s="2213"/>
      <c r="V290" s="2213"/>
      <c r="W290" s="2213"/>
      <c r="X290" s="2213"/>
      <c r="Y290" s="2217">
        <f t="shared" si="137"/>
        <v>36.079777970053584</v>
      </c>
      <c r="Z290" s="2217">
        <f t="shared" si="127"/>
        <v>5664.6771932799256</v>
      </c>
      <c r="AA290" s="2217">
        <f t="shared" si="128"/>
        <v>36.167769442788995</v>
      </c>
      <c r="AB290" s="2212">
        <v>45</v>
      </c>
      <c r="AC290" s="2219"/>
      <c r="AD290" s="2213"/>
      <c r="AE290" s="2219"/>
      <c r="AF290" s="2213"/>
      <c r="AG290" s="2213"/>
      <c r="AH290" s="2213"/>
      <c r="AI290" s="2213"/>
      <c r="AJ290" s="2213"/>
      <c r="AK290" s="2217">
        <f t="shared" si="138"/>
        <v>20.527637109654311</v>
      </c>
      <c r="AL290" s="2217">
        <f t="shared" si="119"/>
        <v>5664.6771932799256</v>
      </c>
      <c r="AM290" s="2217">
        <f t="shared" si="129"/>
        <v>36.167769442788995</v>
      </c>
      <c r="AN290" s="2212">
        <v>45</v>
      </c>
      <c r="AO290" s="2219"/>
      <c r="AP290" s="2213"/>
      <c r="AQ290" s="2219"/>
      <c r="AR290" s="2213"/>
      <c r="AS290" s="2213"/>
      <c r="AT290" s="2213"/>
      <c r="AU290" s="2213"/>
      <c r="AV290" s="2213"/>
      <c r="AW290" s="2217">
        <f t="shared" si="139"/>
        <v>23.027998438651739</v>
      </c>
      <c r="AX290" s="2217">
        <f t="shared" si="130"/>
        <v>4731.8273050748739</v>
      </c>
      <c r="AY290" s="2217">
        <f t="shared" si="120"/>
        <v>32.384904187407301</v>
      </c>
      <c r="AZ290" s="2212">
        <v>45</v>
      </c>
      <c r="BA290" s="2208"/>
      <c r="BB290" s="263"/>
      <c r="BC290" s="2208"/>
      <c r="BD290" s="263"/>
      <c r="BE290" s="263"/>
      <c r="BF290" s="263"/>
      <c r="BG290" s="263"/>
      <c r="BH290" s="2208"/>
      <c r="BI290" s="2217">
        <f t="shared" si="140"/>
        <v>33.067318736748007</v>
      </c>
      <c r="BJ290" s="2217">
        <f t="shared" si="131"/>
        <v>4731.8273050748739</v>
      </c>
      <c r="BK290" s="2217">
        <f t="shared" si="121"/>
        <v>32.384904187407301</v>
      </c>
      <c r="BL290" s="2212">
        <v>45</v>
      </c>
      <c r="BM290" s="2208"/>
      <c r="BN290" s="263"/>
      <c r="BO290" s="2208"/>
      <c r="BP290" s="263"/>
      <c r="BQ290" s="263"/>
      <c r="BR290" s="263"/>
      <c r="BS290" s="263"/>
      <c r="BT290" s="2208"/>
      <c r="BU290" s="2217">
        <f t="shared" si="141"/>
        <v>20.527637109654311</v>
      </c>
      <c r="BV290" s="2217">
        <f t="shared" si="122"/>
        <v>5664.6771932799256</v>
      </c>
      <c r="BW290" s="2217">
        <f t="shared" si="132"/>
        <v>36.167769442788995</v>
      </c>
      <c r="BX290" s="2212">
        <v>45</v>
      </c>
      <c r="BY290" s="2219"/>
      <c r="BZ290" s="2213"/>
      <c r="CA290" s="2219"/>
      <c r="CB290" s="2213"/>
      <c r="CC290" s="2213"/>
      <c r="CD290" s="2213"/>
      <c r="CE290" s="2213"/>
      <c r="CF290" s="2208"/>
      <c r="CG290" s="2217">
        <f t="shared" si="142"/>
        <v>24.867769442788994</v>
      </c>
      <c r="CH290" s="2217">
        <f t="shared" si="123"/>
        <v>5664.6771932799256</v>
      </c>
      <c r="CI290" s="2217">
        <f t="shared" si="133"/>
        <v>36.167769442788995</v>
      </c>
      <c r="CJ290" s="2212">
        <v>45</v>
      </c>
      <c r="CK290" s="2219"/>
      <c r="CL290" s="2213"/>
      <c r="CM290" s="2219"/>
      <c r="CN290" s="2213"/>
      <c r="CO290" s="2213"/>
      <c r="CP290" s="2213"/>
      <c r="CQ290" s="2213"/>
      <c r="CR290" s="2208"/>
      <c r="CS290" s="2217">
        <f t="shared" si="143"/>
        <v>32.419620652999853</v>
      </c>
      <c r="CT290" s="2217">
        <f t="shared" si="134"/>
        <v>4731.8273050748739</v>
      </c>
      <c r="CU290" s="2217">
        <f t="shared" si="124"/>
        <v>32.384904187407301</v>
      </c>
      <c r="CV290" s="2212">
        <v>45</v>
      </c>
      <c r="CW290" s="2208"/>
      <c r="CX290" s="263"/>
      <c r="CY290" s="2208"/>
      <c r="CZ290" s="263"/>
      <c r="DA290" s="263"/>
      <c r="DB290" s="263"/>
      <c r="DC290" s="263"/>
      <c r="DD290" s="2208"/>
    </row>
    <row r="291" spans="1:108">
      <c r="A291" s="2217">
        <f t="shared" si="135"/>
        <v>30.599988652651472</v>
      </c>
      <c r="B291" s="2217">
        <f t="shared" ref="B291:B335" si="144">B$27+(B$26*D291)-(B$25*(D291^2))+(B$24*(D291^3))</f>
        <v>5628.5094238371366</v>
      </c>
      <c r="C291" s="2217">
        <f t="shared" si="125"/>
        <v>36.434772741436063</v>
      </c>
      <c r="D291" s="2212">
        <v>44</v>
      </c>
      <c r="E291" s="2219"/>
      <c r="F291" s="2213"/>
      <c r="G291" s="2219"/>
      <c r="H291" s="2213"/>
      <c r="I291" s="2213"/>
      <c r="J291" s="2213"/>
      <c r="K291" s="2213"/>
      <c r="L291" s="2213"/>
      <c r="M291" s="2217">
        <f t="shared" si="136"/>
        <v>33.150422744551989</v>
      </c>
      <c r="N291" s="2217">
        <f t="shared" ref="N291:N335" si="145">N$27+(N$26*P291)-(N$25*(P291^2))+(N$24*(P291^3))</f>
        <v>5628.5094238371366</v>
      </c>
      <c r="O291" s="2217">
        <f t="shared" si="126"/>
        <v>36.434772741436063</v>
      </c>
      <c r="P291" s="2212">
        <v>44</v>
      </c>
      <c r="Q291" s="2219"/>
      <c r="R291" s="2213"/>
      <c r="S291" s="2219"/>
      <c r="T291" s="2213"/>
      <c r="U291" s="2213"/>
      <c r="V291" s="2213"/>
      <c r="W291" s="2213"/>
      <c r="X291" s="2213"/>
      <c r="Y291" s="2217">
        <f t="shared" si="137"/>
        <v>36.42955229128124</v>
      </c>
      <c r="Z291" s="2217">
        <f t="shared" si="127"/>
        <v>5628.5094238371366</v>
      </c>
      <c r="AA291" s="2217">
        <f t="shared" si="128"/>
        <v>36.434772741436063</v>
      </c>
      <c r="AB291" s="2212">
        <v>44</v>
      </c>
      <c r="AC291" s="2219"/>
      <c r="AD291" s="2213"/>
      <c r="AE291" s="2219"/>
      <c r="AF291" s="2213"/>
      <c r="AG291" s="2213"/>
      <c r="AH291" s="2213"/>
      <c r="AI291" s="2213"/>
      <c r="AJ291" s="2213"/>
      <c r="AK291" s="2217">
        <f t="shared" si="138"/>
        <v>20.762600012463732</v>
      </c>
      <c r="AL291" s="2217">
        <f t="shared" ref="AL291:AL335" si="146">AL$27+(AL$26*AN291)-(AL$25*(AN291^2))+(AL$24*(AN291^3))</f>
        <v>5628.5094238371366</v>
      </c>
      <c r="AM291" s="2217">
        <f t="shared" si="129"/>
        <v>36.434772741436063</v>
      </c>
      <c r="AN291" s="2212">
        <v>44</v>
      </c>
      <c r="AO291" s="2219"/>
      <c r="AP291" s="2213"/>
      <c r="AQ291" s="2219"/>
      <c r="AR291" s="2213"/>
      <c r="AS291" s="2213"/>
      <c r="AT291" s="2213"/>
      <c r="AU291" s="2213"/>
      <c r="AV291" s="2213"/>
      <c r="AW291" s="2217">
        <f t="shared" si="139"/>
        <v>23.352672959859358</v>
      </c>
      <c r="AX291" s="2217">
        <f t="shared" si="130"/>
        <v>4699.4424008874666</v>
      </c>
      <c r="AY291" s="2217">
        <f t="shared" ref="AY291:AY333" si="147">AX291-AX292</f>
        <v>32.691200905527694</v>
      </c>
      <c r="AZ291" s="2212">
        <v>44</v>
      </c>
      <c r="BA291" s="2208"/>
      <c r="BB291" s="263"/>
      <c r="BC291" s="2208"/>
      <c r="BD291" s="263"/>
      <c r="BE291" s="263"/>
      <c r="BF291" s="263"/>
      <c r="BG291" s="263"/>
      <c r="BH291" s="2208"/>
      <c r="BI291" s="2217">
        <f t="shared" si="140"/>
        <v>33.48694524057295</v>
      </c>
      <c r="BJ291" s="2217">
        <f t="shared" si="131"/>
        <v>4699.4424008874666</v>
      </c>
      <c r="BK291" s="2217">
        <f t="shared" ref="BK291:BK333" si="148">BJ291-BJ292</f>
        <v>32.691200905527694</v>
      </c>
      <c r="BL291" s="2212">
        <v>44</v>
      </c>
      <c r="BM291" s="2208"/>
      <c r="BN291" s="263"/>
      <c r="BO291" s="2208"/>
      <c r="BP291" s="263"/>
      <c r="BQ291" s="263"/>
      <c r="BR291" s="263"/>
      <c r="BS291" s="263"/>
      <c r="BT291" s="2208"/>
      <c r="BU291" s="2217">
        <f t="shared" si="141"/>
        <v>20.762600012463732</v>
      </c>
      <c r="BV291" s="2217">
        <f t="shared" ref="BV291:BV335" si="149">BV$27+(BV$26*BX291)-(BV$25*(BX291^2))+(BV$24*(BX291^3))</f>
        <v>5628.5094238371366</v>
      </c>
      <c r="BW291" s="2217">
        <f t="shared" si="132"/>
        <v>36.434772741436063</v>
      </c>
      <c r="BX291" s="2212">
        <v>44</v>
      </c>
      <c r="BY291" s="2219"/>
      <c r="BZ291" s="2213"/>
      <c r="CA291" s="2219"/>
      <c r="CB291" s="2213"/>
      <c r="CC291" s="2213"/>
      <c r="CD291" s="2213"/>
      <c r="CE291" s="2213"/>
      <c r="CF291" s="2208"/>
      <c r="CG291" s="2217">
        <f t="shared" si="142"/>
        <v>25.134772741436063</v>
      </c>
      <c r="CH291" s="2217">
        <f t="shared" ref="CH291:CH335" si="150">CH$27+(CH$26*CJ291)-(CH$25*(CJ291^2))+(CH$24*(CJ291^3))</f>
        <v>5628.5094238371366</v>
      </c>
      <c r="CI291" s="2217">
        <f t="shared" si="133"/>
        <v>36.434772741436063</v>
      </c>
      <c r="CJ291" s="2212">
        <v>44</v>
      </c>
      <c r="CK291" s="2219"/>
      <c r="CL291" s="2213"/>
      <c r="CM291" s="2219"/>
      <c r="CN291" s="2213"/>
      <c r="CO291" s="2213"/>
      <c r="CP291" s="2213"/>
      <c r="CQ291" s="2213"/>
      <c r="CR291" s="2208"/>
      <c r="CS291" s="2217">
        <f t="shared" si="143"/>
        <v>32.833121222462395</v>
      </c>
      <c r="CT291" s="2217">
        <f t="shared" si="134"/>
        <v>4699.4424008874666</v>
      </c>
      <c r="CU291" s="2217">
        <f t="shared" ref="CU291:CU333" si="151">CT291-CT292</f>
        <v>32.691200905527694</v>
      </c>
      <c r="CV291" s="2212">
        <v>44</v>
      </c>
      <c r="CW291" s="2208"/>
      <c r="CX291" s="263"/>
      <c r="CY291" s="2208"/>
      <c r="CZ291" s="263"/>
      <c r="DA291" s="263"/>
      <c r="DB291" s="263"/>
      <c r="DC291" s="263"/>
      <c r="DD291" s="2208"/>
    </row>
    <row r="292" spans="1:108">
      <c r="A292" s="2217">
        <f t="shared" si="135"/>
        <v>30.908011353605477</v>
      </c>
      <c r="B292" s="2217">
        <f t="shared" si="144"/>
        <v>5592.0746510957006</v>
      </c>
      <c r="C292" s="2217">
        <f t="shared" ref="C292:C333" si="152">B292-B293</f>
        <v>36.702618568352591</v>
      </c>
      <c r="D292" s="2212">
        <v>43</v>
      </c>
      <c r="E292" s="2219"/>
      <c r="F292" s="2213"/>
      <c r="G292" s="2219"/>
      <c r="H292" s="2213"/>
      <c r="I292" s="2213"/>
      <c r="J292" s="2213"/>
      <c r="K292" s="2213"/>
      <c r="L292" s="2213"/>
      <c r="M292" s="2217">
        <f t="shared" si="136"/>
        <v>33.477194653390157</v>
      </c>
      <c r="N292" s="2217">
        <f t="shared" si="145"/>
        <v>5592.0746510957006</v>
      </c>
      <c r="O292" s="2217">
        <f t="shared" ref="O292:O333" si="153">N292-N293</f>
        <v>36.702618568352591</v>
      </c>
      <c r="P292" s="2212">
        <v>43</v>
      </c>
      <c r="Q292" s="2219"/>
      <c r="R292" s="2213"/>
      <c r="S292" s="2219"/>
      <c r="T292" s="2213"/>
      <c r="U292" s="2213"/>
      <c r="V292" s="2213"/>
      <c r="W292" s="2213"/>
      <c r="X292" s="2213"/>
      <c r="Y292" s="2217">
        <f t="shared" si="137"/>
        <v>36.780430324541896</v>
      </c>
      <c r="Z292" s="2217">
        <f t="shared" ref="Z292:Z335" si="154">Z$27+(Z$26*AB292)-(Z$25*(AB292^2))+(Z$24*(AB292^3))</f>
        <v>5592.0746510957006</v>
      </c>
      <c r="AA292" s="2217">
        <f t="shared" ref="AA292:AA333" si="155">Z292-Z293</f>
        <v>36.702618568352591</v>
      </c>
      <c r="AB292" s="2212">
        <v>43</v>
      </c>
      <c r="AC292" s="2219"/>
      <c r="AD292" s="2213"/>
      <c r="AE292" s="2219"/>
      <c r="AF292" s="2213"/>
      <c r="AG292" s="2213"/>
      <c r="AH292" s="2213"/>
      <c r="AI292" s="2213"/>
      <c r="AJ292" s="2213"/>
      <c r="AK292" s="2217">
        <f t="shared" si="138"/>
        <v>20.998304340150273</v>
      </c>
      <c r="AL292" s="2217">
        <f t="shared" si="146"/>
        <v>5592.0746510957006</v>
      </c>
      <c r="AM292" s="2217">
        <f t="shared" ref="AM292:AM333" si="156">AL292-AL293</f>
        <v>36.702618568352591</v>
      </c>
      <c r="AN292" s="2212">
        <v>43</v>
      </c>
      <c r="AO292" s="2219"/>
      <c r="AP292" s="2213"/>
      <c r="AQ292" s="2219"/>
      <c r="AR292" s="2213"/>
      <c r="AS292" s="2213"/>
      <c r="AT292" s="2213"/>
      <c r="AU292" s="2213"/>
      <c r="AV292" s="2213"/>
      <c r="AW292" s="2217">
        <f t="shared" si="139"/>
        <v>23.677182201098713</v>
      </c>
      <c r="AX292" s="2217">
        <f t="shared" ref="AX292:AX335" si="157">AX$27+(AX$26*AZ292)-(AX$25*(AZ292^2))+(AX$24*(AZ292^3))</f>
        <v>4666.751199981939</v>
      </c>
      <c r="AY292" s="2217">
        <f t="shared" si="147"/>
        <v>32.997341699149729</v>
      </c>
      <c r="AZ292" s="2212">
        <v>43</v>
      </c>
      <c r="BA292" s="2208"/>
      <c r="BB292" s="263"/>
      <c r="BC292" s="2208"/>
      <c r="BD292" s="263"/>
      <c r="BE292" s="263"/>
      <c r="BF292" s="263"/>
      <c r="BG292" s="263"/>
      <c r="BH292" s="2208"/>
      <c r="BI292" s="2217">
        <f t="shared" si="140"/>
        <v>33.906358127835134</v>
      </c>
      <c r="BJ292" s="2217">
        <f t="shared" ref="BJ292:BJ335" si="158">BJ$27+(BJ$26*BL292)-(BJ$25*(BL292^2))+(BJ$24*(BL292^3))</f>
        <v>4666.751199981939</v>
      </c>
      <c r="BK292" s="2217">
        <f t="shared" si="148"/>
        <v>32.997341699149729</v>
      </c>
      <c r="BL292" s="2212">
        <v>43</v>
      </c>
      <c r="BM292" s="2208"/>
      <c r="BN292" s="263"/>
      <c r="BO292" s="2208"/>
      <c r="BP292" s="263"/>
      <c r="BQ292" s="263"/>
      <c r="BR292" s="263"/>
      <c r="BS292" s="263"/>
      <c r="BT292" s="2208"/>
      <c r="BU292" s="2217">
        <f t="shared" si="141"/>
        <v>20.998304340150273</v>
      </c>
      <c r="BV292" s="2217">
        <f t="shared" si="149"/>
        <v>5592.0746510957006</v>
      </c>
      <c r="BW292" s="2217">
        <f t="shared" ref="BW292:BW333" si="159">BV292-BV293</f>
        <v>36.702618568352591</v>
      </c>
      <c r="BX292" s="2212">
        <v>43</v>
      </c>
      <c r="BY292" s="2219"/>
      <c r="BZ292" s="2213"/>
      <c r="CA292" s="2219"/>
      <c r="CB292" s="2213"/>
      <c r="CC292" s="2213"/>
      <c r="CD292" s="2213"/>
      <c r="CE292" s="2213"/>
      <c r="CF292" s="2208"/>
      <c r="CG292" s="2217">
        <f t="shared" si="142"/>
        <v>25.40261856835259</v>
      </c>
      <c r="CH292" s="2217">
        <f t="shared" si="150"/>
        <v>5592.0746510957006</v>
      </c>
      <c r="CI292" s="2217">
        <f t="shared" ref="CI292:CI333" si="160">CH292-CH293</f>
        <v>36.702618568352591</v>
      </c>
      <c r="CJ292" s="2212">
        <v>43</v>
      </c>
      <c r="CK292" s="2219"/>
      <c r="CL292" s="2213"/>
      <c r="CM292" s="2219"/>
      <c r="CN292" s="2213"/>
      <c r="CO292" s="2213"/>
      <c r="CP292" s="2213"/>
      <c r="CQ292" s="2213"/>
      <c r="CR292" s="2208"/>
      <c r="CS292" s="2217">
        <f t="shared" si="143"/>
        <v>33.246411293852134</v>
      </c>
      <c r="CT292" s="2217">
        <f t="shared" ref="CT292:CT335" si="161">CT$27+(CT$26*CV292)-(CT$25*(CV292^2))+(CT$24*(CV292^3))</f>
        <v>4666.751199981939</v>
      </c>
      <c r="CU292" s="2217">
        <f t="shared" si="151"/>
        <v>32.997341699149729</v>
      </c>
      <c r="CV292" s="2212">
        <v>43</v>
      </c>
      <c r="CW292" s="2208"/>
      <c r="CX292" s="263"/>
      <c r="CY292" s="2208"/>
      <c r="CZ292" s="263"/>
      <c r="DA292" s="263"/>
      <c r="DB292" s="263"/>
      <c r="DC292" s="263"/>
      <c r="DD292" s="2208"/>
    </row>
    <row r="293" spans="1:108">
      <c r="A293" s="2217">
        <f t="shared" ref="A293:A335" si="162">(C293*(B$7-B$9))-B$8</f>
        <v>31.217002962068317</v>
      </c>
      <c r="B293" s="2217">
        <f t="shared" si="144"/>
        <v>5555.372032527348</v>
      </c>
      <c r="C293" s="2217">
        <f t="shared" si="152"/>
        <v>36.971306923537668</v>
      </c>
      <c r="D293" s="2212">
        <v>42</v>
      </c>
      <c r="E293" s="2219"/>
      <c r="F293" s="2213"/>
      <c r="G293" s="2219"/>
      <c r="H293" s="2213"/>
      <c r="I293" s="2213"/>
      <c r="J293" s="2213"/>
      <c r="K293" s="2213"/>
      <c r="L293" s="2213"/>
      <c r="M293" s="2217">
        <f t="shared" ref="M293:M335" si="163">(O293*(N$7-N$9))-N$8</f>
        <v>33.804994446715952</v>
      </c>
      <c r="N293" s="2217">
        <f t="shared" si="145"/>
        <v>5555.372032527348</v>
      </c>
      <c r="O293" s="2217">
        <f t="shared" si="153"/>
        <v>36.971306923537668</v>
      </c>
      <c r="P293" s="2212">
        <v>42</v>
      </c>
      <c r="Q293" s="2219"/>
      <c r="R293" s="2213"/>
      <c r="S293" s="2219"/>
      <c r="T293" s="2213"/>
      <c r="U293" s="2213"/>
      <c r="V293" s="2213"/>
      <c r="W293" s="2213"/>
      <c r="X293" s="2213"/>
      <c r="Y293" s="2217">
        <f t="shared" ref="Y293:Y335" si="164">(AA293*(Z$7-Z$9))-Z$8</f>
        <v>37.132412069834345</v>
      </c>
      <c r="Z293" s="2217">
        <f t="shared" si="154"/>
        <v>5555.372032527348</v>
      </c>
      <c r="AA293" s="2217">
        <f t="shared" si="155"/>
        <v>36.971306923537668</v>
      </c>
      <c r="AB293" s="2212">
        <v>42</v>
      </c>
      <c r="AC293" s="2219"/>
      <c r="AD293" s="2213"/>
      <c r="AE293" s="2219"/>
      <c r="AF293" s="2213"/>
      <c r="AG293" s="2213"/>
      <c r="AH293" s="2213"/>
      <c r="AI293" s="2213"/>
      <c r="AJ293" s="2213"/>
      <c r="AK293" s="2217">
        <f t="shared" ref="AK293:AK335" si="165">(AM293*(AL$7-AL$9))-AL$8</f>
        <v>21.234750092713146</v>
      </c>
      <c r="AL293" s="2217">
        <f t="shared" si="146"/>
        <v>5555.372032527348</v>
      </c>
      <c r="AM293" s="2217">
        <f t="shared" si="156"/>
        <v>36.971306923537668</v>
      </c>
      <c r="AN293" s="2212">
        <v>42</v>
      </c>
      <c r="AO293" s="2219"/>
      <c r="AP293" s="2213"/>
      <c r="AQ293" s="2219"/>
      <c r="AR293" s="2213"/>
      <c r="AS293" s="2213"/>
      <c r="AT293" s="2213"/>
      <c r="AU293" s="2213"/>
      <c r="AV293" s="2213"/>
      <c r="AW293" s="2217">
        <f t="shared" ref="AW293:AW335" si="166">AY293*(AX$7-AX$9)-AX$8</f>
        <v>24.00152616236306</v>
      </c>
      <c r="AX293" s="2217">
        <f t="shared" si="157"/>
        <v>4633.7538582827892</v>
      </c>
      <c r="AY293" s="2217">
        <f t="shared" si="147"/>
        <v>33.303326568267039</v>
      </c>
      <c r="AZ293" s="2212">
        <v>42</v>
      </c>
      <c r="BA293" s="2208"/>
      <c r="BB293" s="263"/>
      <c r="BC293" s="2208"/>
      <c r="BD293" s="263"/>
      <c r="BE293" s="263"/>
      <c r="BF293" s="263"/>
      <c r="BG293" s="263"/>
      <c r="BH293" s="2208"/>
      <c r="BI293" s="2217">
        <f t="shared" ref="BI293:BI335" si="167">BK293*(BJ$7-BJ$9)-BJ$8</f>
        <v>34.325557398525845</v>
      </c>
      <c r="BJ293" s="2217">
        <f t="shared" si="158"/>
        <v>4633.7538582827892</v>
      </c>
      <c r="BK293" s="2217">
        <f t="shared" si="148"/>
        <v>33.303326568267039</v>
      </c>
      <c r="BL293" s="2212">
        <v>42</v>
      </c>
      <c r="BM293" s="2208"/>
      <c r="BN293" s="263"/>
      <c r="BO293" s="2208"/>
      <c r="BP293" s="263"/>
      <c r="BQ293" s="263"/>
      <c r="BR293" s="263"/>
      <c r="BS293" s="263"/>
      <c r="BT293" s="2208"/>
      <c r="BU293" s="2217">
        <f t="shared" ref="BU293:BU335" si="168">(BW293*(BV$7-BV$9))-BV$8</f>
        <v>21.234750092713146</v>
      </c>
      <c r="BV293" s="2217">
        <f t="shared" si="149"/>
        <v>5555.372032527348</v>
      </c>
      <c r="BW293" s="2217">
        <f t="shared" si="159"/>
        <v>36.971306923537668</v>
      </c>
      <c r="BX293" s="2212">
        <v>42</v>
      </c>
      <c r="BY293" s="2219"/>
      <c r="BZ293" s="2213"/>
      <c r="CA293" s="2219"/>
      <c r="CB293" s="2213"/>
      <c r="CC293" s="2213"/>
      <c r="CD293" s="2213"/>
      <c r="CE293" s="2213"/>
      <c r="CF293" s="2208"/>
      <c r="CG293" s="2217">
        <f t="shared" ref="CG293:CG335" si="169">(CI293*(CH$7-CH$9))-CH$8</f>
        <v>25.671306923537667</v>
      </c>
      <c r="CH293" s="2217">
        <f t="shared" si="150"/>
        <v>5555.372032527348</v>
      </c>
      <c r="CI293" s="2217">
        <f t="shared" si="160"/>
        <v>36.971306923537668</v>
      </c>
      <c r="CJ293" s="2212">
        <v>42</v>
      </c>
      <c r="CK293" s="2219"/>
      <c r="CL293" s="2213"/>
      <c r="CM293" s="2219"/>
      <c r="CN293" s="2213"/>
      <c r="CO293" s="2213"/>
      <c r="CP293" s="2213"/>
      <c r="CQ293" s="2213"/>
      <c r="CR293" s="2208"/>
      <c r="CS293" s="2217">
        <f t="shared" ref="CS293:CS335" si="170">CU293*(CT$7-CT$9)-CT$8</f>
        <v>33.6594908671605</v>
      </c>
      <c r="CT293" s="2217">
        <f t="shared" si="161"/>
        <v>4633.7538582827892</v>
      </c>
      <c r="CU293" s="2217">
        <f t="shared" si="151"/>
        <v>33.303326568267039</v>
      </c>
      <c r="CV293" s="2212">
        <v>42</v>
      </c>
      <c r="CW293" s="2208"/>
      <c r="CX293" s="263"/>
      <c r="CY293" s="2208"/>
      <c r="CZ293" s="263"/>
      <c r="DA293" s="263"/>
      <c r="DB293" s="263"/>
      <c r="DC293" s="263"/>
      <c r="DD293" s="2208"/>
    </row>
    <row r="294" spans="1:108">
      <c r="A294" s="2217">
        <f t="shared" si="162"/>
        <v>31.526963478042074</v>
      </c>
      <c r="B294" s="2217">
        <f t="shared" si="144"/>
        <v>5518.4007256038103</v>
      </c>
      <c r="C294" s="2217">
        <f t="shared" si="152"/>
        <v>37.240837806993113</v>
      </c>
      <c r="D294" s="2212">
        <v>41</v>
      </c>
      <c r="E294" s="2219"/>
      <c r="F294" s="2213"/>
      <c r="G294" s="2219"/>
      <c r="H294" s="2213"/>
      <c r="I294" s="2213"/>
      <c r="J294" s="2213"/>
      <c r="K294" s="2213"/>
      <c r="L294" s="2213"/>
      <c r="M294" s="2217">
        <f t="shared" si="163"/>
        <v>34.133822124531591</v>
      </c>
      <c r="N294" s="2217">
        <f t="shared" si="145"/>
        <v>5518.4007256038103</v>
      </c>
      <c r="O294" s="2217">
        <f t="shared" si="153"/>
        <v>37.240837806993113</v>
      </c>
      <c r="P294" s="2212">
        <v>41</v>
      </c>
      <c r="Q294" s="2219"/>
      <c r="R294" s="2213"/>
      <c r="S294" s="2219"/>
      <c r="T294" s="2213"/>
      <c r="U294" s="2213"/>
      <c r="V294" s="2213"/>
      <c r="W294" s="2213"/>
      <c r="X294" s="2213"/>
      <c r="Y294" s="2217">
        <f t="shared" si="164"/>
        <v>37.485497527160973</v>
      </c>
      <c r="Z294" s="2217">
        <f t="shared" si="154"/>
        <v>5518.4007256038103</v>
      </c>
      <c r="AA294" s="2217">
        <f t="shared" si="155"/>
        <v>37.240837806993113</v>
      </c>
      <c r="AB294" s="2212">
        <v>41</v>
      </c>
      <c r="AC294" s="2219"/>
      <c r="AD294" s="2213"/>
      <c r="AE294" s="2219"/>
      <c r="AF294" s="2213"/>
      <c r="AG294" s="2213"/>
      <c r="AH294" s="2213"/>
      <c r="AI294" s="2213"/>
      <c r="AJ294" s="2213"/>
      <c r="AK294" s="2217">
        <f t="shared" si="165"/>
        <v>21.471937270153933</v>
      </c>
      <c r="AL294" s="2217">
        <f t="shared" si="146"/>
        <v>5518.4007256038103</v>
      </c>
      <c r="AM294" s="2217">
        <f t="shared" si="156"/>
        <v>37.240837806993113</v>
      </c>
      <c r="AN294" s="2212">
        <v>41</v>
      </c>
      <c r="AO294" s="2219"/>
      <c r="AP294" s="2213"/>
      <c r="AQ294" s="2219"/>
      <c r="AR294" s="2213"/>
      <c r="AS294" s="2213"/>
      <c r="AT294" s="2213"/>
      <c r="AU294" s="2213"/>
      <c r="AV294" s="2213"/>
      <c r="AW294" s="2217">
        <f t="shared" si="166"/>
        <v>24.325704843660116</v>
      </c>
      <c r="AX294" s="2217">
        <f t="shared" si="157"/>
        <v>4600.4505317145222</v>
      </c>
      <c r="AY294" s="2217">
        <f t="shared" si="147"/>
        <v>33.6091555128869</v>
      </c>
      <c r="AZ294" s="2212">
        <v>41</v>
      </c>
      <c r="BA294" s="2208"/>
      <c r="BB294" s="263"/>
      <c r="BC294" s="2208"/>
      <c r="BD294" s="263"/>
      <c r="BE294" s="263"/>
      <c r="BF294" s="263"/>
      <c r="BG294" s="263"/>
      <c r="BH294" s="2208"/>
      <c r="BI294" s="2217">
        <f t="shared" si="167"/>
        <v>34.744543052655061</v>
      </c>
      <c r="BJ294" s="2217">
        <f t="shared" si="158"/>
        <v>4600.4505317145222</v>
      </c>
      <c r="BK294" s="2217">
        <f t="shared" si="148"/>
        <v>33.6091555128869</v>
      </c>
      <c r="BL294" s="2212">
        <v>41</v>
      </c>
      <c r="BM294" s="2208"/>
      <c r="BN294" s="263"/>
      <c r="BO294" s="2208"/>
      <c r="BP294" s="263"/>
      <c r="BQ294" s="263"/>
      <c r="BR294" s="263"/>
      <c r="BS294" s="263"/>
      <c r="BT294" s="2208"/>
      <c r="BU294" s="2217">
        <f t="shared" si="168"/>
        <v>21.471937270153933</v>
      </c>
      <c r="BV294" s="2217">
        <f t="shared" si="149"/>
        <v>5518.4007256038103</v>
      </c>
      <c r="BW294" s="2217">
        <f t="shared" si="159"/>
        <v>37.240837806993113</v>
      </c>
      <c r="BX294" s="2212">
        <v>41</v>
      </c>
      <c r="BY294" s="2219"/>
      <c r="BZ294" s="2213"/>
      <c r="CA294" s="2219"/>
      <c r="CB294" s="2213"/>
      <c r="CC294" s="2213"/>
      <c r="CD294" s="2213"/>
      <c r="CE294" s="2213"/>
      <c r="CF294" s="2208"/>
      <c r="CG294" s="2217">
        <f t="shared" si="169"/>
        <v>25.940837806993112</v>
      </c>
      <c r="CH294" s="2217">
        <f t="shared" si="150"/>
        <v>5518.4007256038103</v>
      </c>
      <c r="CI294" s="2217">
        <f t="shared" si="160"/>
        <v>37.240837806993113</v>
      </c>
      <c r="CJ294" s="2212">
        <v>41</v>
      </c>
      <c r="CK294" s="2219"/>
      <c r="CL294" s="2213"/>
      <c r="CM294" s="2219"/>
      <c r="CN294" s="2213"/>
      <c r="CO294" s="2213"/>
      <c r="CP294" s="2213"/>
      <c r="CQ294" s="2213"/>
      <c r="CR294" s="2208"/>
      <c r="CS294" s="2217">
        <f t="shared" si="170"/>
        <v>34.072359942397313</v>
      </c>
      <c r="CT294" s="2217">
        <f t="shared" si="161"/>
        <v>4600.4505317145222</v>
      </c>
      <c r="CU294" s="2217">
        <f t="shared" si="151"/>
        <v>33.6091555128869</v>
      </c>
      <c r="CV294" s="2212">
        <v>41</v>
      </c>
      <c r="CW294" s="2208"/>
      <c r="CX294" s="263"/>
      <c r="CY294" s="2208"/>
      <c r="CZ294" s="263"/>
      <c r="DA294" s="263"/>
      <c r="DB294" s="263"/>
      <c r="DC294" s="263"/>
      <c r="DD294" s="2208"/>
    </row>
    <row r="295" spans="1:108">
      <c r="A295" s="2217">
        <f t="shared" si="162"/>
        <v>31.837892901526761</v>
      </c>
      <c r="B295" s="2217">
        <f t="shared" si="144"/>
        <v>5481.1598877968172</v>
      </c>
      <c r="C295" s="2217">
        <f t="shared" si="152"/>
        <v>37.511211218718927</v>
      </c>
      <c r="D295" s="2212">
        <v>40</v>
      </c>
      <c r="E295" s="2219"/>
      <c r="F295" s="2213"/>
      <c r="G295" s="2219"/>
      <c r="H295" s="2213"/>
      <c r="I295" s="2213"/>
      <c r="J295" s="2213"/>
      <c r="K295" s="2213"/>
      <c r="L295" s="2213"/>
      <c r="M295" s="2217">
        <f t="shared" si="163"/>
        <v>34.463677686837087</v>
      </c>
      <c r="N295" s="2217">
        <f t="shared" si="145"/>
        <v>5481.1598877968172</v>
      </c>
      <c r="O295" s="2217">
        <f t="shared" si="153"/>
        <v>37.511211218718927</v>
      </c>
      <c r="P295" s="2212">
        <v>40</v>
      </c>
      <c r="Q295" s="2219"/>
      <c r="R295" s="2213"/>
      <c r="S295" s="2219"/>
      <c r="T295" s="2213"/>
      <c r="U295" s="2213"/>
      <c r="V295" s="2213"/>
      <c r="W295" s="2213"/>
      <c r="X295" s="2213"/>
      <c r="Y295" s="2217">
        <f t="shared" si="164"/>
        <v>37.839686696521795</v>
      </c>
      <c r="Z295" s="2217">
        <f t="shared" si="154"/>
        <v>5481.1598877968172</v>
      </c>
      <c r="AA295" s="2217">
        <f t="shared" si="155"/>
        <v>37.511211218718927</v>
      </c>
      <c r="AB295" s="2212">
        <v>40</v>
      </c>
      <c r="AC295" s="2219"/>
      <c r="AD295" s="2213"/>
      <c r="AE295" s="2219"/>
      <c r="AF295" s="2213"/>
      <c r="AG295" s="2213"/>
      <c r="AH295" s="2213"/>
      <c r="AI295" s="2213"/>
      <c r="AJ295" s="2213"/>
      <c r="AK295" s="2217">
        <f t="shared" si="165"/>
        <v>21.709865872472651</v>
      </c>
      <c r="AL295" s="2217">
        <f t="shared" si="146"/>
        <v>5481.1598877968172</v>
      </c>
      <c r="AM295" s="2217">
        <f t="shared" si="156"/>
        <v>37.511211218718927</v>
      </c>
      <c r="AN295" s="2212">
        <v>40</v>
      </c>
      <c r="AO295" s="2219"/>
      <c r="AP295" s="2213"/>
      <c r="AQ295" s="2219"/>
      <c r="AR295" s="2213"/>
      <c r="AS295" s="2213"/>
      <c r="AT295" s="2213"/>
      <c r="AU295" s="2213"/>
      <c r="AV295" s="2213"/>
      <c r="AW295" s="2217">
        <f t="shared" si="166"/>
        <v>24.649718244985049</v>
      </c>
      <c r="AX295" s="2217">
        <f t="shared" si="157"/>
        <v>4566.8413762016353</v>
      </c>
      <c r="AY295" s="2217">
        <f t="shared" si="147"/>
        <v>33.914828533004766</v>
      </c>
      <c r="AZ295" s="2212">
        <v>40</v>
      </c>
      <c r="BA295" s="2208"/>
      <c r="BB295" s="263"/>
      <c r="BC295" s="2208"/>
      <c r="BD295" s="263"/>
      <c r="BE295" s="263"/>
      <c r="BF295" s="263"/>
      <c r="BG295" s="263"/>
      <c r="BH295" s="2208"/>
      <c r="BI295" s="2217">
        <f t="shared" si="167"/>
        <v>35.163315090216528</v>
      </c>
      <c r="BJ295" s="2217">
        <f t="shared" si="158"/>
        <v>4566.8413762016353</v>
      </c>
      <c r="BK295" s="2217">
        <f t="shared" si="148"/>
        <v>33.914828533004766</v>
      </c>
      <c r="BL295" s="2212">
        <v>40</v>
      </c>
      <c r="BM295" s="2208"/>
      <c r="BN295" s="263"/>
      <c r="BO295" s="2208"/>
      <c r="BP295" s="263"/>
      <c r="BQ295" s="263"/>
      <c r="BR295" s="263"/>
      <c r="BS295" s="263"/>
      <c r="BT295" s="2208"/>
      <c r="BU295" s="2217">
        <f t="shared" si="168"/>
        <v>21.709865872472651</v>
      </c>
      <c r="BV295" s="2217">
        <f t="shared" si="149"/>
        <v>5481.1598877968172</v>
      </c>
      <c r="BW295" s="2217">
        <f t="shared" si="159"/>
        <v>37.511211218718927</v>
      </c>
      <c r="BX295" s="2212">
        <v>40</v>
      </c>
      <c r="BY295" s="2219"/>
      <c r="BZ295" s="2213"/>
      <c r="CA295" s="2219"/>
      <c r="CB295" s="2213"/>
      <c r="CC295" s="2213"/>
      <c r="CD295" s="2213"/>
      <c r="CE295" s="2213"/>
      <c r="CF295" s="2208"/>
      <c r="CG295" s="2217">
        <f t="shared" si="169"/>
        <v>26.211211218718926</v>
      </c>
      <c r="CH295" s="2217">
        <f t="shared" si="150"/>
        <v>5481.1598877968172</v>
      </c>
      <c r="CI295" s="2217">
        <f t="shared" si="160"/>
        <v>37.511211218718927</v>
      </c>
      <c r="CJ295" s="2212">
        <v>40</v>
      </c>
      <c r="CK295" s="2219"/>
      <c r="CL295" s="2213"/>
      <c r="CM295" s="2219"/>
      <c r="CN295" s="2213"/>
      <c r="CO295" s="2213"/>
      <c r="CP295" s="2213"/>
      <c r="CQ295" s="2213"/>
      <c r="CR295" s="2208"/>
      <c r="CS295" s="2217">
        <f t="shared" si="170"/>
        <v>34.485018519556434</v>
      </c>
      <c r="CT295" s="2217">
        <f t="shared" si="161"/>
        <v>4566.8413762016353</v>
      </c>
      <c r="CU295" s="2217">
        <f t="shared" si="151"/>
        <v>33.914828533004766</v>
      </c>
      <c r="CV295" s="2212">
        <v>40</v>
      </c>
      <c r="CW295" s="2208"/>
      <c r="CX295" s="263"/>
      <c r="CY295" s="2208"/>
      <c r="CZ295" s="263"/>
      <c r="DA295" s="263"/>
      <c r="DB295" s="263"/>
      <c r="DC295" s="263"/>
      <c r="DD295" s="2208"/>
    </row>
    <row r="296" spans="1:108">
      <c r="A296" s="2217">
        <f t="shared" si="162"/>
        <v>32.149791232520286</v>
      </c>
      <c r="B296" s="2217">
        <f t="shared" si="144"/>
        <v>5443.6486765780983</v>
      </c>
      <c r="C296" s="2217">
        <f t="shared" si="152"/>
        <v>37.78242715871329</v>
      </c>
      <c r="D296" s="2212">
        <v>39</v>
      </c>
      <c r="E296" s="2219"/>
      <c r="F296" s="2213"/>
      <c r="G296" s="2219"/>
      <c r="H296" s="2213"/>
      <c r="I296" s="2213"/>
      <c r="J296" s="2213"/>
      <c r="K296" s="2213"/>
      <c r="L296" s="2213"/>
      <c r="M296" s="2217">
        <f t="shared" si="163"/>
        <v>34.794561133630211</v>
      </c>
      <c r="N296" s="2217">
        <f t="shared" si="145"/>
        <v>5443.6486765780983</v>
      </c>
      <c r="O296" s="2217">
        <f t="shared" si="153"/>
        <v>37.78242715871329</v>
      </c>
      <c r="P296" s="2212">
        <v>39</v>
      </c>
      <c r="Q296" s="2219"/>
      <c r="R296" s="2213"/>
      <c r="S296" s="2219"/>
      <c r="T296" s="2213"/>
      <c r="U296" s="2213"/>
      <c r="V296" s="2213"/>
      <c r="W296" s="2213"/>
      <c r="X296" s="2213"/>
      <c r="Y296" s="2217">
        <f t="shared" si="164"/>
        <v>38.19497957791441</v>
      </c>
      <c r="Z296" s="2217">
        <f t="shared" si="154"/>
        <v>5443.6486765780983</v>
      </c>
      <c r="AA296" s="2217">
        <f t="shared" si="155"/>
        <v>37.78242715871329</v>
      </c>
      <c r="AB296" s="2212">
        <v>39</v>
      </c>
      <c r="AC296" s="2219"/>
      <c r="AD296" s="2213"/>
      <c r="AE296" s="2219"/>
      <c r="AF296" s="2213"/>
      <c r="AG296" s="2213"/>
      <c r="AH296" s="2213"/>
      <c r="AI296" s="2213"/>
      <c r="AJ296" s="2213"/>
      <c r="AK296" s="2217">
        <f t="shared" si="165"/>
        <v>21.948535899667693</v>
      </c>
      <c r="AL296" s="2217">
        <f t="shared" si="146"/>
        <v>5443.6486765780983</v>
      </c>
      <c r="AM296" s="2217">
        <f t="shared" si="156"/>
        <v>37.78242715871329</v>
      </c>
      <c r="AN296" s="2212">
        <v>39</v>
      </c>
      <c r="AO296" s="2219"/>
      <c r="AP296" s="2213"/>
      <c r="AQ296" s="2219"/>
      <c r="AR296" s="2213"/>
      <c r="AS296" s="2213"/>
      <c r="AT296" s="2213"/>
      <c r="AU296" s="2213"/>
      <c r="AV296" s="2213"/>
      <c r="AW296" s="2217">
        <f t="shared" si="166"/>
        <v>24.973566366340766</v>
      </c>
      <c r="AX296" s="2217">
        <f t="shared" si="157"/>
        <v>4532.9265476686305</v>
      </c>
      <c r="AY296" s="2217">
        <f t="shared" si="147"/>
        <v>34.220345628623363</v>
      </c>
      <c r="AZ296" s="2212">
        <v>39</v>
      </c>
      <c r="BA296" s="2208"/>
      <c r="BB296" s="263"/>
      <c r="BC296" s="2208"/>
      <c r="BD296" s="263"/>
      <c r="BE296" s="263"/>
      <c r="BF296" s="263"/>
      <c r="BG296" s="263"/>
      <c r="BH296" s="2208"/>
      <c r="BI296" s="2217">
        <f t="shared" si="167"/>
        <v>35.581873511214013</v>
      </c>
      <c r="BJ296" s="2217">
        <f t="shared" si="158"/>
        <v>4532.9265476686305</v>
      </c>
      <c r="BK296" s="2217">
        <f t="shared" si="148"/>
        <v>34.220345628623363</v>
      </c>
      <c r="BL296" s="2212">
        <v>39</v>
      </c>
      <c r="BM296" s="2208"/>
      <c r="BN296" s="263"/>
      <c r="BO296" s="2208"/>
      <c r="BP296" s="263"/>
      <c r="BQ296" s="263"/>
      <c r="BR296" s="263"/>
      <c r="BS296" s="263"/>
      <c r="BT296" s="2208"/>
      <c r="BU296" s="2217">
        <f t="shared" si="168"/>
        <v>21.948535899667693</v>
      </c>
      <c r="BV296" s="2217">
        <f t="shared" si="149"/>
        <v>5443.6486765780983</v>
      </c>
      <c r="BW296" s="2217">
        <f t="shared" si="159"/>
        <v>37.78242715871329</v>
      </c>
      <c r="BX296" s="2212">
        <v>39</v>
      </c>
      <c r="BY296" s="2219"/>
      <c r="BZ296" s="2213"/>
      <c r="CA296" s="2219"/>
      <c r="CB296" s="2213"/>
      <c r="CC296" s="2213"/>
      <c r="CD296" s="2213"/>
      <c r="CE296" s="2213"/>
      <c r="CF296" s="2208"/>
      <c r="CG296" s="2217">
        <f t="shared" si="169"/>
        <v>26.482427158713289</v>
      </c>
      <c r="CH296" s="2217">
        <f t="shared" si="150"/>
        <v>5443.6486765780983</v>
      </c>
      <c r="CI296" s="2217">
        <f t="shared" si="160"/>
        <v>37.78242715871329</v>
      </c>
      <c r="CJ296" s="2212">
        <v>39</v>
      </c>
      <c r="CK296" s="2219"/>
      <c r="CL296" s="2213"/>
      <c r="CM296" s="2219"/>
      <c r="CN296" s="2213"/>
      <c r="CO296" s="2213"/>
      <c r="CP296" s="2213"/>
      <c r="CQ296" s="2213"/>
      <c r="CR296" s="2208"/>
      <c r="CS296" s="2217">
        <f t="shared" si="170"/>
        <v>34.897466598641543</v>
      </c>
      <c r="CT296" s="2217">
        <f t="shared" si="161"/>
        <v>4532.9265476686305</v>
      </c>
      <c r="CU296" s="2217">
        <f t="shared" si="151"/>
        <v>34.220345628623363</v>
      </c>
      <c r="CV296" s="2212">
        <v>39</v>
      </c>
      <c r="CW296" s="2208"/>
      <c r="CX296" s="263"/>
      <c r="CY296" s="2208"/>
      <c r="CZ296" s="263"/>
      <c r="DA296" s="263"/>
      <c r="DB296" s="263"/>
      <c r="DC296" s="263"/>
      <c r="DD296" s="2208"/>
    </row>
    <row r="297" spans="1:108">
      <c r="A297" s="2217">
        <f t="shared" si="162"/>
        <v>32.462658471022635</v>
      </c>
      <c r="B297" s="2217">
        <f t="shared" si="144"/>
        <v>5405.866249419385</v>
      </c>
      <c r="C297" s="2217">
        <f t="shared" si="152"/>
        <v>38.054485626976202</v>
      </c>
      <c r="D297" s="2212">
        <v>38</v>
      </c>
      <c r="E297" s="2219"/>
      <c r="F297" s="2213"/>
      <c r="G297" s="2219"/>
      <c r="H297" s="2213"/>
      <c r="I297" s="2213"/>
      <c r="J297" s="2213"/>
      <c r="K297" s="2213"/>
      <c r="L297" s="2213"/>
      <c r="M297" s="2217">
        <f t="shared" si="163"/>
        <v>35.126472464910961</v>
      </c>
      <c r="N297" s="2217">
        <f t="shared" si="145"/>
        <v>5405.866249419385</v>
      </c>
      <c r="O297" s="2217">
        <f t="shared" si="153"/>
        <v>38.054485626976202</v>
      </c>
      <c r="P297" s="2212">
        <v>38</v>
      </c>
      <c r="Q297" s="2219"/>
      <c r="R297" s="2213"/>
      <c r="S297" s="2219"/>
      <c r="T297" s="2213"/>
      <c r="U297" s="2213"/>
      <c r="V297" s="2213"/>
      <c r="W297" s="2213"/>
      <c r="X297" s="2213"/>
      <c r="Y297" s="2217">
        <f t="shared" si="164"/>
        <v>38.551376171338831</v>
      </c>
      <c r="Z297" s="2217">
        <f t="shared" si="154"/>
        <v>5405.866249419385</v>
      </c>
      <c r="AA297" s="2217">
        <f t="shared" si="155"/>
        <v>38.054485626976202</v>
      </c>
      <c r="AB297" s="2212">
        <v>38</v>
      </c>
      <c r="AC297" s="2219"/>
      <c r="AD297" s="2213"/>
      <c r="AE297" s="2219"/>
      <c r="AF297" s="2213"/>
      <c r="AG297" s="2213"/>
      <c r="AH297" s="2213"/>
      <c r="AI297" s="2213"/>
      <c r="AJ297" s="2213"/>
      <c r="AK297" s="2217">
        <f t="shared" si="165"/>
        <v>22.187947351739052</v>
      </c>
      <c r="AL297" s="2217">
        <f t="shared" si="146"/>
        <v>5405.866249419385</v>
      </c>
      <c r="AM297" s="2217">
        <f t="shared" si="156"/>
        <v>38.054485626976202</v>
      </c>
      <c r="AN297" s="2212">
        <v>38</v>
      </c>
      <c r="AO297" s="2219"/>
      <c r="AP297" s="2213"/>
      <c r="AQ297" s="2219"/>
      <c r="AR297" s="2213"/>
      <c r="AS297" s="2213"/>
      <c r="AT297" s="2213"/>
      <c r="AU297" s="2213"/>
      <c r="AV297" s="2213"/>
      <c r="AW297" s="2217">
        <f t="shared" si="166"/>
        <v>25.297249207726292</v>
      </c>
      <c r="AX297" s="2217">
        <f t="shared" si="157"/>
        <v>4498.7062020400072</v>
      </c>
      <c r="AY297" s="2217">
        <f t="shared" si="147"/>
        <v>34.525706799741783</v>
      </c>
      <c r="AZ297" s="2212">
        <v>38</v>
      </c>
      <c r="BA297" s="2208"/>
      <c r="BB297" s="263"/>
      <c r="BC297" s="2208"/>
      <c r="BD297" s="263"/>
      <c r="BE297" s="263"/>
      <c r="BF297" s="263"/>
      <c r="BG297" s="263"/>
      <c r="BH297" s="2208"/>
      <c r="BI297" s="2217">
        <f t="shared" si="167"/>
        <v>36.000218315646251</v>
      </c>
      <c r="BJ297" s="2217">
        <f t="shared" si="158"/>
        <v>4498.7062020400072</v>
      </c>
      <c r="BK297" s="2217">
        <f t="shared" si="148"/>
        <v>34.525706799741783</v>
      </c>
      <c r="BL297" s="2212">
        <v>38</v>
      </c>
      <c r="BM297" s="2208"/>
      <c r="BN297" s="263"/>
      <c r="BO297" s="2208"/>
      <c r="BP297" s="263"/>
      <c r="BQ297" s="263"/>
      <c r="BR297" s="263"/>
      <c r="BS297" s="263"/>
      <c r="BT297" s="2208"/>
      <c r="BU297" s="2217">
        <f t="shared" si="168"/>
        <v>22.187947351739052</v>
      </c>
      <c r="BV297" s="2217">
        <f t="shared" si="149"/>
        <v>5405.866249419385</v>
      </c>
      <c r="BW297" s="2217">
        <f t="shared" si="159"/>
        <v>38.054485626976202</v>
      </c>
      <c r="BX297" s="2212">
        <v>38</v>
      </c>
      <c r="BY297" s="2219"/>
      <c r="BZ297" s="2213"/>
      <c r="CA297" s="2219"/>
      <c r="CB297" s="2213"/>
      <c r="CC297" s="2213"/>
      <c r="CD297" s="2213"/>
      <c r="CE297" s="2213"/>
      <c r="CF297" s="2208"/>
      <c r="CG297" s="2217">
        <f t="shared" si="169"/>
        <v>26.754485626976201</v>
      </c>
      <c r="CH297" s="2217">
        <f t="shared" si="150"/>
        <v>5405.866249419385</v>
      </c>
      <c r="CI297" s="2217">
        <f t="shared" si="160"/>
        <v>38.054485626976202</v>
      </c>
      <c r="CJ297" s="2212">
        <v>38</v>
      </c>
      <c r="CK297" s="2219"/>
      <c r="CL297" s="2213"/>
      <c r="CM297" s="2219"/>
      <c r="CN297" s="2213"/>
      <c r="CO297" s="2213"/>
      <c r="CP297" s="2213"/>
      <c r="CQ297" s="2213"/>
      <c r="CR297" s="2208"/>
      <c r="CS297" s="2217">
        <f t="shared" si="170"/>
        <v>35.309704179651405</v>
      </c>
      <c r="CT297" s="2217">
        <f t="shared" si="161"/>
        <v>4498.7062020400072</v>
      </c>
      <c r="CU297" s="2217">
        <f t="shared" si="151"/>
        <v>34.525706799741783</v>
      </c>
      <c r="CV297" s="2212">
        <v>38</v>
      </c>
      <c r="CW297" s="2208"/>
      <c r="CX297" s="263"/>
      <c r="CY297" s="2208"/>
      <c r="CZ297" s="263"/>
      <c r="DA297" s="263"/>
      <c r="DB297" s="263"/>
      <c r="DC297" s="263"/>
      <c r="DD297" s="2208"/>
    </row>
    <row r="298" spans="1:108">
      <c r="A298" s="2217">
        <f t="shared" si="162"/>
        <v>32.776494617037997</v>
      </c>
      <c r="B298" s="2217">
        <f t="shared" si="144"/>
        <v>5367.8117637924088</v>
      </c>
      <c r="C298" s="2217">
        <f t="shared" si="152"/>
        <v>38.327386623511302</v>
      </c>
      <c r="D298" s="2212">
        <v>37</v>
      </c>
      <c r="E298" s="2219"/>
      <c r="F298" s="2213"/>
      <c r="G298" s="2219"/>
      <c r="H298" s="2213"/>
      <c r="I298" s="2213"/>
      <c r="J298" s="2213"/>
      <c r="K298" s="2213"/>
      <c r="L298" s="2213"/>
      <c r="M298" s="2217">
        <f t="shared" si="163"/>
        <v>35.459411680683786</v>
      </c>
      <c r="N298" s="2217">
        <f t="shared" si="145"/>
        <v>5367.8117637924088</v>
      </c>
      <c r="O298" s="2217">
        <f t="shared" si="153"/>
        <v>38.327386623511302</v>
      </c>
      <c r="P298" s="2212">
        <v>37</v>
      </c>
      <c r="Q298" s="2219"/>
      <c r="R298" s="2213"/>
      <c r="S298" s="2219"/>
      <c r="T298" s="2213"/>
      <c r="U298" s="2213"/>
      <c r="V298" s="2213"/>
      <c r="W298" s="2213"/>
      <c r="X298" s="2213"/>
      <c r="Y298" s="2217">
        <f t="shared" si="164"/>
        <v>38.908876476799804</v>
      </c>
      <c r="Z298" s="2217">
        <f t="shared" si="154"/>
        <v>5367.8117637924088</v>
      </c>
      <c r="AA298" s="2217">
        <f t="shared" si="155"/>
        <v>38.327386623511302</v>
      </c>
      <c r="AB298" s="2212">
        <v>37</v>
      </c>
      <c r="AC298" s="2219"/>
      <c r="AD298" s="2213"/>
      <c r="AE298" s="2219"/>
      <c r="AF298" s="2213"/>
      <c r="AG298" s="2213"/>
      <c r="AH298" s="2213"/>
      <c r="AI298" s="2213"/>
      <c r="AJ298" s="2213"/>
      <c r="AK298" s="2217">
        <f t="shared" si="165"/>
        <v>22.428100228689939</v>
      </c>
      <c r="AL298" s="2217">
        <f t="shared" si="146"/>
        <v>5367.8117637924088</v>
      </c>
      <c r="AM298" s="2217">
        <f t="shared" si="156"/>
        <v>38.327386623511302</v>
      </c>
      <c r="AN298" s="2212">
        <v>37</v>
      </c>
      <c r="AO298" s="2219"/>
      <c r="AP298" s="2213"/>
      <c r="AQ298" s="2219"/>
      <c r="AR298" s="2213"/>
      <c r="AS298" s="2213"/>
      <c r="AT298" s="2213"/>
      <c r="AU298" s="2213"/>
      <c r="AV298" s="2213"/>
      <c r="AW298" s="2217">
        <f t="shared" si="166"/>
        <v>25.62076676913777</v>
      </c>
      <c r="AX298" s="2217">
        <f t="shared" si="157"/>
        <v>4464.1804952402654</v>
      </c>
      <c r="AY298" s="2217">
        <f t="shared" si="147"/>
        <v>34.830912046356389</v>
      </c>
      <c r="AZ298" s="2212">
        <v>37</v>
      </c>
      <c r="BA298" s="2208"/>
      <c r="BB298" s="263"/>
      <c r="BC298" s="2208"/>
      <c r="BD298" s="263"/>
      <c r="BE298" s="263"/>
      <c r="BF298" s="263"/>
      <c r="BG298" s="263"/>
      <c r="BH298" s="2208"/>
      <c r="BI298" s="2217">
        <f t="shared" si="167"/>
        <v>36.418349503508253</v>
      </c>
      <c r="BJ298" s="2217">
        <f t="shared" si="158"/>
        <v>4464.1804952402654</v>
      </c>
      <c r="BK298" s="2217">
        <f t="shared" si="148"/>
        <v>34.830912046356389</v>
      </c>
      <c r="BL298" s="2212">
        <v>37</v>
      </c>
      <c r="BM298" s="2208"/>
      <c r="BN298" s="263"/>
      <c r="BO298" s="2208"/>
      <c r="BP298" s="263"/>
      <c r="BQ298" s="263"/>
      <c r="BR298" s="263"/>
      <c r="BS298" s="263"/>
      <c r="BT298" s="2208"/>
      <c r="BU298" s="2217">
        <f t="shared" si="168"/>
        <v>22.428100228689939</v>
      </c>
      <c r="BV298" s="2217">
        <f t="shared" si="149"/>
        <v>5367.8117637924088</v>
      </c>
      <c r="BW298" s="2217">
        <f t="shared" si="159"/>
        <v>38.327386623511302</v>
      </c>
      <c r="BX298" s="2212">
        <v>37</v>
      </c>
      <c r="BY298" s="2219"/>
      <c r="BZ298" s="2213"/>
      <c r="CA298" s="2219"/>
      <c r="CB298" s="2213"/>
      <c r="CC298" s="2213"/>
      <c r="CD298" s="2213"/>
      <c r="CE298" s="2213"/>
      <c r="CF298" s="2208"/>
      <c r="CG298" s="2217">
        <f t="shared" si="169"/>
        <v>27.027386623511301</v>
      </c>
      <c r="CH298" s="2217">
        <f t="shared" si="150"/>
        <v>5367.8117637924088</v>
      </c>
      <c r="CI298" s="2217">
        <f t="shared" si="160"/>
        <v>38.327386623511302</v>
      </c>
      <c r="CJ298" s="2212">
        <v>37</v>
      </c>
      <c r="CK298" s="2219"/>
      <c r="CL298" s="2213"/>
      <c r="CM298" s="2219"/>
      <c r="CN298" s="2213"/>
      <c r="CO298" s="2213"/>
      <c r="CP298" s="2213"/>
      <c r="CQ298" s="2213"/>
      <c r="CR298" s="2208"/>
      <c r="CS298" s="2217">
        <f t="shared" si="170"/>
        <v>35.72173126258113</v>
      </c>
      <c r="CT298" s="2217">
        <f t="shared" si="161"/>
        <v>4464.1804952402654</v>
      </c>
      <c r="CU298" s="2217">
        <f t="shared" si="151"/>
        <v>34.830912046356389</v>
      </c>
      <c r="CV298" s="2212">
        <v>37</v>
      </c>
      <c r="CW298" s="2208"/>
      <c r="CX298" s="263"/>
      <c r="CY298" s="2208"/>
      <c r="CZ298" s="263"/>
      <c r="DA298" s="263"/>
      <c r="DB298" s="263"/>
      <c r="DC298" s="263"/>
      <c r="DD298" s="2208"/>
    </row>
    <row r="299" spans="1:108">
      <c r="A299" s="2217">
        <f t="shared" si="162"/>
        <v>33.091299670561142</v>
      </c>
      <c r="B299" s="2217">
        <f t="shared" si="144"/>
        <v>5329.4843771688975</v>
      </c>
      <c r="C299" s="2217">
        <f t="shared" si="152"/>
        <v>38.601130148314041</v>
      </c>
      <c r="D299" s="2212">
        <v>36</v>
      </c>
      <c r="E299" s="2219"/>
      <c r="F299" s="2213"/>
      <c r="G299" s="2219"/>
      <c r="H299" s="2213"/>
      <c r="I299" s="2213"/>
      <c r="J299" s="2213"/>
      <c r="K299" s="2213"/>
      <c r="L299" s="2213"/>
      <c r="M299" s="2217">
        <f t="shared" si="163"/>
        <v>35.793378780943129</v>
      </c>
      <c r="N299" s="2217">
        <f t="shared" si="145"/>
        <v>5329.4843771688975</v>
      </c>
      <c r="O299" s="2217">
        <f t="shared" si="153"/>
        <v>38.601130148314041</v>
      </c>
      <c r="P299" s="2212">
        <v>36</v>
      </c>
      <c r="Q299" s="2219"/>
      <c r="R299" s="2213"/>
      <c r="S299" s="2219"/>
      <c r="T299" s="2213"/>
      <c r="U299" s="2213"/>
      <c r="V299" s="2213"/>
      <c r="W299" s="2213"/>
      <c r="X299" s="2213"/>
      <c r="Y299" s="2217">
        <f t="shared" si="164"/>
        <v>39.267480494291391</v>
      </c>
      <c r="Z299" s="2217">
        <f t="shared" si="154"/>
        <v>5329.4843771688975</v>
      </c>
      <c r="AA299" s="2217">
        <f t="shared" si="155"/>
        <v>38.601130148314041</v>
      </c>
      <c r="AB299" s="2212">
        <v>36</v>
      </c>
      <c r="AC299" s="2219"/>
      <c r="AD299" s="2213"/>
      <c r="AE299" s="2219"/>
      <c r="AF299" s="2213"/>
      <c r="AG299" s="2213"/>
      <c r="AH299" s="2213"/>
      <c r="AI299" s="2213"/>
      <c r="AJ299" s="2213"/>
      <c r="AK299" s="2217">
        <f t="shared" si="165"/>
        <v>22.668994530516354</v>
      </c>
      <c r="AL299" s="2217">
        <f t="shared" si="146"/>
        <v>5329.4843771688975</v>
      </c>
      <c r="AM299" s="2217">
        <f t="shared" si="156"/>
        <v>38.601130148314041</v>
      </c>
      <c r="AN299" s="2212">
        <v>36</v>
      </c>
      <c r="AO299" s="2219"/>
      <c r="AP299" s="2213"/>
      <c r="AQ299" s="2219"/>
      <c r="AR299" s="2213"/>
      <c r="AS299" s="2213"/>
      <c r="AT299" s="2213"/>
      <c r="AU299" s="2213"/>
      <c r="AV299" s="2213"/>
      <c r="AW299" s="2217">
        <f t="shared" si="166"/>
        <v>25.94411905058389</v>
      </c>
      <c r="AX299" s="2217">
        <f t="shared" si="157"/>
        <v>4429.349583193909</v>
      </c>
      <c r="AY299" s="2217">
        <f t="shared" si="147"/>
        <v>35.135961368475364</v>
      </c>
      <c r="AZ299" s="2212">
        <v>36</v>
      </c>
      <c r="BA299" s="2208"/>
      <c r="BB299" s="263"/>
      <c r="BC299" s="2208"/>
      <c r="BD299" s="263"/>
      <c r="BE299" s="263"/>
      <c r="BF299" s="263"/>
      <c r="BG299" s="263"/>
      <c r="BH299" s="2208"/>
      <c r="BI299" s="2217">
        <f t="shared" si="167"/>
        <v>36.836267074811246</v>
      </c>
      <c r="BJ299" s="2217">
        <f t="shared" si="158"/>
        <v>4429.349583193909</v>
      </c>
      <c r="BK299" s="2217">
        <f t="shared" si="148"/>
        <v>35.135961368475364</v>
      </c>
      <c r="BL299" s="2212">
        <v>36</v>
      </c>
      <c r="BM299" s="2208"/>
      <c r="BN299" s="263"/>
      <c r="BO299" s="2208"/>
      <c r="BP299" s="263"/>
      <c r="BQ299" s="263"/>
      <c r="BR299" s="263"/>
      <c r="BS299" s="263"/>
      <c r="BT299" s="2208"/>
      <c r="BU299" s="2217">
        <f t="shared" si="168"/>
        <v>22.668994530516354</v>
      </c>
      <c r="BV299" s="2217">
        <f t="shared" si="149"/>
        <v>5329.4843771688975</v>
      </c>
      <c r="BW299" s="2217">
        <f t="shared" si="159"/>
        <v>38.601130148314041</v>
      </c>
      <c r="BX299" s="2212">
        <v>36</v>
      </c>
      <c r="BY299" s="2219"/>
      <c r="BZ299" s="2213"/>
      <c r="CA299" s="2219"/>
      <c r="CB299" s="2213"/>
      <c r="CC299" s="2213"/>
      <c r="CD299" s="2213"/>
      <c r="CE299" s="2213"/>
      <c r="CF299" s="2208"/>
      <c r="CG299" s="2217">
        <f t="shared" si="169"/>
        <v>27.301130148314041</v>
      </c>
      <c r="CH299" s="2217">
        <f t="shared" si="150"/>
        <v>5329.4843771688975</v>
      </c>
      <c r="CI299" s="2217">
        <f t="shared" si="160"/>
        <v>38.601130148314041</v>
      </c>
      <c r="CJ299" s="2212">
        <v>36</v>
      </c>
      <c r="CK299" s="2219"/>
      <c r="CL299" s="2213"/>
      <c r="CM299" s="2219"/>
      <c r="CN299" s="2213"/>
      <c r="CO299" s="2213"/>
      <c r="CP299" s="2213"/>
      <c r="CQ299" s="2213"/>
      <c r="CR299" s="2208"/>
      <c r="CS299" s="2217">
        <f t="shared" si="170"/>
        <v>36.133547847441747</v>
      </c>
      <c r="CT299" s="2217">
        <f t="shared" si="161"/>
        <v>4429.349583193909</v>
      </c>
      <c r="CU299" s="2217">
        <f t="shared" si="151"/>
        <v>35.135961368475364</v>
      </c>
      <c r="CV299" s="2212">
        <v>36</v>
      </c>
      <c r="CW299" s="2208"/>
      <c r="CX299" s="263"/>
      <c r="CY299" s="2208"/>
      <c r="CZ299" s="263"/>
      <c r="DA299" s="263"/>
      <c r="DB299" s="263"/>
      <c r="DC299" s="263"/>
      <c r="DD299" s="2208"/>
    </row>
    <row r="300" spans="1:108">
      <c r="A300" s="2217">
        <f t="shared" si="162"/>
        <v>33.407073631594173</v>
      </c>
      <c r="B300" s="2217">
        <f t="shared" si="144"/>
        <v>5290.8832470205834</v>
      </c>
      <c r="C300" s="2217">
        <f t="shared" si="152"/>
        <v>38.87571620138624</v>
      </c>
      <c r="D300" s="2212">
        <v>35</v>
      </c>
      <c r="E300" s="2219"/>
      <c r="F300" s="2213"/>
      <c r="G300" s="2219"/>
      <c r="H300" s="2213"/>
      <c r="I300" s="2213"/>
      <c r="J300" s="2213"/>
      <c r="K300" s="2213"/>
      <c r="L300" s="2213"/>
      <c r="M300" s="2217">
        <f t="shared" si="163"/>
        <v>36.128373765691208</v>
      </c>
      <c r="N300" s="2217">
        <f t="shared" si="145"/>
        <v>5290.8832470205834</v>
      </c>
      <c r="O300" s="2217">
        <f t="shared" si="153"/>
        <v>38.87571620138624</v>
      </c>
      <c r="P300" s="2212">
        <v>35</v>
      </c>
      <c r="Q300" s="2219"/>
      <c r="R300" s="2213"/>
      <c r="S300" s="2219"/>
      <c r="T300" s="2213"/>
      <c r="U300" s="2213"/>
      <c r="V300" s="2213"/>
      <c r="W300" s="2213"/>
      <c r="X300" s="2213"/>
      <c r="Y300" s="2217">
        <f t="shared" si="164"/>
        <v>39.627188223815978</v>
      </c>
      <c r="Z300" s="2217">
        <f t="shared" si="154"/>
        <v>5290.8832470205834</v>
      </c>
      <c r="AA300" s="2217">
        <f t="shared" si="155"/>
        <v>38.87571620138624</v>
      </c>
      <c r="AB300" s="2212">
        <v>35</v>
      </c>
      <c r="AC300" s="2219"/>
      <c r="AD300" s="2213"/>
      <c r="AE300" s="2219"/>
      <c r="AF300" s="2213"/>
      <c r="AG300" s="2213"/>
      <c r="AH300" s="2213"/>
      <c r="AI300" s="2213"/>
      <c r="AJ300" s="2213"/>
      <c r="AK300" s="2217">
        <f t="shared" si="165"/>
        <v>22.910630257219889</v>
      </c>
      <c r="AL300" s="2217">
        <f t="shared" si="146"/>
        <v>5290.8832470205834</v>
      </c>
      <c r="AM300" s="2217">
        <f t="shared" si="156"/>
        <v>38.87571620138624</v>
      </c>
      <c r="AN300" s="2212">
        <v>35</v>
      </c>
      <c r="AO300" s="2219"/>
      <c r="AP300" s="2213"/>
      <c r="AQ300" s="2219"/>
      <c r="AR300" s="2213"/>
      <c r="AS300" s="2213"/>
      <c r="AT300" s="2213"/>
      <c r="AU300" s="2213"/>
      <c r="AV300" s="2213"/>
      <c r="AW300" s="2217">
        <f t="shared" si="166"/>
        <v>26.267306052054995</v>
      </c>
      <c r="AX300" s="2217">
        <f t="shared" si="157"/>
        <v>4394.2136218254336</v>
      </c>
      <c r="AY300" s="2217">
        <f t="shared" si="147"/>
        <v>35.440854766089615</v>
      </c>
      <c r="AZ300" s="2212">
        <v>35</v>
      </c>
      <c r="BA300" s="2208"/>
      <c r="BB300" s="263"/>
      <c r="BC300" s="2208"/>
      <c r="BD300" s="263"/>
      <c r="BE300" s="263"/>
      <c r="BF300" s="263"/>
      <c r="BG300" s="263"/>
      <c r="BH300" s="2208"/>
      <c r="BI300" s="2217">
        <f t="shared" si="167"/>
        <v>37.253971029542768</v>
      </c>
      <c r="BJ300" s="2217">
        <f t="shared" si="158"/>
        <v>4394.2136218254336</v>
      </c>
      <c r="BK300" s="2217">
        <f t="shared" si="148"/>
        <v>35.440854766089615</v>
      </c>
      <c r="BL300" s="2212">
        <v>35</v>
      </c>
      <c r="BM300" s="2208"/>
      <c r="BN300" s="263"/>
      <c r="BO300" s="2208"/>
      <c r="BP300" s="263"/>
      <c r="BQ300" s="263"/>
      <c r="BR300" s="263"/>
      <c r="BS300" s="263"/>
      <c r="BT300" s="2208"/>
      <c r="BU300" s="2217">
        <f t="shared" si="168"/>
        <v>22.910630257219889</v>
      </c>
      <c r="BV300" s="2217">
        <f t="shared" si="149"/>
        <v>5290.8832470205834</v>
      </c>
      <c r="BW300" s="2217">
        <f t="shared" si="159"/>
        <v>38.87571620138624</v>
      </c>
      <c r="BX300" s="2212">
        <v>35</v>
      </c>
      <c r="BY300" s="2219"/>
      <c r="BZ300" s="2213"/>
      <c r="CA300" s="2219"/>
      <c r="CB300" s="2213"/>
      <c r="CC300" s="2213"/>
      <c r="CD300" s="2213"/>
      <c r="CE300" s="2213"/>
      <c r="CF300" s="2208"/>
      <c r="CG300" s="2217">
        <f t="shared" si="169"/>
        <v>27.575716201386239</v>
      </c>
      <c r="CH300" s="2217">
        <f t="shared" si="150"/>
        <v>5290.8832470205834</v>
      </c>
      <c r="CI300" s="2217">
        <f t="shared" si="160"/>
        <v>38.87571620138624</v>
      </c>
      <c r="CJ300" s="2212">
        <v>35</v>
      </c>
      <c r="CK300" s="2219"/>
      <c r="CL300" s="2213"/>
      <c r="CM300" s="2219"/>
      <c r="CN300" s="2213"/>
      <c r="CO300" s="2213"/>
      <c r="CP300" s="2213"/>
      <c r="CQ300" s="2213"/>
      <c r="CR300" s="2208"/>
      <c r="CS300" s="2217">
        <f t="shared" si="170"/>
        <v>36.545153934220977</v>
      </c>
      <c r="CT300" s="2217">
        <f t="shared" si="161"/>
        <v>4394.2136218254336</v>
      </c>
      <c r="CU300" s="2217">
        <f t="shared" si="151"/>
        <v>35.440854766089615</v>
      </c>
      <c r="CV300" s="2212">
        <v>35</v>
      </c>
      <c r="CW300" s="2208"/>
      <c r="CX300" s="263"/>
      <c r="CY300" s="2208"/>
      <c r="CZ300" s="263"/>
      <c r="DA300" s="263"/>
      <c r="DB300" s="263"/>
      <c r="DC300" s="263"/>
      <c r="DD300" s="2208"/>
    </row>
    <row r="301" spans="1:108">
      <c r="A301" s="2217">
        <f t="shared" si="162"/>
        <v>33.723816500140217</v>
      </c>
      <c r="B301" s="2217">
        <f t="shared" si="144"/>
        <v>5252.0075308191972</v>
      </c>
      <c r="C301" s="2217">
        <f t="shared" si="152"/>
        <v>39.151144782730626</v>
      </c>
      <c r="D301" s="2212">
        <v>34</v>
      </c>
      <c r="E301" s="2219"/>
      <c r="F301" s="2213"/>
      <c r="G301" s="2219"/>
      <c r="H301" s="2213"/>
      <c r="I301" s="2213"/>
      <c r="J301" s="2213"/>
      <c r="K301" s="2213"/>
      <c r="L301" s="2213"/>
      <c r="M301" s="2217">
        <f t="shared" si="163"/>
        <v>36.464396634931362</v>
      </c>
      <c r="N301" s="2217">
        <f t="shared" si="145"/>
        <v>5252.0075308191972</v>
      </c>
      <c r="O301" s="2217">
        <f t="shared" si="153"/>
        <v>39.151144782730626</v>
      </c>
      <c r="P301" s="2212">
        <v>34</v>
      </c>
      <c r="Q301" s="2219"/>
      <c r="R301" s="2213"/>
      <c r="S301" s="2219"/>
      <c r="T301" s="2213"/>
      <c r="U301" s="2213"/>
      <c r="V301" s="2213"/>
      <c r="W301" s="2213"/>
      <c r="X301" s="2213"/>
      <c r="Y301" s="2217">
        <f t="shared" si="164"/>
        <v>39.987999665377117</v>
      </c>
      <c r="Z301" s="2217">
        <f t="shared" si="154"/>
        <v>5252.0075308191972</v>
      </c>
      <c r="AA301" s="2217">
        <f t="shared" si="155"/>
        <v>39.151144782730626</v>
      </c>
      <c r="AB301" s="2212">
        <v>34</v>
      </c>
      <c r="AC301" s="2219"/>
      <c r="AD301" s="2213"/>
      <c r="AE301" s="2219"/>
      <c r="AF301" s="2213"/>
      <c r="AG301" s="2213"/>
      <c r="AH301" s="2213"/>
      <c r="AI301" s="2213"/>
      <c r="AJ301" s="2213"/>
      <c r="AK301" s="2217">
        <f t="shared" si="165"/>
        <v>23.153007408802946</v>
      </c>
      <c r="AL301" s="2217">
        <f t="shared" si="146"/>
        <v>5252.0075308191972</v>
      </c>
      <c r="AM301" s="2217">
        <f t="shared" si="156"/>
        <v>39.151144782730626</v>
      </c>
      <c r="AN301" s="2212">
        <v>34</v>
      </c>
      <c r="AO301" s="2219"/>
      <c r="AP301" s="2213"/>
      <c r="AQ301" s="2219"/>
      <c r="AR301" s="2213"/>
      <c r="AS301" s="2213"/>
      <c r="AT301" s="2213"/>
      <c r="AU301" s="2213"/>
      <c r="AV301" s="2213"/>
      <c r="AW301" s="2217">
        <f t="shared" si="166"/>
        <v>26.590327773557842</v>
      </c>
      <c r="AX301" s="2217">
        <f t="shared" si="157"/>
        <v>4358.772767059344</v>
      </c>
      <c r="AY301" s="2217">
        <f t="shared" si="147"/>
        <v>35.745592239205507</v>
      </c>
      <c r="AZ301" s="2212">
        <v>34</v>
      </c>
      <c r="BA301" s="2208"/>
      <c r="BB301" s="263"/>
      <c r="BC301" s="2208"/>
      <c r="BD301" s="263"/>
      <c r="BE301" s="263"/>
      <c r="BF301" s="263"/>
      <c r="BG301" s="263"/>
      <c r="BH301" s="2208"/>
      <c r="BI301" s="2217">
        <f t="shared" si="167"/>
        <v>37.671461367711544</v>
      </c>
      <c r="BJ301" s="2217">
        <f t="shared" si="158"/>
        <v>4358.772767059344</v>
      </c>
      <c r="BK301" s="2217">
        <f t="shared" si="148"/>
        <v>35.745592239205507</v>
      </c>
      <c r="BL301" s="2212">
        <v>34</v>
      </c>
      <c r="BM301" s="2208"/>
      <c r="BN301" s="263"/>
      <c r="BO301" s="2208"/>
      <c r="BP301" s="263"/>
      <c r="BQ301" s="263"/>
      <c r="BR301" s="263"/>
      <c r="BS301" s="263"/>
      <c r="BT301" s="2208"/>
      <c r="BU301" s="2217">
        <f t="shared" si="168"/>
        <v>23.153007408802946</v>
      </c>
      <c r="BV301" s="2217">
        <f t="shared" si="149"/>
        <v>5252.0075308191972</v>
      </c>
      <c r="BW301" s="2217">
        <f t="shared" si="159"/>
        <v>39.151144782730626</v>
      </c>
      <c r="BX301" s="2212">
        <v>34</v>
      </c>
      <c r="BY301" s="2219"/>
      <c r="BZ301" s="2213"/>
      <c r="CA301" s="2219"/>
      <c r="CB301" s="2213"/>
      <c r="CC301" s="2213"/>
      <c r="CD301" s="2213"/>
      <c r="CE301" s="2213"/>
      <c r="CF301" s="2208"/>
      <c r="CG301" s="2217">
        <f t="shared" si="169"/>
        <v>27.851144782730625</v>
      </c>
      <c r="CH301" s="2217">
        <f t="shared" si="150"/>
        <v>5252.0075308191972</v>
      </c>
      <c r="CI301" s="2217">
        <f t="shared" si="160"/>
        <v>39.151144782730626</v>
      </c>
      <c r="CJ301" s="2212">
        <v>34</v>
      </c>
      <c r="CK301" s="2219"/>
      <c r="CL301" s="2213"/>
      <c r="CM301" s="2219"/>
      <c r="CN301" s="2213"/>
      <c r="CO301" s="2213"/>
      <c r="CP301" s="2213"/>
      <c r="CQ301" s="2213"/>
      <c r="CR301" s="2208"/>
      <c r="CS301" s="2217">
        <f t="shared" si="170"/>
        <v>36.956549522927432</v>
      </c>
      <c r="CT301" s="2217">
        <f t="shared" si="161"/>
        <v>4358.772767059344</v>
      </c>
      <c r="CU301" s="2217">
        <f t="shared" si="151"/>
        <v>35.745592239205507</v>
      </c>
      <c r="CV301" s="2212">
        <v>34</v>
      </c>
      <c r="CW301" s="2208"/>
      <c r="CX301" s="263"/>
      <c r="CY301" s="2208"/>
      <c r="CZ301" s="263"/>
      <c r="DA301" s="263"/>
      <c r="DB301" s="263"/>
      <c r="DC301" s="263"/>
      <c r="DD301" s="2208"/>
    </row>
    <row r="302" spans="1:108">
      <c r="A302" s="2217">
        <f t="shared" si="162"/>
        <v>34.041528276193006</v>
      </c>
      <c r="B302" s="2217">
        <f t="shared" si="144"/>
        <v>5212.8563860364666</v>
      </c>
      <c r="C302" s="2217">
        <f t="shared" si="152"/>
        <v>39.427415892341742</v>
      </c>
      <c r="D302" s="2212">
        <v>33</v>
      </c>
      <c r="E302" s="2219"/>
      <c r="F302" s="2213"/>
      <c r="G302" s="2219"/>
      <c r="H302" s="2213"/>
      <c r="I302" s="2213"/>
      <c r="J302" s="2213"/>
      <c r="K302" s="2213"/>
      <c r="L302" s="2213"/>
      <c r="M302" s="2217">
        <f t="shared" si="163"/>
        <v>36.801447388656925</v>
      </c>
      <c r="N302" s="2217">
        <f t="shared" si="145"/>
        <v>5212.8563860364666</v>
      </c>
      <c r="O302" s="2217">
        <f t="shared" si="153"/>
        <v>39.427415892341742</v>
      </c>
      <c r="P302" s="2212">
        <v>33</v>
      </c>
      <c r="Q302" s="2219"/>
      <c r="R302" s="2213"/>
      <c r="S302" s="2219"/>
      <c r="T302" s="2213"/>
      <c r="U302" s="2213"/>
      <c r="V302" s="2213"/>
      <c r="W302" s="2213"/>
      <c r="X302" s="2213"/>
      <c r="Y302" s="2217">
        <f t="shared" si="164"/>
        <v>40.349914818967676</v>
      </c>
      <c r="Z302" s="2217">
        <f t="shared" si="154"/>
        <v>5212.8563860364666</v>
      </c>
      <c r="AA302" s="2217">
        <f t="shared" si="155"/>
        <v>39.427415892341742</v>
      </c>
      <c r="AB302" s="2212">
        <v>33</v>
      </c>
      <c r="AC302" s="2219"/>
      <c r="AD302" s="2213"/>
      <c r="AE302" s="2219"/>
      <c r="AF302" s="2213"/>
      <c r="AG302" s="2213"/>
      <c r="AH302" s="2213"/>
      <c r="AI302" s="2213"/>
      <c r="AJ302" s="2213"/>
      <c r="AK302" s="2217">
        <f t="shared" si="165"/>
        <v>23.396125985260728</v>
      </c>
      <c r="AL302" s="2217">
        <f t="shared" si="146"/>
        <v>5212.8563860364666</v>
      </c>
      <c r="AM302" s="2217">
        <f t="shared" si="156"/>
        <v>39.427415892341742</v>
      </c>
      <c r="AN302" s="2212">
        <v>33</v>
      </c>
      <c r="AO302" s="2219"/>
      <c r="AP302" s="2213"/>
      <c r="AQ302" s="2219"/>
      <c r="AR302" s="2213"/>
      <c r="AS302" s="2213"/>
      <c r="AT302" s="2213"/>
      <c r="AU302" s="2213"/>
      <c r="AV302" s="2213"/>
      <c r="AW302" s="2217">
        <f t="shared" si="166"/>
        <v>26.913184215090499</v>
      </c>
      <c r="AX302" s="2217">
        <f t="shared" si="157"/>
        <v>4323.0271748201385</v>
      </c>
      <c r="AY302" s="2217">
        <f t="shared" si="147"/>
        <v>36.050173787821223</v>
      </c>
      <c r="AZ302" s="2212">
        <v>33</v>
      </c>
      <c r="BA302" s="2208"/>
      <c r="BB302" s="263"/>
      <c r="BC302" s="2208"/>
      <c r="BD302" s="263"/>
      <c r="BE302" s="263"/>
      <c r="BF302" s="263"/>
      <c r="BG302" s="263"/>
      <c r="BH302" s="2208"/>
      <c r="BI302" s="2217">
        <f t="shared" si="167"/>
        <v>38.088738089315072</v>
      </c>
      <c r="BJ302" s="2217">
        <f t="shared" si="158"/>
        <v>4323.0271748201385</v>
      </c>
      <c r="BK302" s="2217">
        <f t="shared" si="148"/>
        <v>36.050173787821223</v>
      </c>
      <c r="BL302" s="2212">
        <v>33</v>
      </c>
      <c r="BM302" s="2208"/>
      <c r="BN302" s="263"/>
      <c r="BO302" s="2208"/>
      <c r="BP302" s="263"/>
      <c r="BQ302" s="263"/>
      <c r="BR302" s="263"/>
      <c r="BS302" s="263"/>
      <c r="BT302" s="2208"/>
      <c r="BU302" s="2217">
        <f t="shared" si="168"/>
        <v>23.396125985260728</v>
      </c>
      <c r="BV302" s="2217">
        <f t="shared" si="149"/>
        <v>5212.8563860364666</v>
      </c>
      <c r="BW302" s="2217">
        <f t="shared" si="159"/>
        <v>39.427415892341742</v>
      </c>
      <c r="BX302" s="2212">
        <v>33</v>
      </c>
      <c r="BY302" s="2219"/>
      <c r="BZ302" s="2213"/>
      <c r="CA302" s="2219"/>
      <c r="CB302" s="2213"/>
      <c r="CC302" s="2213"/>
      <c r="CD302" s="2213"/>
      <c r="CE302" s="2213"/>
      <c r="CF302" s="2208"/>
      <c r="CG302" s="2217">
        <f t="shared" si="169"/>
        <v>28.127415892341741</v>
      </c>
      <c r="CH302" s="2217">
        <f t="shared" si="150"/>
        <v>5212.8563860364666</v>
      </c>
      <c r="CI302" s="2217">
        <f t="shared" si="160"/>
        <v>39.427415892341742</v>
      </c>
      <c r="CJ302" s="2212">
        <v>33</v>
      </c>
      <c r="CK302" s="2219"/>
      <c r="CL302" s="2213"/>
      <c r="CM302" s="2219"/>
      <c r="CN302" s="2213"/>
      <c r="CO302" s="2213"/>
      <c r="CP302" s="2213"/>
      <c r="CQ302" s="2213"/>
      <c r="CR302" s="2208"/>
      <c r="CS302" s="2217">
        <f t="shared" si="170"/>
        <v>37.367734613558653</v>
      </c>
      <c r="CT302" s="2217">
        <f t="shared" si="161"/>
        <v>4323.0271748201385</v>
      </c>
      <c r="CU302" s="2217">
        <f t="shared" si="151"/>
        <v>36.050173787821223</v>
      </c>
      <c r="CV302" s="2212">
        <v>33</v>
      </c>
      <c r="CW302" s="2208"/>
      <c r="CX302" s="263"/>
      <c r="CY302" s="2208"/>
      <c r="CZ302" s="263"/>
      <c r="DA302" s="263"/>
      <c r="DB302" s="263"/>
      <c r="DC302" s="263"/>
      <c r="DD302" s="2208"/>
    </row>
    <row r="303" spans="1:108">
      <c r="A303" s="2217">
        <f t="shared" si="162"/>
        <v>34.360208959758793</v>
      </c>
      <c r="B303" s="2217">
        <f t="shared" si="144"/>
        <v>5173.4289701441248</v>
      </c>
      <c r="C303" s="2217">
        <f t="shared" si="152"/>
        <v>39.704529530225045</v>
      </c>
      <c r="D303" s="2212">
        <v>32</v>
      </c>
      <c r="E303" s="2219"/>
      <c r="F303" s="2213"/>
      <c r="G303" s="2219"/>
      <c r="H303" s="2213"/>
      <c r="I303" s="2213"/>
      <c r="J303" s="2213"/>
      <c r="K303" s="2213"/>
      <c r="L303" s="2213"/>
      <c r="M303" s="2217">
        <f t="shared" si="163"/>
        <v>37.139526026874549</v>
      </c>
      <c r="N303" s="2217">
        <f t="shared" si="145"/>
        <v>5173.4289701441248</v>
      </c>
      <c r="O303" s="2217">
        <f t="shared" si="153"/>
        <v>39.704529530225045</v>
      </c>
      <c r="P303" s="2212">
        <v>32</v>
      </c>
      <c r="Q303" s="2219"/>
      <c r="R303" s="2213"/>
      <c r="S303" s="2219"/>
      <c r="T303" s="2213"/>
      <c r="U303" s="2213"/>
      <c r="V303" s="2213"/>
      <c r="W303" s="2213"/>
      <c r="X303" s="2213"/>
      <c r="Y303" s="2217">
        <f t="shared" si="164"/>
        <v>40.712933684594816</v>
      </c>
      <c r="Z303" s="2217">
        <f t="shared" si="154"/>
        <v>5173.4289701441248</v>
      </c>
      <c r="AA303" s="2217">
        <f t="shared" si="155"/>
        <v>39.704529530225045</v>
      </c>
      <c r="AB303" s="2212">
        <v>32</v>
      </c>
      <c r="AC303" s="2219"/>
      <c r="AD303" s="2213"/>
      <c r="AE303" s="2219"/>
      <c r="AF303" s="2213"/>
      <c r="AG303" s="2213"/>
      <c r="AH303" s="2213"/>
      <c r="AI303" s="2213"/>
      <c r="AJ303" s="2213"/>
      <c r="AK303" s="2217">
        <f t="shared" si="165"/>
        <v>23.639985986598038</v>
      </c>
      <c r="AL303" s="2217">
        <f t="shared" si="146"/>
        <v>5173.4289701441248</v>
      </c>
      <c r="AM303" s="2217">
        <f t="shared" si="156"/>
        <v>39.704529530225045</v>
      </c>
      <c r="AN303" s="2212">
        <v>32</v>
      </c>
      <c r="AO303" s="2219"/>
      <c r="AP303" s="2213"/>
      <c r="AQ303" s="2219"/>
      <c r="AR303" s="2213"/>
      <c r="AS303" s="2213"/>
      <c r="AT303" s="2213"/>
      <c r="AU303" s="2213"/>
      <c r="AV303" s="2213"/>
      <c r="AW303" s="2217">
        <f t="shared" si="166"/>
        <v>27.235875376651041</v>
      </c>
      <c r="AX303" s="2217">
        <f t="shared" si="157"/>
        <v>4286.9770010323173</v>
      </c>
      <c r="AY303" s="2217">
        <f t="shared" si="147"/>
        <v>36.354599411934942</v>
      </c>
      <c r="AZ303" s="2212">
        <v>32</v>
      </c>
      <c r="BA303" s="2208"/>
      <c r="BB303" s="263"/>
      <c r="BC303" s="2208"/>
      <c r="BD303" s="263"/>
      <c r="BE303" s="263"/>
      <c r="BF303" s="263"/>
      <c r="BG303" s="263"/>
      <c r="BH303" s="2208"/>
      <c r="BI303" s="2217">
        <f t="shared" si="167"/>
        <v>38.50580119435088</v>
      </c>
      <c r="BJ303" s="2217">
        <f t="shared" si="158"/>
        <v>4286.9770010323173</v>
      </c>
      <c r="BK303" s="2217">
        <f t="shared" si="148"/>
        <v>36.354599411934942</v>
      </c>
      <c r="BL303" s="2212">
        <v>32</v>
      </c>
      <c r="BM303" s="2208"/>
      <c r="BN303" s="263"/>
      <c r="BO303" s="2208"/>
      <c r="BP303" s="263"/>
      <c r="BQ303" s="263"/>
      <c r="BR303" s="263"/>
      <c r="BS303" s="263"/>
      <c r="BT303" s="2208"/>
      <c r="BU303" s="2217">
        <f t="shared" si="168"/>
        <v>23.639985986598038</v>
      </c>
      <c r="BV303" s="2217">
        <f t="shared" si="149"/>
        <v>5173.4289701441248</v>
      </c>
      <c r="BW303" s="2217">
        <f t="shared" si="159"/>
        <v>39.704529530225045</v>
      </c>
      <c r="BX303" s="2212">
        <v>32</v>
      </c>
      <c r="BY303" s="2219"/>
      <c r="BZ303" s="2213"/>
      <c r="CA303" s="2219"/>
      <c r="CB303" s="2213"/>
      <c r="CC303" s="2213"/>
      <c r="CD303" s="2213"/>
      <c r="CE303" s="2213"/>
      <c r="CF303" s="2208"/>
      <c r="CG303" s="2217">
        <f t="shared" si="169"/>
        <v>28.404529530225044</v>
      </c>
      <c r="CH303" s="2217">
        <f t="shared" si="150"/>
        <v>5173.4289701441248</v>
      </c>
      <c r="CI303" s="2217">
        <f t="shared" si="160"/>
        <v>39.704529530225045</v>
      </c>
      <c r="CJ303" s="2212">
        <v>32</v>
      </c>
      <c r="CK303" s="2219"/>
      <c r="CL303" s="2213"/>
      <c r="CM303" s="2219"/>
      <c r="CN303" s="2213"/>
      <c r="CO303" s="2213"/>
      <c r="CP303" s="2213"/>
      <c r="CQ303" s="2213"/>
      <c r="CR303" s="2208"/>
      <c r="CS303" s="2217">
        <f t="shared" si="170"/>
        <v>37.778709206112168</v>
      </c>
      <c r="CT303" s="2217">
        <f t="shared" si="161"/>
        <v>4286.9770010323173</v>
      </c>
      <c r="CU303" s="2217">
        <f t="shared" si="151"/>
        <v>36.354599411934942</v>
      </c>
      <c r="CV303" s="2212">
        <v>32</v>
      </c>
      <c r="CW303" s="2208"/>
      <c r="CX303" s="263"/>
      <c r="CY303" s="2208"/>
      <c r="CZ303" s="263"/>
      <c r="DA303" s="263"/>
      <c r="DB303" s="263"/>
      <c r="DC303" s="263"/>
      <c r="DD303" s="2208"/>
    </row>
    <row r="304" spans="1:108">
      <c r="A304" s="2217">
        <f t="shared" si="162"/>
        <v>34.679858550831341</v>
      </c>
      <c r="B304" s="2217">
        <f t="shared" si="144"/>
        <v>5133.7244406138998</v>
      </c>
      <c r="C304" s="2217">
        <f t="shared" si="152"/>
        <v>39.982485696375079</v>
      </c>
      <c r="D304" s="2212">
        <v>31</v>
      </c>
      <c r="E304" s="2219"/>
      <c r="F304" s="2213"/>
      <c r="G304" s="2219"/>
      <c r="H304" s="2213"/>
      <c r="I304" s="2213"/>
      <c r="J304" s="2213"/>
      <c r="K304" s="2213"/>
      <c r="L304" s="2213"/>
      <c r="M304" s="2217">
        <f t="shared" si="163"/>
        <v>37.478632549577597</v>
      </c>
      <c r="N304" s="2217">
        <f t="shared" si="145"/>
        <v>5133.7244406138998</v>
      </c>
      <c r="O304" s="2217">
        <f t="shared" si="153"/>
        <v>39.982485696375079</v>
      </c>
      <c r="P304" s="2212">
        <v>31</v>
      </c>
      <c r="Q304" s="2219"/>
      <c r="R304" s="2213"/>
      <c r="S304" s="2219"/>
      <c r="T304" s="2213"/>
      <c r="U304" s="2213"/>
      <c r="V304" s="2213"/>
      <c r="W304" s="2213"/>
      <c r="X304" s="2213"/>
      <c r="Y304" s="2217">
        <f t="shared" si="164"/>
        <v>41.077056262251361</v>
      </c>
      <c r="Z304" s="2217">
        <f t="shared" si="154"/>
        <v>5133.7244406138998</v>
      </c>
      <c r="AA304" s="2217">
        <f t="shared" si="155"/>
        <v>39.982485696375079</v>
      </c>
      <c r="AB304" s="2212">
        <v>31</v>
      </c>
      <c r="AC304" s="2219"/>
      <c r="AD304" s="2213"/>
      <c r="AE304" s="2219"/>
      <c r="AF304" s="2213"/>
      <c r="AG304" s="2213"/>
      <c r="AH304" s="2213"/>
      <c r="AI304" s="2213"/>
      <c r="AJ304" s="2213"/>
      <c r="AK304" s="2217">
        <f t="shared" si="165"/>
        <v>23.884587412810067</v>
      </c>
      <c r="AL304" s="2217">
        <f t="shared" si="146"/>
        <v>5133.7244406138998</v>
      </c>
      <c r="AM304" s="2217">
        <f t="shared" si="156"/>
        <v>39.982485696375079</v>
      </c>
      <c r="AN304" s="2212">
        <v>31</v>
      </c>
      <c r="AO304" s="2219"/>
      <c r="AP304" s="2213"/>
      <c r="AQ304" s="2219"/>
      <c r="AR304" s="2213"/>
      <c r="AS304" s="2213"/>
      <c r="AT304" s="2213"/>
      <c r="AU304" s="2213"/>
      <c r="AV304" s="2213"/>
      <c r="AW304" s="2217">
        <f t="shared" si="166"/>
        <v>27.558401258243325</v>
      </c>
      <c r="AX304" s="2217">
        <f t="shared" si="157"/>
        <v>4250.6224016203823</v>
      </c>
      <c r="AY304" s="2217">
        <f t="shared" si="147"/>
        <v>36.658869111550302</v>
      </c>
      <c r="AZ304" s="2212">
        <v>31</v>
      </c>
      <c r="BA304" s="2208"/>
      <c r="BB304" s="263"/>
      <c r="BC304" s="2208"/>
      <c r="BD304" s="263"/>
      <c r="BE304" s="263"/>
      <c r="BF304" s="263"/>
      <c r="BG304" s="263"/>
      <c r="BH304" s="2208"/>
      <c r="BI304" s="2217">
        <f t="shared" si="167"/>
        <v>38.922650682823914</v>
      </c>
      <c r="BJ304" s="2217">
        <f t="shared" si="158"/>
        <v>4250.6224016203823</v>
      </c>
      <c r="BK304" s="2217">
        <f t="shared" si="148"/>
        <v>36.658869111550302</v>
      </c>
      <c r="BL304" s="2212">
        <v>31</v>
      </c>
      <c r="BM304" s="2208"/>
      <c r="BN304" s="263"/>
      <c r="BO304" s="2208"/>
      <c r="BP304" s="263"/>
      <c r="BQ304" s="263"/>
      <c r="BR304" s="263"/>
      <c r="BS304" s="263"/>
      <c r="BT304" s="2208"/>
      <c r="BU304" s="2217">
        <f t="shared" si="168"/>
        <v>23.884587412810067</v>
      </c>
      <c r="BV304" s="2217">
        <f t="shared" si="149"/>
        <v>5133.7244406138998</v>
      </c>
      <c r="BW304" s="2217">
        <f t="shared" si="159"/>
        <v>39.982485696375079</v>
      </c>
      <c r="BX304" s="2212">
        <v>31</v>
      </c>
      <c r="BY304" s="2219"/>
      <c r="BZ304" s="2213"/>
      <c r="CA304" s="2219"/>
      <c r="CB304" s="2213"/>
      <c r="CC304" s="2213"/>
      <c r="CD304" s="2213"/>
      <c r="CE304" s="2213"/>
      <c r="CF304" s="2208"/>
      <c r="CG304" s="2217">
        <f t="shared" si="169"/>
        <v>28.682485696375078</v>
      </c>
      <c r="CH304" s="2217">
        <f t="shared" si="150"/>
        <v>5133.7244406138998</v>
      </c>
      <c r="CI304" s="2217">
        <f t="shared" si="160"/>
        <v>39.982485696375079</v>
      </c>
      <c r="CJ304" s="2212">
        <v>31</v>
      </c>
      <c r="CK304" s="2219"/>
      <c r="CL304" s="2213"/>
      <c r="CM304" s="2219"/>
      <c r="CN304" s="2213"/>
      <c r="CO304" s="2213"/>
      <c r="CP304" s="2213"/>
      <c r="CQ304" s="2213"/>
      <c r="CR304" s="2208"/>
      <c r="CS304" s="2217">
        <f t="shared" si="170"/>
        <v>38.189473300592908</v>
      </c>
      <c r="CT304" s="2217">
        <f t="shared" si="161"/>
        <v>4250.6224016203823</v>
      </c>
      <c r="CU304" s="2217">
        <f t="shared" si="151"/>
        <v>36.658869111550302</v>
      </c>
      <c r="CV304" s="2212">
        <v>31</v>
      </c>
      <c r="CW304" s="2208"/>
      <c r="CX304" s="263"/>
      <c r="CY304" s="2208"/>
      <c r="CZ304" s="263"/>
      <c r="DA304" s="263"/>
      <c r="DB304" s="263"/>
      <c r="DC304" s="263"/>
      <c r="DD304" s="2208"/>
    </row>
    <row r="305" spans="1:108">
      <c r="A305" s="2217">
        <f t="shared" si="162"/>
        <v>35.000477049416887</v>
      </c>
      <c r="B305" s="2217">
        <f t="shared" si="144"/>
        <v>5093.7419549175247</v>
      </c>
      <c r="C305" s="2217">
        <f t="shared" si="152"/>
        <v>40.2612843907973</v>
      </c>
      <c r="D305" s="2212">
        <v>30</v>
      </c>
      <c r="E305" s="2219"/>
      <c r="F305" s="2213"/>
      <c r="G305" s="2219"/>
      <c r="H305" s="2213"/>
      <c r="I305" s="2213"/>
      <c r="J305" s="2213"/>
      <c r="K305" s="2213"/>
      <c r="L305" s="2213"/>
      <c r="M305" s="2217">
        <f t="shared" si="163"/>
        <v>37.818766956772706</v>
      </c>
      <c r="N305" s="2217">
        <f t="shared" si="145"/>
        <v>5093.7419549175247</v>
      </c>
      <c r="O305" s="2217">
        <f t="shared" si="153"/>
        <v>40.2612843907973</v>
      </c>
      <c r="P305" s="2212">
        <v>30</v>
      </c>
      <c r="Q305" s="2219"/>
      <c r="R305" s="2213"/>
      <c r="S305" s="2219"/>
      <c r="T305" s="2213"/>
      <c r="U305" s="2213"/>
      <c r="V305" s="2213"/>
      <c r="W305" s="2213"/>
      <c r="X305" s="2213"/>
      <c r="Y305" s="2217">
        <f t="shared" si="164"/>
        <v>41.442282551944459</v>
      </c>
      <c r="Z305" s="2217">
        <f t="shared" si="154"/>
        <v>5093.7419549175247</v>
      </c>
      <c r="AA305" s="2217">
        <f t="shared" si="155"/>
        <v>40.2612843907973</v>
      </c>
      <c r="AB305" s="2212">
        <v>30</v>
      </c>
      <c r="AC305" s="2219"/>
      <c r="AD305" s="2213"/>
      <c r="AE305" s="2219"/>
      <c r="AF305" s="2213"/>
      <c r="AG305" s="2213"/>
      <c r="AH305" s="2213"/>
      <c r="AI305" s="2213"/>
      <c r="AJ305" s="2213"/>
      <c r="AK305" s="2217">
        <f t="shared" si="165"/>
        <v>24.129930263901617</v>
      </c>
      <c r="AL305" s="2217">
        <f t="shared" si="146"/>
        <v>5093.7419549175247</v>
      </c>
      <c r="AM305" s="2217">
        <f t="shared" si="156"/>
        <v>40.2612843907973</v>
      </c>
      <c r="AN305" s="2212">
        <v>30</v>
      </c>
      <c r="AO305" s="2219"/>
      <c r="AP305" s="2213"/>
      <c r="AQ305" s="2219"/>
      <c r="AR305" s="2213"/>
      <c r="AS305" s="2213"/>
      <c r="AT305" s="2213"/>
      <c r="AU305" s="2213"/>
      <c r="AV305" s="2213"/>
      <c r="AW305" s="2217">
        <f t="shared" si="166"/>
        <v>27.880761859861561</v>
      </c>
      <c r="AX305" s="2217">
        <f t="shared" si="157"/>
        <v>4213.963532508832</v>
      </c>
      <c r="AY305" s="2217">
        <f t="shared" si="147"/>
        <v>36.962982886661848</v>
      </c>
      <c r="AZ305" s="2212">
        <v>30</v>
      </c>
      <c r="BA305" s="2208"/>
      <c r="BB305" s="263"/>
      <c r="BC305" s="2208"/>
      <c r="BD305" s="263"/>
      <c r="BE305" s="263"/>
      <c r="BF305" s="263"/>
      <c r="BG305" s="263"/>
      <c r="BH305" s="2208"/>
      <c r="BI305" s="2217">
        <f t="shared" si="167"/>
        <v>39.339286554726741</v>
      </c>
      <c r="BJ305" s="2217">
        <f t="shared" si="158"/>
        <v>4213.963532508832</v>
      </c>
      <c r="BK305" s="2217">
        <f t="shared" si="148"/>
        <v>36.962982886661848</v>
      </c>
      <c r="BL305" s="2212">
        <v>30</v>
      </c>
      <c r="BM305" s="2208"/>
      <c r="BN305" s="263"/>
      <c r="BO305" s="2208"/>
      <c r="BP305" s="263"/>
      <c r="BQ305" s="263"/>
      <c r="BR305" s="263"/>
      <c r="BS305" s="263"/>
      <c r="BT305" s="2208"/>
      <c r="BU305" s="2217">
        <f t="shared" si="168"/>
        <v>24.129930263901617</v>
      </c>
      <c r="BV305" s="2217">
        <f t="shared" si="149"/>
        <v>5093.7419549175247</v>
      </c>
      <c r="BW305" s="2217">
        <f t="shared" si="159"/>
        <v>40.2612843907973</v>
      </c>
      <c r="BX305" s="2212">
        <v>30</v>
      </c>
      <c r="BY305" s="2219"/>
      <c r="BZ305" s="2213"/>
      <c r="CA305" s="2219"/>
      <c r="CB305" s="2213"/>
      <c r="CC305" s="2213"/>
      <c r="CD305" s="2213"/>
      <c r="CE305" s="2213"/>
      <c r="CF305" s="2208"/>
      <c r="CG305" s="2217">
        <f t="shared" si="169"/>
        <v>28.961284390797299</v>
      </c>
      <c r="CH305" s="2217">
        <f t="shared" si="150"/>
        <v>5093.7419549175247</v>
      </c>
      <c r="CI305" s="2217">
        <f t="shared" si="160"/>
        <v>40.2612843907973</v>
      </c>
      <c r="CJ305" s="2212">
        <v>30</v>
      </c>
      <c r="CK305" s="2219"/>
      <c r="CL305" s="2213"/>
      <c r="CM305" s="2219"/>
      <c r="CN305" s="2213"/>
      <c r="CO305" s="2213"/>
      <c r="CP305" s="2213"/>
      <c r="CQ305" s="2213"/>
      <c r="CR305" s="2208"/>
      <c r="CS305" s="2217">
        <f t="shared" si="170"/>
        <v>38.600026896993498</v>
      </c>
      <c r="CT305" s="2217">
        <f t="shared" si="161"/>
        <v>4213.963532508832</v>
      </c>
      <c r="CU305" s="2217">
        <f t="shared" si="151"/>
        <v>36.962982886661848</v>
      </c>
      <c r="CV305" s="2212">
        <v>30</v>
      </c>
      <c r="CW305" s="2208"/>
      <c r="CX305" s="263"/>
      <c r="CY305" s="2208"/>
      <c r="CZ305" s="263"/>
      <c r="DA305" s="263"/>
      <c r="DB305" s="263"/>
      <c r="DC305" s="263"/>
      <c r="DD305" s="2208"/>
    </row>
    <row r="306" spans="1:108">
      <c r="A306" s="2217">
        <f t="shared" si="162"/>
        <v>35.322064455511281</v>
      </c>
      <c r="B306" s="2217">
        <f t="shared" si="144"/>
        <v>5053.4806705267274</v>
      </c>
      <c r="C306" s="2217">
        <f t="shared" si="152"/>
        <v>40.540925613488071</v>
      </c>
      <c r="D306" s="2212">
        <v>29</v>
      </c>
      <c r="E306" s="2219"/>
      <c r="F306" s="2213"/>
      <c r="G306" s="2219"/>
      <c r="H306" s="2213"/>
      <c r="I306" s="2213"/>
      <c r="J306" s="2213"/>
      <c r="K306" s="2213"/>
      <c r="L306" s="2213"/>
      <c r="M306" s="2217">
        <f t="shared" si="163"/>
        <v>38.159929248455441</v>
      </c>
      <c r="N306" s="2217">
        <f t="shared" si="145"/>
        <v>5053.4806705267274</v>
      </c>
      <c r="O306" s="2217">
        <f t="shared" si="153"/>
        <v>40.540925613488071</v>
      </c>
      <c r="P306" s="2212">
        <v>29</v>
      </c>
      <c r="Q306" s="2219"/>
      <c r="R306" s="2213"/>
      <c r="S306" s="2219"/>
      <c r="T306" s="2213"/>
      <c r="U306" s="2213"/>
      <c r="V306" s="2213"/>
      <c r="W306" s="2213"/>
      <c r="X306" s="2213"/>
      <c r="Y306" s="2217">
        <f t="shared" si="164"/>
        <v>41.808612553669377</v>
      </c>
      <c r="Z306" s="2217">
        <f t="shared" si="154"/>
        <v>5053.4806705267274</v>
      </c>
      <c r="AA306" s="2217">
        <f t="shared" si="155"/>
        <v>40.540925613488071</v>
      </c>
      <c r="AB306" s="2212">
        <v>29</v>
      </c>
      <c r="AC306" s="2219"/>
      <c r="AD306" s="2213"/>
      <c r="AE306" s="2219"/>
      <c r="AF306" s="2213"/>
      <c r="AG306" s="2213"/>
      <c r="AH306" s="2213"/>
      <c r="AI306" s="2213"/>
      <c r="AJ306" s="2213"/>
      <c r="AK306" s="2217">
        <f t="shared" si="165"/>
        <v>24.376014539869498</v>
      </c>
      <c r="AL306" s="2217">
        <f t="shared" si="146"/>
        <v>5053.4806705267274</v>
      </c>
      <c r="AM306" s="2217">
        <f t="shared" si="156"/>
        <v>40.540925613488071</v>
      </c>
      <c r="AN306" s="2212">
        <v>29</v>
      </c>
      <c r="AO306" s="2219"/>
      <c r="AP306" s="2213"/>
      <c r="AQ306" s="2219"/>
      <c r="AR306" s="2213"/>
      <c r="AS306" s="2213"/>
      <c r="AT306" s="2213"/>
      <c r="AU306" s="2213"/>
      <c r="AV306" s="2213"/>
      <c r="AW306" s="2217">
        <f t="shared" si="166"/>
        <v>28.202957181513465</v>
      </c>
      <c r="AX306" s="2217">
        <f t="shared" si="157"/>
        <v>4177.0005496221702</v>
      </c>
      <c r="AY306" s="2217">
        <f t="shared" si="147"/>
        <v>37.266940737276855</v>
      </c>
      <c r="AZ306" s="2212">
        <v>29</v>
      </c>
      <c r="BA306" s="2208"/>
      <c r="BB306" s="263"/>
      <c r="BC306" s="2208"/>
      <c r="BD306" s="263"/>
      <c r="BE306" s="263"/>
      <c r="BF306" s="263"/>
      <c r="BG306" s="263"/>
      <c r="BH306" s="2208"/>
      <c r="BI306" s="2217">
        <f t="shared" si="167"/>
        <v>39.755708810069294</v>
      </c>
      <c r="BJ306" s="2217">
        <f t="shared" si="158"/>
        <v>4177.0005496221702</v>
      </c>
      <c r="BK306" s="2217">
        <f t="shared" si="148"/>
        <v>37.266940737276855</v>
      </c>
      <c r="BL306" s="2212">
        <v>29</v>
      </c>
      <c r="BM306" s="2208"/>
      <c r="BN306" s="263"/>
      <c r="BO306" s="2208"/>
      <c r="BP306" s="263"/>
      <c r="BQ306" s="263"/>
      <c r="BR306" s="263"/>
      <c r="BS306" s="263"/>
      <c r="BT306" s="2208"/>
      <c r="BU306" s="2217">
        <f t="shared" si="168"/>
        <v>24.376014539869498</v>
      </c>
      <c r="BV306" s="2217">
        <f t="shared" si="149"/>
        <v>5053.4806705267274</v>
      </c>
      <c r="BW306" s="2217">
        <f t="shared" si="159"/>
        <v>40.540925613488071</v>
      </c>
      <c r="BX306" s="2212">
        <v>29</v>
      </c>
      <c r="BY306" s="2219"/>
      <c r="BZ306" s="2213"/>
      <c r="CA306" s="2219"/>
      <c r="CB306" s="2213"/>
      <c r="CC306" s="2213"/>
      <c r="CD306" s="2213"/>
      <c r="CE306" s="2213"/>
      <c r="CF306" s="2208"/>
      <c r="CG306" s="2217">
        <f t="shared" si="169"/>
        <v>29.24092561348807</v>
      </c>
      <c r="CH306" s="2217">
        <f t="shared" si="150"/>
        <v>5053.4806705267274</v>
      </c>
      <c r="CI306" s="2217">
        <f t="shared" si="160"/>
        <v>40.540925613488071</v>
      </c>
      <c r="CJ306" s="2212">
        <v>29</v>
      </c>
      <c r="CK306" s="2219"/>
      <c r="CL306" s="2213"/>
      <c r="CM306" s="2219"/>
      <c r="CN306" s="2213"/>
      <c r="CO306" s="2213"/>
      <c r="CP306" s="2213"/>
      <c r="CQ306" s="2213"/>
      <c r="CR306" s="2208"/>
      <c r="CS306" s="2217">
        <f t="shared" si="170"/>
        <v>39.010369995323757</v>
      </c>
      <c r="CT306" s="2217">
        <f t="shared" si="161"/>
        <v>4177.0005496221702</v>
      </c>
      <c r="CU306" s="2217">
        <f t="shared" si="151"/>
        <v>37.266940737276855</v>
      </c>
      <c r="CV306" s="2212">
        <v>29</v>
      </c>
      <c r="CW306" s="2208"/>
      <c r="CX306" s="263"/>
      <c r="CY306" s="2208"/>
      <c r="CZ306" s="263"/>
      <c r="DA306" s="263"/>
      <c r="DB306" s="263"/>
      <c r="DC306" s="263"/>
      <c r="DD306" s="2208"/>
    </row>
    <row r="307" spans="1:108">
      <c r="A307" s="2217">
        <f t="shared" si="162"/>
        <v>35.644620769114496</v>
      </c>
      <c r="B307" s="2217">
        <f t="shared" si="144"/>
        <v>5012.9397449132393</v>
      </c>
      <c r="C307" s="2217">
        <f t="shared" si="152"/>
        <v>40.821409364447391</v>
      </c>
      <c r="D307" s="2212">
        <v>28</v>
      </c>
      <c r="E307" s="2219"/>
      <c r="F307" s="2213"/>
      <c r="G307" s="2219"/>
      <c r="H307" s="2213"/>
      <c r="I307" s="2213"/>
      <c r="J307" s="2213"/>
      <c r="K307" s="2213"/>
      <c r="L307" s="2213"/>
      <c r="M307" s="2217">
        <f t="shared" si="163"/>
        <v>38.502119424625818</v>
      </c>
      <c r="N307" s="2217">
        <f t="shared" si="145"/>
        <v>5012.9397449132393</v>
      </c>
      <c r="O307" s="2217">
        <f t="shared" si="153"/>
        <v>40.821409364447391</v>
      </c>
      <c r="P307" s="2212">
        <v>28</v>
      </c>
      <c r="Q307" s="2219"/>
      <c r="R307" s="2213"/>
      <c r="S307" s="2219"/>
      <c r="T307" s="2213"/>
      <c r="U307" s="2213"/>
      <c r="V307" s="2213"/>
      <c r="W307" s="2213"/>
      <c r="X307" s="2213"/>
      <c r="Y307" s="2217">
        <f t="shared" si="164"/>
        <v>42.176046267426088</v>
      </c>
      <c r="Z307" s="2217">
        <f t="shared" si="154"/>
        <v>5012.9397449132393</v>
      </c>
      <c r="AA307" s="2217">
        <f t="shared" si="155"/>
        <v>40.821409364447391</v>
      </c>
      <c r="AB307" s="2212">
        <v>28</v>
      </c>
      <c r="AC307" s="2219"/>
      <c r="AD307" s="2213"/>
      <c r="AE307" s="2219"/>
      <c r="AF307" s="2213"/>
      <c r="AG307" s="2213"/>
      <c r="AH307" s="2213"/>
      <c r="AI307" s="2213"/>
      <c r="AJ307" s="2213"/>
      <c r="AK307" s="2217">
        <f t="shared" si="165"/>
        <v>24.622840240713696</v>
      </c>
      <c r="AL307" s="2217">
        <f t="shared" si="146"/>
        <v>5012.9397449132393</v>
      </c>
      <c r="AM307" s="2217">
        <f t="shared" si="156"/>
        <v>40.821409364447391</v>
      </c>
      <c r="AN307" s="2212">
        <v>28</v>
      </c>
      <c r="AO307" s="2219"/>
      <c r="AP307" s="2213"/>
      <c r="AQ307" s="2219"/>
      <c r="AR307" s="2213"/>
      <c r="AS307" s="2213"/>
      <c r="AT307" s="2213"/>
      <c r="AU307" s="2213"/>
      <c r="AV307" s="2213"/>
      <c r="AW307" s="2217">
        <f t="shared" si="166"/>
        <v>28.524987223190369</v>
      </c>
      <c r="AX307" s="2217">
        <f t="shared" si="157"/>
        <v>4139.7336088848933</v>
      </c>
      <c r="AY307" s="2217">
        <f t="shared" si="147"/>
        <v>37.570742663387136</v>
      </c>
      <c r="AZ307" s="2212">
        <v>28</v>
      </c>
      <c r="BA307" s="2208"/>
      <c r="BB307" s="263"/>
      <c r="BC307" s="2208"/>
      <c r="BD307" s="263"/>
      <c r="BE307" s="263"/>
      <c r="BF307" s="263"/>
      <c r="BG307" s="263"/>
      <c r="BH307" s="2208"/>
      <c r="BI307" s="2217">
        <f t="shared" si="167"/>
        <v>40.171917448840375</v>
      </c>
      <c r="BJ307" s="2217">
        <f t="shared" si="158"/>
        <v>4139.7336088848933</v>
      </c>
      <c r="BK307" s="2217">
        <f t="shared" si="148"/>
        <v>37.570742663387136</v>
      </c>
      <c r="BL307" s="2212">
        <v>28</v>
      </c>
      <c r="BM307" s="2208"/>
      <c r="BN307" s="263"/>
      <c r="BO307" s="2208"/>
      <c r="BP307" s="263"/>
      <c r="BQ307" s="263"/>
      <c r="BR307" s="263"/>
      <c r="BS307" s="263"/>
      <c r="BT307" s="2208"/>
      <c r="BU307" s="2217">
        <f t="shared" si="168"/>
        <v>24.622840240713696</v>
      </c>
      <c r="BV307" s="2217">
        <f t="shared" si="149"/>
        <v>5012.9397449132393</v>
      </c>
      <c r="BW307" s="2217">
        <f t="shared" si="159"/>
        <v>40.821409364447391</v>
      </c>
      <c r="BX307" s="2212">
        <v>28</v>
      </c>
      <c r="BY307" s="2219"/>
      <c r="BZ307" s="2213"/>
      <c r="CA307" s="2219"/>
      <c r="CB307" s="2213"/>
      <c r="CC307" s="2213"/>
      <c r="CD307" s="2213"/>
      <c r="CE307" s="2213"/>
      <c r="CF307" s="2208"/>
      <c r="CG307" s="2217">
        <f t="shared" si="169"/>
        <v>29.52140936444739</v>
      </c>
      <c r="CH307" s="2217">
        <f t="shared" si="150"/>
        <v>5012.9397449132393</v>
      </c>
      <c r="CI307" s="2217">
        <f t="shared" si="160"/>
        <v>40.821409364447391</v>
      </c>
      <c r="CJ307" s="2212">
        <v>28</v>
      </c>
      <c r="CK307" s="2219"/>
      <c r="CL307" s="2213"/>
      <c r="CM307" s="2219"/>
      <c r="CN307" s="2213"/>
      <c r="CO307" s="2213"/>
      <c r="CP307" s="2213"/>
      <c r="CQ307" s="2213"/>
      <c r="CR307" s="2208"/>
      <c r="CS307" s="2217">
        <f t="shared" si="170"/>
        <v>39.420502595572643</v>
      </c>
      <c r="CT307" s="2217">
        <f t="shared" si="161"/>
        <v>4139.7336088848933</v>
      </c>
      <c r="CU307" s="2217">
        <f t="shared" si="151"/>
        <v>37.570742663387136</v>
      </c>
      <c r="CV307" s="2212">
        <v>28</v>
      </c>
      <c r="CW307" s="2208"/>
      <c r="CX307" s="263"/>
      <c r="CY307" s="2208"/>
      <c r="CZ307" s="263"/>
      <c r="DA307" s="263"/>
      <c r="DB307" s="263"/>
      <c r="DC307" s="263"/>
      <c r="DD307" s="2208"/>
    </row>
    <row r="308" spans="1:108">
      <c r="A308" s="2217">
        <f t="shared" si="162"/>
        <v>35.968145990229687</v>
      </c>
      <c r="B308" s="2217">
        <f t="shared" si="144"/>
        <v>4972.1183355487919</v>
      </c>
      <c r="C308" s="2217">
        <f t="shared" si="152"/>
        <v>41.102735643677988</v>
      </c>
      <c r="D308" s="2212">
        <v>27</v>
      </c>
      <c r="E308" s="2219"/>
      <c r="F308" s="2213"/>
      <c r="G308" s="2219"/>
      <c r="H308" s="2213"/>
      <c r="I308" s="2213"/>
      <c r="J308" s="2213"/>
      <c r="K308" s="2213"/>
      <c r="L308" s="2213"/>
      <c r="M308" s="2217">
        <f t="shared" si="163"/>
        <v>38.845337485287146</v>
      </c>
      <c r="N308" s="2217">
        <f t="shared" si="145"/>
        <v>4972.1183355487919</v>
      </c>
      <c r="O308" s="2217">
        <f t="shared" si="153"/>
        <v>41.102735643677988</v>
      </c>
      <c r="P308" s="2212">
        <v>27</v>
      </c>
      <c r="Q308" s="2219"/>
      <c r="R308" s="2213"/>
      <c r="S308" s="2219"/>
      <c r="T308" s="2213"/>
      <c r="U308" s="2213"/>
      <c r="V308" s="2213"/>
      <c r="W308" s="2213"/>
      <c r="X308" s="2213"/>
      <c r="Y308" s="2217">
        <f t="shared" si="164"/>
        <v>42.544583693218172</v>
      </c>
      <c r="Z308" s="2217">
        <f t="shared" si="154"/>
        <v>4972.1183355487919</v>
      </c>
      <c r="AA308" s="2217">
        <f t="shared" si="155"/>
        <v>41.102735643677988</v>
      </c>
      <c r="AB308" s="2212">
        <v>27</v>
      </c>
      <c r="AC308" s="2219"/>
      <c r="AD308" s="2213"/>
      <c r="AE308" s="2219"/>
      <c r="AF308" s="2213"/>
      <c r="AG308" s="2213"/>
      <c r="AH308" s="2213"/>
      <c r="AI308" s="2213"/>
      <c r="AJ308" s="2213"/>
      <c r="AK308" s="2217">
        <f t="shared" si="165"/>
        <v>24.870407366436627</v>
      </c>
      <c r="AL308" s="2217">
        <f t="shared" si="146"/>
        <v>4972.1183355487919</v>
      </c>
      <c r="AM308" s="2217">
        <f t="shared" si="156"/>
        <v>41.102735643677988</v>
      </c>
      <c r="AN308" s="2212">
        <v>27</v>
      </c>
      <c r="AO308" s="2219"/>
      <c r="AP308" s="2213"/>
      <c r="AQ308" s="2219"/>
      <c r="AR308" s="2213"/>
      <c r="AS308" s="2213"/>
      <c r="AT308" s="2213"/>
      <c r="AU308" s="2213"/>
      <c r="AV308" s="2213"/>
      <c r="AW308" s="2217">
        <f t="shared" si="166"/>
        <v>28.846851984900933</v>
      </c>
      <c r="AX308" s="2217">
        <f t="shared" si="157"/>
        <v>4102.1628662215062</v>
      </c>
      <c r="AY308" s="2217">
        <f t="shared" si="147"/>
        <v>37.874388665000879</v>
      </c>
      <c r="AZ308" s="2212">
        <v>27</v>
      </c>
      <c r="BA308" s="2208"/>
      <c r="BB308" s="263"/>
      <c r="BC308" s="2208"/>
      <c r="BD308" s="263"/>
      <c r="BE308" s="263"/>
      <c r="BF308" s="263"/>
      <c r="BG308" s="263"/>
      <c r="BH308" s="2208"/>
      <c r="BI308" s="2217">
        <f t="shared" si="167"/>
        <v>40.587912471051212</v>
      </c>
      <c r="BJ308" s="2217">
        <f t="shared" si="158"/>
        <v>4102.1628662215062</v>
      </c>
      <c r="BK308" s="2217">
        <f t="shared" si="148"/>
        <v>37.874388665000879</v>
      </c>
      <c r="BL308" s="2212">
        <v>27</v>
      </c>
      <c r="BM308" s="2208"/>
      <c r="BN308" s="263"/>
      <c r="BO308" s="2208"/>
      <c r="BP308" s="263"/>
      <c r="BQ308" s="263"/>
      <c r="BR308" s="263"/>
      <c r="BS308" s="263"/>
      <c r="BT308" s="2208"/>
      <c r="BU308" s="2217">
        <f t="shared" si="168"/>
        <v>24.870407366436627</v>
      </c>
      <c r="BV308" s="2217">
        <f t="shared" si="149"/>
        <v>4972.1183355487919</v>
      </c>
      <c r="BW308" s="2217">
        <f t="shared" si="159"/>
        <v>41.102735643677988</v>
      </c>
      <c r="BX308" s="2212">
        <v>27</v>
      </c>
      <c r="BY308" s="2219"/>
      <c r="BZ308" s="2213"/>
      <c r="CA308" s="2219"/>
      <c r="CB308" s="2213"/>
      <c r="CC308" s="2213"/>
      <c r="CD308" s="2213"/>
      <c r="CE308" s="2213"/>
      <c r="CF308" s="2208"/>
      <c r="CG308" s="2217">
        <f t="shared" si="169"/>
        <v>29.802735643677988</v>
      </c>
      <c r="CH308" s="2217">
        <f t="shared" si="150"/>
        <v>4972.1183355487919</v>
      </c>
      <c r="CI308" s="2217">
        <f t="shared" si="160"/>
        <v>41.102735643677988</v>
      </c>
      <c r="CJ308" s="2212">
        <v>27</v>
      </c>
      <c r="CK308" s="2219"/>
      <c r="CL308" s="2213"/>
      <c r="CM308" s="2219"/>
      <c r="CN308" s="2213"/>
      <c r="CO308" s="2213"/>
      <c r="CP308" s="2213"/>
      <c r="CQ308" s="2213"/>
      <c r="CR308" s="2208"/>
      <c r="CS308" s="2217">
        <f t="shared" si="170"/>
        <v>39.830424697751184</v>
      </c>
      <c r="CT308" s="2217">
        <f t="shared" si="161"/>
        <v>4102.1628662215062</v>
      </c>
      <c r="CU308" s="2217">
        <f t="shared" si="151"/>
        <v>37.874388665000879</v>
      </c>
      <c r="CV308" s="2212">
        <v>27</v>
      </c>
      <c r="CW308" s="2208"/>
      <c r="CX308" s="263"/>
      <c r="CY308" s="2208"/>
      <c r="CZ308" s="263"/>
      <c r="DA308" s="263"/>
      <c r="DB308" s="263"/>
      <c r="DC308" s="263"/>
      <c r="DD308" s="2208"/>
    </row>
    <row r="309" spans="1:108">
      <c r="A309" s="2217">
        <f t="shared" si="162"/>
        <v>36.292640118855786</v>
      </c>
      <c r="B309" s="2217">
        <f t="shared" si="144"/>
        <v>4931.015599905114</v>
      </c>
      <c r="C309" s="2217">
        <f t="shared" si="152"/>
        <v>41.384904451178954</v>
      </c>
      <c r="D309" s="2212">
        <v>26</v>
      </c>
      <c r="E309" s="2219"/>
      <c r="F309" s="2213"/>
      <c r="G309" s="2219"/>
      <c r="H309" s="2213"/>
      <c r="I309" s="2213"/>
      <c r="J309" s="2213"/>
      <c r="K309" s="2213"/>
      <c r="L309" s="2213"/>
      <c r="M309" s="2217">
        <f t="shared" si="163"/>
        <v>39.189583430438319</v>
      </c>
      <c r="N309" s="2217">
        <f t="shared" si="145"/>
        <v>4931.015599905114</v>
      </c>
      <c r="O309" s="2217">
        <f t="shared" si="153"/>
        <v>41.384904451178954</v>
      </c>
      <c r="P309" s="2212">
        <v>26</v>
      </c>
      <c r="Q309" s="2219"/>
      <c r="R309" s="2213"/>
      <c r="S309" s="2219"/>
      <c r="T309" s="2213"/>
      <c r="U309" s="2213"/>
      <c r="V309" s="2213"/>
      <c r="W309" s="2213"/>
      <c r="X309" s="2213"/>
      <c r="Y309" s="2217">
        <f t="shared" si="164"/>
        <v>42.914224831044436</v>
      </c>
      <c r="Z309" s="2217">
        <f t="shared" si="154"/>
        <v>4931.015599905114</v>
      </c>
      <c r="AA309" s="2217">
        <f t="shared" si="155"/>
        <v>41.384904451178954</v>
      </c>
      <c r="AB309" s="2212">
        <v>26</v>
      </c>
      <c r="AC309" s="2219"/>
      <c r="AD309" s="2213"/>
      <c r="AE309" s="2219"/>
      <c r="AF309" s="2213"/>
      <c r="AG309" s="2213"/>
      <c r="AH309" s="2213"/>
      <c r="AI309" s="2213"/>
      <c r="AJ309" s="2213"/>
      <c r="AK309" s="2217">
        <f t="shared" si="165"/>
        <v>25.118715917037473</v>
      </c>
      <c r="AL309" s="2217">
        <f t="shared" si="146"/>
        <v>4931.015599905114</v>
      </c>
      <c r="AM309" s="2217">
        <f t="shared" si="156"/>
        <v>41.384904451178954</v>
      </c>
      <c r="AN309" s="2212">
        <v>26</v>
      </c>
      <c r="AO309" s="2219"/>
      <c r="AP309" s="2213"/>
      <c r="AQ309" s="2219"/>
      <c r="AR309" s="2213"/>
      <c r="AS309" s="2213"/>
      <c r="AT309" s="2213"/>
      <c r="AU309" s="2213"/>
      <c r="AV309" s="2213"/>
      <c r="AW309" s="2217">
        <f t="shared" si="166"/>
        <v>29.168551466638423</v>
      </c>
      <c r="AX309" s="2217">
        <f t="shared" si="157"/>
        <v>4064.2884775565053</v>
      </c>
      <c r="AY309" s="2217">
        <f t="shared" si="147"/>
        <v>38.177878742111716</v>
      </c>
      <c r="AZ309" s="2212">
        <v>26</v>
      </c>
      <c r="BA309" s="2208"/>
      <c r="BB309" s="263"/>
      <c r="BC309" s="2208"/>
      <c r="BD309" s="263"/>
      <c r="BE309" s="263"/>
      <c r="BF309" s="263"/>
      <c r="BG309" s="263"/>
      <c r="BH309" s="2208"/>
      <c r="BI309" s="2217">
        <f t="shared" si="167"/>
        <v>41.003693876693049</v>
      </c>
      <c r="BJ309" s="2217">
        <f t="shared" si="158"/>
        <v>4064.2884775565053</v>
      </c>
      <c r="BK309" s="2217">
        <f t="shared" si="148"/>
        <v>38.177878742111716</v>
      </c>
      <c r="BL309" s="2212">
        <v>26</v>
      </c>
      <c r="BM309" s="2208"/>
      <c r="BN309" s="263"/>
      <c r="BO309" s="2208"/>
      <c r="BP309" s="263"/>
      <c r="BQ309" s="263"/>
      <c r="BR309" s="263"/>
      <c r="BS309" s="263"/>
      <c r="BT309" s="2208"/>
      <c r="BU309" s="2217">
        <f t="shared" si="168"/>
        <v>25.118715917037473</v>
      </c>
      <c r="BV309" s="2217">
        <f t="shared" si="149"/>
        <v>4931.015599905114</v>
      </c>
      <c r="BW309" s="2217">
        <f t="shared" si="159"/>
        <v>41.384904451178954</v>
      </c>
      <c r="BX309" s="2212">
        <v>26</v>
      </c>
      <c r="BY309" s="2219"/>
      <c r="BZ309" s="2213"/>
      <c r="CA309" s="2219"/>
      <c r="CB309" s="2213"/>
      <c r="CC309" s="2213"/>
      <c r="CD309" s="2213"/>
      <c r="CE309" s="2213"/>
      <c r="CF309" s="2208"/>
      <c r="CG309" s="2217">
        <f t="shared" si="169"/>
        <v>30.084904451178954</v>
      </c>
      <c r="CH309" s="2217">
        <f t="shared" si="150"/>
        <v>4931.015599905114</v>
      </c>
      <c r="CI309" s="2217">
        <f t="shared" si="160"/>
        <v>41.384904451178954</v>
      </c>
      <c r="CJ309" s="2212">
        <v>26</v>
      </c>
      <c r="CK309" s="2219"/>
      <c r="CL309" s="2213"/>
      <c r="CM309" s="2219"/>
      <c r="CN309" s="2213"/>
      <c r="CO309" s="2213"/>
      <c r="CP309" s="2213"/>
      <c r="CQ309" s="2213"/>
      <c r="CR309" s="2208"/>
      <c r="CS309" s="2217">
        <f t="shared" si="170"/>
        <v>40.240136301850825</v>
      </c>
      <c r="CT309" s="2217">
        <f t="shared" si="161"/>
        <v>4064.2884775565053</v>
      </c>
      <c r="CU309" s="2217">
        <f t="shared" si="151"/>
        <v>38.177878742111716</v>
      </c>
      <c r="CV309" s="2212">
        <v>26</v>
      </c>
      <c r="CW309" s="2208"/>
      <c r="CX309" s="263"/>
      <c r="CY309" s="2208"/>
      <c r="CZ309" s="263"/>
      <c r="DA309" s="263"/>
      <c r="DB309" s="263"/>
      <c r="DC309" s="263"/>
      <c r="DD309" s="2208"/>
    </row>
    <row r="310" spans="1:108">
      <c r="A310" s="2217">
        <f t="shared" si="162"/>
        <v>36.618103154988646</v>
      </c>
      <c r="B310" s="2217">
        <f t="shared" si="144"/>
        <v>4889.630695453935</v>
      </c>
      <c r="C310" s="2217">
        <f t="shared" si="152"/>
        <v>41.667915786946651</v>
      </c>
      <c r="D310" s="2212">
        <v>25</v>
      </c>
      <c r="E310" s="2219"/>
      <c r="F310" s="2213"/>
      <c r="G310" s="2219"/>
      <c r="H310" s="2213"/>
      <c r="I310" s="2213"/>
      <c r="J310" s="2213"/>
      <c r="K310" s="2213"/>
      <c r="L310" s="2213"/>
      <c r="M310" s="2217">
        <f t="shared" si="163"/>
        <v>39.534857260074915</v>
      </c>
      <c r="N310" s="2217">
        <f t="shared" si="145"/>
        <v>4889.630695453935</v>
      </c>
      <c r="O310" s="2217">
        <f t="shared" si="153"/>
        <v>41.667915786946651</v>
      </c>
      <c r="P310" s="2212">
        <v>25</v>
      </c>
      <c r="Q310" s="2219"/>
      <c r="R310" s="2213"/>
      <c r="S310" s="2219"/>
      <c r="T310" s="2213"/>
      <c r="U310" s="2213"/>
      <c r="V310" s="2213"/>
      <c r="W310" s="2213"/>
      <c r="X310" s="2213"/>
      <c r="Y310" s="2217">
        <f t="shared" si="164"/>
        <v>43.284969680900119</v>
      </c>
      <c r="Z310" s="2217">
        <f t="shared" si="154"/>
        <v>4889.630695453935</v>
      </c>
      <c r="AA310" s="2217">
        <f t="shared" si="155"/>
        <v>41.667915786946651</v>
      </c>
      <c r="AB310" s="2212">
        <v>25</v>
      </c>
      <c r="AC310" s="2219"/>
      <c r="AD310" s="2213"/>
      <c r="AE310" s="2219"/>
      <c r="AF310" s="2213"/>
      <c r="AG310" s="2213"/>
      <c r="AH310" s="2213"/>
      <c r="AI310" s="2213"/>
      <c r="AJ310" s="2213"/>
      <c r="AK310" s="2217">
        <f t="shared" si="165"/>
        <v>25.367765892513045</v>
      </c>
      <c r="AL310" s="2217">
        <f t="shared" si="146"/>
        <v>4889.630695453935</v>
      </c>
      <c r="AM310" s="2217">
        <f t="shared" si="156"/>
        <v>41.667915786946651</v>
      </c>
      <c r="AN310" s="2212">
        <v>25</v>
      </c>
      <c r="AO310" s="2219"/>
      <c r="AP310" s="2213"/>
      <c r="AQ310" s="2219"/>
      <c r="AR310" s="2213"/>
      <c r="AS310" s="2213"/>
      <c r="AT310" s="2213"/>
      <c r="AU310" s="2213"/>
      <c r="AV310" s="2213"/>
      <c r="AW310" s="2217">
        <f t="shared" si="166"/>
        <v>29.490085668406682</v>
      </c>
      <c r="AX310" s="2217">
        <f t="shared" si="157"/>
        <v>4026.1105988143936</v>
      </c>
      <c r="AY310" s="2217">
        <f t="shared" si="147"/>
        <v>38.481212894723285</v>
      </c>
      <c r="AZ310" s="2212">
        <v>25</v>
      </c>
      <c r="BA310" s="2208"/>
      <c r="BB310" s="263"/>
      <c r="BC310" s="2208"/>
      <c r="BD310" s="263"/>
      <c r="BE310" s="263"/>
      <c r="BF310" s="263"/>
      <c r="BG310" s="263"/>
      <c r="BH310" s="2208"/>
      <c r="BI310" s="2217">
        <f t="shared" si="167"/>
        <v>41.419261665770904</v>
      </c>
      <c r="BJ310" s="2217">
        <f t="shared" si="158"/>
        <v>4026.1105988143936</v>
      </c>
      <c r="BK310" s="2217">
        <f t="shared" si="148"/>
        <v>38.481212894723285</v>
      </c>
      <c r="BL310" s="2212">
        <v>25</v>
      </c>
      <c r="BM310" s="2208"/>
      <c r="BN310" s="263"/>
      <c r="BO310" s="2208"/>
      <c r="BP310" s="263"/>
      <c r="BQ310" s="263"/>
      <c r="BR310" s="263"/>
      <c r="BS310" s="263"/>
      <c r="BT310" s="2208"/>
      <c r="BU310" s="2217">
        <f t="shared" si="168"/>
        <v>25.367765892513045</v>
      </c>
      <c r="BV310" s="2217">
        <f t="shared" si="149"/>
        <v>4889.630695453935</v>
      </c>
      <c r="BW310" s="2217">
        <f t="shared" si="159"/>
        <v>41.667915786946651</v>
      </c>
      <c r="BX310" s="2212">
        <v>25</v>
      </c>
      <c r="BY310" s="2219"/>
      <c r="BZ310" s="2213"/>
      <c r="CA310" s="2219"/>
      <c r="CB310" s="2213"/>
      <c r="CC310" s="2213"/>
      <c r="CD310" s="2213"/>
      <c r="CE310" s="2213"/>
      <c r="CF310" s="2208"/>
      <c r="CG310" s="2217">
        <f t="shared" si="169"/>
        <v>30.36791578694665</v>
      </c>
      <c r="CH310" s="2217">
        <f t="shared" si="150"/>
        <v>4889.630695453935</v>
      </c>
      <c r="CI310" s="2217">
        <f t="shared" si="160"/>
        <v>41.667915786946651</v>
      </c>
      <c r="CJ310" s="2212">
        <v>25</v>
      </c>
      <c r="CK310" s="2219"/>
      <c r="CL310" s="2213"/>
      <c r="CM310" s="2219"/>
      <c r="CN310" s="2213"/>
      <c r="CO310" s="2213"/>
      <c r="CP310" s="2213"/>
      <c r="CQ310" s="2213"/>
      <c r="CR310" s="2208"/>
      <c r="CS310" s="2217">
        <f t="shared" si="170"/>
        <v>40.64963740787644</v>
      </c>
      <c r="CT310" s="2217">
        <f t="shared" si="161"/>
        <v>4026.1105988143936</v>
      </c>
      <c r="CU310" s="2217">
        <f t="shared" si="151"/>
        <v>38.481212894723285</v>
      </c>
      <c r="CV310" s="2212">
        <v>25</v>
      </c>
      <c r="CW310" s="2208"/>
      <c r="CX310" s="263"/>
      <c r="CY310" s="2208"/>
      <c r="CZ310" s="263"/>
      <c r="DA310" s="263"/>
      <c r="DB310" s="263"/>
      <c r="DC310" s="263"/>
      <c r="DD310" s="2208"/>
    </row>
    <row r="311" spans="1:108">
      <c r="A311" s="2217">
        <f t="shared" si="162"/>
        <v>36.944535098633466</v>
      </c>
      <c r="B311" s="2217">
        <f t="shared" si="144"/>
        <v>4847.9627796669884</v>
      </c>
      <c r="C311" s="2217">
        <f t="shared" si="152"/>
        <v>41.951769650985625</v>
      </c>
      <c r="D311" s="2212">
        <v>24</v>
      </c>
      <c r="E311" s="2219"/>
      <c r="F311" s="2213"/>
      <c r="G311" s="2219"/>
      <c r="H311" s="2213"/>
      <c r="I311" s="2213"/>
      <c r="J311" s="2213"/>
      <c r="K311" s="2213"/>
      <c r="L311" s="2213"/>
      <c r="M311" s="2217">
        <f t="shared" si="163"/>
        <v>39.881158974202464</v>
      </c>
      <c r="N311" s="2217">
        <f t="shared" si="145"/>
        <v>4847.9627796669884</v>
      </c>
      <c r="O311" s="2217">
        <f t="shared" si="153"/>
        <v>41.951769650985625</v>
      </c>
      <c r="P311" s="2212">
        <v>24</v>
      </c>
      <c r="Q311" s="2219"/>
      <c r="R311" s="2213"/>
      <c r="S311" s="2219"/>
      <c r="T311" s="2213"/>
      <c r="U311" s="2213"/>
      <c r="V311" s="2213"/>
      <c r="W311" s="2213"/>
      <c r="X311" s="2213"/>
      <c r="Y311" s="2217">
        <f t="shared" si="164"/>
        <v>43.656818242791175</v>
      </c>
      <c r="Z311" s="2217">
        <f t="shared" si="154"/>
        <v>4847.9627796669884</v>
      </c>
      <c r="AA311" s="2217">
        <f t="shared" si="155"/>
        <v>41.951769650985625</v>
      </c>
      <c r="AB311" s="2212">
        <v>24</v>
      </c>
      <c r="AC311" s="2219"/>
      <c r="AD311" s="2213"/>
      <c r="AE311" s="2219"/>
      <c r="AF311" s="2213"/>
      <c r="AG311" s="2213"/>
      <c r="AH311" s="2213"/>
      <c r="AI311" s="2213"/>
      <c r="AJ311" s="2213"/>
      <c r="AK311" s="2217">
        <f t="shared" si="165"/>
        <v>25.617557292867343</v>
      </c>
      <c r="AL311" s="2217">
        <f t="shared" si="146"/>
        <v>4847.9627796669884</v>
      </c>
      <c r="AM311" s="2217">
        <f t="shared" si="156"/>
        <v>41.951769650985625</v>
      </c>
      <c r="AN311" s="2212">
        <v>24</v>
      </c>
      <c r="AO311" s="2219"/>
      <c r="AP311" s="2213"/>
      <c r="AQ311" s="2219"/>
      <c r="AR311" s="2213"/>
      <c r="AS311" s="2213"/>
      <c r="AT311" s="2213"/>
      <c r="AU311" s="2213"/>
      <c r="AV311" s="2213"/>
      <c r="AW311" s="2217">
        <f t="shared" si="166"/>
        <v>29.811454590203315</v>
      </c>
      <c r="AX311" s="2217">
        <f t="shared" si="157"/>
        <v>3987.6293859196703</v>
      </c>
      <c r="AY311" s="2217">
        <f t="shared" si="147"/>
        <v>38.784391122833313</v>
      </c>
      <c r="AZ311" s="2212">
        <v>24</v>
      </c>
      <c r="BA311" s="2208"/>
      <c r="BB311" s="263"/>
      <c r="BC311" s="2208"/>
      <c r="BD311" s="263"/>
      <c r="BE311" s="263"/>
      <c r="BF311" s="263"/>
      <c r="BG311" s="263"/>
      <c r="BH311" s="2208"/>
      <c r="BI311" s="2217">
        <f t="shared" si="167"/>
        <v>41.834615838281636</v>
      </c>
      <c r="BJ311" s="2217">
        <f t="shared" si="158"/>
        <v>3987.6293859196703</v>
      </c>
      <c r="BK311" s="2217">
        <f t="shared" si="148"/>
        <v>38.784391122833313</v>
      </c>
      <c r="BL311" s="2212">
        <v>24</v>
      </c>
      <c r="BM311" s="2208"/>
      <c r="BN311" s="263"/>
      <c r="BO311" s="2208"/>
      <c r="BP311" s="263"/>
      <c r="BQ311" s="263"/>
      <c r="BR311" s="263"/>
      <c r="BS311" s="263"/>
      <c r="BT311" s="2208"/>
      <c r="BU311" s="2217">
        <f t="shared" si="168"/>
        <v>25.617557292867343</v>
      </c>
      <c r="BV311" s="2217">
        <f t="shared" si="149"/>
        <v>4847.9627796669884</v>
      </c>
      <c r="BW311" s="2217">
        <f t="shared" si="159"/>
        <v>41.951769650985625</v>
      </c>
      <c r="BX311" s="2212">
        <v>24</v>
      </c>
      <c r="BY311" s="2219"/>
      <c r="BZ311" s="2213"/>
      <c r="CA311" s="2219"/>
      <c r="CB311" s="2213"/>
      <c r="CC311" s="2213"/>
      <c r="CD311" s="2213"/>
      <c r="CE311" s="2213"/>
      <c r="CF311" s="2208"/>
      <c r="CG311" s="2217">
        <f t="shared" si="169"/>
        <v>30.651769650985624</v>
      </c>
      <c r="CH311" s="2217">
        <f t="shared" si="150"/>
        <v>4847.9627796669884</v>
      </c>
      <c r="CI311" s="2217">
        <f t="shared" si="160"/>
        <v>41.951769650985625</v>
      </c>
      <c r="CJ311" s="2212">
        <v>24</v>
      </c>
      <c r="CK311" s="2219"/>
      <c r="CL311" s="2213"/>
      <c r="CM311" s="2219"/>
      <c r="CN311" s="2213"/>
      <c r="CO311" s="2213"/>
      <c r="CP311" s="2213"/>
      <c r="CQ311" s="2213"/>
      <c r="CR311" s="2208"/>
      <c r="CS311" s="2217">
        <f t="shared" si="170"/>
        <v>41.058928015824975</v>
      </c>
      <c r="CT311" s="2217">
        <f t="shared" si="161"/>
        <v>3987.6293859196703</v>
      </c>
      <c r="CU311" s="2217">
        <f t="shared" si="151"/>
        <v>38.784391122833313</v>
      </c>
      <c r="CV311" s="2212">
        <v>24</v>
      </c>
      <c r="CW311" s="2208"/>
      <c r="CX311" s="263"/>
      <c r="CY311" s="2208"/>
      <c r="CZ311" s="263"/>
      <c r="DA311" s="263"/>
      <c r="DB311" s="263"/>
      <c r="DC311" s="263"/>
      <c r="DD311" s="2208"/>
    </row>
    <row r="312" spans="1:108">
      <c r="A312" s="2217">
        <f t="shared" si="162"/>
        <v>37.27193594978921</v>
      </c>
      <c r="B312" s="2217">
        <f t="shared" si="144"/>
        <v>4806.0110100160027</v>
      </c>
      <c r="C312" s="2217">
        <f t="shared" si="152"/>
        <v>42.236466043294968</v>
      </c>
      <c r="D312" s="2212">
        <v>23</v>
      </c>
      <c r="E312" s="2219"/>
      <c r="F312" s="2213"/>
      <c r="G312" s="2219"/>
      <c r="H312" s="2213"/>
      <c r="I312" s="2213"/>
      <c r="J312" s="2213"/>
      <c r="K312" s="2213"/>
      <c r="L312" s="2213"/>
      <c r="M312" s="2217">
        <f t="shared" si="163"/>
        <v>40.228488572819856</v>
      </c>
      <c r="N312" s="2217">
        <f t="shared" si="145"/>
        <v>4806.0110100160027</v>
      </c>
      <c r="O312" s="2217">
        <f t="shared" si="153"/>
        <v>42.236466043294968</v>
      </c>
      <c r="P312" s="2212">
        <v>23</v>
      </c>
      <c r="Q312" s="2219"/>
      <c r="R312" s="2213"/>
      <c r="S312" s="2219"/>
      <c r="T312" s="2213"/>
      <c r="U312" s="2213"/>
      <c r="V312" s="2213"/>
      <c r="W312" s="2213"/>
      <c r="X312" s="2213"/>
      <c r="Y312" s="2217">
        <f t="shared" si="164"/>
        <v>44.029770516716411</v>
      </c>
      <c r="Z312" s="2217">
        <f t="shared" si="154"/>
        <v>4806.0110100160027</v>
      </c>
      <c r="AA312" s="2217">
        <f t="shared" si="155"/>
        <v>42.236466043294968</v>
      </c>
      <c r="AB312" s="2212">
        <v>23</v>
      </c>
      <c r="AC312" s="2219"/>
      <c r="AD312" s="2213"/>
      <c r="AE312" s="2219"/>
      <c r="AF312" s="2213"/>
      <c r="AG312" s="2213"/>
      <c r="AH312" s="2213"/>
      <c r="AI312" s="2213"/>
      <c r="AJ312" s="2213"/>
      <c r="AK312" s="2217">
        <f t="shared" si="165"/>
        <v>25.86809011809957</v>
      </c>
      <c r="AL312" s="2217">
        <f t="shared" si="146"/>
        <v>4806.0110100160027</v>
      </c>
      <c r="AM312" s="2217">
        <f t="shared" si="156"/>
        <v>42.236466043294968</v>
      </c>
      <c r="AN312" s="2212">
        <v>23</v>
      </c>
      <c r="AO312" s="2219"/>
      <c r="AP312" s="2213"/>
      <c r="AQ312" s="2219"/>
      <c r="AR312" s="2213"/>
      <c r="AS312" s="2213"/>
      <c r="AT312" s="2213"/>
      <c r="AU312" s="2213"/>
      <c r="AV312" s="2213"/>
      <c r="AW312" s="2217">
        <f t="shared" si="166"/>
        <v>30.132658232030234</v>
      </c>
      <c r="AX312" s="2217">
        <f t="shared" si="157"/>
        <v>3948.844994796837</v>
      </c>
      <c r="AY312" s="2217">
        <f t="shared" si="147"/>
        <v>39.087413426443618</v>
      </c>
      <c r="AZ312" s="2212">
        <v>23</v>
      </c>
      <c r="BA312" s="2208"/>
      <c r="BB312" s="263"/>
      <c r="BC312" s="2208"/>
      <c r="BD312" s="263"/>
      <c r="BE312" s="263"/>
      <c r="BF312" s="263"/>
      <c r="BG312" s="263"/>
      <c r="BH312" s="2208"/>
      <c r="BI312" s="2217">
        <f t="shared" si="167"/>
        <v>42.249756394227759</v>
      </c>
      <c r="BJ312" s="2217">
        <f t="shared" si="158"/>
        <v>3948.844994796837</v>
      </c>
      <c r="BK312" s="2217">
        <f t="shared" si="148"/>
        <v>39.087413426443618</v>
      </c>
      <c r="BL312" s="2212">
        <v>23</v>
      </c>
      <c r="BM312" s="2208"/>
      <c r="BN312" s="263"/>
      <c r="BO312" s="2208"/>
      <c r="BP312" s="263"/>
      <c r="BQ312" s="263"/>
      <c r="BR312" s="263"/>
      <c r="BS312" s="263"/>
      <c r="BT312" s="2208"/>
      <c r="BU312" s="2217">
        <f t="shared" si="168"/>
        <v>25.86809011809957</v>
      </c>
      <c r="BV312" s="2217">
        <f t="shared" si="149"/>
        <v>4806.0110100160027</v>
      </c>
      <c r="BW312" s="2217">
        <f t="shared" si="159"/>
        <v>42.236466043294968</v>
      </c>
      <c r="BX312" s="2212">
        <v>23</v>
      </c>
      <c r="BY312" s="2219"/>
      <c r="BZ312" s="2213"/>
      <c r="CA312" s="2219"/>
      <c r="CB312" s="2213"/>
      <c r="CC312" s="2213"/>
      <c r="CD312" s="2213"/>
      <c r="CE312" s="2213"/>
      <c r="CF312" s="2208"/>
      <c r="CG312" s="2217">
        <f t="shared" si="169"/>
        <v>30.936466043294967</v>
      </c>
      <c r="CH312" s="2217">
        <f t="shared" si="150"/>
        <v>4806.0110100160027</v>
      </c>
      <c r="CI312" s="2217">
        <f t="shared" si="160"/>
        <v>42.236466043294968</v>
      </c>
      <c r="CJ312" s="2212">
        <v>23</v>
      </c>
      <c r="CK312" s="2219"/>
      <c r="CL312" s="2213"/>
      <c r="CM312" s="2219"/>
      <c r="CN312" s="2213"/>
      <c r="CO312" s="2213"/>
      <c r="CP312" s="2213"/>
      <c r="CQ312" s="2213"/>
      <c r="CR312" s="2208"/>
      <c r="CS312" s="2217">
        <f t="shared" si="170"/>
        <v>41.468008125698887</v>
      </c>
      <c r="CT312" s="2217">
        <f t="shared" si="161"/>
        <v>3948.844994796837</v>
      </c>
      <c r="CU312" s="2217">
        <f t="shared" si="151"/>
        <v>39.087413426443618</v>
      </c>
      <c r="CV312" s="2212">
        <v>23</v>
      </c>
      <c r="CW312" s="2208"/>
      <c r="CX312" s="263"/>
      <c r="CY312" s="2208"/>
      <c r="CZ312" s="263"/>
      <c r="DA312" s="263"/>
      <c r="DB312" s="263"/>
      <c r="DC312" s="263"/>
      <c r="DD312" s="2208"/>
    </row>
    <row r="313" spans="1:108">
      <c r="A313" s="2217">
        <f t="shared" si="162"/>
        <v>37.600305708453789</v>
      </c>
      <c r="B313" s="2217">
        <f t="shared" si="144"/>
        <v>4763.7745439727078</v>
      </c>
      <c r="C313" s="2217">
        <f t="shared" si="152"/>
        <v>42.52200496387286</v>
      </c>
      <c r="D313" s="2212">
        <v>22</v>
      </c>
      <c r="E313" s="2219"/>
      <c r="F313" s="2213"/>
      <c r="G313" s="2219"/>
      <c r="H313" s="2213"/>
      <c r="I313" s="2213"/>
      <c r="J313" s="2213"/>
      <c r="K313" s="2213"/>
      <c r="L313" s="2213"/>
      <c r="M313" s="2217">
        <f t="shared" si="163"/>
        <v>40.576846055924889</v>
      </c>
      <c r="N313" s="2217">
        <f t="shared" si="145"/>
        <v>4763.7745439727078</v>
      </c>
      <c r="O313" s="2217">
        <f t="shared" si="153"/>
        <v>42.52200496387286</v>
      </c>
      <c r="P313" s="2212">
        <v>22</v>
      </c>
      <c r="Q313" s="2219"/>
      <c r="R313" s="2213"/>
      <c r="S313" s="2219"/>
      <c r="T313" s="2213"/>
      <c r="U313" s="2213"/>
      <c r="V313" s="2213"/>
      <c r="W313" s="2213"/>
      <c r="X313" s="2213"/>
      <c r="Y313" s="2217">
        <f t="shared" si="164"/>
        <v>44.403826502673454</v>
      </c>
      <c r="Z313" s="2217">
        <f t="shared" si="154"/>
        <v>4763.7745439727078</v>
      </c>
      <c r="AA313" s="2217">
        <f t="shared" si="155"/>
        <v>42.52200496387286</v>
      </c>
      <c r="AB313" s="2212">
        <v>22</v>
      </c>
      <c r="AC313" s="2219"/>
      <c r="AD313" s="2213"/>
      <c r="AE313" s="2219"/>
      <c r="AF313" s="2213"/>
      <c r="AG313" s="2213"/>
      <c r="AH313" s="2213"/>
      <c r="AI313" s="2213"/>
      <c r="AJ313" s="2213"/>
      <c r="AK313" s="2217">
        <f t="shared" si="165"/>
        <v>26.119364368208114</v>
      </c>
      <c r="AL313" s="2217">
        <f t="shared" si="146"/>
        <v>4763.7745439727078</v>
      </c>
      <c r="AM313" s="2217">
        <f t="shared" si="156"/>
        <v>42.52200496387286</v>
      </c>
      <c r="AN313" s="2212">
        <v>22</v>
      </c>
      <c r="AO313" s="2219"/>
      <c r="AP313" s="2213"/>
      <c r="AQ313" s="2219"/>
      <c r="AR313" s="2213"/>
      <c r="AS313" s="2213"/>
      <c r="AT313" s="2213"/>
      <c r="AU313" s="2213"/>
      <c r="AV313" s="2213"/>
      <c r="AW313" s="2217">
        <f t="shared" si="166"/>
        <v>30.453696593886011</v>
      </c>
      <c r="AX313" s="2217">
        <f t="shared" si="157"/>
        <v>3909.7575813703934</v>
      </c>
      <c r="AY313" s="2217">
        <f t="shared" si="147"/>
        <v>39.390279805552836</v>
      </c>
      <c r="AZ313" s="2212">
        <v>22</v>
      </c>
      <c r="BA313" s="2208"/>
      <c r="BB313" s="263"/>
      <c r="BC313" s="2208"/>
      <c r="BD313" s="263"/>
      <c r="BE313" s="263"/>
      <c r="BF313" s="263"/>
      <c r="BG313" s="263"/>
      <c r="BH313" s="2208"/>
      <c r="BI313" s="2217">
        <f t="shared" si="167"/>
        <v>42.664683333607385</v>
      </c>
      <c r="BJ313" s="2217">
        <f t="shared" si="158"/>
        <v>3909.7575813703934</v>
      </c>
      <c r="BK313" s="2217">
        <f t="shared" si="148"/>
        <v>39.390279805552836</v>
      </c>
      <c r="BL313" s="2212">
        <v>22</v>
      </c>
      <c r="BM313" s="2208"/>
      <c r="BN313" s="263"/>
      <c r="BO313" s="2208"/>
      <c r="BP313" s="263"/>
      <c r="BQ313" s="263"/>
      <c r="BR313" s="263"/>
      <c r="BS313" s="263"/>
      <c r="BT313" s="2208"/>
      <c r="BU313" s="2217">
        <f t="shared" si="168"/>
        <v>26.119364368208114</v>
      </c>
      <c r="BV313" s="2217">
        <f t="shared" si="149"/>
        <v>4763.7745439727078</v>
      </c>
      <c r="BW313" s="2217">
        <f t="shared" si="159"/>
        <v>42.52200496387286</v>
      </c>
      <c r="BX313" s="2212">
        <v>22</v>
      </c>
      <c r="BY313" s="2219"/>
      <c r="BZ313" s="2213"/>
      <c r="CA313" s="2219"/>
      <c r="CB313" s="2213"/>
      <c r="CC313" s="2213"/>
      <c r="CD313" s="2213"/>
      <c r="CE313" s="2213"/>
      <c r="CF313" s="2208"/>
      <c r="CG313" s="2217">
        <f t="shared" si="169"/>
        <v>31.222004963872859</v>
      </c>
      <c r="CH313" s="2217">
        <f t="shared" si="150"/>
        <v>4763.7745439727078</v>
      </c>
      <c r="CI313" s="2217">
        <f t="shared" si="160"/>
        <v>42.52200496387286</v>
      </c>
      <c r="CJ313" s="2212">
        <v>22</v>
      </c>
      <c r="CK313" s="2219"/>
      <c r="CL313" s="2213"/>
      <c r="CM313" s="2219"/>
      <c r="CN313" s="2213"/>
      <c r="CO313" s="2213"/>
      <c r="CP313" s="2213"/>
      <c r="CQ313" s="2213"/>
      <c r="CR313" s="2208"/>
      <c r="CS313" s="2217">
        <f t="shared" si="170"/>
        <v>41.876877737496329</v>
      </c>
      <c r="CT313" s="2217">
        <f t="shared" si="161"/>
        <v>3909.7575813703934</v>
      </c>
      <c r="CU313" s="2217">
        <f t="shared" si="151"/>
        <v>39.390279805552836</v>
      </c>
      <c r="CV313" s="2212">
        <v>22</v>
      </c>
      <c r="CW313" s="2208"/>
      <c r="CX313" s="263"/>
      <c r="CY313" s="2208"/>
      <c r="CZ313" s="263"/>
      <c r="DA313" s="263"/>
      <c r="DB313" s="263"/>
      <c r="DC313" s="263"/>
      <c r="DD313" s="2208"/>
    </row>
    <row r="314" spans="1:108">
      <c r="A314" s="2217">
        <f t="shared" si="162"/>
        <v>37.929644374628239</v>
      </c>
      <c r="B314" s="2217">
        <f t="shared" si="144"/>
        <v>4721.2525390088349</v>
      </c>
      <c r="C314" s="2217">
        <f t="shared" si="152"/>
        <v>42.808386412720211</v>
      </c>
      <c r="D314" s="2212">
        <v>21</v>
      </c>
      <c r="E314" s="2219"/>
      <c r="F314" s="2213"/>
      <c r="G314" s="2219"/>
      <c r="H314" s="2213"/>
      <c r="I314" s="2213"/>
      <c r="J314" s="2213"/>
      <c r="K314" s="2213"/>
      <c r="L314" s="2213"/>
      <c r="M314" s="2217">
        <f t="shared" si="163"/>
        <v>40.926231423518658</v>
      </c>
      <c r="N314" s="2217">
        <f t="shared" si="145"/>
        <v>4721.2525390088349</v>
      </c>
      <c r="O314" s="2217">
        <f t="shared" si="153"/>
        <v>42.808386412720211</v>
      </c>
      <c r="P314" s="2212">
        <v>21</v>
      </c>
      <c r="Q314" s="2219"/>
      <c r="R314" s="2213"/>
      <c r="S314" s="2219"/>
      <c r="T314" s="2213"/>
      <c r="U314" s="2213"/>
      <c r="V314" s="2213"/>
      <c r="W314" s="2213"/>
      <c r="X314" s="2213"/>
      <c r="Y314" s="2217">
        <f t="shared" si="164"/>
        <v>44.778986200663482</v>
      </c>
      <c r="Z314" s="2217">
        <f t="shared" si="154"/>
        <v>4721.2525390088349</v>
      </c>
      <c r="AA314" s="2217">
        <f t="shared" si="155"/>
        <v>42.808386412720211</v>
      </c>
      <c r="AB314" s="2212">
        <v>21</v>
      </c>
      <c r="AC314" s="2219"/>
      <c r="AD314" s="2213"/>
      <c r="AE314" s="2219"/>
      <c r="AF314" s="2213"/>
      <c r="AG314" s="2213"/>
      <c r="AH314" s="2213"/>
      <c r="AI314" s="2213"/>
      <c r="AJ314" s="2213"/>
      <c r="AK314" s="2217">
        <f t="shared" si="165"/>
        <v>26.371380043193778</v>
      </c>
      <c r="AL314" s="2217">
        <f t="shared" si="146"/>
        <v>4721.2525390088349</v>
      </c>
      <c r="AM314" s="2217">
        <f t="shared" si="156"/>
        <v>42.808386412720211</v>
      </c>
      <c r="AN314" s="2212">
        <v>21</v>
      </c>
      <c r="AO314" s="2219"/>
      <c r="AP314" s="2213"/>
      <c r="AQ314" s="2219"/>
      <c r="AR314" s="2213"/>
      <c r="AS314" s="2213"/>
      <c r="AT314" s="2213"/>
      <c r="AU314" s="2213"/>
      <c r="AV314" s="2213"/>
      <c r="AW314" s="2217">
        <f t="shared" si="166"/>
        <v>30.774569675771591</v>
      </c>
      <c r="AX314" s="2217">
        <f t="shared" si="157"/>
        <v>3870.3673015648405</v>
      </c>
      <c r="AY314" s="2217">
        <f t="shared" si="147"/>
        <v>39.692990260161878</v>
      </c>
      <c r="AZ314" s="2212">
        <v>21</v>
      </c>
      <c r="BA314" s="2208"/>
      <c r="BB314" s="263"/>
      <c r="BC314" s="2208"/>
      <c r="BD314" s="263"/>
      <c r="BE314" s="263"/>
      <c r="BF314" s="263"/>
      <c r="BG314" s="263"/>
      <c r="BH314" s="2208"/>
      <c r="BI314" s="2217">
        <f t="shared" si="167"/>
        <v>43.079396656421778</v>
      </c>
      <c r="BJ314" s="2217">
        <f t="shared" si="158"/>
        <v>3870.3673015648405</v>
      </c>
      <c r="BK314" s="2217">
        <f t="shared" si="148"/>
        <v>39.692990260161878</v>
      </c>
      <c r="BL314" s="2212">
        <v>21</v>
      </c>
      <c r="BM314" s="2208"/>
      <c r="BN314" s="263"/>
      <c r="BO314" s="2208"/>
      <c r="BP314" s="263"/>
      <c r="BQ314" s="263"/>
      <c r="BR314" s="263"/>
      <c r="BS314" s="263"/>
      <c r="BT314" s="2208"/>
      <c r="BU314" s="2217">
        <f t="shared" si="168"/>
        <v>26.371380043193778</v>
      </c>
      <c r="BV314" s="2217">
        <f t="shared" si="149"/>
        <v>4721.2525390088349</v>
      </c>
      <c r="BW314" s="2217">
        <f t="shared" si="159"/>
        <v>42.808386412720211</v>
      </c>
      <c r="BX314" s="2212">
        <v>21</v>
      </c>
      <c r="BY314" s="2219"/>
      <c r="BZ314" s="2213"/>
      <c r="CA314" s="2219"/>
      <c r="CB314" s="2213"/>
      <c r="CC314" s="2213"/>
      <c r="CD314" s="2213"/>
      <c r="CE314" s="2213"/>
      <c r="CF314" s="2208"/>
      <c r="CG314" s="2217">
        <f t="shared" si="169"/>
        <v>31.50838641272021</v>
      </c>
      <c r="CH314" s="2217">
        <f t="shared" si="150"/>
        <v>4721.2525390088349</v>
      </c>
      <c r="CI314" s="2217">
        <f t="shared" si="160"/>
        <v>42.808386412720211</v>
      </c>
      <c r="CJ314" s="2212">
        <v>21</v>
      </c>
      <c r="CK314" s="2219"/>
      <c r="CL314" s="2213"/>
      <c r="CM314" s="2219"/>
      <c r="CN314" s="2213"/>
      <c r="CO314" s="2213"/>
      <c r="CP314" s="2213"/>
      <c r="CQ314" s="2213"/>
      <c r="CR314" s="2208"/>
      <c r="CS314" s="2217">
        <f t="shared" si="170"/>
        <v>42.285536851218538</v>
      </c>
      <c r="CT314" s="2217">
        <f t="shared" si="161"/>
        <v>3870.3673015648405</v>
      </c>
      <c r="CU314" s="2217">
        <f t="shared" si="151"/>
        <v>39.692990260161878</v>
      </c>
      <c r="CV314" s="2212">
        <v>21</v>
      </c>
      <c r="CW314" s="2208"/>
      <c r="CX314" s="263"/>
      <c r="CY314" s="2208"/>
      <c r="CZ314" s="263"/>
      <c r="DA314" s="263"/>
      <c r="DB314" s="263"/>
      <c r="DC314" s="263"/>
      <c r="DD314" s="2208"/>
    </row>
    <row r="315" spans="1:108">
      <c r="A315" s="2217">
        <f t="shared" si="162"/>
        <v>38.259951948313613</v>
      </c>
      <c r="B315" s="2217">
        <f t="shared" si="144"/>
        <v>4678.4441525961147</v>
      </c>
      <c r="C315" s="2217">
        <f t="shared" si="152"/>
        <v>43.09561038983793</v>
      </c>
      <c r="D315" s="2212">
        <v>20</v>
      </c>
      <c r="E315" s="2219"/>
      <c r="F315" s="2213"/>
      <c r="G315" s="2219"/>
      <c r="H315" s="2213"/>
      <c r="I315" s="2213"/>
      <c r="J315" s="2213"/>
      <c r="K315" s="2213"/>
      <c r="L315" s="2213"/>
      <c r="M315" s="2217">
        <f t="shared" si="163"/>
        <v>41.27664467560227</v>
      </c>
      <c r="N315" s="2217">
        <f t="shared" si="145"/>
        <v>4678.4441525961147</v>
      </c>
      <c r="O315" s="2217">
        <f t="shared" si="153"/>
        <v>43.09561038983793</v>
      </c>
      <c r="P315" s="2212">
        <v>20</v>
      </c>
      <c r="Q315" s="2219"/>
      <c r="R315" s="2213"/>
      <c r="S315" s="2219"/>
      <c r="T315" s="2213"/>
      <c r="U315" s="2213"/>
      <c r="V315" s="2213"/>
      <c r="W315" s="2213"/>
      <c r="X315" s="2213"/>
      <c r="Y315" s="2217">
        <f t="shared" si="164"/>
        <v>45.15524961068769</v>
      </c>
      <c r="Z315" s="2217">
        <f t="shared" si="154"/>
        <v>4678.4441525961147</v>
      </c>
      <c r="AA315" s="2217">
        <f t="shared" si="155"/>
        <v>43.09561038983793</v>
      </c>
      <c r="AB315" s="2212">
        <v>20</v>
      </c>
      <c r="AC315" s="2219"/>
      <c r="AD315" s="2213"/>
      <c r="AE315" s="2219"/>
      <c r="AF315" s="2213"/>
      <c r="AG315" s="2213"/>
      <c r="AH315" s="2213"/>
      <c r="AI315" s="2213"/>
      <c r="AJ315" s="2213"/>
      <c r="AK315" s="2217">
        <f t="shared" si="165"/>
        <v>26.624137143057371</v>
      </c>
      <c r="AL315" s="2217">
        <f t="shared" si="146"/>
        <v>4678.4441525961147</v>
      </c>
      <c r="AM315" s="2217">
        <f t="shared" si="156"/>
        <v>43.09561038983793</v>
      </c>
      <c r="AN315" s="2212">
        <v>20</v>
      </c>
      <c r="AO315" s="2219"/>
      <c r="AP315" s="2213"/>
      <c r="AQ315" s="2219"/>
      <c r="AR315" s="2213"/>
      <c r="AS315" s="2213"/>
      <c r="AT315" s="2213"/>
      <c r="AU315" s="2213"/>
      <c r="AV315" s="2213"/>
      <c r="AW315" s="2217">
        <f t="shared" si="166"/>
        <v>31.095277477686505</v>
      </c>
      <c r="AX315" s="2217">
        <f t="shared" si="157"/>
        <v>3830.6743113046787</v>
      </c>
      <c r="AY315" s="2217">
        <f t="shared" si="147"/>
        <v>39.995544790270287</v>
      </c>
      <c r="AZ315" s="2212">
        <v>20</v>
      </c>
      <c r="BA315" s="2208"/>
      <c r="BB315" s="263"/>
      <c r="BC315" s="2208"/>
      <c r="BD315" s="263"/>
      <c r="BE315" s="263"/>
      <c r="BF315" s="263"/>
      <c r="BG315" s="263"/>
      <c r="BH315" s="2208"/>
      <c r="BI315" s="2217">
        <f t="shared" si="167"/>
        <v>43.493896362670299</v>
      </c>
      <c r="BJ315" s="2217">
        <f t="shared" si="158"/>
        <v>3830.6743113046787</v>
      </c>
      <c r="BK315" s="2217">
        <f t="shared" si="148"/>
        <v>39.995544790270287</v>
      </c>
      <c r="BL315" s="2212">
        <v>20</v>
      </c>
      <c r="BM315" s="2208"/>
      <c r="BN315" s="263"/>
      <c r="BO315" s="2208"/>
      <c r="BP315" s="263"/>
      <c r="BQ315" s="263"/>
      <c r="BR315" s="263"/>
      <c r="BS315" s="263"/>
      <c r="BT315" s="2208"/>
      <c r="BU315" s="2217">
        <f t="shared" si="168"/>
        <v>26.624137143057371</v>
      </c>
      <c r="BV315" s="2217">
        <f t="shared" si="149"/>
        <v>4678.4441525961147</v>
      </c>
      <c r="BW315" s="2217">
        <f t="shared" si="159"/>
        <v>43.09561038983793</v>
      </c>
      <c r="BX315" s="2212">
        <v>20</v>
      </c>
      <c r="BY315" s="2219"/>
      <c r="BZ315" s="2213"/>
      <c r="CA315" s="2219"/>
      <c r="CB315" s="2213"/>
      <c r="CC315" s="2213"/>
      <c r="CD315" s="2213"/>
      <c r="CE315" s="2213"/>
      <c r="CF315" s="2208"/>
      <c r="CG315" s="2217">
        <f t="shared" si="169"/>
        <v>31.795610389837929</v>
      </c>
      <c r="CH315" s="2217">
        <f t="shared" si="150"/>
        <v>4678.4441525961147</v>
      </c>
      <c r="CI315" s="2217">
        <f t="shared" si="160"/>
        <v>43.09561038983793</v>
      </c>
      <c r="CJ315" s="2212">
        <v>20</v>
      </c>
      <c r="CK315" s="2219"/>
      <c r="CL315" s="2213"/>
      <c r="CM315" s="2219"/>
      <c r="CN315" s="2213"/>
      <c r="CO315" s="2213"/>
      <c r="CP315" s="2213"/>
      <c r="CQ315" s="2213"/>
      <c r="CR315" s="2208"/>
      <c r="CS315" s="2217">
        <f t="shared" si="170"/>
        <v>42.693985466864888</v>
      </c>
      <c r="CT315" s="2217">
        <f t="shared" si="161"/>
        <v>3830.6743113046787</v>
      </c>
      <c r="CU315" s="2217">
        <f t="shared" si="151"/>
        <v>39.995544790270287</v>
      </c>
      <c r="CV315" s="2212">
        <v>20</v>
      </c>
      <c r="CW315" s="2208"/>
      <c r="CX315" s="263"/>
      <c r="CY315" s="2208"/>
      <c r="CZ315" s="263"/>
      <c r="DA315" s="263"/>
      <c r="DB315" s="263"/>
      <c r="DC315" s="263"/>
      <c r="DD315" s="2208"/>
    </row>
    <row r="316" spans="1:108">
      <c r="A316" s="2217">
        <f t="shared" si="162"/>
        <v>38.591228429507822</v>
      </c>
      <c r="B316" s="2217">
        <f t="shared" si="144"/>
        <v>4635.3485422062768</v>
      </c>
      <c r="C316" s="2217">
        <f t="shared" si="152"/>
        <v>43.383676895224198</v>
      </c>
      <c r="D316" s="2212">
        <v>19</v>
      </c>
      <c r="E316" s="2219"/>
      <c r="F316" s="2213"/>
      <c r="G316" s="2219"/>
      <c r="H316" s="2213"/>
      <c r="I316" s="2213"/>
      <c r="J316" s="2213"/>
      <c r="K316" s="2213"/>
      <c r="L316" s="2213"/>
      <c r="M316" s="2217">
        <f t="shared" si="163"/>
        <v>41.628085812173524</v>
      </c>
      <c r="N316" s="2217">
        <f t="shared" si="145"/>
        <v>4635.3485422062768</v>
      </c>
      <c r="O316" s="2217">
        <f t="shared" si="153"/>
        <v>43.383676895224198</v>
      </c>
      <c r="P316" s="2212">
        <v>19</v>
      </c>
      <c r="Q316" s="2219"/>
      <c r="R316" s="2213"/>
      <c r="S316" s="2219"/>
      <c r="T316" s="2213"/>
      <c r="U316" s="2213"/>
      <c r="V316" s="2213"/>
      <c r="W316" s="2213"/>
      <c r="X316" s="2213"/>
      <c r="Y316" s="2217">
        <f t="shared" si="164"/>
        <v>45.532616732743705</v>
      </c>
      <c r="Z316" s="2217">
        <f t="shared" si="154"/>
        <v>4635.3485422062768</v>
      </c>
      <c r="AA316" s="2217">
        <f t="shared" si="155"/>
        <v>43.383676895224198</v>
      </c>
      <c r="AB316" s="2212">
        <v>19</v>
      </c>
      <c r="AC316" s="2219"/>
      <c r="AD316" s="2213"/>
      <c r="AE316" s="2219"/>
      <c r="AF316" s="2213"/>
      <c r="AG316" s="2213"/>
      <c r="AH316" s="2213"/>
      <c r="AI316" s="2213"/>
      <c r="AJ316" s="2213"/>
      <c r="AK316" s="2217">
        <f t="shared" si="165"/>
        <v>26.877635667797289</v>
      </c>
      <c r="AL316" s="2217">
        <f t="shared" si="146"/>
        <v>4635.3485422062768</v>
      </c>
      <c r="AM316" s="2217">
        <f t="shared" si="156"/>
        <v>43.383676895224198</v>
      </c>
      <c r="AN316" s="2212">
        <v>19</v>
      </c>
      <c r="AO316" s="2219"/>
      <c r="AP316" s="2213"/>
      <c r="AQ316" s="2219"/>
      <c r="AR316" s="2213"/>
      <c r="AS316" s="2213"/>
      <c r="AT316" s="2213"/>
      <c r="AU316" s="2213"/>
      <c r="AV316" s="2213"/>
      <c r="AW316" s="2217">
        <f t="shared" si="166"/>
        <v>31.415819999631236</v>
      </c>
      <c r="AX316" s="2217">
        <f t="shared" si="157"/>
        <v>3790.6787665144084</v>
      </c>
      <c r="AY316" s="2217">
        <f t="shared" si="147"/>
        <v>40.297943395878519</v>
      </c>
      <c r="AZ316" s="2212">
        <v>19</v>
      </c>
      <c r="BA316" s="2208"/>
      <c r="BB316" s="263"/>
      <c r="BC316" s="2208"/>
      <c r="BD316" s="263"/>
      <c r="BE316" s="263"/>
      <c r="BF316" s="263"/>
      <c r="BG316" s="263"/>
      <c r="BH316" s="2208"/>
      <c r="BI316" s="2217">
        <f t="shared" si="167"/>
        <v>43.908182452353572</v>
      </c>
      <c r="BJ316" s="2217">
        <f t="shared" si="158"/>
        <v>3790.6787665144084</v>
      </c>
      <c r="BK316" s="2217">
        <f t="shared" si="148"/>
        <v>40.297943395878519</v>
      </c>
      <c r="BL316" s="2212">
        <v>19</v>
      </c>
      <c r="BM316" s="2208"/>
      <c r="BN316" s="263"/>
      <c r="BO316" s="2208"/>
      <c r="BP316" s="263"/>
      <c r="BQ316" s="263"/>
      <c r="BR316" s="263"/>
      <c r="BS316" s="263"/>
      <c r="BT316" s="2208"/>
      <c r="BU316" s="2217">
        <f t="shared" si="168"/>
        <v>26.877635667797289</v>
      </c>
      <c r="BV316" s="2217">
        <f t="shared" si="149"/>
        <v>4635.3485422062768</v>
      </c>
      <c r="BW316" s="2217">
        <f t="shared" si="159"/>
        <v>43.383676895224198</v>
      </c>
      <c r="BX316" s="2212">
        <v>19</v>
      </c>
      <c r="BY316" s="2219"/>
      <c r="BZ316" s="2213"/>
      <c r="CA316" s="2219"/>
      <c r="CB316" s="2213"/>
      <c r="CC316" s="2213"/>
      <c r="CD316" s="2213"/>
      <c r="CE316" s="2213"/>
      <c r="CF316" s="2208"/>
      <c r="CG316" s="2217">
        <f t="shared" si="169"/>
        <v>32.083676895224201</v>
      </c>
      <c r="CH316" s="2217">
        <f t="shared" si="150"/>
        <v>4635.3485422062768</v>
      </c>
      <c r="CI316" s="2217">
        <f t="shared" si="160"/>
        <v>43.383676895224198</v>
      </c>
      <c r="CJ316" s="2212">
        <v>19</v>
      </c>
      <c r="CK316" s="2219"/>
      <c r="CL316" s="2213"/>
      <c r="CM316" s="2219"/>
      <c r="CN316" s="2213"/>
      <c r="CO316" s="2213"/>
      <c r="CP316" s="2213"/>
      <c r="CQ316" s="2213"/>
      <c r="CR316" s="2208"/>
      <c r="CS316" s="2217">
        <f t="shared" si="170"/>
        <v>43.102223584436004</v>
      </c>
      <c r="CT316" s="2217">
        <f t="shared" si="161"/>
        <v>3790.6787665144084</v>
      </c>
      <c r="CU316" s="2217">
        <f t="shared" si="151"/>
        <v>40.297943395878519</v>
      </c>
      <c r="CV316" s="2212">
        <v>19</v>
      </c>
      <c r="CW316" s="2208"/>
      <c r="CX316" s="263"/>
      <c r="CY316" s="2208"/>
      <c r="CZ316" s="263"/>
      <c r="DA316" s="263"/>
      <c r="DB316" s="263"/>
      <c r="DC316" s="263"/>
      <c r="DD316" s="2208"/>
    </row>
    <row r="317" spans="1:108">
      <c r="A317" s="2217">
        <f t="shared" si="162"/>
        <v>38.923473818214006</v>
      </c>
      <c r="B317" s="2217">
        <f t="shared" si="144"/>
        <v>4591.9648653110526</v>
      </c>
      <c r="C317" s="2217">
        <f t="shared" si="152"/>
        <v>43.672585928881745</v>
      </c>
      <c r="D317" s="2212">
        <v>18</v>
      </c>
      <c r="E317" s="2219"/>
      <c r="F317" s="2213"/>
      <c r="G317" s="2219"/>
      <c r="H317" s="2213"/>
      <c r="I317" s="2213"/>
      <c r="J317" s="2213"/>
      <c r="K317" s="2213"/>
      <c r="L317" s="2213"/>
      <c r="M317" s="2217">
        <f t="shared" si="163"/>
        <v>41.980554833235729</v>
      </c>
      <c r="N317" s="2217">
        <f t="shared" si="145"/>
        <v>4591.9648653110526</v>
      </c>
      <c r="O317" s="2217">
        <f t="shared" si="153"/>
        <v>43.672585928881745</v>
      </c>
      <c r="P317" s="2212">
        <v>18</v>
      </c>
      <c r="Q317" s="2219"/>
      <c r="R317" s="2213"/>
      <c r="S317" s="2219"/>
      <c r="T317" s="2213"/>
      <c r="U317" s="2213"/>
      <c r="V317" s="2213"/>
      <c r="W317" s="2213"/>
      <c r="X317" s="2213"/>
      <c r="Y317" s="2217">
        <f t="shared" si="164"/>
        <v>45.911087566835093</v>
      </c>
      <c r="Z317" s="2217">
        <f t="shared" si="154"/>
        <v>4591.9648653110526</v>
      </c>
      <c r="AA317" s="2217">
        <f t="shared" si="155"/>
        <v>43.672585928881745</v>
      </c>
      <c r="AB317" s="2212">
        <v>18</v>
      </c>
      <c r="AC317" s="2219"/>
      <c r="AD317" s="2213"/>
      <c r="AE317" s="2219"/>
      <c r="AF317" s="2213"/>
      <c r="AG317" s="2213"/>
      <c r="AH317" s="2213"/>
      <c r="AI317" s="2213"/>
      <c r="AJ317" s="2213"/>
      <c r="AK317" s="2217">
        <f t="shared" si="165"/>
        <v>27.131875617415933</v>
      </c>
      <c r="AL317" s="2217">
        <f t="shared" si="146"/>
        <v>4591.9648653110526</v>
      </c>
      <c r="AM317" s="2217">
        <f t="shared" si="156"/>
        <v>43.672585928881745</v>
      </c>
      <c r="AN317" s="2212">
        <v>18</v>
      </c>
      <c r="AO317" s="2219"/>
      <c r="AP317" s="2213"/>
      <c r="AQ317" s="2219"/>
      <c r="AR317" s="2213"/>
      <c r="AS317" s="2213"/>
      <c r="AT317" s="2213"/>
      <c r="AU317" s="2213"/>
      <c r="AV317" s="2213"/>
      <c r="AW317" s="2217">
        <f t="shared" si="166"/>
        <v>31.736197241605286</v>
      </c>
      <c r="AX317" s="2217">
        <f t="shared" si="157"/>
        <v>3750.3808231185299</v>
      </c>
      <c r="AY317" s="2217">
        <f t="shared" si="147"/>
        <v>40.60018607698612</v>
      </c>
      <c r="AZ317" s="2212">
        <v>18</v>
      </c>
      <c r="BA317" s="2208"/>
      <c r="BB317" s="263"/>
      <c r="BC317" s="2208"/>
      <c r="BD317" s="263"/>
      <c r="BE317" s="263"/>
      <c r="BF317" s="263"/>
      <c r="BG317" s="263"/>
      <c r="BH317" s="2208"/>
      <c r="BI317" s="2217">
        <f t="shared" si="167"/>
        <v>44.322254925470986</v>
      </c>
      <c r="BJ317" s="2217">
        <f t="shared" si="158"/>
        <v>3750.3808231185299</v>
      </c>
      <c r="BK317" s="2217">
        <f t="shared" si="148"/>
        <v>40.60018607698612</v>
      </c>
      <c r="BL317" s="2212">
        <v>18</v>
      </c>
      <c r="BM317" s="2208"/>
      <c r="BN317" s="263"/>
      <c r="BO317" s="2208"/>
      <c r="BP317" s="263"/>
      <c r="BQ317" s="263"/>
      <c r="BR317" s="263"/>
      <c r="BS317" s="263"/>
      <c r="BT317" s="2208"/>
      <c r="BU317" s="2217">
        <f t="shared" si="168"/>
        <v>27.131875617415933</v>
      </c>
      <c r="BV317" s="2217">
        <f t="shared" si="149"/>
        <v>4591.9648653110526</v>
      </c>
      <c r="BW317" s="2217">
        <f t="shared" si="159"/>
        <v>43.672585928881745</v>
      </c>
      <c r="BX317" s="2212">
        <v>18</v>
      </c>
      <c r="BY317" s="2219"/>
      <c r="BZ317" s="2213"/>
      <c r="CA317" s="2219"/>
      <c r="CB317" s="2213"/>
      <c r="CC317" s="2213"/>
      <c r="CD317" s="2213"/>
      <c r="CE317" s="2213"/>
      <c r="CF317" s="2208"/>
      <c r="CG317" s="2217">
        <f t="shared" si="169"/>
        <v>32.372585928881747</v>
      </c>
      <c r="CH317" s="2217">
        <f t="shared" si="150"/>
        <v>4591.9648653110526</v>
      </c>
      <c r="CI317" s="2217">
        <f t="shared" si="160"/>
        <v>43.672585928881745</v>
      </c>
      <c r="CJ317" s="2212">
        <v>18</v>
      </c>
      <c r="CK317" s="2219"/>
      <c r="CL317" s="2213"/>
      <c r="CM317" s="2219"/>
      <c r="CN317" s="2213"/>
      <c r="CO317" s="2213"/>
      <c r="CP317" s="2213"/>
      <c r="CQ317" s="2213"/>
      <c r="CR317" s="2208"/>
      <c r="CS317" s="2217">
        <f t="shared" si="170"/>
        <v>43.510251203931261</v>
      </c>
      <c r="CT317" s="2217">
        <f t="shared" si="161"/>
        <v>3750.3808231185299</v>
      </c>
      <c r="CU317" s="2217">
        <f t="shared" si="151"/>
        <v>40.60018607698612</v>
      </c>
      <c r="CV317" s="2212">
        <v>18</v>
      </c>
      <c r="CW317" s="2208"/>
      <c r="CX317" s="263"/>
      <c r="CY317" s="2208"/>
      <c r="CZ317" s="263"/>
      <c r="DA317" s="263"/>
      <c r="DB317" s="263"/>
      <c r="DC317" s="263"/>
      <c r="DD317" s="2208"/>
    </row>
    <row r="318" spans="1:108">
      <c r="A318" s="2217">
        <f t="shared" si="162"/>
        <v>39.256688114429011</v>
      </c>
      <c r="B318" s="2217">
        <f t="shared" si="144"/>
        <v>4548.2922793821708</v>
      </c>
      <c r="C318" s="2217">
        <f t="shared" si="152"/>
        <v>43.96233749080784</v>
      </c>
      <c r="D318" s="2212">
        <v>17</v>
      </c>
      <c r="E318" s="2219"/>
      <c r="F318" s="2213"/>
      <c r="G318" s="2219"/>
      <c r="H318" s="2213"/>
      <c r="I318" s="2213"/>
      <c r="J318" s="2213"/>
      <c r="K318" s="2213"/>
      <c r="L318" s="2213"/>
      <c r="M318" s="2217">
        <f t="shared" si="163"/>
        <v>42.334051738785561</v>
      </c>
      <c r="N318" s="2217">
        <f t="shared" si="145"/>
        <v>4548.2922793821708</v>
      </c>
      <c r="O318" s="2217">
        <f t="shared" si="153"/>
        <v>43.96233749080784</v>
      </c>
      <c r="P318" s="2212">
        <v>17</v>
      </c>
      <c r="Q318" s="2219"/>
      <c r="R318" s="2213"/>
      <c r="S318" s="2219"/>
      <c r="T318" s="2213"/>
      <c r="U318" s="2213"/>
      <c r="V318" s="2213"/>
      <c r="W318" s="2213"/>
      <c r="X318" s="2213"/>
      <c r="Y318" s="2217">
        <f t="shared" si="164"/>
        <v>46.290662112958273</v>
      </c>
      <c r="Z318" s="2217">
        <f t="shared" si="154"/>
        <v>4548.2922793821708</v>
      </c>
      <c r="AA318" s="2217">
        <f t="shared" si="155"/>
        <v>43.96233749080784</v>
      </c>
      <c r="AB318" s="2212">
        <v>17</v>
      </c>
      <c r="AC318" s="2219"/>
      <c r="AD318" s="2213"/>
      <c r="AE318" s="2219"/>
      <c r="AF318" s="2213"/>
      <c r="AG318" s="2213"/>
      <c r="AH318" s="2213"/>
      <c r="AI318" s="2213"/>
      <c r="AJ318" s="2213"/>
      <c r="AK318" s="2217">
        <f t="shared" si="165"/>
        <v>27.386856991910893</v>
      </c>
      <c r="AL318" s="2217">
        <f t="shared" si="146"/>
        <v>4548.2922793821708</v>
      </c>
      <c r="AM318" s="2217">
        <f t="shared" si="156"/>
        <v>43.96233749080784</v>
      </c>
      <c r="AN318" s="2212">
        <v>17</v>
      </c>
      <c r="AO318" s="2219"/>
      <c r="AP318" s="2213"/>
      <c r="AQ318" s="2219"/>
      <c r="AR318" s="2213"/>
      <c r="AS318" s="2213"/>
      <c r="AT318" s="2213"/>
      <c r="AU318" s="2213"/>
      <c r="AV318" s="2213"/>
      <c r="AW318" s="2217">
        <f t="shared" si="166"/>
        <v>32.056409203608681</v>
      </c>
      <c r="AX318" s="2217">
        <f t="shared" si="157"/>
        <v>3709.7806370415437</v>
      </c>
      <c r="AY318" s="2217">
        <f t="shared" si="147"/>
        <v>40.902272833593088</v>
      </c>
      <c r="AZ318" s="2212">
        <v>17</v>
      </c>
      <c r="BA318" s="2208"/>
      <c r="BB318" s="263"/>
      <c r="BC318" s="2208"/>
      <c r="BD318" s="263"/>
      <c r="BE318" s="263"/>
      <c r="BF318" s="263"/>
      <c r="BG318" s="263"/>
      <c r="BH318" s="2208"/>
      <c r="BI318" s="2217">
        <f t="shared" si="167"/>
        <v>44.736113782022528</v>
      </c>
      <c r="BJ318" s="2217">
        <f t="shared" si="158"/>
        <v>3709.7806370415437</v>
      </c>
      <c r="BK318" s="2217">
        <f t="shared" si="148"/>
        <v>40.902272833593088</v>
      </c>
      <c r="BL318" s="2212">
        <v>17</v>
      </c>
      <c r="BM318" s="2208"/>
      <c r="BN318" s="263"/>
      <c r="BO318" s="2208"/>
      <c r="BP318" s="263"/>
      <c r="BQ318" s="263"/>
      <c r="BR318" s="263"/>
      <c r="BS318" s="263"/>
      <c r="BT318" s="2208"/>
      <c r="BU318" s="2217">
        <f t="shared" si="168"/>
        <v>27.386856991910893</v>
      </c>
      <c r="BV318" s="2217">
        <f t="shared" si="149"/>
        <v>4548.2922793821708</v>
      </c>
      <c r="BW318" s="2217">
        <f t="shared" si="159"/>
        <v>43.96233749080784</v>
      </c>
      <c r="BX318" s="2212">
        <v>17</v>
      </c>
      <c r="BY318" s="2219"/>
      <c r="BZ318" s="2213"/>
      <c r="CA318" s="2219"/>
      <c r="CB318" s="2213"/>
      <c r="CC318" s="2213"/>
      <c r="CD318" s="2213"/>
      <c r="CE318" s="2213"/>
      <c r="CF318" s="2208"/>
      <c r="CG318" s="2217">
        <f t="shared" si="169"/>
        <v>32.662337490807843</v>
      </c>
      <c r="CH318" s="2217">
        <f t="shared" si="150"/>
        <v>4548.2922793821708</v>
      </c>
      <c r="CI318" s="2217">
        <f t="shared" si="160"/>
        <v>43.96233749080784</v>
      </c>
      <c r="CJ318" s="2212">
        <v>17</v>
      </c>
      <c r="CK318" s="2219"/>
      <c r="CL318" s="2213"/>
      <c r="CM318" s="2219"/>
      <c r="CN318" s="2213"/>
      <c r="CO318" s="2213"/>
      <c r="CP318" s="2213"/>
      <c r="CQ318" s="2213"/>
      <c r="CR318" s="2208"/>
      <c r="CS318" s="2217">
        <f t="shared" si="170"/>
        <v>43.918068325350674</v>
      </c>
      <c r="CT318" s="2217">
        <f t="shared" si="161"/>
        <v>3709.7806370415437</v>
      </c>
      <c r="CU318" s="2217">
        <f t="shared" si="151"/>
        <v>40.902272833593088</v>
      </c>
      <c r="CV318" s="2212">
        <v>17</v>
      </c>
      <c r="CW318" s="2208"/>
      <c r="CX318" s="263"/>
      <c r="CY318" s="2208"/>
      <c r="CZ318" s="263"/>
      <c r="DA318" s="263"/>
      <c r="DB318" s="263"/>
      <c r="DC318" s="263"/>
      <c r="DD318" s="2208"/>
    </row>
    <row r="319" spans="1:108">
      <c r="A319" s="2217">
        <f t="shared" si="162"/>
        <v>39.590871318153901</v>
      </c>
      <c r="B319" s="2217">
        <f t="shared" si="144"/>
        <v>4504.329941891363</v>
      </c>
      <c r="C319" s="2217">
        <f t="shared" si="152"/>
        <v>44.252931581003395</v>
      </c>
      <c r="D319" s="2212">
        <v>16</v>
      </c>
      <c r="E319" s="2219"/>
      <c r="F319" s="2213"/>
      <c r="G319" s="2219"/>
      <c r="H319" s="2213"/>
      <c r="I319" s="2213"/>
      <c r="J319" s="2213"/>
      <c r="K319" s="2213"/>
      <c r="L319" s="2213"/>
      <c r="M319" s="2217">
        <f t="shared" si="163"/>
        <v>42.688576528824143</v>
      </c>
      <c r="N319" s="2217">
        <f t="shared" si="145"/>
        <v>4504.329941891363</v>
      </c>
      <c r="O319" s="2217">
        <f t="shared" si="153"/>
        <v>44.252931581003395</v>
      </c>
      <c r="P319" s="2212">
        <v>16</v>
      </c>
      <c r="Q319" s="2219"/>
      <c r="R319" s="2213"/>
      <c r="S319" s="2219"/>
      <c r="T319" s="2213"/>
      <c r="U319" s="2213"/>
      <c r="V319" s="2213"/>
      <c r="W319" s="2213"/>
      <c r="X319" s="2213"/>
      <c r="Y319" s="2217">
        <f t="shared" si="164"/>
        <v>46.671340371114454</v>
      </c>
      <c r="Z319" s="2217">
        <f t="shared" si="154"/>
        <v>4504.329941891363</v>
      </c>
      <c r="AA319" s="2217">
        <f t="shared" si="155"/>
        <v>44.252931581003395</v>
      </c>
      <c r="AB319" s="2212">
        <v>16</v>
      </c>
      <c r="AC319" s="2219"/>
      <c r="AD319" s="2213"/>
      <c r="AE319" s="2219"/>
      <c r="AF319" s="2213"/>
      <c r="AG319" s="2213"/>
      <c r="AH319" s="2213"/>
      <c r="AI319" s="2213"/>
      <c r="AJ319" s="2213"/>
      <c r="AK319" s="2217">
        <f t="shared" si="165"/>
        <v>27.64257979128298</v>
      </c>
      <c r="AL319" s="2217">
        <f t="shared" si="146"/>
        <v>4504.329941891363</v>
      </c>
      <c r="AM319" s="2217">
        <f t="shared" si="156"/>
        <v>44.252931581003395</v>
      </c>
      <c r="AN319" s="2212">
        <v>16</v>
      </c>
      <c r="AO319" s="2219"/>
      <c r="AP319" s="2213"/>
      <c r="AQ319" s="2219"/>
      <c r="AR319" s="2213"/>
      <c r="AS319" s="2213"/>
      <c r="AT319" s="2213"/>
      <c r="AU319" s="2213"/>
      <c r="AV319" s="2213"/>
      <c r="AW319" s="2217">
        <f t="shared" si="166"/>
        <v>32.376455885641391</v>
      </c>
      <c r="AX319" s="2217">
        <f t="shared" si="157"/>
        <v>3668.8783642079507</v>
      </c>
      <c r="AY319" s="2217">
        <f t="shared" si="147"/>
        <v>41.204203665699424</v>
      </c>
      <c r="AZ319" s="2212">
        <v>16</v>
      </c>
      <c r="BA319" s="2208"/>
      <c r="BB319" s="263"/>
      <c r="BC319" s="2208"/>
      <c r="BD319" s="263"/>
      <c r="BE319" s="263"/>
      <c r="BF319" s="263"/>
      <c r="BG319" s="263"/>
      <c r="BH319" s="2208"/>
      <c r="BI319" s="2217">
        <f t="shared" si="167"/>
        <v>45.149759022008212</v>
      </c>
      <c r="BJ319" s="2217">
        <f t="shared" si="158"/>
        <v>3668.8783642079507</v>
      </c>
      <c r="BK319" s="2217">
        <f t="shared" si="148"/>
        <v>41.204203665699424</v>
      </c>
      <c r="BL319" s="2212">
        <v>16</v>
      </c>
      <c r="BM319" s="2208"/>
      <c r="BN319" s="263"/>
      <c r="BO319" s="2208"/>
      <c r="BP319" s="263"/>
      <c r="BQ319" s="263"/>
      <c r="BR319" s="263"/>
      <c r="BS319" s="263"/>
      <c r="BT319" s="2208"/>
      <c r="BU319" s="2217">
        <f t="shared" si="168"/>
        <v>27.64257979128298</v>
      </c>
      <c r="BV319" s="2217">
        <f t="shared" si="149"/>
        <v>4504.329941891363</v>
      </c>
      <c r="BW319" s="2217">
        <f t="shared" si="159"/>
        <v>44.252931581003395</v>
      </c>
      <c r="BX319" s="2212">
        <v>16</v>
      </c>
      <c r="BY319" s="2219"/>
      <c r="BZ319" s="2213"/>
      <c r="CA319" s="2219"/>
      <c r="CB319" s="2213"/>
      <c r="CC319" s="2213"/>
      <c r="CD319" s="2213"/>
      <c r="CE319" s="2213"/>
      <c r="CF319" s="2208"/>
      <c r="CG319" s="2217">
        <f t="shared" si="169"/>
        <v>32.952931581003398</v>
      </c>
      <c r="CH319" s="2217">
        <f t="shared" si="150"/>
        <v>4504.329941891363</v>
      </c>
      <c r="CI319" s="2217">
        <f t="shared" si="160"/>
        <v>44.252931581003395</v>
      </c>
      <c r="CJ319" s="2212">
        <v>16</v>
      </c>
      <c r="CK319" s="2219"/>
      <c r="CL319" s="2213"/>
      <c r="CM319" s="2219"/>
      <c r="CN319" s="2213"/>
      <c r="CO319" s="2213"/>
      <c r="CP319" s="2213"/>
      <c r="CQ319" s="2213"/>
      <c r="CR319" s="2208"/>
      <c r="CS319" s="2217">
        <f t="shared" si="170"/>
        <v>44.325674948694228</v>
      </c>
      <c r="CT319" s="2217">
        <f t="shared" si="161"/>
        <v>3668.8783642079507</v>
      </c>
      <c r="CU319" s="2217">
        <f t="shared" si="151"/>
        <v>41.204203665699424</v>
      </c>
      <c r="CV319" s="2212">
        <v>16</v>
      </c>
      <c r="CW319" s="2208"/>
      <c r="CX319" s="263"/>
      <c r="CY319" s="2208"/>
      <c r="CZ319" s="263"/>
      <c r="DA319" s="263"/>
      <c r="DB319" s="263"/>
      <c r="DC319" s="263"/>
      <c r="DD319" s="2208"/>
    </row>
    <row r="320" spans="1:108">
      <c r="A320" s="2217">
        <f t="shared" si="162"/>
        <v>39.926023429389716</v>
      </c>
      <c r="B320" s="2217">
        <f t="shared" si="144"/>
        <v>4460.0770103103596</v>
      </c>
      <c r="C320" s="2217">
        <f t="shared" si="152"/>
        <v>44.544368199469318</v>
      </c>
      <c r="D320" s="2212">
        <v>15</v>
      </c>
      <c r="E320" s="2219"/>
      <c r="F320" s="2213"/>
      <c r="G320" s="2219"/>
      <c r="H320" s="2213"/>
      <c r="I320" s="2213"/>
      <c r="J320" s="2213"/>
      <c r="K320" s="2213"/>
      <c r="L320" s="2213"/>
      <c r="M320" s="2217">
        <f t="shared" si="163"/>
        <v>43.044129203352568</v>
      </c>
      <c r="N320" s="2217">
        <f t="shared" si="145"/>
        <v>4460.0770103103596</v>
      </c>
      <c r="O320" s="2217">
        <f t="shared" si="153"/>
        <v>44.544368199469318</v>
      </c>
      <c r="P320" s="2212">
        <v>15</v>
      </c>
      <c r="Q320" s="2219"/>
      <c r="R320" s="2213"/>
      <c r="S320" s="2219"/>
      <c r="T320" s="2213"/>
      <c r="U320" s="2213"/>
      <c r="V320" s="2213"/>
      <c r="W320" s="2213"/>
      <c r="X320" s="2213"/>
      <c r="Y320" s="2217">
        <f t="shared" si="164"/>
        <v>47.053122341304814</v>
      </c>
      <c r="Z320" s="2217">
        <f t="shared" si="154"/>
        <v>4460.0770103103596</v>
      </c>
      <c r="AA320" s="2217">
        <f t="shared" si="155"/>
        <v>44.544368199469318</v>
      </c>
      <c r="AB320" s="2212">
        <v>15</v>
      </c>
      <c r="AC320" s="2219"/>
      <c r="AD320" s="2213"/>
      <c r="AE320" s="2219"/>
      <c r="AF320" s="2213"/>
      <c r="AG320" s="2213"/>
      <c r="AH320" s="2213"/>
      <c r="AI320" s="2213"/>
      <c r="AJ320" s="2213"/>
      <c r="AK320" s="2217">
        <f t="shared" si="165"/>
        <v>27.899044015532997</v>
      </c>
      <c r="AL320" s="2217">
        <f t="shared" si="146"/>
        <v>4460.0770103103596</v>
      </c>
      <c r="AM320" s="2217">
        <f t="shared" si="156"/>
        <v>44.544368199469318</v>
      </c>
      <c r="AN320" s="2212">
        <v>15</v>
      </c>
      <c r="AO320" s="2219"/>
      <c r="AP320" s="2213"/>
      <c r="AQ320" s="2219"/>
      <c r="AR320" s="2213"/>
      <c r="AS320" s="2213"/>
      <c r="AT320" s="2213"/>
      <c r="AU320" s="2213"/>
      <c r="AV320" s="2213"/>
      <c r="AW320" s="2217">
        <f t="shared" si="166"/>
        <v>32.696337287703443</v>
      </c>
      <c r="AX320" s="2217">
        <f t="shared" si="157"/>
        <v>3627.6741605422512</v>
      </c>
      <c r="AY320" s="2217">
        <f t="shared" si="147"/>
        <v>41.505978573305129</v>
      </c>
      <c r="AZ320" s="2212">
        <v>15</v>
      </c>
      <c r="BA320" s="2208"/>
      <c r="BB320" s="263"/>
      <c r="BC320" s="2208"/>
      <c r="BD320" s="263"/>
      <c r="BE320" s="263"/>
      <c r="BF320" s="263"/>
      <c r="BG320" s="263"/>
      <c r="BH320" s="2208"/>
      <c r="BI320" s="2217">
        <f t="shared" si="167"/>
        <v>45.563190645428037</v>
      </c>
      <c r="BJ320" s="2217">
        <f t="shared" si="158"/>
        <v>3627.6741605422512</v>
      </c>
      <c r="BK320" s="2217">
        <f t="shared" si="148"/>
        <v>41.505978573305129</v>
      </c>
      <c r="BL320" s="2212">
        <v>15</v>
      </c>
      <c r="BM320" s="2208"/>
      <c r="BN320" s="263"/>
      <c r="BO320" s="2208"/>
      <c r="BP320" s="263"/>
      <c r="BQ320" s="263"/>
      <c r="BR320" s="263"/>
      <c r="BS320" s="263"/>
      <c r="BT320" s="2208"/>
      <c r="BU320" s="2217">
        <f t="shared" si="168"/>
        <v>27.899044015532997</v>
      </c>
      <c r="BV320" s="2217">
        <f t="shared" si="149"/>
        <v>4460.0770103103596</v>
      </c>
      <c r="BW320" s="2217">
        <f t="shared" si="159"/>
        <v>44.544368199469318</v>
      </c>
      <c r="BX320" s="2212">
        <v>15</v>
      </c>
      <c r="BY320" s="2219"/>
      <c r="BZ320" s="2213"/>
      <c r="CA320" s="2219"/>
      <c r="CB320" s="2213"/>
      <c r="CC320" s="2213"/>
      <c r="CD320" s="2213"/>
      <c r="CE320" s="2213"/>
      <c r="CF320" s="2208"/>
      <c r="CG320" s="2217">
        <f t="shared" si="169"/>
        <v>33.244368199469321</v>
      </c>
      <c r="CH320" s="2217">
        <f t="shared" si="150"/>
        <v>4460.0770103103596</v>
      </c>
      <c r="CI320" s="2217">
        <f t="shared" si="160"/>
        <v>44.544368199469318</v>
      </c>
      <c r="CJ320" s="2212">
        <v>15</v>
      </c>
      <c r="CK320" s="2219"/>
      <c r="CL320" s="2213"/>
      <c r="CM320" s="2219"/>
      <c r="CN320" s="2213"/>
      <c r="CO320" s="2213"/>
      <c r="CP320" s="2213"/>
      <c r="CQ320" s="2213"/>
      <c r="CR320" s="2208"/>
      <c r="CS320" s="2217">
        <f t="shared" si="170"/>
        <v>44.733071073961924</v>
      </c>
      <c r="CT320" s="2217">
        <f t="shared" si="161"/>
        <v>3627.6741605422512</v>
      </c>
      <c r="CU320" s="2217">
        <f t="shared" si="151"/>
        <v>41.505978573305129</v>
      </c>
      <c r="CV320" s="2212">
        <v>15</v>
      </c>
      <c r="CW320" s="2208"/>
      <c r="CX320" s="263"/>
      <c r="CY320" s="2208"/>
      <c r="CZ320" s="263"/>
      <c r="DA320" s="263"/>
      <c r="DB320" s="263"/>
      <c r="DC320" s="263"/>
      <c r="DD320" s="2208"/>
    </row>
    <row r="321" spans="1:108">
      <c r="A321" s="2217">
        <f t="shared" si="162"/>
        <v>40.262144448135402</v>
      </c>
      <c r="B321" s="2217">
        <f t="shared" si="144"/>
        <v>4415.5326421108903</v>
      </c>
      <c r="C321" s="2217">
        <f t="shared" si="152"/>
        <v>44.8366473462047</v>
      </c>
      <c r="D321" s="2212">
        <v>14</v>
      </c>
      <c r="E321" s="2219"/>
      <c r="F321" s="2213"/>
      <c r="G321" s="2219"/>
      <c r="H321" s="2213"/>
      <c r="I321" s="2213"/>
      <c r="J321" s="2213"/>
      <c r="K321" s="2213"/>
      <c r="L321" s="2213"/>
      <c r="M321" s="2217">
        <f t="shared" si="163"/>
        <v>43.400709762369729</v>
      </c>
      <c r="N321" s="2217">
        <f t="shared" si="145"/>
        <v>4415.5326421108903</v>
      </c>
      <c r="O321" s="2217">
        <f t="shared" si="153"/>
        <v>44.8366473462047</v>
      </c>
      <c r="P321" s="2212">
        <v>14</v>
      </c>
      <c r="Q321" s="2219"/>
      <c r="R321" s="2213"/>
      <c r="S321" s="2219"/>
      <c r="T321" s="2213"/>
      <c r="U321" s="2213"/>
      <c r="V321" s="2213"/>
      <c r="W321" s="2213"/>
      <c r="X321" s="2213"/>
      <c r="Y321" s="2217">
        <f t="shared" si="164"/>
        <v>47.43600802352816</v>
      </c>
      <c r="Z321" s="2217">
        <f t="shared" si="154"/>
        <v>4415.5326421108903</v>
      </c>
      <c r="AA321" s="2217">
        <f t="shared" si="155"/>
        <v>44.8366473462047</v>
      </c>
      <c r="AB321" s="2212">
        <v>14</v>
      </c>
      <c r="AC321" s="2219"/>
      <c r="AD321" s="2213"/>
      <c r="AE321" s="2219"/>
      <c r="AF321" s="2213"/>
      <c r="AG321" s="2213"/>
      <c r="AH321" s="2213"/>
      <c r="AI321" s="2213"/>
      <c r="AJ321" s="2213"/>
      <c r="AK321" s="2217">
        <f t="shared" si="165"/>
        <v>28.156249664660127</v>
      </c>
      <c r="AL321" s="2217">
        <f t="shared" si="146"/>
        <v>4415.5326421108903</v>
      </c>
      <c r="AM321" s="2217">
        <f t="shared" si="156"/>
        <v>44.8366473462047</v>
      </c>
      <c r="AN321" s="2212">
        <v>14</v>
      </c>
      <c r="AO321" s="2219"/>
      <c r="AP321" s="2213"/>
      <c r="AQ321" s="2219"/>
      <c r="AR321" s="2213"/>
      <c r="AS321" s="2213"/>
      <c r="AT321" s="2213"/>
      <c r="AU321" s="2213"/>
      <c r="AV321" s="2213"/>
      <c r="AW321" s="2217">
        <f t="shared" si="166"/>
        <v>33.016053409796257</v>
      </c>
      <c r="AX321" s="2217">
        <f t="shared" si="157"/>
        <v>3586.1681819689461</v>
      </c>
      <c r="AY321" s="2217">
        <f t="shared" si="147"/>
        <v>41.807597556411565</v>
      </c>
      <c r="AZ321" s="2212">
        <v>14</v>
      </c>
      <c r="BA321" s="2208"/>
      <c r="BB321" s="263"/>
      <c r="BC321" s="2208"/>
      <c r="BD321" s="263"/>
      <c r="BE321" s="263"/>
      <c r="BF321" s="263"/>
      <c r="BG321" s="263"/>
      <c r="BH321" s="2208"/>
      <c r="BI321" s="2217">
        <f t="shared" si="167"/>
        <v>45.976408652283851</v>
      </c>
      <c r="BJ321" s="2217">
        <f t="shared" si="158"/>
        <v>3586.1681819689461</v>
      </c>
      <c r="BK321" s="2217">
        <f t="shared" si="148"/>
        <v>41.807597556411565</v>
      </c>
      <c r="BL321" s="2212">
        <v>14</v>
      </c>
      <c r="BM321" s="2208"/>
      <c r="BN321" s="263"/>
      <c r="BO321" s="2208"/>
      <c r="BP321" s="263"/>
      <c r="BQ321" s="263"/>
      <c r="BR321" s="263"/>
      <c r="BS321" s="263"/>
      <c r="BT321" s="2208"/>
      <c r="BU321" s="2217">
        <f t="shared" si="168"/>
        <v>28.156249664660127</v>
      </c>
      <c r="BV321" s="2217">
        <f t="shared" si="149"/>
        <v>4415.5326421108903</v>
      </c>
      <c r="BW321" s="2217">
        <f t="shared" si="159"/>
        <v>44.8366473462047</v>
      </c>
      <c r="BX321" s="2212">
        <v>14</v>
      </c>
      <c r="BY321" s="2219"/>
      <c r="BZ321" s="2213"/>
      <c r="CA321" s="2219"/>
      <c r="CB321" s="2213"/>
      <c r="CC321" s="2213"/>
      <c r="CD321" s="2213"/>
      <c r="CE321" s="2213"/>
      <c r="CF321" s="2208"/>
      <c r="CG321" s="2217">
        <f t="shared" si="169"/>
        <v>33.536647346204703</v>
      </c>
      <c r="CH321" s="2217">
        <f t="shared" si="150"/>
        <v>4415.5326421108903</v>
      </c>
      <c r="CI321" s="2217">
        <f t="shared" si="160"/>
        <v>44.8366473462047</v>
      </c>
      <c r="CJ321" s="2212">
        <v>14</v>
      </c>
      <c r="CK321" s="2219"/>
      <c r="CL321" s="2213"/>
      <c r="CM321" s="2219"/>
      <c r="CN321" s="2213"/>
      <c r="CO321" s="2213"/>
      <c r="CP321" s="2213"/>
      <c r="CQ321" s="2213"/>
      <c r="CR321" s="2208"/>
      <c r="CS321" s="2217">
        <f t="shared" si="170"/>
        <v>45.140256701155621</v>
      </c>
      <c r="CT321" s="2217">
        <f t="shared" si="161"/>
        <v>3586.1681819689461</v>
      </c>
      <c r="CU321" s="2217">
        <f t="shared" si="151"/>
        <v>41.807597556411565</v>
      </c>
      <c r="CV321" s="2212">
        <v>14</v>
      </c>
      <c r="CW321" s="2208"/>
      <c r="CX321" s="263"/>
      <c r="CY321" s="2208"/>
      <c r="CZ321" s="263"/>
      <c r="DA321" s="263"/>
      <c r="DB321" s="263"/>
      <c r="DC321" s="263"/>
      <c r="DD321" s="2208"/>
    </row>
    <row r="322" spans="1:108">
      <c r="A322" s="2217">
        <f t="shared" si="162"/>
        <v>40.59923437439096</v>
      </c>
      <c r="B322" s="2217">
        <f t="shared" si="144"/>
        <v>4370.6959947646856</v>
      </c>
      <c r="C322" s="2217">
        <f t="shared" si="152"/>
        <v>45.12976902120954</v>
      </c>
      <c r="D322" s="2212">
        <v>13</v>
      </c>
      <c r="E322" s="2219"/>
      <c r="F322" s="2213"/>
      <c r="G322" s="2219"/>
      <c r="H322" s="2213"/>
      <c r="I322" s="2213"/>
      <c r="J322" s="2213"/>
      <c r="K322" s="2213"/>
      <c r="L322" s="2213"/>
      <c r="M322" s="2217">
        <f t="shared" si="163"/>
        <v>43.758318205875639</v>
      </c>
      <c r="N322" s="2217">
        <f t="shared" si="145"/>
        <v>4370.6959947646856</v>
      </c>
      <c r="O322" s="2217">
        <f t="shared" si="153"/>
        <v>45.12976902120954</v>
      </c>
      <c r="P322" s="2212">
        <v>13</v>
      </c>
      <c r="Q322" s="2219"/>
      <c r="R322" s="2213"/>
      <c r="S322" s="2219"/>
      <c r="T322" s="2213"/>
      <c r="U322" s="2213"/>
      <c r="V322" s="2213"/>
      <c r="W322" s="2213"/>
      <c r="X322" s="2213"/>
      <c r="Y322" s="2217">
        <f t="shared" si="164"/>
        <v>47.819997417784506</v>
      </c>
      <c r="Z322" s="2217">
        <f t="shared" si="154"/>
        <v>4370.6959947646856</v>
      </c>
      <c r="AA322" s="2217">
        <f t="shared" si="155"/>
        <v>45.12976902120954</v>
      </c>
      <c r="AB322" s="2212">
        <v>13</v>
      </c>
      <c r="AC322" s="2219"/>
      <c r="AD322" s="2213"/>
      <c r="AE322" s="2219"/>
      <c r="AF322" s="2213"/>
      <c r="AG322" s="2213"/>
      <c r="AH322" s="2213"/>
      <c r="AI322" s="2213"/>
      <c r="AJ322" s="2213"/>
      <c r="AK322" s="2217">
        <f t="shared" si="165"/>
        <v>28.414196738664391</v>
      </c>
      <c r="AL322" s="2217">
        <f t="shared" si="146"/>
        <v>4370.6959947646856</v>
      </c>
      <c r="AM322" s="2217">
        <f t="shared" si="156"/>
        <v>45.12976902120954</v>
      </c>
      <c r="AN322" s="2212">
        <v>13</v>
      </c>
      <c r="AO322" s="2219"/>
      <c r="AP322" s="2213"/>
      <c r="AQ322" s="2219"/>
      <c r="AR322" s="2213"/>
      <c r="AS322" s="2213"/>
      <c r="AT322" s="2213"/>
      <c r="AU322" s="2213"/>
      <c r="AV322" s="2213"/>
      <c r="AW322" s="2217">
        <f t="shared" si="166"/>
        <v>33.335604251916479</v>
      </c>
      <c r="AX322" s="2217">
        <f t="shared" si="157"/>
        <v>3544.3605844125345</v>
      </c>
      <c r="AY322" s="2217">
        <f t="shared" si="147"/>
        <v>42.109060615015551</v>
      </c>
      <c r="AZ322" s="2212">
        <v>13</v>
      </c>
      <c r="BA322" s="2208"/>
      <c r="BB322" s="263"/>
      <c r="BC322" s="2208"/>
      <c r="BD322" s="263"/>
      <c r="BE322" s="263"/>
      <c r="BF322" s="263"/>
      <c r="BG322" s="263"/>
      <c r="BH322" s="2208"/>
      <c r="BI322" s="2217">
        <f t="shared" si="167"/>
        <v>46.389413042571306</v>
      </c>
      <c r="BJ322" s="2217">
        <f t="shared" si="158"/>
        <v>3544.3605844125345</v>
      </c>
      <c r="BK322" s="2217">
        <f t="shared" si="148"/>
        <v>42.109060615015551</v>
      </c>
      <c r="BL322" s="2212">
        <v>13</v>
      </c>
      <c r="BM322" s="2208"/>
      <c r="BN322" s="263"/>
      <c r="BO322" s="2208"/>
      <c r="BP322" s="263"/>
      <c r="BQ322" s="263"/>
      <c r="BR322" s="263"/>
      <c r="BS322" s="263"/>
      <c r="BT322" s="2208"/>
      <c r="BU322" s="2217">
        <f t="shared" si="168"/>
        <v>28.414196738664391</v>
      </c>
      <c r="BV322" s="2217">
        <f t="shared" si="149"/>
        <v>4370.6959947646856</v>
      </c>
      <c r="BW322" s="2217">
        <f t="shared" si="159"/>
        <v>45.12976902120954</v>
      </c>
      <c r="BX322" s="2212">
        <v>13</v>
      </c>
      <c r="BY322" s="2219"/>
      <c r="BZ322" s="2213"/>
      <c r="CA322" s="2219"/>
      <c r="CB322" s="2213"/>
      <c r="CC322" s="2213"/>
      <c r="CD322" s="2213"/>
      <c r="CE322" s="2213"/>
      <c r="CF322" s="2208"/>
      <c r="CG322" s="2217">
        <f t="shared" si="169"/>
        <v>33.829769021209543</v>
      </c>
      <c r="CH322" s="2217">
        <f t="shared" si="150"/>
        <v>4370.6959947646856</v>
      </c>
      <c r="CI322" s="2217">
        <f t="shared" si="160"/>
        <v>45.12976902120954</v>
      </c>
      <c r="CJ322" s="2212">
        <v>13</v>
      </c>
      <c r="CK322" s="2219"/>
      <c r="CL322" s="2213"/>
      <c r="CM322" s="2219"/>
      <c r="CN322" s="2213"/>
      <c r="CO322" s="2213"/>
      <c r="CP322" s="2213"/>
      <c r="CQ322" s="2213"/>
      <c r="CR322" s="2208"/>
      <c r="CS322" s="2217">
        <f t="shared" si="170"/>
        <v>45.547231830271002</v>
      </c>
      <c r="CT322" s="2217">
        <f t="shared" si="161"/>
        <v>3544.3605844125345</v>
      </c>
      <c r="CU322" s="2217">
        <f t="shared" si="151"/>
        <v>42.109060615015551</v>
      </c>
      <c r="CV322" s="2212">
        <v>13</v>
      </c>
      <c r="CW322" s="2208"/>
      <c r="CX322" s="263"/>
      <c r="CY322" s="2208"/>
      <c r="CZ322" s="263"/>
      <c r="DA322" s="263"/>
      <c r="DB322" s="263"/>
      <c r="DC322" s="263"/>
      <c r="DD322" s="2208"/>
    </row>
    <row r="323" spans="1:108">
      <c r="A323" s="2217">
        <f t="shared" si="162"/>
        <v>40.937293208155367</v>
      </c>
      <c r="B323" s="2217">
        <f t="shared" si="144"/>
        <v>4325.566225743476</v>
      </c>
      <c r="C323" s="2217">
        <f t="shared" si="152"/>
        <v>45.42373322448293</v>
      </c>
      <c r="D323" s="2212">
        <v>12</v>
      </c>
      <c r="E323" s="2219"/>
      <c r="F323" s="2213"/>
      <c r="G323" s="2219"/>
      <c r="H323" s="2213"/>
      <c r="I323" s="2213"/>
      <c r="J323" s="2213"/>
      <c r="K323" s="2213"/>
      <c r="L323" s="2213"/>
      <c r="M323" s="2217">
        <f t="shared" si="163"/>
        <v>44.116954533869176</v>
      </c>
      <c r="N323" s="2217">
        <f t="shared" si="145"/>
        <v>4325.566225743476</v>
      </c>
      <c r="O323" s="2217">
        <f t="shared" si="153"/>
        <v>45.42373322448293</v>
      </c>
      <c r="P323" s="2212">
        <v>12</v>
      </c>
      <c r="Q323" s="2219"/>
      <c r="R323" s="2213"/>
      <c r="S323" s="2219"/>
      <c r="T323" s="2213"/>
      <c r="U323" s="2213"/>
      <c r="V323" s="2213"/>
      <c r="W323" s="2213"/>
      <c r="X323" s="2213"/>
      <c r="Y323" s="2217">
        <f t="shared" si="164"/>
        <v>48.205090524072645</v>
      </c>
      <c r="Z323" s="2217">
        <f t="shared" si="154"/>
        <v>4325.566225743476</v>
      </c>
      <c r="AA323" s="2217">
        <f t="shared" si="155"/>
        <v>45.42373322448293</v>
      </c>
      <c r="AB323" s="2212">
        <v>12</v>
      </c>
      <c r="AC323" s="2219"/>
      <c r="AD323" s="2213"/>
      <c r="AE323" s="2219"/>
      <c r="AF323" s="2213"/>
      <c r="AG323" s="2213"/>
      <c r="AH323" s="2213"/>
      <c r="AI323" s="2213"/>
      <c r="AJ323" s="2213"/>
      <c r="AK323" s="2217">
        <f t="shared" si="165"/>
        <v>28.672885237544971</v>
      </c>
      <c r="AL323" s="2217">
        <f t="shared" si="146"/>
        <v>4325.566225743476</v>
      </c>
      <c r="AM323" s="2217">
        <f t="shared" si="156"/>
        <v>45.42373322448293</v>
      </c>
      <c r="AN323" s="2212">
        <v>12</v>
      </c>
      <c r="AO323" s="2219"/>
      <c r="AP323" s="2213"/>
      <c r="AQ323" s="2219"/>
      <c r="AR323" s="2213"/>
      <c r="AS323" s="2213"/>
      <c r="AT323" s="2213"/>
      <c r="AU323" s="2213"/>
      <c r="AV323" s="2213"/>
      <c r="AW323" s="2217">
        <f t="shared" si="166"/>
        <v>33.654989814067974</v>
      </c>
      <c r="AX323" s="2217">
        <f t="shared" si="157"/>
        <v>3502.251523797519</v>
      </c>
      <c r="AY323" s="2217">
        <f t="shared" si="147"/>
        <v>42.410367749120724</v>
      </c>
      <c r="AZ323" s="2212">
        <v>12</v>
      </c>
      <c r="BA323" s="2208"/>
      <c r="BB323" s="263"/>
      <c r="BC323" s="2208"/>
      <c r="BD323" s="263"/>
      <c r="BE323" s="263"/>
      <c r="BF323" s="263"/>
      <c r="BG323" s="263"/>
      <c r="BH323" s="2208"/>
      <c r="BI323" s="2217">
        <f t="shared" si="167"/>
        <v>46.802203816295389</v>
      </c>
      <c r="BJ323" s="2217">
        <f t="shared" si="158"/>
        <v>3502.251523797519</v>
      </c>
      <c r="BK323" s="2217">
        <f t="shared" si="148"/>
        <v>42.410367749120724</v>
      </c>
      <c r="BL323" s="2212">
        <v>12</v>
      </c>
      <c r="BM323" s="2208"/>
      <c r="BN323" s="263"/>
      <c r="BO323" s="2208"/>
      <c r="BP323" s="263"/>
      <c r="BQ323" s="263"/>
      <c r="BR323" s="263"/>
      <c r="BS323" s="263"/>
      <c r="BT323" s="2208"/>
      <c r="BU323" s="2217">
        <f t="shared" si="168"/>
        <v>28.672885237544971</v>
      </c>
      <c r="BV323" s="2217">
        <f t="shared" si="149"/>
        <v>4325.566225743476</v>
      </c>
      <c r="BW323" s="2217">
        <f t="shared" si="159"/>
        <v>45.42373322448293</v>
      </c>
      <c r="BX323" s="2212">
        <v>12</v>
      </c>
      <c r="BY323" s="2219"/>
      <c r="BZ323" s="2213"/>
      <c r="CA323" s="2219"/>
      <c r="CB323" s="2213"/>
      <c r="CC323" s="2213"/>
      <c r="CD323" s="2213"/>
      <c r="CE323" s="2213"/>
      <c r="CF323" s="2208"/>
      <c r="CG323" s="2217">
        <f t="shared" si="169"/>
        <v>34.123733224482933</v>
      </c>
      <c r="CH323" s="2217">
        <f t="shared" si="150"/>
        <v>4325.566225743476</v>
      </c>
      <c r="CI323" s="2217">
        <f t="shared" si="160"/>
        <v>45.42373322448293</v>
      </c>
      <c r="CJ323" s="2212">
        <v>12</v>
      </c>
      <c r="CK323" s="2219"/>
      <c r="CL323" s="2213"/>
      <c r="CM323" s="2219"/>
      <c r="CN323" s="2213"/>
      <c r="CO323" s="2213"/>
      <c r="CP323" s="2213"/>
      <c r="CQ323" s="2213"/>
      <c r="CR323" s="2208"/>
      <c r="CS323" s="2217">
        <f t="shared" si="170"/>
        <v>45.953996461312983</v>
      </c>
      <c r="CT323" s="2217">
        <f t="shared" si="161"/>
        <v>3502.251523797519</v>
      </c>
      <c r="CU323" s="2217">
        <f t="shared" si="151"/>
        <v>42.410367749120724</v>
      </c>
      <c r="CV323" s="2212">
        <v>12</v>
      </c>
      <c r="CW323" s="2208"/>
      <c r="CX323" s="263"/>
      <c r="CY323" s="2208"/>
      <c r="CZ323" s="263"/>
      <c r="DA323" s="263"/>
      <c r="DB323" s="263"/>
      <c r="DC323" s="263"/>
      <c r="DD323" s="2208"/>
    </row>
    <row r="324" spans="1:108">
      <c r="A324" s="2217">
        <f t="shared" si="162"/>
        <v>41.276320949431735</v>
      </c>
      <c r="B324" s="2217">
        <f t="shared" si="144"/>
        <v>4280.1424925189931</v>
      </c>
      <c r="C324" s="2217">
        <f t="shared" si="152"/>
        <v>45.718539956027598</v>
      </c>
      <c r="D324" s="2212">
        <v>11</v>
      </c>
      <c r="E324" s="2219"/>
      <c r="F324" s="2213"/>
      <c r="G324" s="2219"/>
      <c r="H324" s="2213"/>
      <c r="I324" s="2213"/>
      <c r="J324" s="2213"/>
      <c r="K324" s="2213"/>
      <c r="L324" s="2213"/>
      <c r="M324" s="2217">
        <f t="shared" si="163"/>
        <v>44.476618746353665</v>
      </c>
      <c r="N324" s="2217">
        <f t="shared" si="145"/>
        <v>4280.1424925189931</v>
      </c>
      <c r="O324" s="2217">
        <f t="shared" si="153"/>
        <v>45.718539956027598</v>
      </c>
      <c r="P324" s="2212">
        <v>11</v>
      </c>
      <c r="Q324" s="2219"/>
      <c r="R324" s="2213"/>
      <c r="S324" s="2219"/>
      <c r="T324" s="2213"/>
      <c r="U324" s="2213"/>
      <c r="V324" s="2213"/>
      <c r="W324" s="2213"/>
      <c r="X324" s="2213"/>
      <c r="Y324" s="2217">
        <f t="shared" si="164"/>
        <v>48.591287342396157</v>
      </c>
      <c r="Z324" s="2217">
        <f t="shared" si="154"/>
        <v>4280.1424925189931</v>
      </c>
      <c r="AA324" s="2217">
        <f t="shared" si="155"/>
        <v>45.718539956027598</v>
      </c>
      <c r="AB324" s="2212">
        <v>11</v>
      </c>
      <c r="AC324" s="2219"/>
      <c r="AD324" s="2213"/>
      <c r="AE324" s="2219"/>
      <c r="AF324" s="2213"/>
      <c r="AG324" s="2213"/>
      <c r="AH324" s="2213"/>
      <c r="AI324" s="2213"/>
      <c r="AJ324" s="2213"/>
      <c r="AK324" s="2217">
        <f t="shared" si="165"/>
        <v>28.932315161304277</v>
      </c>
      <c r="AL324" s="2217">
        <f t="shared" si="146"/>
        <v>4280.1424925189931</v>
      </c>
      <c r="AM324" s="2217">
        <f t="shared" si="156"/>
        <v>45.718539956027598</v>
      </c>
      <c r="AN324" s="2212">
        <v>11</v>
      </c>
      <c r="AO324" s="2219"/>
      <c r="AP324" s="2213"/>
      <c r="AQ324" s="2219"/>
      <c r="AR324" s="2213"/>
      <c r="AS324" s="2213"/>
      <c r="AT324" s="2213"/>
      <c r="AU324" s="2213"/>
      <c r="AV324" s="2213"/>
      <c r="AW324" s="2217">
        <f t="shared" si="166"/>
        <v>33.974210096247816</v>
      </c>
      <c r="AX324" s="2217">
        <f t="shared" si="157"/>
        <v>3459.8411560483983</v>
      </c>
      <c r="AY324" s="2217">
        <f t="shared" si="147"/>
        <v>42.711518958724355</v>
      </c>
      <c r="AZ324" s="2212">
        <v>11</v>
      </c>
      <c r="BA324" s="2208"/>
      <c r="BB324" s="263"/>
      <c r="BC324" s="2208"/>
      <c r="BD324" s="263"/>
      <c r="BE324" s="263"/>
      <c r="BF324" s="263"/>
      <c r="BG324" s="263"/>
      <c r="BH324" s="2208"/>
      <c r="BI324" s="2217">
        <f t="shared" si="167"/>
        <v>47.214780973452363</v>
      </c>
      <c r="BJ324" s="2217">
        <f t="shared" si="158"/>
        <v>3459.8411560483983</v>
      </c>
      <c r="BK324" s="2217">
        <f t="shared" si="148"/>
        <v>42.711518958724355</v>
      </c>
      <c r="BL324" s="2212">
        <v>11</v>
      </c>
      <c r="BM324" s="2208"/>
      <c r="BN324" s="263"/>
      <c r="BO324" s="2208"/>
      <c r="BP324" s="263"/>
      <c r="BQ324" s="263"/>
      <c r="BR324" s="263"/>
      <c r="BS324" s="263"/>
      <c r="BT324" s="2208"/>
      <c r="BU324" s="2217">
        <f t="shared" si="168"/>
        <v>28.932315161304277</v>
      </c>
      <c r="BV324" s="2217">
        <f t="shared" si="149"/>
        <v>4280.1424925189931</v>
      </c>
      <c r="BW324" s="2217">
        <f t="shared" si="159"/>
        <v>45.718539956027598</v>
      </c>
      <c r="BX324" s="2212">
        <v>11</v>
      </c>
      <c r="BY324" s="2219"/>
      <c r="BZ324" s="2213"/>
      <c r="CA324" s="2219"/>
      <c r="CB324" s="2213"/>
      <c r="CC324" s="2213"/>
      <c r="CD324" s="2213"/>
      <c r="CE324" s="2213"/>
      <c r="CF324" s="2208"/>
      <c r="CG324" s="2217">
        <f t="shared" si="169"/>
        <v>34.418539956027601</v>
      </c>
      <c r="CH324" s="2217">
        <f t="shared" si="150"/>
        <v>4280.1424925189931</v>
      </c>
      <c r="CI324" s="2217">
        <f t="shared" si="160"/>
        <v>45.718539956027598</v>
      </c>
      <c r="CJ324" s="2212">
        <v>11</v>
      </c>
      <c r="CK324" s="2219"/>
      <c r="CL324" s="2213"/>
      <c r="CM324" s="2219"/>
      <c r="CN324" s="2213"/>
      <c r="CO324" s="2213"/>
      <c r="CP324" s="2213"/>
      <c r="CQ324" s="2213"/>
      <c r="CR324" s="2208"/>
      <c r="CS324" s="2217">
        <f t="shared" si="170"/>
        <v>46.360550594277882</v>
      </c>
      <c r="CT324" s="2217">
        <f t="shared" si="161"/>
        <v>3459.8411560483983</v>
      </c>
      <c r="CU324" s="2217">
        <f t="shared" si="151"/>
        <v>42.711518958724355</v>
      </c>
      <c r="CV324" s="2212">
        <v>11</v>
      </c>
      <c r="CW324" s="2208"/>
      <c r="CX324" s="263"/>
      <c r="CY324" s="2208"/>
      <c r="CZ324" s="263"/>
      <c r="DA324" s="263"/>
      <c r="DB324" s="263"/>
      <c r="DC324" s="263"/>
      <c r="DD324" s="2208"/>
    </row>
    <row r="325" spans="1:108">
      <c r="A325" s="2217">
        <f t="shared" si="162"/>
        <v>41.616317598216938</v>
      </c>
      <c r="B325" s="2217">
        <f t="shared" si="144"/>
        <v>4234.4239525629655</v>
      </c>
      <c r="C325" s="2217">
        <f t="shared" si="152"/>
        <v>46.014189215840815</v>
      </c>
      <c r="D325" s="2212">
        <v>10</v>
      </c>
      <c r="E325" s="2219"/>
      <c r="F325" s="2213"/>
      <c r="G325" s="2219"/>
      <c r="H325" s="2213"/>
      <c r="I325" s="2213"/>
      <c r="J325" s="2213"/>
      <c r="K325" s="2213"/>
      <c r="L325" s="2213"/>
      <c r="M325" s="2217">
        <f t="shared" si="163"/>
        <v>44.837310843325795</v>
      </c>
      <c r="N325" s="2217">
        <f t="shared" si="145"/>
        <v>4234.4239525629655</v>
      </c>
      <c r="O325" s="2217">
        <f t="shared" si="153"/>
        <v>46.014189215840815</v>
      </c>
      <c r="P325" s="2212">
        <v>10</v>
      </c>
      <c r="Q325" s="2219"/>
      <c r="R325" s="2213"/>
      <c r="S325" s="2219"/>
      <c r="T325" s="2213"/>
      <c r="U325" s="2213"/>
      <c r="V325" s="2213"/>
      <c r="W325" s="2213"/>
      <c r="X325" s="2213"/>
      <c r="Y325" s="2217">
        <f t="shared" si="164"/>
        <v>48.978587872751476</v>
      </c>
      <c r="Z325" s="2217">
        <f t="shared" si="154"/>
        <v>4234.4239525629655</v>
      </c>
      <c r="AA325" s="2217">
        <f t="shared" si="155"/>
        <v>46.014189215840815</v>
      </c>
      <c r="AB325" s="2212">
        <v>10</v>
      </c>
      <c r="AC325" s="2219"/>
      <c r="AD325" s="2213"/>
      <c r="AE325" s="2219"/>
      <c r="AF325" s="2213"/>
      <c r="AG325" s="2213"/>
      <c r="AH325" s="2213"/>
      <c r="AI325" s="2213"/>
      <c r="AJ325" s="2213"/>
      <c r="AK325" s="2217">
        <f t="shared" si="165"/>
        <v>29.192486509939915</v>
      </c>
      <c r="AL325" s="2217">
        <f t="shared" si="146"/>
        <v>4234.4239525629655</v>
      </c>
      <c r="AM325" s="2217">
        <f t="shared" si="156"/>
        <v>46.014189215840815</v>
      </c>
      <c r="AN325" s="2212">
        <v>10</v>
      </c>
      <c r="AO325" s="2219"/>
      <c r="AP325" s="2213"/>
      <c r="AQ325" s="2219"/>
      <c r="AR325" s="2213"/>
      <c r="AS325" s="2213"/>
      <c r="AT325" s="2213"/>
      <c r="AU325" s="2213"/>
      <c r="AV325" s="2213"/>
      <c r="AW325" s="2217">
        <f t="shared" si="166"/>
        <v>34.293265098457965</v>
      </c>
      <c r="AX325" s="2217">
        <f t="shared" si="157"/>
        <v>3417.1296370896739</v>
      </c>
      <c r="AY325" s="2217">
        <f t="shared" si="147"/>
        <v>43.012514243828264</v>
      </c>
      <c r="AZ325" s="2212">
        <v>10</v>
      </c>
      <c r="BA325" s="2208"/>
      <c r="BB325" s="263"/>
      <c r="BC325" s="2208"/>
      <c r="BD325" s="263"/>
      <c r="BE325" s="263"/>
      <c r="BF325" s="263"/>
      <c r="BG325" s="263"/>
      <c r="BH325" s="2208"/>
      <c r="BI325" s="2217">
        <f t="shared" si="167"/>
        <v>47.62714451404473</v>
      </c>
      <c r="BJ325" s="2217">
        <f t="shared" si="158"/>
        <v>3417.1296370896739</v>
      </c>
      <c r="BK325" s="2217">
        <f t="shared" si="148"/>
        <v>43.012514243828264</v>
      </c>
      <c r="BL325" s="2212">
        <v>10</v>
      </c>
      <c r="BM325" s="2208"/>
      <c r="BN325" s="263"/>
      <c r="BO325" s="2208"/>
      <c r="BP325" s="263"/>
      <c r="BQ325" s="263"/>
      <c r="BR325" s="263"/>
      <c r="BS325" s="263"/>
      <c r="BT325" s="2208"/>
      <c r="BU325" s="2217">
        <f t="shared" si="168"/>
        <v>29.192486509939915</v>
      </c>
      <c r="BV325" s="2217">
        <f t="shared" si="149"/>
        <v>4234.4239525629655</v>
      </c>
      <c r="BW325" s="2217">
        <f t="shared" si="159"/>
        <v>46.014189215840815</v>
      </c>
      <c r="BX325" s="2212">
        <v>10</v>
      </c>
      <c r="BY325" s="2219"/>
      <c r="BZ325" s="2213"/>
      <c r="CA325" s="2219"/>
      <c r="CB325" s="2213"/>
      <c r="CC325" s="2213"/>
      <c r="CD325" s="2213"/>
      <c r="CE325" s="2213"/>
      <c r="CF325" s="2208"/>
      <c r="CG325" s="2217">
        <f t="shared" si="169"/>
        <v>34.714189215840818</v>
      </c>
      <c r="CH325" s="2217">
        <f t="shared" si="150"/>
        <v>4234.4239525629655</v>
      </c>
      <c r="CI325" s="2217">
        <f t="shared" si="160"/>
        <v>46.014189215840815</v>
      </c>
      <c r="CJ325" s="2212">
        <v>10</v>
      </c>
      <c r="CK325" s="2219"/>
      <c r="CL325" s="2213"/>
      <c r="CM325" s="2219"/>
      <c r="CN325" s="2213"/>
      <c r="CO325" s="2213"/>
      <c r="CP325" s="2213"/>
      <c r="CQ325" s="2213"/>
      <c r="CR325" s="2208"/>
      <c r="CS325" s="2217">
        <f t="shared" si="170"/>
        <v>46.766894229168159</v>
      </c>
      <c r="CT325" s="2217">
        <f t="shared" si="161"/>
        <v>3417.1296370896739</v>
      </c>
      <c r="CU325" s="2217">
        <f t="shared" si="151"/>
        <v>43.012514243828264</v>
      </c>
      <c r="CV325" s="2212">
        <v>10</v>
      </c>
      <c r="CW325" s="2208"/>
      <c r="CX325" s="263"/>
      <c r="CY325" s="2208"/>
      <c r="CZ325" s="263"/>
      <c r="DA325" s="263"/>
      <c r="DB325" s="263"/>
      <c r="DC325" s="263"/>
      <c r="DD325" s="2208"/>
    </row>
    <row r="326" spans="1:108">
      <c r="A326" s="2217">
        <f t="shared" si="162"/>
        <v>41.957283154512012</v>
      </c>
      <c r="B326" s="2217">
        <f t="shared" si="144"/>
        <v>4188.4097633471247</v>
      </c>
      <c r="C326" s="2217">
        <f t="shared" si="152"/>
        <v>46.310681003923492</v>
      </c>
      <c r="D326" s="2212">
        <v>9</v>
      </c>
      <c r="E326" s="2219"/>
      <c r="F326" s="2213"/>
      <c r="G326" s="2219"/>
      <c r="H326" s="2213"/>
      <c r="I326" s="2213"/>
      <c r="J326" s="2213"/>
      <c r="K326" s="2213"/>
      <c r="L326" s="2213"/>
      <c r="M326" s="2217">
        <f t="shared" si="163"/>
        <v>45.199030824786661</v>
      </c>
      <c r="N326" s="2217">
        <f t="shared" si="145"/>
        <v>4188.4097633471247</v>
      </c>
      <c r="O326" s="2217">
        <f t="shared" si="153"/>
        <v>46.310681003923492</v>
      </c>
      <c r="P326" s="2212">
        <v>9</v>
      </c>
      <c r="Q326" s="2219"/>
      <c r="R326" s="2213"/>
      <c r="S326" s="2219"/>
      <c r="T326" s="2213"/>
      <c r="U326" s="2213"/>
      <c r="V326" s="2213"/>
      <c r="W326" s="2213"/>
      <c r="X326" s="2213"/>
      <c r="Y326" s="2217">
        <f t="shared" si="164"/>
        <v>49.36699211513978</v>
      </c>
      <c r="Z326" s="2217">
        <f t="shared" si="154"/>
        <v>4188.4097633471247</v>
      </c>
      <c r="AA326" s="2217">
        <f t="shared" si="155"/>
        <v>46.310681003923492</v>
      </c>
      <c r="AB326" s="2212">
        <v>9</v>
      </c>
      <c r="AC326" s="2219"/>
      <c r="AD326" s="2213"/>
      <c r="AE326" s="2219"/>
      <c r="AF326" s="2213"/>
      <c r="AG326" s="2213"/>
      <c r="AH326" s="2213"/>
      <c r="AI326" s="2213"/>
      <c r="AJ326" s="2213"/>
      <c r="AK326" s="2217">
        <f t="shared" si="165"/>
        <v>29.453399283452665</v>
      </c>
      <c r="AL326" s="2217">
        <f t="shared" si="146"/>
        <v>4188.4097633471247</v>
      </c>
      <c r="AM326" s="2217">
        <f t="shared" si="156"/>
        <v>46.310681003923492</v>
      </c>
      <c r="AN326" s="2212">
        <v>9</v>
      </c>
      <c r="AO326" s="2219"/>
      <c r="AP326" s="2213"/>
      <c r="AQ326" s="2219"/>
      <c r="AR326" s="2213"/>
      <c r="AS326" s="2213"/>
      <c r="AT326" s="2213"/>
      <c r="AU326" s="2213"/>
      <c r="AV326" s="2213"/>
      <c r="AW326" s="2217">
        <f t="shared" si="166"/>
        <v>34.612154820696475</v>
      </c>
      <c r="AX326" s="2217">
        <f t="shared" si="157"/>
        <v>3374.1171228458456</v>
      </c>
      <c r="AY326" s="2217">
        <f t="shared" si="147"/>
        <v>43.313353604430631</v>
      </c>
      <c r="AZ326" s="2212">
        <v>9</v>
      </c>
      <c r="BA326" s="2208"/>
      <c r="BB326" s="263"/>
      <c r="BC326" s="2208"/>
      <c r="BD326" s="263"/>
      <c r="BE326" s="263"/>
      <c r="BF326" s="263"/>
      <c r="BG326" s="263"/>
      <c r="BH326" s="2208"/>
      <c r="BI326" s="2217">
        <f t="shared" si="167"/>
        <v>48.039294438069973</v>
      </c>
      <c r="BJ326" s="2217">
        <f t="shared" si="158"/>
        <v>3374.1171228458456</v>
      </c>
      <c r="BK326" s="2217">
        <f t="shared" si="148"/>
        <v>43.313353604430631</v>
      </c>
      <c r="BL326" s="2212">
        <v>9</v>
      </c>
      <c r="BM326" s="2208"/>
      <c r="BN326" s="263"/>
      <c r="BO326" s="2208"/>
      <c r="BP326" s="263"/>
      <c r="BQ326" s="263"/>
      <c r="BR326" s="263"/>
      <c r="BS326" s="263"/>
      <c r="BT326" s="2208"/>
      <c r="BU326" s="2217">
        <f t="shared" si="168"/>
        <v>29.453399283452665</v>
      </c>
      <c r="BV326" s="2217">
        <f t="shared" si="149"/>
        <v>4188.4097633471247</v>
      </c>
      <c r="BW326" s="2217">
        <f t="shared" si="159"/>
        <v>46.310681003923492</v>
      </c>
      <c r="BX326" s="2212">
        <v>9</v>
      </c>
      <c r="BY326" s="2219"/>
      <c r="BZ326" s="2213"/>
      <c r="CA326" s="2219"/>
      <c r="CB326" s="2213"/>
      <c r="CC326" s="2213"/>
      <c r="CD326" s="2213"/>
      <c r="CE326" s="2213"/>
      <c r="CF326" s="2208"/>
      <c r="CG326" s="2217">
        <f t="shared" si="169"/>
        <v>35.010681003923494</v>
      </c>
      <c r="CH326" s="2217">
        <f t="shared" si="150"/>
        <v>4188.4097633471247</v>
      </c>
      <c r="CI326" s="2217">
        <f t="shared" si="160"/>
        <v>46.310681003923492</v>
      </c>
      <c r="CJ326" s="2212">
        <v>9</v>
      </c>
      <c r="CK326" s="2219"/>
      <c r="CL326" s="2213"/>
      <c r="CM326" s="2219"/>
      <c r="CN326" s="2213"/>
      <c r="CO326" s="2213"/>
      <c r="CP326" s="2213"/>
      <c r="CQ326" s="2213"/>
      <c r="CR326" s="2208"/>
      <c r="CS326" s="2217">
        <f t="shared" si="170"/>
        <v>47.173027365981355</v>
      </c>
      <c r="CT326" s="2217">
        <f t="shared" si="161"/>
        <v>3374.1171228458456</v>
      </c>
      <c r="CU326" s="2217">
        <f t="shared" si="151"/>
        <v>43.313353604430631</v>
      </c>
      <c r="CV326" s="2212">
        <v>9</v>
      </c>
      <c r="CW326" s="2208"/>
      <c r="CX326" s="263"/>
      <c r="CY326" s="2208"/>
      <c r="CZ326" s="263"/>
      <c r="DA326" s="263"/>
      <c r="DB326" s="263"/>
      <c r="DC326" s="263"/>
      <c r="DD326" s="2208"/>
    </row>
    <row r="327" spans="1:108">
      <c r="A327" s="2217">
        <f t="shared" si="162"/>
        <v>42.2992176183201</v>
      </c>
      <c r="B327" s="2217">
        <f t="shared" si="144"/>
        <v>4142.0990823432012</v>
      </c>
      <c r="C327" s="2217">
        <f t="shared" si="152"/>
        <v>46.608015320278355</v>
      </c>
      <c r="D327" s="2212">
        <v>8</v>
      </c>
      <c r="E327" s="2219"/>
      <c r="F327" s="2213"/>
      <c r="G327" s="2219"/>
      <c r="H327" s="2213"/>
      <c r="I327" s="2213"/>
      <c r="J327" s="2213"/>
      <c r="K327" s="2213"/>
      <c r="L327" s="2213"/>
      <c r="M327" s="2217">
        <f t="shared" si="163"/>
        <v>45.561778690739587</v>
      </c>
      <c r="N327" s="2217">
        <f t="shared" si="145"/>
        <v>4142.0990823432012</v>
      </c>
      <c r="O327" s="2217">
        <f t="shared" si="153"/>
        <v>46.608015320278355</v>
      </c>
      <c r="P327" s="2212">
        <v>8</v>
      </c>
      <c r="Q327" s="2219"/>
      <c r="R327" s="2213"/>
      <c r="S327" s="2219"/>
      <c r="T327" s="2213"/>
      <c r="U327" s="2213"/>
      <c r="V327" s="2213"/>
      <c r="W327" s="2213"/>
      <c r="X327" s="2213"/>
      <c r="Y327" s="2217">
        <f t="shared" si="164"/>
        <v>49.756500069564652</v>
      </c>
      <c r="Z327" s="2217">
        <f t="shared" si="154"/>
        <v>4142.0990823432012</v>
      </c>
      <c r="AA327" s="2217">
        <f t="shared" si="155"/>
        <v>46.608015320278355</v>
      </c>
      <c r="AB327" s="2212">
        <v>8</v>
      </c>
      <c r="AC327" s="2219"/>
      <c r="AD327" s="2213"/>
      <c r="AE327" s="2219"/>
      <c r="AF327" s="2213"/>
      <c r="AG327" s="2213"/>
      <c r="AH327" s="2213"/>
      <c r="AI327" s="2213"/>
      <c r="AJ327" s="2213"/>
      <c r="AK327" s="2217">
        <f t="shared" si="165"/>
        <v>29.715053481844944</v>
      </c>
      <c r="AL327" s="2217">
        <f t="shared" si="146"/>
        <v>4142.0990823432012</v>
      </c>
      <c r="AM327" s="2217">
        <f t="shared" si="156"/>
        <v>46.608015320278355</v>
      </c>
      <c r="AN327" s="2212">
        <v>8</v>
      </c>
      <c r="AO327" s="2219"/>
      <c r="AP327" s="2213"/>
      <c r="AQ327" s="2219"/>
      <c r="AR327" s="2213"/>
      <c r="AS327" s="2213"/>
      <c r="AT327" s="2213"/>
      <c r="AU327" s="2213"/>
      <c r="AV327" s="2213"/>
      <c r="AW327" s="2217">
        <f t="shared" si="166"/>
        <v>34.93087926296576</v>
      </c>
      <c r="AX327" s="2217">
        <f t="shared" si="157"/>
        <v>3330.803769241415</v>
      </c>
      <c r="AY327" s="2217">
        <f t="shared" si="147"/>
        <v>43.614037040533731</v>
      </c>
      <c r="AZ327" s="2212">
        <v>8</v>
      </c>
      <c r="BA327" s="2208"/>
      <c r="BB327" s="263"/>
      <c r="BC327" s="2208"/>
      <c r="BD327" s="263"/>
      <c r="BE327" s="263"/>
      <c r="BF327" s="263"/>
      <c r="BG327" s="263"/>
      <c r="BH327" s="2208"/>
      <c r="BI327" s="2217">
        <f t="shared" si="167"/>
        <v>48.45123074553122</v>
      </c>
      <c r="BJ327" s="2217">
        <f t="shared" si="158"/>
        <v>3330.803769241415</v>
      </c>
      <c r="BK327" s="2217">
        <f t="shared" si="148"/>
        <v>43.614037040533731</v>
      </c>
      <c r="BL327" s="2212">
        <v>8</v>
      </c>
      <c r="BM327" s="2208"/>
      <c r="BN327" s="263"/>
      <c r="BO327" s="2208"/>
      <c r="BP327" s="263"/>
      <c r="BQ327" s="263"/>
      <c r="BR327" s="263"/>
      <c r="BS327" s="263"/>
      <c r="BT327" s="2208"/>
      <c r="BU327" s="2217">
        <f t="shared" si="168"/>
        <v>29.715053481844944</v>
      </c>
      <c r="BV327" s="2217">
        <f t="shared" si="149"/>
        <v>4142.0990823432012</v>
      </c>
      <c r="BW327" s="2217">
        <f t="shared" si="159"/>
        <v>46.608015320278355</v>
      </c>
      <c r="BX327" s="2212">
        <v>8</v>
      </c>
      <c r="BY327" s="2219"/>
      <c r="BZ327" s="2213"/>
      <c r="CA327" s="2219"/>
      <c r="CB327" s="2213"/>
      <c r="CC327" s="2213"/>
      <c r="CD327" s="2213"/>
      <c r="CE327" s="2213"/>
      <c r="CF327" s="2208"/>
      <c r="CG327" s="2217">
        <f t="shared" si="169"/>
        <v>35.308015320278358</v>
      </c>
      <c r="CH327" s="2217">
        <f t="shared" si="150"/>
        <v>4142.0990823432012</v>
      </c>
      <c r="CI327" s="2217">
        <f t="shared" si="160"/>
        <v>46.608015320278355</v>
      </c>
      <c r="CJ327" s="2212">
        <v>8</v>
      </c>
      <c r="CK327" s="2219"/>
      <c r="CL327" s="2213"/>
      <c r="CM327" s="2219"/>
      <c r="CN327" s="2213"/>
      <c r="CO327" s="2213"/>
      <c r="CP327" s="2213"/>
      <c r="CQ327" s="2213"/>
      <c r="CR327" s="2208"/>
      <c r="CS327" s="2217">
        <f t="shared" si="170"/>
        <v>47.578950004720539</v>
      </c>
      <c r="CT327" s="2217">
        <f t="shared" si="161"/>
        <v>3330.803769241415</v>
      </c>
      <c r="CU327" s="2217">
        <f t="shared" si="151"/>
        <v>43.614037040533731</v>
      </c>
      <c r="CV327" s="2212">
        <v>8</v>
      </c>
      <c r="CW327" s="2208"/>
      <c r="CX327" s="263"/>
      <c r="CY327" s="2208"/>
      <c r="CZ327" s="263"/>
      <c r="DA327" s="263"/>
      <c r="DB327" s="263"/>
      <c r="DC327" s="263"/>
      <c r="DD327" s="2208"/>
    </row>
    <row r="328" spans="1:108">
      <c r="A328" s="2217">
        <f t="shared" si="162"/>
        <v>42.642120989634407</v>
      </c>
      <c r="B328" s="2217">
        <f t="shared" si="144"/>
        <v>4095.4910670229228</v>
      </c>
      <c r="C328" s="2217">
        <f t="shared" si="152"/>
        <v>46.906192164899494</v>
      </c>
      <c r="D328" s="2212">
        <v>7</v>
      </c>
      <c r="E328" s="2219"/>
      <c r="F328" s="2213"/>
      <c r="G328" s="2219"/>
      <c r="H328" s="2213"/>
      <c r="I328" s="2213"/>
      <c r="J328" s="2213"/>
      <c r="K328" s="2213"/>
      <c r="L328" s="2213"/>
      <c r="M328" s="2217">
        <f t="shared" si="163"/>
        <v>45.925554441177383</v>
      </c>
      <c r="N328" s="2217">
        <f t="shared" si="145"/>
        <v>4095.4910670229228</v>
      </c>
      <c r="O328" s="2217">
        <f t="shared" si="153"/>
        <v>46.906192164899494</v>
      </c>
      <c r="P328" s="2212">
        <v>7</v>
      </c>
      <c r="Q328" s="2219"/>
      <c r="R328" s="2213"/>
      <c r="S328" s="2219"/>
      <c r="T328" s="2213"/>
      <c r="U328" s="2213"/>
      <c r="V328" s="2213"/>
      <c r="W328" s="2213"/>
      <c r="X328" s="2213"/>
      <c r="Y328" s="2217">
        <f t="shared" si="164"/>
        <v>50.147111736018346</v>
      </c>
      <c r="Z328" s="2217">
        <f t="shared" si="154"/>
        <v>4095.4910670229228</v>
      </c>
      <c r="AA328" s="2217">
        <f t="shared" si="155"/>
        <v>46.906192164899494</v>
      </c>
      <c r="AB328" s="2212">
        <v>7</v>
      </c>
      <c r="AC328" s="2219"/>
      <c r="AD328" s="2213"/>
      <c r="AE328" s="2219"/>
      <c r="AF328" s="2213"/>
      <c r="AG328" s="2213"/>
      <c r="AH328" s="2213"/>
      <c r="AI328" s="2213"/>
      <c r="AJ328" s="2213"/>
      <c r="AK328" s="2217">
        <f t="shared" si="165"/>
        <v>29.97744910511155</v>
      </c>
      <c r="AL328" s="2217">
        <f t="shared" si="146"/>
        <v>4095.4910670229228</v>
      </c>
      <c r="AM328" s="2217">
        <f t="shared" si="156"/>
        <v>46.906192164899494</v>
      </c>
      <c r="AN328" s="2212">
        <v>7</v>
      </c>
      <c r="AO328" s="2219"/>
      <c r="AP328" s="2213"/>
      <c r="AQ328" s="2219"/>
      <c r="AR328" s="2213"/>
      <c r="AS328" s="2213"/>
      <c r="AT328" s="2213"/>
      <c r="AU328" s="2213"/>
      <c r="AV328" s="2213"/>
      <c r="AW328" s="2217">
        <f t="shared" si="166"/>
        <v>35.249438425263889</v>
      </c>
      <c r="AX328" s="2217">
        <f t="shared" si="157"/>
        <v>3287.1897322008813</v>
      </c>
      <c r="AY328" s="2217">
        <f t="shared" si="147"/>
        <v>43.914564552135744</v>
      </c>
      <c r="AZ328" s="2212">
        <v>7</v>
      </c>
      <c r="BA328" s="2208"/>
      <c r="BB328" s="263"/>
      <c r="BC328" s="2208"/>
      <c r="BD328" s="263"/>
      <c r="BE328" s="263"/>
      <c r="BF328" s="263"/>
      <c r="BG328" s="263"/>
      <c r="BH328" s="2208"/>
      <c r="BI328" s="2217">
        <f t="shared" si="167"/>
        <v>48.862953436425968</v>
      </c>
      <c r="BJ328" s="2217">
        <f t="shared" si="158"/>
        <v>3287.1897322008813</v>
      </c>
      <c r="BK328" s="2217">
        <f t="shared" si="148"/>
        <v>43.914564552135744</v>
      </c>
      <c r="BL328" s="2212">
        <v>7</v>
      </c>
      <c r="BM328" s="2208"/>
      <c r="BN328" s="263"/>
      <c r="BO328" s="2208"/>
      <c r="BP328" s="263"/>
      <c r="BQ328" s="263"/>
      <c r="BR328" s="263"/>
      <c r="BS328" s="263"/>
      <c r="BT328" s="2208"/>
      <c r="BU328" s="2217">
        <f t="shared" si="168"/>
        <v>29.97744910511155</v>
      </c>
      <c r="BV328" s="2217">
        <f t="shared" si="149"/>
        <v>4095.4910670229228</v>
      </c>
      <c r="BW328" s="2217">
        <f t="shared" si="159"/>
        <v>46.906192164899494</v>
      </c>
      <c r="BX328" s="2212">
        <v>7</v>
      </c>
      <c r="BY328" s="2219"/>
      <c r="BZ328" s="2213"/>
      <c r="CA328" s="2219"/>
      <c r="CB328" s="2213"/>
      <c r="CC328" s="2213"/>
      <c r="CD328" s="2213"/>
      <c r="CE328" s="2213"/>
      <c r="CF328" s="2208"/>
      <c r="CG328" s="2217">
        <f t="shared" si="169"/>
        <v>35.606192164899497</v>
      </c>
      <c r="CH328" s="2217">
        <f t="shared" si="150"/>
        <v>4095.4910670229228</v>
      </c>
      <c r="CI328" s="2217">
        <f t="shared" si="160"/>
        <v>46.906192164899494</v>
      </c>
      <c r="CJ328" s="2212">
        <v>7</v>
      </c>
      <c r="CK328" s="2219"/>
      <c r="CL328" s="2213"/>
      <c r="CM328" s="2219"/>
      <c r="CN328" s="2213"/>
      <c r="CO328" s="2213"/>
      <c r="CP328" s="2213"/>
      <c r="CQ328" s="2213"/>
      <c r="CR328" s="2208"/>
      <c r="CS328" s="2217">
        <f t="shared" si="170"/>
        <v>47.984662145383254</v>
      </c>
      <c r="CT328" s="2217">
        <f t="shared" si="161"/>
        <v>3287.1897322008813</v>
      </c>
      <c r="CU328" s="2217">
        <f t="shared" si="151"/>
        <v>43.914564552135744</v>
      </c>
      <c r="CV328" s="2212">
        <v>7</v>
      </c>
      <c r="CW328" s="2208"/>
      <c r="CX328" s="263"/>
      <c r="CY328" s="2208"/>
      <c r="CZ328" s="263"/>
      <c r="DA328" s="263"/>
      <c r="DB328" s="263"/>
      <c r="DC328" s="263"/>
      <c r="DD328" s="2208"/>
    </row>
    <row r="329" spans="1:108">
      <c r="A329" s="2217">
        <f t="shared" si="162"/>
        <v>42.985993268460689</v>
      </c>
      <c r="B329" s="2217">
        <f t="shared" si="144"/>
        <v>4048.5848748580233</v>
      </c>
      <c r="C329" s="2217">
        <f t="shared" si="152"/>
        <v>47.205211537791911</v>
      </c>
      <c r="D329" s="2212">
        <v>6</v>
      </c>
      <c r="E329" s="2219"/>
      <c r="F329" s="2213"/>
      <c r="G329" s="2219"/>
      <c r="H329" s="2213"/>
      <c r="I329" s="2213"/>
      <c r="J329" s="2213"/>
      <c r="K329" s="2213"/>
      <c r="L329" s="2213"/>
      <c r="M329" s="2217">
        <f t="shared" si="163"/>
        <v>46.290358076106131</v>
      </c>
      <c r="N329" s="2217">
        <f t="shared" si="145"/>
        <v>4048.5848748580233</v>
      </c>
      <c r="O329" s="2217">
        <f t="shared" si="153"/>
        <v>47.205211537791911</v>
      </c>
      <c r="P329" s="2212">
        <v>6</v>
      </c>
      <c r="Q329" s="2219"/>
      <c r="R329" s="2213"/>
      <c r="S329" s="2219"/>
      <c r="T329" s="2213"/>
      <c r="U329" s="2213"/>
      <c r="V329" s="2213"/>
      <c r="W329" s="2213"/>
      <c r="X329" s="2213"/>
      <c r="Y329" s="2217">
        <f t="shared" si="164"/>
        <v>50.538827114507399</v>
      </c>
      <c r="Z329" s="2217">
        <f t="shared" si="154"/>
        <v>4048.5848748580233</v>
      </c>
      <c r="AA329" s="2217">
        <f t="shared" si="155"/>
        <v>47.205211537791911</v>
      </c>
      <c r="AB329" s="2212">
        <v>6</v>
      </c>
      <c r="AC329" s="2219"/>
      <c r="AD329" s="2213"/>
      <c r="AE329" s="2219"/>
      <c r="AF329" s="2213"/>
      <c r="AG329" s="2213"/>
      <c r="AH329" s="2213"/>
      <c r="AI329" s="2213"/>
      <c r="AJ329" s="2213"/>
      <c r="AK329" s="2217">
        <f t="shared" si="165"/>
        <v>30.240586153256874</v>
      </c>
      <c r="AL329" s="2217">
        <f t="shared" si="146"/>
        <v>4048.5848748580233</v>
      </c>
      <c r="AM329" s="2217">
        <f t="shared" si="156"/>
        <v>47.205211537791911</v>
      </c>
      <c r="AN329" s="2212">
        <v>6</v>
      </c>
      <c r="AO329" s="2219"/>
      <c r="AP329" s="2213"/>
      <c r="AQ329" s="2219"/>
      <c r="AR329" s="2213"/>
      <c r="AS329" s="2213"/>
      <c r="AT329" s="2213"/>
      <c r="AU329" s="2213"/>
      <c r="AV329" s="2213"/>
      <c r="AW329" s="2217">
        <f t="shared" si="166"/>
        <v>35.567832307590876</v>
      </c>
      <c r="AX329" s="2217">
        <f t="shared" si="157"/>
        <v>3243.2751676487455</v>
      </c>
      <c r="AY329" s="2217">
        <f t="shared" si="147"/>
        <v>44.21493613923667</v>
      </c>
      <c r="AZ329" s="2212">
        <v>6</v>
      </c>
      <c r="BA329" s="2208"/>
      <c r="BB329" s="263"/>
      <c r="BC329" s="2208"/>
      <c r="BD329" s="263"/>
      <c r="BE329" s="263"/>
      <c r="BF329" s="263"/>
      <c r="BG329" s="263"/>
      <c r="BH329" s="2208"/>
      <c r="BI329" s="2217">
        <f t="shared" si="167"/>
        <v>49.274462510754248</v>
      </c>
      <c r="BJ329" s="2217">
        <f t="shared" si="158"/>
        <v>3243.2751676487455</v>
      </c>
      <c r="BK329" s="2217">
        <f t="shared" si="148"/>
        <v>44.21493613923667</v>
      </c>
      <c r="BL329" s="2212">
        <v>6</v>
      </c>
      <c r="BM329" s="2208"/>
      <c r="BN329" s="263"/>
      <c r="BO329" s="2208"/>
      <c r="BP329" s="263"/>
      <c r="BQ329" s="263"/>
      <c r="BR329" s="263"/>
      <c r="BS329" s="263"/>
      <c r="BT329" s="2208"/>
      <c r="BU329" s="2217">
        <f t="shared" si="168"/>
        <v>30.240586153256874</v>
      </c>
      <c r="BV329" s="2217">
        <f t="shared" si="149"/>
        <v>4048.5848748580233</v>
      </c>
      <c r="BW329" s="2217">
        <f t="shared" si="159"/>
        <v>47.205211537791911</v>
      </c>
      <c r="BX329" s="2212">
        <v>6</v>
      </c>
      <c r="BY329" s="2219"/>
      <c r="BZ329" s="2213"/>
      <c r="CA329" s="2219"/>
      <c r="CB329" s="2213"/>
      <c r="CC329" s="2213"/>
      <c r="CD329" s="2213"/>
      <c r="CE329" s="2213"/>
      <c r="CF329" s="2208"/>
      <c r="CG329" s="2217">
        <f t="shared" si="169"/>
        <v>35.905211537791914</v>
      </c>
      <c r="CH329" s="2217">
        <f t="shared" si="150"/>
        <v>4048.5848748580233</v>
      </c>
      <c r="CI329" s="2217">
        <f t="shared" si="160"/>
        <v>47.205211537791911</v>
      </c>
      <c r="CJ329" s="2212">
        <v>6</v>
      </c>
      <c r="CK329" s="2219"/>
      <c r="CL329" s="2213"/>
      <c r="CM329" s="2219"/>
      <c r="CN329" s="2213"/>
      <c r="CO329" s="2213"/>
      <c r="CP329" s="2213"/>
      <c r="CQ329" s="2213"/>
      <c r="CR329" s="2208"/>
      <c r="CS329" s="2217">
        <f t="shared" si="170"/>
        <v>48.390163787969513</v>
      </c>
      <c r="CT329" s="2217">
        <f t="shared" si="161"/>
        <v>3243.2751676487455</v>
      </c>
      <c r="CU329" s="2217">
        <f t="shared" si="151"/>
        <v>44.21493613923667</v>
      </c>
      <c r="CV329" s="2212">
        <v>6</v>
      </c>
      <c r="CW329" s="2208"/>
      <c r="CX329" s="263"/>
      <c r="CY329" s="2208"/>
      <c r="CZ329" s="263"/>
      <c r="DA329" s="263"/>
      <c r="DB329" s="263"/>
      <c r="DC329" s="263"/>
      <c r="DD329" s="2208"/>
    </row>
    <row r="330" spans="1:108">
      <c r="A330" s="2217">
        <f t="shared" si="162"/>
        <v>43.330834454796332</v>
      </c>
      <c r="B330" s="2217">
        <f t="shared" si="144"/>
        <v>4001.3796633202314</v>
      </c>
      <c r="C330" s="2217">
        <f t="shared" si="152"/>
        <v>47.505073438953332</v>
      </c>
      <c r="D330" s="2212">
        <v>5</v>
      </c>
      <c r="E330" s="2219"/>
      <c r="F330" s="2213"/>
      <c r="G330" s="2219"/>
      <c r="H330" s="2213"/>
      <c r="I330" s="2213"/>
      <c r="J330" s="2213"/>
      <c r="K330" s="2213"/>
      <c r="L330" s="2213"/>
      <c r="M330" s="2217">
        <f t="shared" si="163"/>
        <v>46.65618959552306</v>
      </c>
      <c r="N330" s="2217">
        <f t="shared" si="145"/>
        <v>4001.3796633202314</v>
      </c>
      <c r="O330" s="2217">
        <f t="shared" si="153"/>
        <v>47.505073438953332</v>
      </c>
      <c r="P330" s="2212">
        <v>5</v>
      </c>
      <c r="Q330" s="2219"/>
      <c r="R330" s="2213"/>
      <c r="S330" s="2219"/>
      <c r="T330" s="2213"/>
      <c r="U330" s="2213"/>
      <c r="V330" s="2213"/>
      <c r="W330" s="2213"/>
      <c r="X330" s="2213"/>
      <c r="Y330" s="2217">
        <f t="shared" si="164"/>
        <v>50.931646205028869</v>
      </c>
      <c r="Z330" s="2217">
        <f t="shared" si="154"/>
        <v>4001.3796633202314</v>
      </c>
      <c r="AA330" s="2217">
        <f t="shared" si="155"/>
        <v>47.505073438953332</v>
      </c>
      <c r="AB330" s="2212">
        <v>5</v>
      </c>
      <c r="AC330" s="2219"/>
      <c r="AD330" s="2213"/>
      <c r="AE330" s="2219"/>
      <c r="AF330" s="2213"/>
      <c r="AG330" s="2213"/>
      <c r="AH330" s="2213"/>
      <c r="AI330" s="2213"/>
      <c r="AJ330" s="2213"/>
      <c r="AK330" s="2217">
        <f t="shared" si="165"/>
        <v>30.504464626278928</v>
      </c>
      <c r="AL330" s="2217">
        <f t="shared" si="146"/>
        <v>4001.3796633202314</v>
      </c>
      <c r="AM330" s="2217">
        <f t="shared" si="156"/>
        <v>47.505073438953332</v>
      </c>
      <c r="AN330" s="2212">
        <v>5</v>
      </c>
      <c r="AO330" s="2219"/>
      <c r="AP330" s="2213"/>
      <c r="AQ330" s="2219"/>
      <c r="AR330" s="2213"/>
      <c r="AS330" s="2213"/>
      <c r="AT330" s="2213"/>
      <c r="AU330" s="2213"/>
      <c r="AV330" s="2213"/>
      <c r="AW330" s="2217">
        <f t="shared" si="166"/>
        <v>35.886060909948142</v>
      </c>
      <c r="AX330" s="2217">
        <f t="shared" si="157"/>
        <v>3199.0602315095089</v>
      </c>
      <c r="AY330" s="2217">
        <f t="shared" si="147"/>
        <v>44.515151801837874</v>
      </c>
      <c r="AZ330" s="2212">
        <v>5</v>
      </c>
      <c r="BA330" s="2208"/>
      <c r="BB330" s="263"/>
      <c r="BC330" s="2208"/>
      <c r="BD330" s="263"/>
      <c r="BE330" s="263"/>
      <c r="BF330" s="263"/>
      <c r="BG330" s="263"/>
      <c r="BH330" s="2208"/>
      <c r="BI330" s="2217">
        <f t="shared" si="167"/>
        <v>49.685757968517891</v>
      </c>
      <c r="BJ330" s="2217">
        <f t="shared" si="158"/>
        <v>3199.0602315095089</v>
      </c>
      <c r="BK330" s="2217">
        <f t="shared" si="148"/>
        <v>44.515151801837874</v>
      </c>
      <c r="BL330" s="2212">
        <v>5</v>
      </c>
      <c r="BM330" s="2208"/>
      <c r="BN330" s="263"/>
      <c r="BO330" s="2208"/>
      <c r="BP330" s="263"/>
      <c r="BQ330" s="263"/>
      <c r="BR330" s="263"/>
      <c r="BS330" s="263"/>
      <c r="BT330" s="2208"/>
      <c r="BU330" s="2217">
        <f t="shared" si="168"/>
        <v>30.504464626278928</v>
      </c>
      <c r="BV330" s="2217">
        <f t="shared" si="149"/>
        <v>4001.3796633202314</v>
      </c>
      <c r="BW330" s="2217">
        <f t="shared" si="159"/>
        <v>47.505073438953332</v>
      </c>
      <c r="BX330" s="2212">
        <v>5</v>
      </c>
      <c r="BY330" s="2219"/>
      <c r="BZ330" s="2213"/>
      <c r="CA330" s="2219"/>
      <c r="CB330" s="2213"/>
      <c r="CC330" s="2213"/>
      <c r="CD330" s="2213"/>
      <c r="CE330" s="2213"/>
      <c r="CF330" s="2208"/>
      <c r="CG330" s="2217">
        <f t="shared" si="169"/>
        <v>36.205073438953335</v>
      </c>
      <c r="CH330" s="2217">
        <f t="shared" si="150"/>
        <v>4001.3796633202314</v>
      </c>
      <c r="CI330" s="2217">
        <f t="shared" si="160"/>
        <v>47.505073438953332</v>
      </c>
      <c r="CJ330" s="2212">
        <v>5</v>
      </c>
      <c r="CK330" s="2219"/>
      <c r="CL330" s="2213"/>
      <c r="CM330" s="2219"/>
      <c r="CN330" s="2213"/>
      <c r="CO330" s="2213"/>
      <c r="CP330" s="2213"/>
      <c r="CQ330" s="2213"/>
      <c r="CR330" s="2208"/>
      <c r="CS330" s="2217">
        <f t="shared" si="170"/>
        <v>48.795454932481135</v>
      </c>
      <c r="CT330" s="2217">
        <f t="shared" si="161"/>
        <v>3199.0602315095089</v>
      </c>
      <c r="CU330" s="2217">
        <f t="shared" si="151"/>
        <v>44.515151801837874</v>
      </c>
      <c r="CV330" s="2212">
        <v>5</v>
      </c>
      <c r="CW330" s="2208"/>
      <c r="CX330" s="263"/>
      <c r="CY330" s="2208"/>
      <c r="CZ330" s="263"/>
      <c r="DA330" s="263"/>
      <c r="DB330" s="263"/>
      <c r="DC330" s="263"/>
      <c r="DD330" s="2208"/>
    </row>
    <row r="331" spans="1:108">
      <c r="A331" s="2217">
        <f t="shared" si="162"/>
        <v>43.676644548642358</v>
      </c>
      <c r="B331" s="2217">
        <f t="shared" si="144"/>
        <v>3953.8745898812781</v>
      </c>
      <c r="C331" s="2217">
        <f t="shared" si="152"/>
        <v>47.805777868384666</v>
      </c>
      <c r="D331" s="2212">
        <v>4</v>
      </c>
      <c r="E331" s="2219"/>
      <c r="F331" s="2213"/>
      <c r="G331" s="2219"/>
      <c r="H331" s="2213"/>
      <c r="I331" s="2213"/>
      <c r="J331" s="2213"/>
      <c r="K331" s="2213"/>
      <c r="L331" s="2213"/>
      <c r="M331" s="2217">
        <f t="shared" si="163"/>
        <v>47.023048999429292</v>
      </c>
      <c r="N331" s="2217">
        <f t="shared" si="145"/>
        <v>3953.8745898812781</v>
      </c>
      <c r="O331" s="2217">
        <f t="shared" si="153"/>
        <v>47.805777868384666</v>
      </c>
      <c r="P331" s="2212">
        <v>4</v>
      </c>
      <c r="Q331" s="2219"/>
      <c r="R331" s="2213"/>
      <c r="S331" s="2219"/>
      <c r="T331" s="2213"/>
      <c r="U331" s="2213"/>
      <c r="V331" s="2213"/>
      <c r="W331" s="2213"/>
      <c r="X331" s="2213"/>
      <c r="Y331" s="2217">
        <f t="shared" si="164"/>
        <v>51.325569007583908</v>
      </c>
      <c r="Z331" s="2217">
        <f t="shared" si="154"/>
        <v>3953.8745898812781</v>
      </c>
      <c r="AA331" s="2217">
        <f t="shared" si="155"/>
        <v>47.805777868384666</v>
      </c>
      <c r="AB331" s="2212">
        <v>4</v>
      </c>
      <c r="AC331" s="2219"/>
      <c r="AD331" s="2213"/>
      <c r="AE331" s="2219"/>
      <c r="AF331" s="2213"/>
      <c r="AG331" s="2213"/>
      <c r="AH331" s="2213"/>
      <c r="AI331" s="2213"/>
      <c r="AJ331" s="2213"/>
      <c r="AK331" s="2217">
        <f t="shared" si="165"/>
        <v>30.769084524178499</v>
      </c>
      <c r="AL331" s="2217">
        <f t="shared" si="146"/>
        <v>3953.8745898812781</v>
      </c>
      <c r="AM331" s="2217">
        <f t="shared" si="156"/>
        <v>47.805777868384666</v>
      </c>
      <c r="AN331" s="2212">
        <v>4</v>
      </c>
      <c r="AO331" s="2219"/>
      <c r="AP331" s="2213"/>
      <c r="AQ331" s="2219"/>
      <c r="AR331" s="2213"/>
      <c r="AS331" s="2213"/>
      <c r="AT331" s="2213"/>
      <c r="AU331" s="2213"/>
      <c r="AV331" s="2213"/>
      <c r="AW331" s="2217">
        <f t="shared" si="166"/>
        <v>36.204124232335232</v>
      </c>
      <c r="AX331" s="2217">
        <f t="shared" si="157"/>
        <v>3154.545079707671</v>
      </c>
      <c r="AY331" s="2217">
        <f t="shared" si="147"/>
        <v>44.8152115399389</v>
      </c>
      <c r="AZ331" s="2212">
        <v>4</v>
      </c>
      <c r="BA331" s="2208"/>
      <c r="BB331" s="263"/>
      <c r="BC331" s="2208"/>
      <c r="BD331" s="263"/>
      <c r="BE331" s="263"/>
      <c r="BF331" s="263"/>
      <c r="BG331" s="263"/>
      <c r="BH331" s="2208"/>
      <c r="BI331" s="2217">
        <f t="shared" si="167"/>
        <v>50.0968398097163</v>
      </c>
      <c r="BJ331" s="2217">
        <f t="shared" si="158"/>
        <v>3154.545079707671</v>
      </c>
      <c r="BK331" s="2217">
        <f t="shared" si="148"/>
        <v>44.8152115399389</v>
      </c>
      <c r="BL331" s="2212">
        <v>4</v>
      </c>
      <c r="BM331" s="2208"/>
      <c r="BN331" s="263"/>
      <c r="BO331" s="2208"/>
      <c r="BP331" s="263"/>
      <c r="BQ331" s="263"/>
      <c r="BR331" s="263"/>
      <c r="BS331" s="263"/>
      <c r="BT331" s="2208"/>
      <c r="BU331" s="2217">
        <f t="shared" si="168"/>
        <v>30.769084524178499</v>
      </c>
      <c r="BV331" s="2217">
        <f t="shared" si="149"/>
        <v>3953.8745898812781</v>
      </c>
      <c r="BW331" s="2217">
        <f t="shared" si="159"/>
        <v>47.805777868384666</v>
      </c>
      <c r="BX331" s="2212">
        <v>4</v>
      </c>
      <c r="BY331" s="2219"/>
      <c r="BZ331" s="2213"/>
      <c r="CA331" s="2219"/>
      <c r="CB331" s="2213"/>
      <c r="CC331" s="2213"/>
      <c r="CD331" s="2213"/>
      <c r="CE331" s="2213"/>
      <c r="CF331" s="2208"/>
      <c r="CG331" s="2217">
        <f t="shared" si="169"/>
        <v>36.505777868384669</v>
      </c>
      <c r="CH331" s="2217">
        <f t="shared" si="150"/>
        <v>3953.8745898812781</v>
      </c>
      <c r="CI331" s="2217">
        <f t="shared" si="160"/>
        <v>47.805777868384666</v>
      </c>
      <c r="CJ331" s="2212">
        <v>4</v>
      </c>
      <c r="CK331" s="2219"/>
      <c r="CL331" s="2213"/>
      <c r="CM331" s="2219"/>
      <c r="CN331" s="2213"/>
      <c r="CO331" s="2213"/>
      <c r="CP331" s="2213"/>
      <c r="CQ331" s="2213"/>
      <c r="CR331" s="2208"/>
      <c r="CS331" s="2217">
        <f t="shared" si="170"/>
        <v>49.200535578917524</v>
      </c>
      <c r="CT331" s="2217">
        <f t="shared" si="161"/>
        <v>3154.545079707671</v>
      </c>
      <c r="CU331" s="2217">
        <f t="shared" si="151"/>
        <v>44.8152115399389</v>
      </c>
      <c r="CV331" s="2212">
        <v>4</v>
      </c>
      <c r="CW331" s="2208"/>
      <c r="CX331" s="263"/>
      <c r="CY331" s="2208"/>
      <c r="CZ331" s="263"/>
      <c r="DA331" s="263"/>
      <c r="DB331" s="263"/>
      <c r="DC331" s="263"/>
      <c r="DD331" s="2208"/>
    </row>
    <row r="332" spans="1:108">
      <c r="A332" s="2217">
        <f t="shared" si="162"/>
        <v>44.023423549999322</v>
      </c>
      <c r="B332" s="2217">
        <f t="shared" si="144"/>
        <v>3906.0688120128934</v>
      </c>
      <c r="C332" s="2217">
        <f t="shared" si="152"/>
        <v>48.107324826086369</v>
      </c>
      <c r="D332" s="2212">
        <v>3</v>
      </c>
      <c r="E332" s="2219"/>
      <c r="F332" s="2213"/>
      <c r="G332" s="2219"/>
      <c r="H332" s="2213"/>
      <c r="I332" s="2213"/>
      <c r="J332" s="2213"/>
      <c r="K332" s="2213"/>
      <c r="L332" s="2213"/>
      <c r="M332" s="2217">
        <f t="shared" si="163"/>
        <v>47.390936287825369</v>
      </c>
      <c r="N332" s="2217">
        <f t="shared" si="145"/>
        <v>3906.0688120128934</v>
      </c>
      <c r="O332" s="2217">
        <f t="shared" si="153"/>
        <v>48.107324826086369</v>
      </c>
      <c r="P332" s="2212">
        <v>3</v>
      </c>
      <c r="Q332" s="2219"/>
      <c r="R332" s="2213"/>
      <c r="S332" s="2219"/>
      <c r="T332" s="2213"/>
      <c r="U332" s="2213"/>
      <c r="V332" s="2213"/>
      <c r="W332" s="2213"/>
      <c r="X332" s="2213"/>
      <c r="Y332" s="2217">
        <f t="shared" si="164"/>
        <v>51.720595522173141</v>
      </c>
      <c r="Z332" s="2217">
        <f t="shared" si="154"/>
        <v>3906.0688120128934</v>
      </c>
      <c r="AA332" s="2217">
        <f t="shared" si="155"/>
        <v>48.107324826086369</v>
      </c>
      <c r="AB332" s="2212">
        <v>3</v>
      </c>
      <c r="AC332" s="2219"/>
      <c r="AD332" s="2213"/>
      <c r="AE332" s="2219"/>
      <c r="AF332" s="2213"/>
      <c r="AG332" s="2213"/>
      <c r="AH332" s="2213"/>
      <c r="AI332" s="2213"/>
      <c r="AJ332" s="2213"/>
      <c r="AK332" s="2217">
        <f t="shared" si="165"/>
        <v>31.034445846956</v>
      </c>
      <c r="AL332" s="2217">
        <f t="shared" si="146"/>
        <v>3906.0688120128934</v>
      </c>
      <c r="AM332" s="2217">
        <f t="shared" si="156"/>
        <v>48.107324826086369</v>
      </c>
      <c r="AN332" s="2212">
        <v>3</v>
      </c>
      <c r="AO332" s="2219"/>
      <c r="AP332" s="2213"/>
      <c r="AQ332" s="2219"/>
      <c r="AR332" s="2213"/>
      <c r="AS332" s="2213"/>
      <c r="AT332" s="2213"/>
      <c r="AU332" s="2213"/>
      <c r="AV332" s="2213"/>
      <c r="AW332" s="2217">
        <f t="shared" si="166"/>
        <v>36.522022274750697</v>
      </c>
      <c r="AX332" s="2217">
        <f t="shared" si="157"/>
        <v>3109.7298681677321</v>
      </c>
      <c r="AY332" s="2217">
        <f t="shared" si="147"/>
        <v>45.115115353538386</v>
      </c>
      <c r="AZ332" s="2212">
        <v>3</v>
      </c>
      <c r="BA332" s="2208"/>
      <c r="BB332" s="263"/>
      <c r="BC332" s="2208"/>
      <c r="BD332" s="263"/>
      <c r="BE332" s="263"/>
      <c r="BF332" s="263"/>
      <c r="BG332" s="263"/>
      <c r="BH332" s="2208"/>
      <c r="BI332" s="2217">
        <f t="shared" si="167"/>
        <v>50.507708034347587</v>
      </c>
      <c r="BJ332" s="2217">
        <f t="shared" si="158"/>
        <v>3109.7298681677321</v>
      </c>
      <c r="BK332" s="2217">
        <f t="shared" si="148"/>
        <v>45.115115353538386</v>
      </c>
      <c r="BL332" s="2212">
        <v>3</v>
      </c>
      <c r="BM332" s="2208"/>
      <c r="BN332" s="263"/>
      <c r="BO332" s="2208"/>
      <c r="BP332" s="263"/>
      <c r="BQ332" s="263"/>
      <c r="BR332" s="263"/>
      <c r="BS332" s="263"/>
      <c r="BT332" s="2208"/>
      <c r="BU332" s="2217">
        <f t="shared" si="168"/>
        <v>31.034445846956</v>
      </c>
      <c r="BV332" s="2217">
        <f t="shared" si="149"/>
        <v>3906.0688120128934</v>
      </c>
      <c r="BW332" s="2217">
        <f t="shared" si="159"/>
        <v>48.107324826086369</v>
      </c>
      <c r="BX332" s="2212">
        <v>3</v>
      </c>
      <c r="BY332" s="2219"/>
      <c r="BZ332" s="2213"/>
      <c r="CA332" s="2219"/>
      <c r="CB332" s="2213"/>
      <c r="CC332" s="2213"/>
      <c r="CD332" s="2213"/>
      <c r="CE332" s="2213"/>
      <c r="CF332" s="2208"/>
      <c r="CG332" s="2217">
        <f t="shared" si="169"/>
        <v>36.807324826086372</v>
      </c>
      <c r="CH332" s="2217">
        <f t="shared" si="150"/>
        <v>3906.0688120128934</v>
      </c>
      <c r="CI332" s="2217">
        <f t="shared" si="160"/>
        <v>48.107324826086369</v>
      </c>
      <c r="CJ332" s="2212">
        <v>3</v>
      </c>
      <c r="CK332" s="2219"/>
      <c r="CL332" s="2213"/>
      <c r="CM332" s="2219"/>
      <c r="CN332" s="2213"/>
      <c r="CO332" s="2213"/>
      <c r="CP332" s="2213"/>
      <c r="CQ332" s="2213"/>
      <c r="CR332" s="2208"/>
      <c r="CS332" s="2217">
        <f t="shared" si="170"/>
        <v>49.605405727276818</v>
      </c>
      <c r="CT332" s="2217">
        <f t="shared" si="161"/>
        <v>3109.7298681677321</v>
      </c>
      <c r="CU332" s="2217">
        <f t="shared" si="151"/>
        <v>45.115115353538386</v>
      </c>
      <c r="CV332" s="2212">
        <v>3</v>
      </c>
      <c r="CW332" s="2208"/>
      <c r="CX332" s="263"/>
      <c r="CY332" s="2208"/>
      <c r="CZ332" s="263"/>
      <c r="DA332" s="263"/>
      <c r="DB332" s="263"/>
      <c r="DC332" s="263"/>
      <c r="DD332" s="2208"/>
    </row>
    <row r="333" spans="1:108">
      <c r="A333" s="2217">
        <f t="shared" si="162"/>
        <v>44.371171458865106</v>
      </c>
      <c r="B333" s="2217">
        <f t="shared" si="144"/>
        <v>3857.9614871868071</v>
      </c>
      <c r="C333" s="2217">
        <f t="shared" si="152"/>
        <v>48.409714312056622</v>
      </c>
      <c r="D333" s="2212">
        <v>2</v>
      </c>
      <c r="E333" s="2219"/>
      <c r="F333" s="2213"/>
      <c r="G333" s="2219"/>
      <c r="H333" s="2213"/>
      <c r="I333" s="2213"/>
      <c r="J333" s="2213"/>
      <c r="K333" s="2213"/>
      <c r="L333" s="2213"/>
      <c r="M333" s="2217">
        <f t="shared" si="163"/>
        <v>47.759851460709072</v>
      </c>
      <c r="N333" s="2217">
        <f t="shared" si="145"/>
        <v>3857.9614871868071</v>
      </c>
      <c r="O333" s="2217">
        <f t="shared" si="153"/>
        <v>48.409714312056622</v>
      </c>
      <c r="P333" s="2212">
        <v>2</v>
      </c>
      <c r="Q333" s="2219"/>
      <c r="R333" s="2213"/>
      <c r="S333" s="2219"/>
      <c r="T333" s="2213"/>
      <c r="U333" s="2213"/>
      <c r="V333" s="2213"/>
      <c r="W333" s="2213"/>
      <c r="X333" s="2213"/>
      <c r="Y333" s="2217">
        <f t="shared" si="164"/>
        <v>52.116725748794181</v>
      </c>
      <c r="Z333" s="2217">
        <f t="shared" si="154"/>
        <v>3857.9614871868071</v>
      </c>
      <c r="AA333" s="2217">
        <f t="shared" si="155"/>
        <v>48.409714312056622</v>
      </c>
      <c r="AB333" s="2212">
        <v>2</v>
      </c>
      <c r="AC333" s="2219"/>
      <c r="AD333" s="2213"/>
      <c r="AE333" s="2219"/>
      <c r="AF333" s="2213"/>
      <c r="AG333" s="2213"/>
      <c r="AH333" s="2213"/>
      <c r="AI333" s="2213"/>
      <c r="AJ333" s="2213"/>
      <c r="AK333" s="2217">
        <f t="shared" si="165"/>
        <v>31.300548594609818</v>
      </c>
      <c r="AL333" s="2217">
        <f t="shared" si="146"/>
        <v>3857.9614871868071</v>
      </c>
      <c r="AM333" s="2217">
        <f t="shared" si="156"/>
        <v>48.409714312056622</v>
      </c>
      <c r="AN333" s="2212">
        <v>2</v>
      </c>
      <c r="AO333" s="2219"/>
      <c r="AP333" s="2213"/>
      <c r="AQ333" s="2219"/>
      <c r="AR333" s="2213"/>
      <c r="AS333" s="2213"/>
      <c r="AT333" s="2213"/>
      <c r="AU333" s="2213"/>
      <c r="AV333" s="2213"/>
      <c r="AW333" s="2217">
        <f t="shared" si="166"/>
        <v>36.83975503719644</v>
      </c>
      <c r="AX333" s="2217">
        <f t="shared" si="157"/>
        <v>3064.6147528141937</v>
      </c>
      <c r="AY333" s="2217">
        <f t="shared" si="147"/>
        <v>45.414863242638148</v>
      </c>
      <c r="AZ333" s="2212">
        <v>2</v>
      </c>
      <c r="BA333" s="2208"/>
      <c r="BB333" s="263"/>
      <c r="BC333" s="2208"/>
      <c r="BD333" s="263"/>
      <c r="BE333" s="263"/>
      <c r="BF333" s="263"/>
      <c r="BG333" s="263"/>
      <c r="BH333" s="2208"/>
      <c r="BI333" s="2217">
        <f t="shared" si="167"/>
        <v>50.918362642414266</v>
      </c>
      <c r="BJ333" s="2217">
        <f t="shared" si="158"/>
        <v>3064.6147528141937</v>
      </c>
      <c r="BK333" s="2217">
        <f t="shared" si="148"/>
        <v>45.414863242638148</v>
      </c>
      <c r="BL333" s="2212">
        <v>2</v>
      </c>
      <c r="BM333" s="2208"/>
      <c r="BN333" s="263"/>
      <c r="BO333" s="2208"/>
      <c r="BP333" s="263"/>
      <c r="BQ333" s="263"/>
      <c r="BR333" s="263"/>
      <c r="BS333" s="263"/>
      <c r="BT333" s="2208"/>
      <c r="BU333" s="2217">
        <f t="shared" si="168"/>
        <v>31.300548594609818</v>
      </c>
      <c r="BV333" s="2217">
        <f t="shared" si="149"/>
        <v>3857.9614871868071</v>
      </c>
      <c r="BW333" s="2217">
        <f t="shared" si="159"/>
        <v>48.409714312056622</v>
      </c>
      <c r="BX333" s="2212">
        <v>2</v>
      </c>
      <c r="BY333" s="2219"/>
      <c r="BZ333" s="2213"/>
      <c r="CA333" s="2219"/>
      <c r="CB333" s="2213"/>
      <c r="CC333" s="2213"/>
      <c r="CD333" s="2213"/>
      <c r="CE333" s="2213"/>
      <c r="CF333" s="2208"/>
      <c r="CG333" s="2217">
        <f t="shared" si="169"/>
        <v>37.109714312056624</v>
      </c>
      <c r="CH333" s="2217">
        <f t="shared" si="150"/>
        <v>3857.9614871868071</v>
      </c>
      <c r="CI333" s="2217">
        <f t="shared" si="160"/>
        <v>48.409714312056622</v>
      </c>
      <c r="CJ333" s="2212">
        <v>2</v>
      </c>
      <c r="CK333" s="2219"/>
      <c r="CL333" s="2213"/>
      <c r="CM333" s="2219"/>
      <c r="CN333" s="2213"/>
      <c r="CO333" s="2213"/>
      <c r="CP333" s="2213"/>
      <c r="CQ333" s="2213"/>
      <c r="CR333" s="2208"/>
      <c r="CS333" s="2217">
        <f t="shared" si="170"/>
        <v>50.010065377561503</v>
      </c>
      <c r="CT333" s="2217">
        <f t="shared" si="161"/>
        <v>3064.6147528141937</v>
      </c>
      <c r="CU333" s="2217">
        <f t="shared" si="151"/>
        <v>45.414863242638148</v>
      </c>
      <c r="CV333" s="2212">
        <v>2</v>
      </c>
      <c r="CW333" s="2208"/>
      <c r="CX333" s="263"/>
      <c r="CY333" s="2208"/>
      <c r="CZ333" s="263"/>
      <c r="DA333" s="263"/>
      <c r="DB333" s="263"/>
      <c r="DC333" s="263"/>
      <c r="DD333" s="2208"/>
    </row>
    <row r="334" spans="1:108">
      <c r="A334" s="2217">
        <f t="shared" si="162"/>
        <v>44.719888275241303</v>
      </c>
      <c r="B334" s="2217">
        <f t="shared" si="144"/>
        <v>3809.5517728747504</v>
      </c>
      <c r="C334" s="2217">
        <f>B334-B335</f>
        <v>48.712946326296787</v>
      </c>
      <c r="D334" s="2212">
        <v>1</v>
      </c>
      <c r="E334" s="2219"/>
      <c r="F334" s="2213"/>
      <c r="G334" s="2219"/>
      <c r="H334" s="2213"/>
      <c r="I334" s="2213"/>
      <c r="J334" s="2213"/>
      <c r="K334" s="2213"/>
      <c r="L334" s="2213"/>
      <c r="M334" s="2217">
        <f t="shared" si="163"/>
        <v>48.129794518082079</v>
      </c>
      <c r="N334" s="2217">
        <f t="shared" si="145"/>
        <v>3809.5517728747504</v>
      </c>
      <c r="O334" s="2217">
        <f>N334-N335</f>
        <v>48.712946326296787</v>
      </c>
      <c r="P334" s="2212">
        <v>1</v>
      </c>
      <c r="Q334" s="2219"/>
      <c r="R334" s="2213"/>
      <c r="S334" s="2219"/>
      <c r="T334" s="2213"/>
      <c r="U334" s="2213"/>
      <c r="V334" s="2213"/>
      <c r="W334" s="2213"/>
      <c r="X334" s="2213"/>
      <c r="Y334" s="2217">
        <f t="shared" si="164"/>
        <v>52.513959687448789</v>
      </c>
      <c r="Z334" s="2217">
        <f t="shared" si="154"/>
        <v>3809.5517728747504</v>
      </c>
      <c r="AA334" s="2217">
        <f>Z334-Z335</f>
        <v>48.712946326296787</v>
      </c>
      <c r="AB334" s="2212">
        <v>1</v>
      </c>
      <c r="AC334" s="2219"/>
      <c r="AD334" s="2213"/>
      <c r="AE334" s="2219"/>
      <c r="AF334" s="2213"/>
      <c r="AG334" s="2213"/>
      <c r="AH334" s="2213"/>
      <c r="AI334" s="2213"/>
      <c r="AJ334" s="2213"/>
      <c r="AK334" s="2217">
        <f t="shared" si="165"/>
        <v>31.567392767141168</v>
      </c>
      <c r="AL334" s="2217">
        <f t="shared" si="146"/>
        <v>3809.5517728747504</v>
      </c>
      <c r="AM334" s="2217">
        <f>AL334-AL335</f>
        <v>48.712946326296787</v>
      </c>
      <c r="AN334" s="2212">
        <v>1</v>
      </c>
      <c r="AO334" s="2219"/>
      <c r="AP334" s="2213"/>
      <c r="AQ334" s="2219"/>
      <c r="AR334" s="2213"/>
      <c r="AS334" s="2213"/>
      <c r="AT334" s="2213"/>
      <c r="AU334" s="2213"/>
      <c r="AV334" s="2213"/>
      <c r="AW334" s="2217">
        <f t="shared" si="166"/>
        <v>37.157322519671041</v>
      </c>
      <c r="AX334" s="2217">
        <f t="shared" si="157"/>
        <v>3019.1998895715556</v>
      </c>
      <c r="AY334" s="2217">
        <f>AX334-AX335</f>
        <v>45.714455207236824</v>
      </c>
      <c r="AZ334" s="2212">
        <v>1</v>
      </c>
      <c r="BA334" s="2208"/>
      <c r="BB334" s="263"/>
      <c r="BC334" s="2208"/>
      <c r="BD334" s="263"/>
      <c r="BE334" s="263"/>
      <c r="BF334" s="263"/>
      <c r="BG334" s="263"/>
      <c r="BH334" s="2208"/>
      <c r="BI334" s="2217">
        <f t="shared" si="167"/>
        <v>51.328803633914447</v>
      </c>
      <c r="BJ334" s="2217">
        <f t="shared" si="158"/>
        <v>3019.1998895715556</v>
      </c>
      <c r="BK334" s="2217">
        <f>BJ334-BJ335</f>
        <v>45.714455207236824</v>
      </c>
      <c r="BL334" s="2212">
        <v>1</v>
      </c>
      <c r="BM334" s="2208"/>
      <c r="BN334" s="263"/>
      <c r="BO334" s="2208"/>
      <c r="BP334" s="263"/>
      <c r="BQ334" s="263"/>
      <c r="BR334" s="263"/>
      <c r="BS334" s="263"/>
      <c r="BT334" s="2208"/>
      <c r="BU334" s="2217">
        <f t="shared" si="168"/>
        <v>31.567392767141168</v>
      </c>
      <c r="BV334" s="2217">
        <f t="shared" si="149"/>
        <v>3809.5517728747504</v>
      </c>
      <c r="BW334" s="2217">
        <f>BV334-BV335</f>
        <v>48.712946326296787</v>
      </c>
      <c r="BX334" s="2212">
        <v>1</v>
      </c>
      <c r="BY334" s="2219"/>
      <c r="BZ334" s="2213"/>
      <c r="CA334" s="2219"/>
      <c r="CB334" s="2213"/>
      <c r="CC334" s="2213"/>
      <c r="CD334" s="2213"/>
      <c r="CE334" s="2213"/>
      <c r="CF334" s="2208"/>
      <c r="CG334" s="2217">
        <f t="shared" si="169"/>
        <v>37.41294632629679</v>
      </c>
      <c r="CH334" s="2217">
        <f t="shared" si="150"/>
        <v>3809.5517728747504</v>
      </c>
      <c r="CI334" s="2217">
        <f>CH334-CH335</f>
        <v>48.712946326296787</v>
      </c>
      <c r="CJ334" s="2212">
        <v>1</v>
      </c>
      <c r="CK334" s="2219"/>
      <c r="CL334" s="2213"/>
      <c r="CM334" s="2219"/>
      <c r="CN334" s="2213"/>
      <c r="CO334" s="2213"/>
      <c r="CP334" s="2213"/>
      <c r="CQ334" s="2213"/>
      <c r="CR334" s="2208"/>
      <c r="CS334" s="2217">
        <f t="shared" si="170"/>
        <v>50.414514529769718</v>
      </c>
      <c r="CT334" s="2217">
        <f t="shared" si="161"/>
        <v>3019.1998895715556</v>
      </c>
      <c r="CU334" s="2217">
        <f>CT334-CT335</f>
        <v>45.714455207236824</v>
      </c>
      <c r="CV334" s="2212">
        <v>1</v>
      </c>
      <c r="CW334" s="2208"/>
      <c r="CX334" s="263"/>
      <c r="CY334" s="2208"/>
      <c r="CZ334" s="263"/>
      <c r="DA334" s="263"/>
      <c r="DB334" s="263"/>
      <c r="DC334" s="263"/>
      <c r="DD334" s="2208"/>
    </row>
    <row r="335" spans="1:108">
      <c r="A335" s="2217">
        <f t="shared" si="162"/>
        <v>47.349999999999994</v>
      </c>
      <c r="B335" s="2217">
        <f t="shared" si="144"/>
        <v>3760.8388265484537</v>
      </c>
      <c r="C335" s="2217">
        <v>51</v>
      </c>
      <c r="D335" s="2212">
        <v>0</v>
      </c>
      <c r="E335" s="2219"/>
      <c r="F335" s="2213"/>
      <c r="G335" s="2219"/>
      <c r="H335" s="2213"/>
      <c r="I335" s="2213"/>
      <c r="J335" s="2213"/>
      <c r="K335" s="2213"/>
      <c r="L335" s="2213"/>
      <c r="M335" s="2217">
        <f t="shared" si="163"/>
        <v>50.92</v>
      </c>
      <c r="N335" s="2217">
        <f t="shared" si="145"/>
        <v>3760.8388265484537</v>
      </c>
      <c r="O335" s="2217">
        <v>51</v>
      </c>
      <c r="P335" s="2212">
        <v>0</v>
      </c>
      <c r="Q335" s="2219"/>
      <c r="R335" s="2213"/>
      <c r="S335" s="2219"/>
      <c r="T335" s="2213"/>
      <c r="U335" s="2213"/>
      <c r="V335" s="2213"/>
      <c r="W335" s="2213"/>
      <c r="X335" s="2213"/>
      <c r="Y335" s="2217">
        <f t="shared" si="164"/>
        <v>55.510000000000005</v>
      </c>
      <c r="Z335" s="2217">
        <f t="shared" si="154"/>
        <v>3760.8388265484537</v>
      </c>
      <c r="AA335" s="2217">
        <v>51</v>
      </c>
      <c r="AB335" s="2212">
        <v>0</v>
      </c>
      <c r="AC335" s="2219"/>
      <c r="AD335" s="2213"/>
      <c r="AE335" s="2219"/>
      <c r="AF335" s="2213"/>
      <c r="AG335" s="2213"/>
      <c r="AH335" s="2213"/>
      <c r="AI335" s="2213"/>
      <c r="AJ335" s="2213"/>
      <c r="AK335" s="2217">
        <f t="shared" si="165"/>
        <v>33.58</v>
      </c>
      <c r="AL335" s="2217">
        <f t="shared" si="146"/>
        <v>3760.8388265484537</v>
      </c>
      <c r="AM335" s="2217">
        <v>51</v>
      </c>
      <c r="AN335" s="2212">
        <v>0</v>
      </c>
      <c r="AO335" s="2219"/>
      <c r="AP335" s="2213"/>
      <c r="AQ335" s="2219"/>
      <c r="AR335" s="2213"/>
      <c r="AS335" s="2213"/>
      <c r="AT335" s="2213"/>
      <c r="AU335" s="2213"/>
      <c r="AV335" s="2213"/>
      <c r="AW335" s="2217">
        <f t="shared" si="166"/>
        <v>37.157322519671041</v>
      </c>
      <c r="AX335" s="2217">
        <f t="shared" si="157"/>
        <v>2973.4854343643187</v>
      </c>
      <c r="AY335" s="2217">
        <f>AY334</f>
        <v>45.714455207236824</v>
      </c>
      <c r="AZ335" s="2212">
        <v>0</v>
      </c>
      <c r="BA335" s="2208"/>
      <c r="BB335" s="263"/>
      <c r="BC335" s="2208"/>
      <c r="BD335" s="263"/>
      <c r="BE335" s="263"/>
      <c r="BF335" s="263"/>
      <c r="BG335" s="263"/>
      <c r="BH335" s="2208"/>
      <c r="BI335" s="2217">
        <f t="shared" si="167"/>
        <v>51.328803633914447</v>
      </c>
      <c r="BJ335" s="2217">
        <f t="shared" si="158"/>
        <v>2973.4854343643187</v>
      </c>
      <c r="BK335" s="2217">
        <f>BK334</f>
        <v>45.714455207236824</v>
      </c>
      <c r="BL335" s="2212">
        <v>0</v>
      </c>
      <c r="BM335" s="2208"/>
      <c r="BN335" s="263"/>
      <c r="BO335" s="2208"/>
      <c r="BP335" s="263"/>
      <c r="BQ335" s="263"/>
      <c r="BR335" s="263"/>
      <c r="BS335" s="263"/>
      <c r="BT335" s="2208"/>
      <c r="BU335" s="2217">
        <f t="shared" si="168"/>
        <v>33.58</v>
      </c>
      <c r="BV335" s="2217">
        <f t="shared" si="149"/>
        <v>3760.8388265484537</v>
      </c>
      <c r="BW335" s="2217">
        <v>51</v>
      </c>
      <c r="BX335" s="2212">
        <v>0</v>
      </c>
      <c r="BY335" s="2219"/>
      <c r="BZ335" s="2213"/>
      <c r="CA335" s="2219"/>
      <c r="CB335" s="2213"/>
      <c r="CC335" s="2213"/>
      <c r="CD335" s="2213"/>
      <c r="CE335" s="2213"/>
      <c r="CF335" s="2208"/>
      <c r="CG335" s="2217">
        <f t="shared" si="169"/>
        <v>39.700000000000003</v>
      </c>
      <c r="CH335" s="2217">
        <f t="shared" si="150"/>
        <v>3760.8388265484537</v>
      </c>
      <c r="CI335" s="2217">
        <v>51</v>
      </c>
      <c r="CJ335" s="2212">
        <v>0</v>
      </c>
      <c r="CK335" s="2219"/>
      <c r="CL335" s="2213"/>
      <c r="CM335" s="2219"/>
      <c r="CN335" s="2213"/>
      <c r="CO335" s="2213"/>
      <c r="CP335" s="2213"/>
      <c r="CQ335" s="2213"/>
      <c r="CR335" s="2208"/>
      <c r="CS335" s="2217">
        <f t="shared" si="170"/>
        <v>50.414514529769718</v>
      </c>
      <c r="CT335" s="2217">
        <f t="shared" si="161"/>
        <v>2973.4854343643187</v>
      </c>
      <c r="CU335" s="2217">
        <f>CU334</f>
        <v>45.714455207236824</v>
      </c>
      <c r="CV335" s="2212">
        <v>0</v>
      </c>
      <c r="CW335" s="2208"/>
      <c r="CX335" s="263"/>
      <c r="CY335" s="2208"/>
      <c r="CZ335" s="263"/>
      <c r="DA335" s="263"/>
      <c r="DB335" s="263"/>
      <c r="DC335" s="263"/>
      <c r="DD335" s="2208"/>
    </row>
  </sheetData>
  <protectedRanges>
    <protectedRange sqref="B13 B16 B24:B27 B30 BV13 BJ30 BV24:BV27 CT24:CT27 N13 N16 BJ16 N30 Z13 Z16 BJ24:BJ27 Z30 AL13 AL16 CH24:CH27 AL30 AX16 AX24:AX27 AX30 AX13 BJ13 N24:N27 AL24:AL27 Z24:Z27" name="Område1_1"/>
  </protectedRanges>
  <pageMargins left="0.75" right="0.75" top="1" bottom="1" header="0.5" footer="0.5"/>
  <headerFooter alignWithMargins="0"/>
  <legacy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3"/>
  <dimension ref="A1:V130"/>
  <sheetViews>
    <sheetView zoomScale="80" zoomScaleNormal="80" workbookViewId="0">
      <selection activeCell="I19" sqref="I19"/>
    </sheetView>
  </sheetViews>
  <sheetFormatPr defaultColWidth="9.140625" defaultRowHeight="12.75"/>
  <cols>
    <col min="1" max="1" width="16.42578125" style="1827" customWidth="1"/>
    <col min="2" max="2" width="10.140625" style="1827" customWidth="1"/>
    <col min="3" max="3" width="11" style="1827" customWidth="1"/>
    <col min="4" max="4" width="9.140625" style="1827"/>
    <col min="5" max="5" width="9.85546875" style="1827" customWidth="1"/>
    <col min="6" max="7" width="9.140625" style="1827"/>
    <col min="8" max="8" width="14.5703125" style="1857" bestFit="1" customWidth="1"/>
    <col min="9" max="10" width="10.5703125" style="1827" customWidth="1"/>
    <col min="11" max="11" width="11.85546875" style="1827" customWidth="1"/>
    <col min="12" max="12" width="9.140625" style="1827"/>
    <col min="13" max="13" width="10.42578125" style="1827" customWidth="1"/>
    <col min="14" max="14" width="18.42578125" style="1827" customWidth="1"/>
    <col min="15" max="15" width="15.28515625" style="1827" customWidth="1"/>
    <col min="16" max="16" width="9.140625" style="1827"/>
    <col min="17" max="17" width="10.85546875" style="1857" customWidth="1"/>
    <col min="18" max="16384" width="9.140625" style="1827"/>
  </cols>
  <sheetData>
    <row r="1" spans="1:22" ht="20.25">
      <c r="A1" s="1856" t="s">
        <v>1199</v>
      </c>
      <c r="B1" s="1838"/>
      <c r="C1" s="1838"/>
      <c r="D1" s="1838"/>
      <c r="E1" s="1838"/>
      <c r="F1" s="1838"/>
      <c r="G1" s="1838"/>
      <c r="H1" s="1837"/>
      <c r="I1" s="1838"/>
      <c r="J1" s="1838"/>
      <c r="K1" s="1838"/>
      <c r="L1" s="1838"/>
      <c r="M1" s="1838"/>
      <c r="N1" s="1838"/>
      <c r="O1" s="1838"/>
      <c r="P1" s="1838"/>
    </row>
    <row r="2" spans="1:22">
      <c r="A2" s="1838"/>
      <c r="B2" s="1838"/>
      <c r="C2" s="1838"/>
      <c r="D2" s="1838"/>
      <c r="E2" s="1838"/>
      <c r="F2" s="1838"/>
      <c r="G2" s="1838"/>
      <c r="H2" s="1837"/>
      <c r="I2" s="1838"/>
      <c r="J2" s="1838"/>
      <c r="K2" s="1838"/>
      <c r="L2" s="1838"/>
      <c r="M2" s="1838"/>
      <c r="N2" s="1838"/>
      <c r="O2" s="1838"/>
      <c r="P2" s="1838"/>
    </row>
    <row r="3" spans="1:22" ht="18">
      <c r="A3" s="1858" t="s">
        <v>1156</v>
      </c>
      <c r="B3" s="1838"/>
      <c r="C3" s="1838"/>
      <c r="D3" s="1838"/>
      <c r="E3" s="1838"/>
      <c r="F3" s="1838"/>
      <c r="G3" s="1858" t="s">
        <v>1157</v>
      </c>
      <c r="H3" s="1837"/>
      <c r="I3" s="1838"/>
      <c r="J3" s="1838"/>
      <c r="K3" s="1838"/>
      <c r="L3" s="1838"/>
      <c r="M3" s="1838"/>
      <c r="N3" s="1838"/>
      <c r="O3" s="1838"/>
      <c r="P3" s="1838"/>
    </row>
    <row r="4" spans="1:22">
      <c r="A4" s="1859"/>
      <c r="B4" s="1860" t="s">
        <v>139</v>
      </c>
      <c r="C4" s="1860" t="s">
        <v>1075</v>
      </c>
      <c r="D4" s="1861" t="s">
        <v>1068</v>
      </c>
      <c r="E4" s="1862"/>
      <c r="F4" s="1863"/>
      <c r="G4" s="1859" t="s">
        <v>139</v>
      </c>
      <c r="H4" s="3037" t="s">
        <v>1158</v>
      </c>
      <c r="I4" s="3038"/>
      <c r="J4" s="1864"/>
      <c r="K4" s="1860" t="s">
        <v>1159</v>
      </c>
      <c r="L4" s="3037" t="s">
        <v>149</v>
      </c>
      <c r="M4" s="3038"/>
      <c r="N4" s="1865"/>
      <c r="O4" s="1860" t="s">
        <v>1159</v>
      </c>
      <c r="P4" s="1838"/>
    </row>
    <row r="5" spans="1:22">
      <c r="A5" s="1866"/>
      <c r="B5" s="1867"/>
      <c r="C5" s="1867"/>
      <c r="D5" s="1868" t="s">
        <v>740</v>
      </c>
      <c r="E5" s="1867" t="s">
        <v>74</v>
      </c>
      <c r="F5" s="1863"/>
      <c r="G5" s="1867"/>
      <c r="H5" s="1867" t="s">
        <v>1160</v>
      </c>
      <c r="I5" s="1867" t="s">
        <v>1050</v>
      </c>
      <c r="J5" s="1867" t="s">
        <v>1161</v>
      </c>
      <c r="K5" s="1867" t="s">
        <v>1162</v>
      </c>
      <c r="L5" s="1867"/>
      <c r="M5" s="1860"/>
      <c r="N5" s="1867" t="s">
        <v>1163</v>
      </c>
      <c r="O5" s="1867" t="s">
        <v>1162</v>
      </c>
      <c r="P5" s="1838"/>
    </row>
    <row r="6" spans="1:22">
      <c r="A6" s="1866"/>
      <c r="B6" s="1867" t="s">
        <v>1086</v>
      </c>
      <c r="C6" s="1867" t="s">
        <v>1164</v>
      </c>
      <c r="D6" s="1868" t="s">
        <v>1164</v>
      </c>
      <c r="E6" s="1867" t="s">
        <v>1165</v>
      </c>
      <c r="F6" s="1863"/>
      <c r="G6" s="1867" t="s">
        <v>1086</v>
      </c>
      <c r="H6" s="1867" t="s">
        <v>1075</v>
      </c>
      <c r="I6" s="1867" t="s">
        <v>1166</v>
      </c>
      <c r="J6" s="1867" t="s">
        <v>1167</v>
      </c>
      <c r="K6" s="1867" t="s">
        <v>744</v>
      </c>
      <c r="L6" s="1867" t="s">
        <v>1169</v>
      </c>
      <c r="M6" s="1867" t="s">
        <v>1170</v>
      </c>
      <c r="N6" s="1867"/>
      <c r="O6" s="1867" t="s">
        <v>1171</v>
      </c>
      <c r="P6" s="1838"/>
    </row>
    <row r="7" spans="1:22">
      <c r="A7" s="1844"/>
      <c r="B7" s="1869"/>
      <c r="C7" s="1869"/>
      <c r="D7" s="1870"/>
      <c r="E7" s="1871"/>
      <c r="F7" s="1838"/>
      <c r="G7" s="1871"/>
      <c r="H7" s="1867" t="s">
        <v>1164</v>
      </c>
      <c r="I7" s="1871"/>
      <c r="J7" s="1869"/>
      <c r="K7" s="1872" t="s">
        <v>727</v>
      </c>
      <c r="L7" s="1872" t="s">
        <v>1132</v>
      </c>
      <c r="M7" s="1872" t="s">
        <v>1132</v>
      </c>
      <c r="N7" s="1872" t="s">
        <v>727</v>
      </c>
      <c r="O7" s="1872" t="s">
        <v>727</v>
      </c>
      <c r="P7" s="1838"/>
    </row>
    <row r="8" spans="1:22" ht="15">
      <c r="A8" s="1873" t="str">
        <f>'"Kvävesimulator"'!C20</f>
        <v xml:space="preserve"> Höstvete foder</v>
      </c>
      <c r="B8" s="1873">
        <f>'"Kvävesimulator"'!S20</f>
        <v>85</v>
      </c>
      <c r="C8" s="1874">
        <f>'"Kvävesimulator"'!U20</f>
        <v>1.4</v>
      </c>
      <c r="D8" s="1873">
        <f>'"Kvävesimulator"'!W20</f>
        <v>0.25</v>
      </c>
      <c r="E8" s="1875">
        <f>IF('"Kvävesimulator"'!S20&lt;&gt;"",(Spannmål_N!F8+(('"Kvävesimulator"'!S20-Spannmål_N!E8)*(Spannmål_N!B16)))-'"Kvävesimulator"'!AD20-'"Kvävesimulator"'!AA20,0)</f>
        <v>168.6221095595545</v>
      </c>
      <c r="F8" s="1838"/>
      <c r="G8" s="1877">
        <v>70</v>
      </c>
      <c r="H8" s="1874">
        <v>1.4</v>
      </c>
      <c r="I8" s="1841">
        <v>144.7609628065</v>
      </c>
      <c r="J8" s="1842">
        <v>25</v>
      </c>
      <c r="K8" s="1841">
        <f>I8+J8</f>
        <v>169.7609628065</v>
      </c>
      <c r="L8" s="1842">
        <v>1.5</v>
      </c>
      <c r="M8" s="1842">
        <v>1.5</v>
      </c>
      <c r="N8" s="1878">
        <f>IF(E8&gt;O8,O8,E8)</f>
        <v>168.6221095595545</v>
      </c>
      <c r="O8" s="1841">
        <f>VLOOKUP(B8,Maxgiva_M,2)-'"Kvävesimulator"'!AD20-'"Kvävesimulator"'!AA20</f>
        <v>192.2609628065</v>
      </c>
      <c r="P8" s="1838"/>
      <c r="Q8" s="1918"/>
      <c r="R8" s="1880"/>
      <c r="S8" s="1880"/>
      <c r="V8" s="1827">
        <v>30</v>
      </c>
    </row>
    <row r="9" spans="1:22" ht="15">
      <c r="A9" s="1873"/>
      <c r="B9" s="1873"/>
      <c r="C9" s="1874"/>
      <c r="D9" s="1873"/>
      <c r="E9" s="1875"/>
      <c r="F9" s="1838"/>
      <c r="G9" s="1877"/>
      <c r="H9" s="1879"/>
      <c r="I9" s="1841"/>
      <c r="J9" s="1840"/>
      <c r="K9" s="1841"/>
      <c r="L9" s="1840"/>
      <c r="M9" s="1840"/>
      <c r="N9" s="1878"/>
      <c r="O9" s="1841"/>
      <c r="P9" s="1838"/>
      <c r="Q9" s="1918"/>
      <c r="R9" s="1880"/>
      <c r="S9" s="1880"/>
    </row>
    <row r="10" spans="1:22" ht="15">
      <c r="A10" s="1873" t="str">
        <f>'"Kvävesimulator"'!C22</f>
        <v xml:space="preserve"> Höstvete kvarn</v>
      </c>
      <c r="B10" s="1873">
        <f>'"Kvävesimulator"'!S22</f>
        <v>80</v>
      </c>
      <c r="C10" s="1874">
        <f>'"Kvävesimulator"'!U22</f>
        <v>1.47</v>
      </c>
      <c r="D10" s="1873">
        <f>'"Kvävesimulator"'!W22</f>
        <v>0.25</v>
      </c>
      <c r="E10" s="1875">
        <f>IF('"Kvävesimulator"'!S22&lt;&gt;"",(Spannmål_N!R$8+(('"Kvävesimulator"'!S22-Spannmål_N!Q$8)*(Spannmål_N!N16)))-'"Kvävesimulator"'!AD22-'"Kvävesimulator"'!AA22,0)</f>
        <v>165.40287478241856</v>
      </c>
      <c r="F10" s="1838"/>
      <c r="G10" s="1877">
        <v>70</v>
      </c>
      <c r="H10" s="1874">
        <v>1.6</v>
      </c>
      <c r="I10" s="1841">
        <v>155.29475781249999</v>
      </c>
      <c r="J10" s="1842">
        <v>25</v>
      </c>
      <c r="K10" s="1841">
        <f>I10+J10</f>
        <v>180.29475781249999</v>
      </c>
      <c r="L10" s="1842">
        <v>1.5</v>
      </c>
      <c r="M10" s="1842">
        <v>1.5</v>
      </c>
      <c r="N10" s="1878">
        <f>IF(E10&gt;O10,O10,E10)</f>
        <v>165.40287478241856</v>
      </c>
      <c r="O10" s="1841">
        <f>VLOOKUP(B10,Maxgiva_M,4)-'"Kvävesimulator"'!AD22-'"Kvävesimulator"'!AA22</f>
        <v>195.29475781249999</v>
      </c>
      <c r="P10" s="1838"/>
      <c r="Q10" s="1918"/>
      <c r="R10" s="1880"/>
      <c r="S10" s="1880"/>
    </row>
    <row r="11" spans="1:22" ht="15">
      <c r="A11" s="1873"/>
      <c r="B11" s="1873"/>
      <c r="C11" s="1874"/>
      <c r="D11" s="1873"/>
      <c r="E11" s="1875"/>
      <c r="F11" s="1838"/>
      <c r="G11" s="1877"/>
      <c r="H11" s="1879"/>
      <c r="I11" s="1841"/>
      <c r="J11" s="1840"/>
      <c r="K11" s="1841"/>
      <c r="L11" s="1840"/>
      <c r="M11" s="1840"/>
      <c r="N11" s="1878"/>
      <c r="O11" s="1841"/>
      <c r="P11" s="1838"/>
      <c r="Q11" s="1918"/>
      <c r="R11" s="1880"/>
      <c r="S11" s="1880"/>
    </row>
    <row r="12" spans="1:22" ht="15">
      <c r="A12" s="1873" t="str">
        <f>'"Kvävesimulator"'!C24</f>
        <v xml:space="preserve"> Vårvete</v>
      </c>
      <c r="B12" s="1873">
        <f>'"Kvävesimulator"'!S24</f>
        <v>50</v>
      </c>
      <c r="C12" s="1874">
        <f>'"Kvävesimulator"'!U24</f>
        <v>1.56</v>
      </c>
      <c r="D12" s="1873">
        <f>'"Kvävesimulator"'!W24</f>
        <v>0.25</v>
      </c>
      <c r="E12" s="1875">
        <f>IF('"Kvävesimulator"'!S24&lt;&gt;"",(Spannmål_N!AD$8+(('"Kvävesimulator"'!S24-Spannmål_N!AC$8)*(Spannmål_N!Z16)))-'"Kvävesimulator"'!AD24-'"Kvävesimulator"'!AA24,0)</f>
        <v>129.496146079406</v>
      </c>
      <c r="F12" s="1838"/>
      <c r="G12" s="1877">
        <v>60</v>
      </c>
      <c r="H12" s="1874">
        <v>1.7</v>
      </c>
      <c r="I12" s="1841">
        <v>144.67206399999998</v>
      </c>
      <c r="J12" s="1842">
        <v>20</v>
      </c>
      <c r="K12" s="1841">
        <f>I12+J12</f>
        <v>164.67206399999998</v>
      </c>
      <c r="L12" s="1842">
        <v>2</v>
      </c>
      <c r="M12" s="1842">
        <v>2</v>
      </c>
      <c r="N12" s="1878">
        <f>IF(E12&gt;O12,O12,E12)</f>
        <v>129.496146079406</v>
      </c>
      <c r="O12" s="1841">
        <f>VLOOKUP(B12,Maxgiva_M,5)-'"Kvävesimulator"'!AD24-'"Kvävesimulator"'!AA24</f>
        <v>144.67206399999998</v>
      </c>
      <c r="P12" s="1838"/>
      <c r="Q12" s="1918"/>
      <c r="R12" s="1880"/>
      <c r="S12" s="1880"/>
    </row>
    <row r="13" spans="1:22" ht="15">
      <c r="A13" s="1873"/>
      <c r="B13" s="1873"/>
      <c r="C13" s="1874"/>
      <c r="D13" s="1873"/>
      <c r="E13" s="1875"/>
      <c r="F13" s="1838"/>
      <c r="G13" s="1877"/>
      <c r="H13" s="1879"/>
      <c r="I13" s="1841"/>
      <c r="J13" s="1840"/>
      <c r="K13" s="1841"/>
      <c r="L13" s="1840"/>
      <c r="M13" s="1840"/>
      <c r="N13" s="1878"/>
      <c r="O13" s="1841"/>
      <c r="P13" s="1838"/>
      <c r="Q13" s="1918"/>
      <c r="R13" s="1880"/>
      <c r="S13" s="1880"/>
    </row>
    <row r="14" spans="1:22" ht="15">
      <c r="A14" s="1873" t="str">
        <f>'"Kvävesimulator"'!C26</f>
        <v xml:space="preserve"> Höstkorn</v>
      </c>
      <c r="B14" s="1873">
        <f>'"Kvävesimulator"'!S26</f>
        <v>60</v>
      </c>
      <c r="C14" s="1874">
        <f>'"Kvävesimulator"'!U26</f>
        <v>1.1299999999999999</v>
      </c>
      <c r="D14" s="1873">
        <f>'"Kvävesimulator"'!W26</f>
        <v>0.25</v>
      </c>
      <c r="E14" s="1875">
        <f>IF('"Kvävesimulator"'!S26&lt;&gt;"",(Spannmål_N!AP$8+(('"Kvävesimulator"'!S26-Spannmål_N!AO$8)*(Spannmål_N!AL16)))-'"Kvävesimulator"'!AD26-'"Kvävesimulator"'!AA26,0)</f>
        <v>120.28426007372533</v>
      </c>
      <c r="F14" s="1838"/>
      <c r="G14" s="1877">
        <v>60</v>
      </c>
      <c r="H14" s="1874">
        <v>1.4</v>
      </c>
      <c r="I14" s="1841">
        <v>122.07166982800004</v>
      </c>
      <c r="J14" s="1842">
        <v>20</v>
      </c>
      <c r="K14" s="1841">
        <f>I14+J14</f>
        <v>142.07166982800004</v>
      </c>
      <c r="L14" s="1842">
        <v>1.5</v>
      </c>
      <c r="M14" s="1842">
        <v>1.5</v>
      </c>
      <c r="N14" s="1878">
        <f>IF(E14&gt;O14,O14,E14)</f>
        <v>120.28426007372533</v>
      </c>
      <c r="O14" s="1841">
        <f>VLOOKUP(B14,Maxgiva_M,6)-'"Kvävesimulator"'!AD26-'"Kvävesimulator"'!AA26</f>
        <v>142.07166982800004</v>
      </c>
      <c r="P14" s="1838"/>
      <c r="Q14" s="1918"/>
      <c r="R14" s="1880"/>
      <c r="S14" s="1880"/>
    </row>
    <row r="15" spans="1:22" ht="15">
      <c r="A15" s="1873"/>
      <c r="B15" s="1873"/>
      <c r="C15" s="1874"/>
      <c r="D15" s="1873"/>
      <c r="E15" s="1875"/>
      <c r="F15" s="1838"/>
      <c r="G15" s="1877"/>
      <c r="H15" s="1879"/>
      <c r="I15" s="1841"/>
      <c r="J15" s="1840"/>
      <c r="K15" s="1841"/>
      <c r="L15" s="1840"/>
      <c r="M15" s="1840"/>
      <c r="N15" s="1878"/>
      <c r="O15" s="1841"/>
      <c r="P15" s="1838"/>
    </row>
    <row r="16" spans="1:22" ht="15">
      <c r="A16" s="1873" t="str">
        <f>'"Kvävesimulator"'!C28</f>
        <v xml:space="preserve"> Vårkorn foder</v>
      </c>
      <c r="B16" s="1873">
        <f>'"Kvävesimulator"'!S28</f>
        <v>55</v>
      </c>
      <c r="C16" s="1874">
        <f>'"Kvävesimulator"'!U28</f>
        <v>1.31</v>
      </c>
      <c r="D16" s="1873">
        <f>'"Kvävesimulator"'!W28</f>
        <v>0.25</v>
      </c>
      <c r="E16" s="1875">
        <f>IF('"Kvävesimulator"'!S28&lt;&gt;"",(Spannmål_N!BB$8+(('"Kvävesimulator"'!S28-Spannmål_N!BA$8)*(Spannmål_N!AX$16)))-'"Kvävesimulator"'!AD28-'"Kvävesimulator"'!AA28,0)</f>
        <v>101.5644631978985</v>
      </c>
      <c r="F16" s="1838"/>
      <c r="G16" s="1877">
        <v>60</v>
      </c>
      <c r="H16" s="1874">
        <v>1.4</v>
      </c>
      <c r="I16" s="1841">
        <v>112.14426950000001</v>
      </c>
      <c r="J16" s="1842">
        <v>20</v>
      </c>
      <c r="K16" s="1841">
        <f>I16+J16</f>
        <v>132.14426950000001</v>
      </c>
      <c r="L16" s="1842">
        <v>1.5</v>
      </c>
      <c r="M16" s="1842">
        <v>1.5</v>
      </c>
      <c r="N16" s="1878">
        <f>IF(E16&gt;O16,O16,E16)</f>
        <v>101.5644631978985</v>
      </c>
      <c r="O16" s="1841">
        <f>VLOOKUP(B16,Maxgiva_M,7)-'"Kvävesimulator"'!AD28-'"Kvävesimulator"'!AA28</f>
        <v>124.64426950000001</v>
      </c>
      <c r="P16" s="1838"/>
    </row>
    <row r="17" spans="1:19" ht="15">
      <c r="A17" s="1873"/>
      <c r="B17" s="1873"/>
      <c r="C17" s="1874"/>
      <c r="D17" s="1873"/>
      <c r="E17" s="1875"/>
      <c r="F17" s="1838"/>
      <c r="G17" s="1877"/>
      <c r="H17" s="1879"/>
      <c r="I17" s="1841"/>
      <c r="J17" s="1840"/>
      <c r="K17" s="1841"/>
      <c r="L17" s="1840"/>
      <c r="M17" s="1840"/>
      <c r="N17" s="1878"/>
      <c r="O17" s="1841"/>
      <c r="P17" s="1838"/>
    </row>
    <row r="18" spans="1:19" ht="15">
      <c r="A18" s="1873" t="str">
        <f>'"Kvävesimulator"'!C30</f>
        <v xml:space="preserve"> Vårkorn malt</v>
      </c>
      <c r="B18" s="1873">
        <f>'"Kvävesimulator"'!S30</f>
        <v>55</v>
      </c>
      <c r="C18" s="1874">
        <f>'"Kvävesimulator"'!U30</f>
        <v>1.62</v>
      </c>
      <c r="D18" s="1873">
        <f>'"Kvävesimulator"'!W30</f>
        <v>0.25</v>
      </c>
      <c r="E18" s="1875">
        <f>IF('"Kvävesimulator"'!S30&lt;&gt;"",(Spannmål_N!BN$8+(('"Kvävesimulator"'!S30-Spannmål_N!BM$8)*(Spannmål_N!BJ$16)))-'"Kvävesimulator"'!AD30-'"Kvävesimulator"'!AA30,0)</f>
        <v>103.23349117621719</v>
      </c>
      <c r="F18" s="1838"/>
      <c r="G18" s="1877">
        <v>60</v>
      </c>
      <c r="H18" s="1874">
        <v>1.4</v>
      </c>
      <c r="I18" s="1841">
        <v>107.22127116799999</v>
      </c>
      <c r="J18" s="1842">
        <v>20</v>
      </c>
      <c r="K18" s="1841">
        <f>I18+J18</f>
        <v>127.22127116799999</v>
      </c>
      <c r="L18" s="1842">
        <v>1.5</v>
      </c>
      <c r="M18" s="1842">
        <v>1.5</v>
      </c>
      <c r="N18" s="1878">
        <f>IF(E18&gt;O18,O18,E18)</f>
        <v>103.23349117621719</v>
      </c>
      <c r="O18" s="1841">
        <f>VLOOKUP(B18,Maxgiva_M,8)-'"Kvävesimulator"'!AD30-'"Kvävesimulator"'!AA30</f>
        <v>119.72127116799999</v>
      </c>
      <c r="P18" s="1838"/>
    </row>
    <row r="19" spans="1:19" ht="15">
      <c r="A19" s="1873"/>
      <c r="B19" s="1873"/>
      <c r="C19" s="1874"/>
      <c r="D19" s="1873"/>
      <c r="E19" s="1875"/>
      <c r="F19" s="1838"/>
      <c r="G19" s="1877"/>
      <c r="H19" s="1879"/>
      <c r="I19" s="1841"/>
      <c r="J19" s="1840"/>
      <c r="K19" s="1841"/>
      <c r="L19" s="1840"/>
      <c r="M19" s="1840"/>
      <c r="N19" s="1878"/>
      <c r="O19" s="1841"/>
      <c r="P19" s="1838"/>
    </row>
    <row r="20" spans="1:19" ht="15">
      <c r="A20" s="1873" t="str">
        <f>'"Kvävesimulator"'!C32</f>
        <v xml:space="preserve"> Råg</v>
      </c>
      <c r="B20" s="1873">
        <f>'"Kvävesimulator"'!S32</f>
        <v>60</v>
      </c>
      <c r="C20" s="1874">
        <f>'"Kvävesimulator"'!U32</f>
        <v>1.1299999999999999</v>
      </c>
      <c r="D20" s="1873">
        <f>'"Kvävesimulator"'!W32</f>
        <v>0.25</v>
      </c>
      <c r="E20" s="1875">
        <f>IF('"Kvävesimulator"'!S32&lt;&gt;"",(Spannmål_N!BZ$8+(('"Kvävesimulator"'!S32-Spannmål_N!BY$8)*(Spannmål_N!BV$16)))-'"Kvävesimulator"'!AD32-'"Kvävesimulator"'!AA32,0)</f>
        <v>110.67358678520253</v>
      </c>
      <c r="F20" s="1838"/>
      <c r="G20" s="1877">
        <v>60</v>
      </c>
      <c r="H20" s="1874">
        <v>1.4</v>
      </c>
      <c r="I20" s="1841">
        <v>122.07166982800004</v>
      </c>
      <c r="J20" s="1842">
        <v>10</v>
      </c>
      <c r="K20" s="1841">
        <f>I20+J20</f>
        <v>132.07166982800004</v>
      </c>
      <c r="L20" s="1842">
        <v>1.5</v>
      </c>
      <c r="M20" s="1842">
        <v>0.2</v>
      </c>
      <c r="N20" s="1878">
        <f>IF(E20&gt;O20,O20,E20)</f>
        <v>110.67358678520253</v>
      </c>
      <c r="O20" s="1841">
        <f>VLOOKUP(B20,Maxgiva_M,9)-'"Kvävesimulator"'!AD32-'"Kvävesimulator"'!AA32</f>
        <v>132.07166982800004</v>
      </c>
      <c r="P20" s="1838"/>
    </row>
    <row r="21" spans="1:19" ht="15">
      <c r="A21" s="1873"/>
      <c r="B21" s="1873"/>
      <c r="C21" s="1874"/>
      <c r="D21" s="1873"/>
      <c r="E21" s="1875"/>
      <c r="F21" s="1838"/>
      <c r="G21" s="1877"/>
      <c r="H21" s="1879"/>
      <c r="I21" s="1841"/>
      <c r="J21" s="1840"/>
      <c r="K21" s="1841"/>
      <c r="L21" s="1840"/>
      <c r="M21" s="1840"/>
      <c r="N21" s="1878"/>
      <c r="O21" s="1841"/>
      <c r="P21" s="1838"/>
    </row>
    <row r="22" spans="1:19" ht="15">
      <c r="A22" s="1873" t="str">
        <f>'"Kvävesimulator"'!C34</f>
        <v xml:space="preserve"> Rågvete</v>
      </c>
      <c r="B22" s="1873">
        <f>'"Kvävesimulator"'!S34</f>
        <v>60</v>
      </c>
      <c r="C22" s="1874">
        <f>'"Kvävesimulator"'!U34</f>
        <v>1.25</v>
      </c>
      <c r="D22" s="1873">
        <f>'"Kvävesimulator"'!W34</f>
        <v>0.25</v>
      </c>
      <c r="E22" s="1875">
        <f>IF('"Kvävesimulator"'!S34&lt;&gt;"",(Spannmål_N!CL$8+(('"Kvävesimulator"'!S34-Spannmål_N!CK$8)*(Spannmål_N!CH$16)))-'"Kvävesimulator"'!AD34-'"Kvävesimulator"'!AA34,0)</f>
        <v>124.4016299578292</v>
      </c>
      <c r="F22" s="1838"/>
      <c r="G22" s="1877">
        <v>70</v>
      </c>
      <c r="H22" s="1874">
        <v>1.4</v>
      </c>
      <c r="I22" s="1841">
        <v>143.03600739950002</v>
      </c>
      <c r="J22" s="1842">
        <v>20</v>
      </c>
      <c r="K22" s="1841">
        <f>I22+J22</f>
        <v>163.03600739950002</v>
      </c>
      <c r="L22" s="1842">
        <v>1.5</v>
      </c>
      <c r="M22" s="1842">
        <v>1.5</v>
      </c>
      <c r="N22" s="1878">
        <f>IF(E22&gt;O22,O22,E22)</f>
        <v>124.4016299578292</v>
      </c>
      <c r="O22" s="1841">
        <f>VLOOKUP(B22,Maxgiva_M,10)-'"Kvävesimulator"'!AD34-'"Kvävesimulator"'!AA34</f>
        <v>148.03600739950002</v>
      </c>
      <c r="P22" s="1838"/>
    </row>
    <row r="23" spans="1:19" ht="15">
      <c r="A23" s="1873"/>
      <c r="B23" s="1873"/>
      <c r="C23" s="1874"/>
      <c r="D23" s="1873"/>
      <c r="E23" s="1875"/>
      <c r="F23" s="1838"/>
      <c r="G23" s="1877"/>
      <c r="H23" s="1879"/>
      <c r="I23" s="1841"/>
      <c r="J23" s="1840"/>
      <c r="K23" s="1841"/>
      <c r="L23" s="1840"/>
      <c r="M23" s="1840"/>
      <c r="N23" s="1878"/>
      <c r="O23" s="1841"/>
      <c r="P23" s="1838"/>
    </row>
    <row r="24" spans="1:19" ht="15">
      <c r="A24" s="1873" t="str">
        <f>'"Kvävesimulator"'!C36</f>
        <v xml:space="preserve"> Havre</v>
      </c>
      <c r="B24" s="1873">
        <f>'"Kvävesimulator"'!S36</f>
        <v>55</v>
      </c>
      <c r="C24" s="1874">
        <f>'"Kvävesimulator"'!U36</f>
        <v>1.6</v>
      </c>
      <c r="D24" s="1873">
        <f>'"Kvävesimulator"'!W36</f>
        <v>0.25</v>
      </c>
      <c r="E24" s="1875">
        <f>IF('"Kvävesimulator"'!S36&lt;&gt;"",(Spannmål_N!CX$8+(('"Kvävesimulator"'!S36-Spannmål_N!CW$8)*(Spannmål_N!CT$16)))-'"Kvävesimulator"'!AD36-'"Kvävesimulator"'!AA36,0)</f>
        <v>109.22509429304264</v>
      </c>
      <c r="F24" s="1838"/>
      <c r="G24" s="1877">
        <v>60</v>
      </c>
      <c r="H24" s="1874">
        <v>1.4</v>
      </c>
      <c r="I24" s="1841">
        <v>112.14426950000001</v>
      </c>
      <c r="J24" s="1842">
        <v>20</v>
      </c>
      <c r="K24" s="1841">
        <f>I24+J24</f>
        <v>132.14426950000001</v>
      </c>
      <c r="L24" s="1842">
        <v>1.5</v>
      </c>
      <c r="M24" s="1842">
        <v>1.5</v>
      </c>
      <c r="N24" s="1878">
        <f>IF(E24&gt;O24,O24,E24)</f>
        <v>109.22509429304264</v>
      </c>
      <c r="O24" s="1841">
        <f>VLOOKUP(B24,Maxgiva_M,11)-'"Kvävesimulator"'!AD36-'"Kvävesimulator"'!AA36</f>
        <v>124.64426950000001</v>
      </c>
      <c r="P24" s="1838"/>
    </row>
    <row r="25" spans="1:19">
      <c r="A25" s="1873"/>
      <c r="B25" s="1873"/>
      <c r="C25" s="1874"/>
      <c r="D25" s="1873"/>
      <c r="E25" s="1881"/>
      <c r="F25" s="1838"/>
      <c r="G25" s="1877"/>
      <c r="H25" s="1877"/>
      <c r="I25" s="1877"/>
      <c r="J25" s="1840"/>
      <c r="K25" s="1841"/>
      <c r="L25" s="1840"/>
      <c r="M25" s="1840"/>
      <c r="N25" s="1878"/>
      <c r="O25" s="1841"/>
      <c r="P25" s="1838"/>
    </row>
    <row r="26" spans="1:19" ht="15">
      <c r="A26" s="1873" t="str">
        <f>'"Kvävesimulator"'!C38</f>
        <v xml:space="preserve"> Höstraps</v>
      </c>
      <c r="B26" s="1873">
        <f>'"Kvävesimulator"'!S38</f>
        <v>35</v>
      </c>
      <c r="C26" s="1874">
        <f>'"Kvävesimulator"'!U38</f>
        <v>4.0999999999999996</v>
      </c>
      <c r="D26" s="1873">
        <f>'"Kvävesimulator"'!W38</f>
        <v>0.4</v>
      </c>
      <c r="E26" s="1875">
        <f>IF('"Kvävesimulator"'!S38&lt;&gt;"",(Oljeväxter!F9+(('"Kvävesimulator"'!S38-Oljeväxter!E9)*(Oljeväxter!B16)))--'"Kvävesimulator"'!AA38,0)</f>
        <v>163.32932092800002</v>
      </c>
      <c r="F26" s="1838"/>
      <c r="G26" s="1877">
        <v>30</v>
      </c>
      <c r="H26" s="1840">
        <v>3.5</v>
      </c>
      <c r="I26" s="1840">
        <v>125</v>
      </c>
      <c r="J26" s="1840">
        <f>Giva_S!K26</f>
        <v>25</v>
      </c>
      <c r="K26" s="1841">
        <f>I26+J26</f>
        <v>150</v>
      </c>
      <c r="L26" s="1840">
        <f>Giva_S!M26</f>
        <v>2</v>
      </c>
      <c r="M26" s="1840">
        <f>Giva_S!N26</f>
        <v>1.5</v>
      </c>
      <c r="N26" s="1878">
        <f>IF(E26&gt;O26,O26,E26)</f>
        <v>158.47502399999996</v>
      </c>
      <c r="O26" s="1841">
        <f>VLOOKUP(B26,Max_oljeväxter,2)-'"Kvävesimulator"'!AA38</f>
        <v>158.47502399999996</v>
      </c>
      <c r="P26" s="1883"/>
      <c r="Q26" s="1815"/>
      <c r="R26" s="1884"/>
      <c r="S26" s="1884"/>
    </row>
    <row r="27" spans="1:19">
      <c r="A27" s="1873"/>
      <c r="B27" s="1873"/>
      <c r="C27" s="1874"/>
      <c r="D27" s="1873"/>
      <c r="E27" s="1881"/>
      <c r="F27" s="1838"/>
      <c r="G27" s="1877"/>
      <c r="H27" s="1840"/>
      <c r="I27" s="1840"/>
      <c r="J27" s="1840"/>
      <c r="K27" s="1841"/>
      <c r="L27" s="1840"/>
      <c r="M27" s="1840"/>
      <c r="N27" s="1878"/>
      <c r="O27" s="1841"/>
      <c r="P27" s="1883"/>
      <c r="Q27" s="1815"/>
      <c r="R27" s="1884"/>
      <c r="S27" s="1884"/>
    </row>
    <row r="28" spans="1:19" ht="15">
      <c r="A28" s="1873" t="str">
        <f>'"Kvävesimulator"'!C40</f>
        <v xml:space="preserve"> Vårraps</v>
      </c>
      <c r="B28" s="1873">
        <f>'"Kvävesimulator"'!S40</f>
        <v>20</v>
      </c>
      <c r="C28" s="1874">
        <f>'"Kvävesimulator"'!U40</f>
        <v>2.81</v>
      </c>
      <c r="D28" s="1873">
        <f>'"Kvävesimulator"'!W40</f>
        <v>0.4</v>
      </c>
      <c r="E28" s="1875">
        <f>IF('"Kvävesimulator"'!S40&lt;&gt;"",(Oljeväxter!R8+(('"Kvävesimulator"'!S40-Oljeväxter!Q8)*(Oljeväxter!N16)))-'"Kvävesimulator"'!AA40,0)</f>
        <v>111.09874600000001</v>
      </c>
      <c r="F28" s="1838"/>
      <c r="G28" s="1877">
        <v>20</v>
      </c>
      <c r="H28" s="1840">
        <v>3.5</v>
      </c>
      <c r="I28" s="1840">
        <v>96</v>
      </c>
      <c r="J28" s="1840">
        <f>Giva_S!K28</f>
        <v>25</v>
      </c>
      <c r="K28" s="1841">
        <f>I28+J28</f>
        <v>121</v>
      </c>
      <c r="L28" s="1840">
        <f>Giva_S!M28</f>
        <v>2</v>
      </c>
      <c r="M28" s="1840">
        <f>Giva_S!N28</f>
        <v>1.5</v>
      </c>
      <c r="N28" s="1878">
        <f>IF(E28&gt;O28,O28,E28)</f>
        <v>111.09874600000001</v>
      </c>
      <c r="O28" s="1841">
        <f>VLOOKUP(B28,Max_oljeväxter,2)-'"Kvävesimulator"'!AA40</f>
        <v>130.97502399999996</v>
      </c>
      <c r="P28" s="1883"/>
      <c r="Q28" s="1815"/>
      <c r="R28" s="1884"/>
      <c r="S28" s="1884"/>
    </row>
    <row r="29" spans="1:19">
      <c r="A29" s="1873"/>
      <c r="B29" s="1887" t="s">
        <v>974</v>
      </c>
      <c r="C29" s="1874"/>
      <c r="D29" s="1873"/>
      <c r="E29" s="1881"/>
      <c r="F29" s="1838"/>
      <c r="G29" s="1877"/>
      <c r="H29" s="1877"/>
      <c r="I29" s="1877"/>
      <c r="J29" s="1840"/>
      <c r="K29" s="1841"/>
      <c r="L29" s="1840"/>
      <c r="M29" s="1840"/>
      <c r="N29" s="1878"/>
      <c r="O29" s="1877"/>
      <c r="P29" s="1883"/>
      <c r="Q29" s="1815"/>
      <c r="R29" s="1884"/>
      <c r="S29" s="1884"/>
    </row>
    <row r="30" spans="1:19" ht="15">
      <c r="A30" s="1873" t="s">
        <v>1110</v>
      </c>
      <c r="B30" s="1889">
        <f>'"Kvävesimulator"'!H46</f>
        <v>9</v>
      </c>
      <c r="C30" s="1874">
        <f>'"Kvävesimulator"'!U46</f>
        <v>1.25</v>
      </c>
      <c r="D30" s="1873">
        <f>'"Kvävesimulator"'!W46</f>
        <v>0.5</v>
      </c>
      <c r="E30" s="1875">
        <f>IF('"Kvävesimulator"'!H46&lt;&gt;"",(Vall!F$15+(('"Kvävesimulator"'!H46-Vall!E$15)*(Vall!B$18)))-'"Kvävesimulator"'!AA46+20,0)</f>
        <v>106.24312</v>
      </c>
      <c r="F30" s="1838"/>
      <c r="G30" s="1877">
        <v>7</v>
      </c>
      <c r="H30" s="1874">
        <v>1.2</v>
      </c>
      <c r="I30" s="1840">
        <v>110</v>
      </c>
      <c r="J30" s="1840">
        <f>Giva_S!K31</f>
        <v>50</v>
      </c>
      <c r="K30" s="1841">
        <f>I30+J30</f>
        <v>160</v>
      </c>
      <c r="L30" s="1840">
        <f>Giva_S!M31</f>
        <v>20</v>
      </c>
      <c r="M30" s="1840">
        <f>Giva_S!N31</f>
        <v>20</v>
      </c>
      <c r="N30" s="1878">
        <f>IF(E30&gt;O30,O30,E30)</f>
        <v>106.24312</v>
      </c>
      <c r="O30" s="1841">
        <f>VLOOKUP(B30,Max_vall,2)</f>
        <v>200</v>
      </c>
      <c r="P30" s="1883"/>
      <c r="Q30" s="1815"/>
      <c r="R30" s="1884"/>
      <c r="S30" s="1884"/>
    </row>
    <row r="31" spans="1:19" ht="15">
      <c r="A31" s="1873"/>
      <c r="B31" s="1889"/>
      <c r="C31" s="1874"/>
      <c r="D31" s="1873"/>
      <c r="E31" s="1875"/>
      <c r="F31" s="1838"/>
      <c r="G31" s="1877"/>
      <c r="H31" s="1874"/>
      <c r="I31" s="1840"/>
      <c r="J31" s="1840"/>
      <c r="K31" s="1841"/>
      <c r="L31" s="1840"/>
      <c r="M31" s="1840"/>
      <c r="N31" s="1878"/>
      <c r="O31" s="1841"/>
      <c r="P31" s="1883"/>
      <c r="Q31" s="1815"/>
      <c r="R31" s="1884"/>
      <c r="S31" s="1884"/>
    </row>
    <row r="32" spans="1:19" ht="15">
      <c r="A32" s="1873" t="s">
        <v>1111</v>
      </c>
      <c r="B32" s="1889">
        <f>'"Kvävesimulator"'!H48</f>
        <v>9</v>
      </c>
      <c r="C32" s="1874">
        <f>'"Kvävesimulator"'!U48</f>
        <v>1.25</v>
      </c>
      <c r="D32" s="1873">
        <f>'"Kvävesimulator"'!W48</f>
        <v>0.6</v>
      </c>
      <c r="E32" s="1875">
        <f>IF('"Kvävesimulator"'!H48&lt;&gt;"",(Vall!R$15+(('"Kvävesimulator"'!H48-Vall!Q$15)*(Vall!N$18)))-'"Kvävesimulator"'!AA48+20,0)</f>
        <v>127.5643</v>
      </c>
      <c r="F32" s="1838"/>
      <c r="G32" s="1877">
        <v>7</v>
      </c>
      <c r="H32" s="1874">
        <v>1.3</v>
      </c>
      <c r="I32" s="1840">
        <v>145</v>
      </c>
      <c r="J32" s="1840">
        <f>Giva_S!K33</f>
        <v>50</v>
      </c>
      <c r="K32" s="1841">
        <f>I32+J32</f>
        <v>195</v>
      </c>
      <c r="L32" s="1840">
        <f>Giva_S!M33</f>
        <v>25</v>
      </c>
      <c r="M32" s="1840">
        <f>Giva_S!N33</f>
        <v>25</v>
      </c>
      <c r="N32" s="1878">
        <f>IF(E32&gt;O32,O32,E32)</f>
        <v>127.5643</v>
      </c>
      <c r="O32" s="1841">
        <f>VLOOKUP(B32,Max_vall,3)</f>
        <v>239.5</v>
      </c>
      <c r="P32" s="1883"/>
      <c r="Q32" s="1815"/>
      <c r="R32" s="1884"/>
      <c r="S32" s="1884"/>
    </row>
    <row r="33" spans="1:20" ht="15">
      <c r="A33" s="1873"/>
      <c r="B33" s="1889"/>
      <c r="C33" s="1874"/>
      <c r="D33" s="1873"/>
      <c r="E33" s="1875"/>
      <c r="F33" s="1838"/>
      <c r="G33" s="1877"/>
      <c r="H33" s="1874"/>
      <c r="I33" s="1840"/>
      <c r="J33" s="1840"/>
      <c r="K33" s="1841"/>
      <c r="L33" s="1840"/>
      <c r="M33" s="1840"/>
      <c r="N33" s="1878"/>
      <c r="O33" s="1841"/>
      <c r="P33" s="1883"/>
      <c r="Q33" s="1815"/>
      <c r="R33" s="1884"/>
      <c r="S33" s="1884"/>
    </row>
    <row r="34" spans="1:20" ht="15">
      <c r="A34" s="1873" t="s">
        <v>1200</v>
      </c>
      <c r="B34" s="1889" t="e">
        <f>'"Kvävesimulator"'!#REF!</f>
        <v>#REF!</v>
      </c>
      <c r="C34" s="1874" t="e">
        <f>'"Kvävesimulator"'!#REF!</f>
        <v>#REF!</v>
      </c>
      <c r="D34" s="1873" t="e">
        <f>'"Kvävesimulator"'!#REF!</f>
        <v>#REF!</v>
      </c>
      <c r="E34" s="1875" t="e">
        <f>IF('"Kvävesimulator"'!#REF!&lt;&gt;"",(Vall!AD$15+(('"Kvävesimulator"'!#REF!-Vall!AC$15)*(Vall!Z$18)))-'"Kvävesimulator"'!#REF!+20,0)</f>
        <v>#REF!</v>
      </c>
      <c r="F34" s="1838"/>
      <c r="G34" s="1877">
        <v>7</v>
      </c>
      <c r="H34" s="1874">
        <v>1.4</v>
      </c>
      <c r="I34" s="1840">
        <v>165</v>
      </c>
      <c r="J34" s="1840">
        <v>35</v>
      </c>
      <c r="K34" s="1841">
        <f>I34+J34</f>
        <v>200</v>
      </c>
      <c r="L34" s="1840">
        <v>25</v>
      </c>
      <c r="M34" s="1840">
        <v>25</v>
      </c>
      <c r="N34" s="1878" t="e">
        <f>IF(E34&gt;O34,O34,E34)</f>
        <v>#REF!</v>
      </c>
      <c r="O34" s="1841" t="e">
        <f>VLOOKUP(B34,Max_vall,4)</f>
        <v>#REF!</v>
      </c>
      <c r="P34" s="1883"/>
      <c r="Q34" s="1815"/>
      <c r="R34" s="1884"/>
      <c r="S34" s="1884"/>
    </row>
    <row r="35" spans="1:20">
      <c r="A35" s="1890"/>
      <c r="B35" s="1890"/>
      <c r="C35" s="1883"/>
      <c r="D35" s="1890"/>
      <c r="E35" s="1882"/>
      <c r="F35" s="1838"/>
      <c r="G35" s="1835"/>
      <c r="H35" s="1835"/>
      <c r="I35" s="1835"/>
      <c r="J35" s="1863"/>
      <c r="K35" s="1863"/>
      <c r="L35" s="1863"/>
      <c r="M35" s="1891"/>
      <c r="N35" s="1838"/>
      <c r="O35" s="1838"/>
      <c r="P35" s="1883"/>
      <c r="Q35" s="1815"/>
      <c r="R35" s="1884"/>
      <c r="S35" s="1884"/>
    </row>
    <row r="37" spans="1:20">
      <c r="A37" s="1892" t="s">
        <v>139</v>
      </c>
      <c r="B37" s="1893" t="s">
        <v>390</v>
      </c>
      <c r="C37" s="1894"/>
      <c r="D37" s="1893"/>
      <c r="E37" s="1894"/>
      <c r="F37" s="1893" t="s">
        <v>391</v>
      </c>
      <c r="G37" s="1893"/>
      <c r="H37" s="1850"/>
      <c r="I37" s="1893" t="s">
        <v>1175</v>
      </c>
      <c r="J37" s="1893" t="s">
        <v>480</v>
      </c>
      <c r="K37" s="1895" t="s">
        <v>169</v>
      </c>
      <c r="M37" s="1893" t="s">
        <v>139</v>
      </c>
      <c r="N37" s="1893" t="s">
        <v>353</v>
      </c>
      <c r="O37" s="1893" t="s">
        <v>1176</v>
      </c>
      <c r="Q37" s="1893" t="s">
        <v>139</v>
      </c>
      <c r="R37" s="1893" t="s">
        <v>16</v>
      </c>
      <c r="S37" s="1893" t="s">
        <v>16</v>
      </c>
      <c r="T37" s="1893" t="s">
        <v>16</v>
      </c>
    </row>
    <row r="38" spans="1:20">
      <c r="A38" s="1828"/>
      <c r="B38" s="1896" t="s">
        <v>1177</v>
      </c>
      <c r="C38" s="1829"/>
      <c r="D38" s="1896" t="s">
        <v>1178</v>
      </c>
      <c r="E38" s="1829" t="s">
        <v>825</v>
      </c>
      <c r="F38" s="1896" t="s">
        <v>1179</v>
      </c>
      <c r="G38" s="1896" t="s">
        <v>1177</v>
      </c>
      <c r="H38" s="1897" t="s">
        <v>1180</v>
      </c>
      <c r="I38" s="1896"/>
      <c r="J38" s="1896"/>
      <c r="K38" s="1898"/>
      <c r="M38" s="1896"/>
      <c r="N38" s="1896"/>
      <c r="O38" s="1896"/>
      <c r="Q38" s="1896"/>
      <c r="R38" s="1896"/>
      <c r="S38" s="1896"/>
      <c r="T38" s="1919"/>
    </row>
    <row r="39" spans="1:20">
      <c r="A39" s="1899" t="s">
        <v>1124</v>
      </c>
      <c r="B39" s="1900" t="s">
        <v>1181</v>
      </c>
      <c r="C39" s="1830"/>
      <c r="D39" s="1900"/>
      <c r="E39" s="1830"/>
      <c r="F39" s="1900"/>
      <c r="G39" s="1900"/>
      <c r="H39" s="1851"/>
      <c r="I39" s="1900"/>
      <c r="J39" s="1900"/>
      <c r="K39" s="1901"/>
      <c r="M39" s="1900" t="s">
        <v>1124</v>
      </c>
      <c r="N39" s="1902"/>
      <c r="O39" s="1902"/>
      <c r="Q39" s="1900" t="s">
        <v>974</v>
      </c>
      <c r="R39" s="1902" t="s">
        <v>1182</v>
      </c>
      <c r="S39" s="1902" t="s">
        <v>1183</v>
      </c>
      <c r="T39" s="1920" t="s">
        <v>1201</v>
      </c>
    </row>
    <row r="40" spans="1:20">
      <c r="A40" s="1907">
        <v>30</v>
      </c>
      <c r="B40" s="1908">
        <f t="shared" ref="B40:B79" si="0">B41-L$8</f>
        <v>109.7609628065</v>
      </c>
      <c r="C40" s="1908"/>
      <c r="D40" s="1908">
        <f t="shared" ref="D40:D79" si="1">D41-L$10</f>
        <v>120.29475781249999</v>
      </c>
      <c r="E40" s="1908">
        <f t="shared" ref="E40:E69" si="2">E41-L$12</f>
        <v>104.67206399999998</v>
      </c>
      <c r="F40" s="1908">
        <f t="shared" ref="F40:F69" si="3">F41-L$14</f>
        <v>97.07166982800004</v>
      </c>
      <c r="G40" s="1908">
        <f t="shared" ref="G40:G69" si="4">G41-L$16</f>
        <v>87.144269500000007</v>
      </c>
      <c r="H40" s="1847">
        <f t="shared" ref="H40:H69" si="5">H41-L$18</f>
        <v>82.221271167999987</v>
      </c>
      <c r="I40" s="1908">
        <f t="shared" ref="I40:I69" si="6">I41-L$20</f>
        <v>87.07166982800004</v>
      </c>
      <c r="J40" s="1908">
        <f t="shared" ref="J40:J79" si="7">J41-L$22</f>
        <v>103.03600739950002</v>
      </c>
      <c r="K40" s="1908">
        <f t="shared" ref="K40:K69" si="8">K41-L$24</f>
        <v>87.144269500000007</v>
      </c>
      <c r="M40" s="1852">
        <v>10</v>
      </c>
      <c r="N40" s="1905">
        <f t="shared" ref="N40:N59" si="9">N41-L$26</f>
        <v>110</v>
      </c>
      <c r="O40" s="1905">
        <f t="shared" ref="O40:O49" si="10">O41-L$28</f>
        <v>101</v>
      </c>
      <c r="Q40" s="1906">
        <v>5</v>
      </c>
      <c r="R40" s="1905">
        <f t="shared" ref="R40:S58" si="11">R41-L$30/10</f>
        <v>120</v>
      </c>
      <c r="S40" s="1905">
        <f t="shared" si="11"/>
        <v>154.5</v>
      </c>
      <c r="T40" s="1905">
        <f t="shared" ref="T40:T58" si="12">T41-L$34/10</f>
        <v>150</v>
      </c>
    </row>
    <row r="41" spans="1:20">
      <c r="A41" s="1907">
        <v>31</v>
      </c>
      <c r="B41" s="1908">
        <f t="shared" si="0"/>
        <v>111.2609628065</v>
      </c>
      <c r="C41" s="1908"/>
      <c r="D41" s="1908">
        <f t="shared" si="1"/>
        <v>121.79475781249999</v>
      </c>
      <c r="E41" s="1908">
        <f t="shared" si="2"/>
        <v>106.67206399999998</v>
      </c>
      <c r="F41" s="1908">
        <f t="shared" si="3"/>
        <v>98.57166982800004</v>
      </c>
      <c r="G41" s="1908">
        <f t="shared" si="4"/>
        <v>88.644269500000007</v>
      </c>
      <c r="H41" s="1847">
        <f t="shared" si="5"/>
        <v>83.721271167999987</v>
      </c>
      <c r="I41" s="1908">
        <f t="shared" si="6"/>
        <v>88.57166982800004</v>
      </c>
      <c r="J41" s="1908">
        <f t="shared" si="7"/>
        <v>104.53600739950002</v>
      </c>
      <c r="K41" s="1908">
        <f t="shared" si="8"/>
        <v>88.644269500000007</v>
      </c>
      <c r="M41" s="1852">
        <v>11</v>
      </c>
      <c r="N41" s="1905">
        <f t="shared" si="9"/>
        <v>112</v>
      </c>
      <c r="O41" s="1905">
        <f t="shared" si="10"/>
        <v>103</v>
      </c>
      <c r="Q41" s="1852">
        <v>5.0999999999999996</v>
      </c>
      <c r="R41" s="1905">
        <f t="shared" si="11"/>
        <v>122</v>
      </c>
      <c r="S41" s="1905">
        <f t="shared" si="11"/>
        <v>156.5</v>
      </c>
      <c r="T41" s="1905">
        <f t="shared" si="12"/>
        <v>152.5</v>
      </c>
    </row>
    <row r="42" spans="1:20">
      <c r="A42" s="1907">
        <v>32</v>
      </c>
      <c r="B42" s="1908">
        <f t="shared" si="0"/>
        <v>112.7609628065</v>
      </c>
      <c r="C42" s="1908"/>
      <c r="D42" s="1908">
        <f t="shared" si="1"/>
        <v>123.29475781249999</v>
      </c>
      <c r="E42" s="1908">
        <f t="shared" si="2"/>
        <v>108.67206399999998</v>
      </c>
      <c r="F42" s="1908">
        <f t="shared" si="3"/>
        <v>100.07166982800004</v>
      </c>
      <c r="G42" s="1908">
        <f t="shared" si="4"/>
        <v>90.144269500000007</v>
      </c>
      <c r="H42" s="1847">
        <f t="shared" si="5"/>
        <v>85.221271167999987</v>
      </c>
      <c r="I42" s="1908">
        <f t="shared" si="6"/>
        <v>90.07166982800004</v>
      </c>
      <c r="J42" s="1908">
        <f t="shared" si="7"/>
        <v>106.03600739950002</v>
      </c>
      <c r="K42" s="1908">
        <f t="shared" si="8"/>
        <v>90.144269500000007</v>
      </c>
      <c r="M42" s="1852">
        <v>12</v>
      </c>
      <c r="N42" s="1905">
        <f t="shared" si="9"/>
        <v>114</v>
      </c>
      <c r="O42" s="1905">
        <f t="shared" si="10"/>
        <v>105</v>
      </c>
      <c r="Q42" s="1906">
        <v>5.2</v>
      </c>
      <c r="R42" s="1905">
        <f t="shared" si="11"/>
        <v>124</v>
      </c>
      <c r="S42" s="1905">
        <f t="shared" si="11"/>
        <v>158.5</v>
      </c>
      <c r="T42" s="1905">
        <f t="shared" si="12"/>
        <v>155</v>
      </c>
    </row>
    <row r="43" spans="1:20">
      <c r="A43" s="1907">
        <v>33</v>
      </c>
      <c r="B43" s="1908">
        <f t="shared" si="0"/>
        <v>114.2609628065</v>
      </c>
      <c r="C43" s="1908"/>
      <c r="D43" s="1908">
        <f t="shared" si="1"/>
        <v>124.79475781249999</v>
      </c>
      <c r="E43" s="1908">
        <f t="shared" si="2"/>
        <v>110.67206399999998</v>
      </c>
      <c r="F43" s="1908">
        <f t="shared" si="3"/>
        <v>101.57166982800004</v>
      </c>
      <c r="G43" s="1908">
        <f t="shared" si="4"/>
        <v>91.644269500000007</v>
      </c>
      <c r="H43" s="1847">
        <f t="shared" si="5"/>
        <v>86.721271167999987</v>
      </c>
      <c r="I43" s="1908">
        <f t="shared" si="6"/>
        <v>91.57166982800004</v>
      </c>
      <c r="J43" s="1908">
        <f t="shared" si="7"/>
        <v>107.53600739950002</v>
      </c>
      <c r="K43" s="1908">
        <f t="shared" si="8"/>
        <v>91.644269500000007</v>
      </c>
      <c r="M43" s="1852">
        <v>13</v>
      </c>
      <c r="N43" s="1905">
        <f t="shared" si="9"/>
        <v>116</v>
      </c>
      <c r="O43" s="1905">
        <f t="shared" si="10"/>
        <v>107</v>
      </c>
      <c r="Q43" s="1852">
        <v>5.3</v>
      </c>
      <c r="R43" s="1905">
        <f t="shared" si="11"/>
        <v>126</v>
      </c>
      <c r="S43" s="1905">
        <f t="shared" si="11"/>
        <v>160.5</v>
      </c>
      <c r="T43" s="1905">
        <f t="shared" si="12"/>
        <v>157.5</v>
      </c>
    </row>
    <row r="44" spans="1:20">
      <c r="A44" s="1907">
        <v>34</v>
      </c>
      <c r="B44" s="1908">
        <f t="shared" si="0"/>
        <v>115.7609628065</v>
      </c>
      <c r="C44" s="1908"/>
      <c r="D44" s="1908">
        <f t="shared" si="1"/>
        <v>126.29475781249999</v>
      </c>
      <c r="E44" s="1908">
        <f t="shared" si="2"/>
        <v>112.67206399999998</v>
      </c>
      <c r="F44" s="1908">
        <f t="shared" si="3"/>
        <v>103.07166982800004</v>
      </c>
      <c r="G44" s="1908">
        <f t="shared" si="4"/>
        <v>93.144269500000007</v>
      </c>
      <c r="H44" s="1847">
        <f t="shared" si="5"/>
        <v>88.221271167999987</v>
      </c>
      <c r="I44" s="1908">
        <f t="shared" si="6"/>
        <v>93.07166982800004</v>
      </c>
      <c r="J44" s="1908">
        <f t="shared" si="7"/>
        <v>109.03600739950002</v>
      </c>
      <c r="K44" s="1908">
        <f t="shared" si="8"/>
        <v>93.144269500000007</v>
      </c>
      <c r="M44" s="1852">
        <v>14</v>
      </c>
      <c r="N44" s="1905">
        <f t="shared" si="9"/>
        <v>118</v>
      </c>
      <c r="O44" s="1905">
        <f t="shared" si="10"/>
        <v>109</v>
      </c>
      <c r="Q44" s="1906">
        <v>5.4</v>
      </c>
      <c r="R44" s="1905">
        <f t="shared" si="11"/>
        <v>128</v>
      </c>
      <c r="S44" s="1905">
        <f t="shared" si="11"/>
        <v>162.5</v>
      </c>
      <c r="T44" s="1905">
        <f t="shared" si="12"/>
        <v>160</v>
      </c>
    </row>
    <row r="45" spans="1:20">
      <c r="A45" s="1907">
        <v>35</v>
      </c>
      <c r="B45" s="1908">
        <f t="shared" si="0"/>
        <v>117.2609628065</v>
      </c>
      <c r="C45" s="1908"/>
      <c r="D45" s="1908">
        <f t="shared" si="1"/>
        <v>127.79475781249999</v>
      </c>
      <c r="E45" s="1908">
        <f t="shared" si="2"/>
        <v>114.67206399999998</v>
      </c>
      <c r="F45" s="1908">
        <f t="shared" si="3"/>
        <v>104.57166982800004</v>
      </c>
      <c r="G45" s="1908">
        <f t="shared" si="4"/>
        <v>94.644269500000007</v>
      </c>
      <c r="H45" s="1847">
        <f t="shared" si="5"/>
        <v>89.721271167999987</v>
      </c>
      <c r="I45" s="1908">
        <f t="shared" si="6"/>
        <v>94.57166982800004</v>
      </c>
      <c r="J45" s="1908">
        <f t="shared" si="7"/>
        <v>110.53600739950002</v>
      </c>
      <c r="K45" s="1908">
        <f t="shared" si="8"/>
        <v>94.644269500000007</v>
      </c>
      <c r="M45" s="1852">
        <v>15</v>
      </c>
      <c r="N45" s="1905">
        <f t="shared" si="9"/>
        <v>120</v>
      </c>
      <c r="O45" s="1905">
        <f t="shared" si="10"/>
        <v>111</v>
      </c>
      <c r="Q45" s="1852">
        <v>5.5</v>
      </c>
      <c r="R45" s="1905">
        <f t="shared" si="11"/>
        <v>130</v>
      </c>
      <c r="S45" s="1905">
        <f t="shared" si="11"/>
        <v>164.5</v>
      </c>
      <c r="T45" s="1905">
        <f t="shared" si="12"/>
        <v>162.5</v>
      </c>
    </row>
    <row r="46" spans="1:20">
      <c r="A46" s="1907">
        <v>36</v>
      </c>
      <c r="B46" s="1908">
        <f t="shared" si="0"/>
        <v>118.7609628065</v>
      </c>
      <c r="C46" s="1908"/>
      <c r="D46" s="1908">
        <f t="shared" si="1"/>
        <v>129.29475781249999</v>
      </c>
      <c r="E46" s="1908">
        <f t="shared" si="2"/>
        <v>116.67206399999998</v>
      </c>
      <c r="F46" s="1908">
        <f t="shared" si="3"/>
        <v>106.07166982800004</v>
      </c>
      <c r="G46" s="1908">
        <f t="shared" si="4"/>
        <v>96.144269500000007</v>
      </c>
      <c r="H46" s="1847">
        <f t="shared" si="5"/>
        <v>91.221271167999987</v>
      </c>
      <c r="I46" s="1908">
        <f t="shared" si="6"/>
        <v>96.07166982800004</v>
      </c>
      <c r="J46" s="1908">
        <f t="shared" si="7"/>
        <v>112.03600739950002</v>
      </c>
      <c r="K46" s="1908">
        <f t="shared" si="8"/>
        <v>96.144269500000007</v>
      </c>
      <c r="M46" s="1852">
        <v>16</v>
      </c>
      <c r="N46" s="1905">
        <f t="shared" si="9"/>
        <v>122</v>
      </c>
      <c r="O46" s="1905">
        <f t="shared" si="10"/>
        <v>113</v>
      </c>
      <c r="Q46" s="1906">
        <v>5.6</v>
      </c>
      <c r="R46" s="1905">
        <f t="shared" si="11"/>
        <v>132</v>
      </c>
      <c r="S46" s="1905">
        <f t="shared" si="11"/>
        <v>166.5</v>
      </c>
      <c r="T46" s="1905">
        <f t="shared" si="12"/>
        <v>165</v>
      </c>
    </row>
    <row r="47" spans="1:20">
      <c r="A47" s="1907">
        <v>37</v>
      </c>
      <c r="B47" s="1908">
        <f t="shared" si="0"/>
        <v>120.2609628065</v>
      </c>
      <c r="C47" s="1908"/>
      <c r="D47" s="1908">
        <f t="shared" si="1"/>
        <v>130.79475781249999</v>
      </c>
      <c r="E47" s="1908">
        <f t="shared" si="2"/>
        <v>118.67206399999998</v>
      </c>
      <c r="F47" s="1908">
        <f t="shared" si="3"/>
        <v>107.57166982800004</v>
      </c>
      <c r="G47" s="1908">
        <f t="shared" si="4"/>
        <v>97.644269500000007</v>
      </c>
      <c r="H47" s="1847">
        <f t="shared" si="5"/>
        <v>92.721271167999987</v>
      </c>
      <c r="I47" s="1908">
        <f t="shared" si="6"/>
        <v>97.57166982800004</v>
      </c>
      <c r="J47" s="1908">
        <f t="shared" si="7"/>
        <v>113.53600739950002</v>
      </c>
      <c r="K47" s="1908">
        <f t="shared" si="8"/>
        <v>97.644269500000007</v>
      </c>
      <c r="M47" s="1852">
        <v>17</v>
      </c>
      <c r="N47" s="1905">
        <f t="shared" si="9"/>
        <v>124</v>
      </c>
      <c r="O47" s="1905">
        <f t="shared" si="10"/>
        <v>115</v>
      </c>
      <c r="Q47" s="1852">
        <v>5.7</v>
      </c>
      <c r="R47" s="1905">
        <f t="shared" si="11"/>
        <v>134</v>
      </c>
      <c r="S47" s="1905">
        <f t="shared" si="11"/>
        <v>168.5</v>
      </c>
      <c r="T47" s="1905">
        <f t="shared" si="12"/>
        <v>167.5</v>
      </c>
    </row>
    <row r="48" spans="1:20">
      <c r="A48" s="1907">
        <v>38</v>
      </c>
      <c r="B48" s="1908">
        <f t="shared" si="0"/>
        <v>121.7609628065</v>
      </c>
      <c r="C48" s="1908"/>
      <c r="D48" s="1908">
        <f t="shared" si="1"/>
        <v>132.29475781249999</v>
      </c>
      <c r="E48" s="1908">
        <f t="shared" si="2"/>
        <v>120.67206399999998</v>
      </c>
      <c r="F48" s="1908">
        <f t="shared" si="3"/>
        <v>109.07166982800004</v>
      </c>
      <c r="G48" s="1908">
        <f t="shared" si="4"/>
        <v>99.144269500000007</v>
      </c>
      <c r="H48" s="1847">
        <f t="shared" si="5"/>
        <v>94.221271167999987</v>
      </c>
      <c r="I48" s="1908">
        <f t="shared" si="6"/>
        <v>99.07166982800004</v>
      </c>
      <c r="J48" s="1908">
        <f t="shared" si="7"/>
        <v>115.03600739950002</v>
      </c>
      <c r="K48" s="1908">
        <f t="shared" si="8"/>
        <v>99.144269500000007</v>
      </c>
      <c r="M48" s="1852">
        <v>18</v>
      </c>
      <c r="N48" s="1905">
        <f t="shared" si="9"/>
        <v>126</v>
      </c>
      <c r="O48" s="1905">
        <f t="shared" si="10"/>
        <v>117</v>
      </c>
      <c r="Q48" s="1906">
        <v>5.8</v>
      </c>
      <c r="R48" s="1905">
        <f t="shared" si="11"/>
        <v>136</v>
      </c>
      <c r="S48" s="1905">
        <f t="shared" si="11"/>
        <v>170.5</v>
      </c>
      <c r="T48" s="1905">
        <f t="shared" si="12"/>
        <v>170</v>
      </c>
    </row>
    <row r="49" spans="1:20">
      <c r="A49" s="1907">
        <v>39</v>
      </c>
      <c r="B49" s="1908">
        <f t="shared" si="0"/>
        <v>123.2609628065</v>
      </c>
      <c r="C49" s="1908"/>
      <c r="D49" s="1908">
        <f t="shared" si="1"/>
        <v>133.79475781249999</v>
      </c>
      <c r="E49" s="1908">
        <f t="shared" si="2"/>
        <v>122.67206399999998</v>
      </c>
      <c r="F49" s="1908">
        <f t="shared" si="3"/>
        <v>110.57166982800004</v>
      </c>
      <c r="G49" s="1908">
        <f t="shared" si="4"/>
        <v>100.64426950000001</v>
      </c>
      <c r="H49" s="1847">
        <f t="shared" si="5"/>
        <v>95.721271167999987</v>
      </c>
      <c r="I49" s="1908">
        <f t="shared" si="6"/>
        <v>100.57166982800004</v>
      </c>
      <c r="J49" s="1908">
        <f t="shared" si="7"/>
        <v>116.53600739950002</v>
      </c>
      <c r="K49" s="1908">
        <f t="shared" si="8"/>
        <v>100.64426950000001</v>
      </c>
      <c r="M49" s="1852">
        <v>19</v>
      </c>
      <c r="N49" s="1905">
        <f t="shared" si="9"/>
        <v>128</v>
      </c>
      <c r="O49" s="1905">
        <f t="shared" si="10"/>
        <v>119</v>
      </c>
      <c r="Q49" s="1906">
        <v>5.9</v>
      </c>
      <c r="R49" s="1905">
        <f t="shared" si="11"/>
        <v>138</v>
      </c>
      <c r="S49" s="1905">
        <f t="shared" si="11"/>
        <v>172.5</v>
      </c>
      <c r="T49" s="1905">
        <f t="shared" si="12"/>
        <v>172.5</v>
      </c>
    </row>
    <row r="50" spans="1:20">
      <c r="A50" s="1907">
        <v>40</v>
      </c>
      <c r="B50" s="1908">
        <f t="shared" si="0"/>
        <v>124.7609628065</v>
      </c>
      <c r="C50" s="1908"/>
      <c r="D50" s="1908">
        <f t="shared" si="1"/>
        <v>135.29475781249999</v>
      </c>
      <c r="E50" s="1908">
        <f t="shared" si="2"/>
        <v>124.67206399999998</v>
      </c>
      <c r="F50" s="1908">
        <f t="shared" si="3"/>
        <v>112.07166982800004</v>
      </c>
      <c r="G50" s="1908">
        <f t="shared" si="4"/>
        <v>102.14426950000001</v>
      </c>
      <c r="H50" s="1847">
        <f t="shared" si="5"/>
        <v>97.221271167999987</v>
      </c>
      <c r="I50" s="1908">
        <f t="shared" si="6"/>
        <v>102.07166982800004</v>
      </c>
      <c r="J50" s="1908">
        <f t="shared" si="7"/>
        <v>118.03600739950002</v>
      </c>
      <c r="K50" s="1908">
        <f t="shared" si="8"/>
        <v>102.14426950000001</v>
      </c>
      <c r="M50" s="1852">
        <v>20</v>
      </c>
      <c r="N50" s="1905">
        <f t="shared" si="9"/>
        <v>130</v>
      </c>
      <c r="O50" s="1905">
        <f>K28</f>
        <v>121</v>
      </c>
      <c r="Q50" s="1906">
        <v>6</v>
      </c>
      <c r="R50" s="1905">
        <f t="shared" si="11"/>
        <v>140</v>
      </c>
      <c r="S50" s="1905">
        <f t="shared" si="11"/>
        <v>174.5</v>
      </c>
      <c r="T50" s="1905">
        <f t="shared" si="12"/>
        <v>175</v>
      </c>
    </row>
    <row r="51" spans="1:20">
      <c r="A51" s="1907">
        <v>41</v>
      </c>
      <c r="B51" s="1908">
        <f t="shared" si="0"/>
        <v>126.2609628065</v>
      </c>
      <c r="C51" s="1908"/>
      <c r="D51" s="1908">
        <f t="shared" si="1"/>
        <v>136.79475781249999</v>
      </c>
      <c r="E51" s="1908">
        <f t="shared" si="2"/>
        <v>126.67206399999998</v>
      </c>
      <c r="F51" s="1908">
        <f t="shared" si="3"/>
        <v>113.57166982800004</v>
      </c>
      <c r="G51" s="1908">
        <f t="shared" si="4"/>
        <v>103.64426950000001</v>
      </c>
      <c r="H51" s="1847">
        <f t="shared" si="5"/>
        <v>98.721271167999987</v>
      </c>
      <c r="I51" s="1908">
        <f t="shared" si="6"/>
        <v>103.57166982800004</v>
      </c>
      <c r="J51" s="1908">
        <f t="shared" si="7"/>
        <v>119.53600739950002</v>
      </c>
      <c r="K51" s="1908">
        <f t="shared" si="8"/>
        <v>103.64426950000001</v>
      </c>
      <c r="M51" s="1852">
        <v>21</v>
      </c>
      <c r="N51" s="1905">
        <f t="shared" si="9"/>
        <v>132</v>
      </c>
      <c r="O51" s="1905">
        <f t="shared" ref="O51:O90" si="13">O50+M$28</f>
        <v>122.5</v>
      </c>
      <c r="Q51" s="1906">
        <v>6.1</v>
      </c>
      <c r="R51" s="1905">
        <f t="shared" si="11"/>
        <v>142</v>
      </c>
      <c r="S51" s="1905">
        <f t="shared" si="11"/>
        <v>176.5</v>
      </c>
      <c r="T51" s="1905">
        <f t="shared" si="12"/>
        <v>177.5</v>
      </c>
    </row>
    <row r="52" spans="1:20">
      <c r="A52" s="1907">
        <v>42</v>
      </c>
      <c r="B52" s="1908">
        <f t="shared" si="0"/>
        <v>127.7609628065</v>
      </c>
      <c r="C52" s="1908"/>
      <c r="D52" s="1908">
        <f t="shared" si="1"/>
        <v>138.29475781249999</v>
      </c>
      <c r="E52" s="1908">
        <f t="shared" si="2"/>
        <v>128.67206399999998</v>
      </c>
      <c r="F52" s="1908">
        <f t="shared" si="3"/>
        <v>115.07166982800004</v>
      </c>
      <c r="G52" s="1908">
        <f t="shared" si="4"/>
        <v>105.14426950000001</v>
      </c>
      <c r="H52" s="1847">
        <f t="shared" si="5"/>
        <v>100.22127116799999</v>
      </c>
      <c r="I52" s="1908">
        <f t="shared" si="6"/>
        <v>105.07166982800004</v>
      </c>
      <c r="J52" s="1908">
        <f t="shared" si="7"/>
        <v>121.03600739950002</v>
      </c>
      <c r="K52" s="1908">
        <f t="shared" si="8"/>
        <v>105.14426950000001</v>
      </c>
      <c r="M52" s="1852">
        <v>22</v>
      </c>
      <c r="N52" s="1905">
        <f t="shared" si="9"/>
        <v>134</v>
      </c>
      <c r="O52" s="1905">
        <f t="shared" si="13"/>
        <v>124</v>
      </c>
      <c r="Q52" s="1852">
        <v>6.2</v>
      </c>
      <c r="R52" s="1905">
        <f t="shared" si="11"/>
        <v>144</v>
      </c>
      <c r="S52" s="1905">
        <f t="shared" si="11"/>
        <v>178.5</v>
      </c>
      <c r="T52" s="1905">
        <f t="shared" si="12"/>
        <v>180</v>
      </c>
    </row>
    <row r="53" spans="1:20">
      <c r="A53" s="1907">
        <v>43</v>
      </c>
      <c r="B53" s="1908">
        <f t="shared" si="0"/>
        <v>129.2609628065</v>
      </c>
      <c r="C53" s="1908"/>
      <c r="D53" s="1908">
        <f t="shared" si="1"/>
        <v>139.79475781249999</v>
      </c>
      <c r="E53" s="1908">
        <f t="shared" si="2"/>
        <v>130.67206399999998</v>
      </c>
      <c r="F53" s="1908">
        <f t="shared" si="3"/>
        <v>116.57166982800004</v>
      </c>
      <c r="G53" s="1908">
        <f t="shared" si="4"/>
        <v>106.64426950000001</v>
      </c>
      <c r="H53" s="1847">
        <f t="shared" si="5"/>
        <v>101.72127116799999</v>
      </c>
      <c r="I53" s="1908">
        <f t="shared" si="6"/>
        <v>106.57166982800004</v>
      </c>
      <c r="J53" s="1908">
        <f t="shared" si="7"/>
        <v>122.53600739950002</v>
      </c>
      <c r="K53" s="1908">
        <f t="shared" si="8"/>
        <v>106.64426950000001</v>
      </c>
      <c r="M53" s="1852">
        <v>23</v>
      </c>
      <c r="N53" s="1905">
        <f t="shared" si="9"/>
        <v>136</v>
      </c>
      <c r="O53" s="1905">
        <f t="shared" si="13"/>
        <v>125.5</v>
      </c>
      <c r="Q53" s="1906">
        <v>6.3</v>
      </c>
      <c r="R53" s="1905">
        <f t="shared" si="11"/>
        <v>146</v>
      </c>
      <c r="S53" s="1905">
        <f t="shared" si="11"/>
        <v>180.5</v>
      </c>
      <c r="T53" s="1905">
        <f t="shared" si="12"/>
        <v>182.5</v>
      </c>
    </row>
    <row r="54" spans="1:20">
      <c r="A54" s="1907">
        <v>44</v>
      </c>
      <c r="B54" s="1908">
        <f t="shared" si="0"/>
        <v>130.7609628065</v>
      </c>
      <c r="C54" s="1908"/>
      <c r="D54" s="1908">
        <f t="shared" si="1"/>
        <v>141.29475781249999</v>
      </c>
      <c r="E54" s="1908">
        <f t="shared" si="2"/>
        <v>132.67206399999998</v>
      </c>
      <c r="F54" s="1908">
        <f t="shared" si="3"/>
        <v>118.07166982800004</v>
      </c>
      <c r="G54" s="1908">
        <f t="shared" si="4"/>
        <v>108.14426950000001</v>
      </c>
      <c r="H54" s="1847">
        <f t="shared" si="5"/>
        <v>103.22127116799999</v>
      </c>
      <c r="I54" s="1908">
        <f t="shared" si="6"/>
        <v>108.07166982800004</v>
      </c>
      <c r="J54" s="1908">
        <f t="shared" si="7"/>
        <v>124.03600739950002</v>
      </c>
      <c r="K54" s="1908">
        <f t="shared" si="8"/>
        <v>108.14426950000001</v>
      </c>
      <c r="M54" s="1852">
        <v>24</v>
      </c>
      <c r="N54" s="1905">
        <f t="shared" si="9"/>
        <v>138</v>
      </c>
      <c r="O54" s="1905">
        <f t="shared" si="13"/>
        <v>127</v>
      </c>
      <c r="Q54" s="1852">
        <v>6.4</v>
      </c>
      <c r="R54" s="1905">
        <f t="shared" si="11"/>
        <v>148</v>
      </c>
      <c r="S54" s="1905">
        <f t="shared" si="11"/>
        <v>182.5</v>
      </c>
      <c r="T54" s="1905">
        <f t="shared" si="12"/>
        <v>185</v>
      </c>
    </row>
    <row r="55" spans="1:20">
      <c r="A55" s="1907">
        <v>45</v>
      </c>
      <c r="B55" s="1908">
        <f t="shared" si="0"/>
        <v>132.2609628065</v>
      </c>
      <c r="C55" s="1908"/>
      <c r="D55" s="1908">
        <f t="shared" si="1"/>
        <v>142.79475781249999</v>
      </c>
      <c r="E55" s="1908">
        <f t="shared" si="2"/>
        <v>134.67206399999998</v>
      </c>
      <c r="F55" s="1908">
        <f t="shared" si="3"/>
        <v>119.57166982800004</v>
      </c>
      <c r="G55" s="1908">
        <f t="shared" si="4"/>
        <v>109.64426950000001</v>
      </c>
      <c r="H55" s="1847">
        <f t="shared" si="5"/>
        <v>104.72127116799999</v>
      </c>
      <c r="I55" s="1908">
        <f t="shared" si="6"/>
        <v>109.57166982800004</v>
      </c>
      <c r="J55" s="1908">
        <f t="shared" si="7"/>
        <v>125.53600739950002</v>
      </c>
      <c r="K55" s="1908">
        <f t="shared" si="8"/>
        <v>109.64426950000001</v>
      </c>
      <c r="M55" s="1852">
        <v>25</v>
      </c>
      <c r="N55" s="1905">
        <f t="shared" si="9"/>
        <v>140</v>
      </c>
      <c r="O55" s="1905">
        <f t="shared" si="13"/>
        <v>128.5</v>
      </c>
      <c r="Q55" s="1906">
        <v>6.4999999999999902</v>
      </c>
      <c r="R55" s="1905">
        <f t="shared" si="11"/>
        <v>150</v>
      </c>
      <c r="S55" s="1905">
        <f t="shared" si="11"/>
        <v>184.5</v>
      </c>
      <c r="T55" s="1905">
        <f t="shared" si="12"/>
        <v>187.5</v>
      </c>
    </row>
    <row r="56" spans="1:20">
      <c r="A56" s="1907">
        <v>46</v>
      </c>
      <c r="B56" s="1908">
        <f t="shared" si="0"/>
        <v>133.7609628065</v>
      </c>
      <c r="C56" s="1908"/>
      <c r="D56" s="1908">
        <f t="shared" si="1"/>
        <v>144.29475781249999</v>
      </c>
      <c r="E56" s="1908">
        <f t="shared" si="2"/>
        <v>136.67206399999998</v>
      </c>
      <c r="F56" s="1908">
        <f t="shared" si="3"/>
        <v>121.07166982800004</v>
      </c>
      <c r="G56" s="1908">
        <f t="shared" si="4"/>
        <v>111.14426950000001</v>
      </c>
      <c r="H56" s="1847">
        <f t="shared" si="5"/>
        <v>106.22127116799999</v>
      </c>
      <c r="I56" s="1908">
        <f t="shared" si="6"/>
        <v>111.07166982800004</v>
      </c>
      <c r="J56" s="1908">
        <f t="shared" si="7"/>
        <v>127.03600739950002</v>
      </c>
      <c r="K56" s="1908">
        <f t="shared" si="8"/>
        <v>111.14426950000001</v>
      </c>
      <c r="M56" s="1852">
        <v>26</v>
      </c>
      <c r="N56" s="1905">
        <f t="shared" si="9"/>
        <v>142</v>
      </c>
      <c r="O56" s="1905">
        <f t="shared" si="13"/>
        <v>130</v>
      </c>
      <c r="Q56" s="1852">
        <v>6.5999999999999899</v>
      </c>
      <c r="R56" s="1905">
        <f t="shared" si="11"/>
        <v>152</v>
      </c>
      <c r="S56" s="1905">
        <f t="shared" si="11"/>
        <v>186.5</v>
      </c>
      <c r="T56" s="1905">
        <f t="shared" si="12"/>
        <v>190</v>
      </c>
    </row>
    <row r="57" spans="1:20">
      <c r="A57" s="1907">
        <v>47</v>
      </c>
      <c r="B57" s="1908">
        <f t="shared" si="0"/>
        <v>135.2609628065</v>
      </c>
      <c r="C57" s="1908"/>
      <c r="D57" s="1908">
        <f t="shared" si="1"/>
        <v>145.79475781249999</v>
      </c>
      <c r="E57" s="1908">
        <f t="shared" si="2"/>
        <v>138.67206399999998</v>
      </c>
      <c r="F57" s="1908">
        <f t="shared" si="3"/>
        <v>122.57166982800004</v>
      </c>
      <c r="G57" s="1908">
        <f t="shared" si="4"/>
        <v>112.64426950000001</v>
      </c>
      <c r="H57" s="1847">
        <f t="shared" si="5"/>
        <v>107.72127116799999</v>
      </c>
      <c r="I57" s="1908">
        <f t="shared" si="6"/>
        <v>112.57166982800004</v>
      </c>
      <c r="J57" s="1908">
        <f t="shared" si="7"/>
        <v>128.53600739950002</v>
      </c>
      <c r="K57" s="1908">
        <f t="shared" si="8"/>
        <v>112.64426950000001</v>
      </c>
      <c r="M57" s="1852">
        <v>27</v>
      </c>
      <c r="N57" s="1905">
        <f t="shared" si="9"/>
        <v>144</v>
      </c>
      <c r="O57" s="1905">
        <f t="shared" si="13"/>
        <v>131.5</v>
      </c>
      <c r="Q57" s="1906">
        <v>6.6999999999999904</v>
      </c>
      <c r="R57" s="1905">
        <f t="shared" si="11"/>
        <v>154</v>
      </c>
      <c r="S57" s="1905">
        <f t="shared" si="11"/>
        <v>188.5</v>
      </c>
      <c r="T57" s="1905">
        <f t="shared" si="12"/>
        <v>192.5</v>
      </c>
    </row>
    <row r="58" spans="1:20">
      <c r="A58" s="1907">
        <v>48</v>
      </c>
      <c r="B58" s="1908">
        <f t="shared" si="0"/>
        <v>136.7609628065</v>
      </c>
      <c r="C58" s="1908"/>
      <c r="D58" s="1908">
        <f t="shared" si="1"/>
        <v>147.29475781249999</v>
      </c>
      <c r="E58" s="1908">
        <f t="shared" si="2"/>
        <v>140.67206399999998</v>
      </c>
      <c r="F58" s="1908">
        <f t="shared" si="3"/>
        <v>124.07166982800004</v>
      </c>
      <c r="G58" s="1908">
        <f t="shared" si="4"/>
        <v>114.14426950000001</v>
      </c>
      <c r="H58" s="1847">
        <f t="shared" si="5"/>
        <v>109.22127116799999</v>
      </c>
      <c r="I58" s="1908">
        <f t="shared" si="6"/>
        <v>114.07166982800004</v>
      </c>
      <c r="J58" s="1908">
        <f t="shared" si="7"/>
        <v>130.03600739950002</v>
      </c>
      <c r="K58" s="1908">
        <f t="shared" si="8"/>
        <v>114.14426950000001</v>
      </c>
      <c r="M58" s="1852">
        <v>28</v>
      </c>
      <c r="N58" s="1905">
        <f t="shared" si="9"/>
        <v>146</v>
      </c>
      <c r="O58" s="1905">
        <f t="shared" si="13"/>
        <v>133</v>
      </c>
      <c r="Q58" s="1906">
        <v>6.7999999999999901</v>
      </c>
      <c r="R58" s="1905">
        <f t="shared" si="11"/>
        <v>156</v>
      </c>
      <c r="S58" s="1905">
        <f t="shared" si="11"/>
        <v>190.5</v>
      </c>
      <c r="T58" s="1905">
        <f t="shared" si="12"/>
        <v>195</v>
      </c>
    </row>
    <row r="59" spans="1:20">
      <c r="A59" s="1907">
        <v>49</v>
      </c>
      <c r="B59" s="1908">
        <f t="shared" si="0"/>
        <v>138.2609628065</v>
      </c>
      <c r="C59" s="1908"/>
      <c r="D59" s="1908">
        <f t="shared" si="1"/>
        <v>148.79475781249999</v>
      </c>
      <c r="E59" s="1908">
        <f t="shared" si="2"/>
        <v>142.67206399999998</v>
      </c>
      <c r="F59" s="1908">
        <f t="shared" si="3"/>
        <v>125.57166982800004</v>
      </c>
      <c r="G59" s="1908">
        <f t="shared" si="4"/>
        <v>115.64426950000001</v>
      </c>
      <c r="H59" s="1847">
        <f t="shared" si="5"/>
        <v>110.72127116799999</v>
      </c>
      <c r="I59" s="1908">
        <f t="shared" si="6"/>
        <v>115.57166982800004</v>
      </c>
      <c r="J59" s="1908">
        <f t="shared" si="7"/>
        <v>131.53600739950002</v>
      </c>
      <c r="K59" s="1908">
        <f t="shared" si="8"/>
        <v>115.64426950000001</v>
      </c>
      <c r="M59" s="1852">
        <v>29</v>
      </c>
      <c r="N59" s="1905">
        <f t="shared" si="9"/>
        <v>148</v>
      </c>
      <c r="O59" s="1905">
        <f t="shared" si="13"/>
        <v>134.5</v>
      </c>
      <c r="Q59" s="1852">
        <v>6.8999999999999897</v>
      </c>
      <c r="R59" s="1905">
        <f>R60-L$30/10</f>
        <v>158</v>
      </c>
      <c r="S59" s="1905">
        <f>S60-M$32/10</f>
        <v>192.5</v>
      </c>
      <c r="T59" s="1905">
        <f>T60-L$34/10</f>
        <v>197.5</v>
      </c>
    </row>
    <row r="60" spans="1:20">
      <c r="A60" s="1907">
        <v>50</v>
      </c>
      <c r="B60" s="1908">
        <f t="shared" si="0"/>
        <v>139.7609628065</v>
      </c>
      <c r="C60" s="1908"/>
      <c r="D60" s="1908">
        <f t="shared" si="1"/>
        <v>150.29475781249999</v>
      </c>
      <c r="E60" s="1908">
        <f t="shared" si="2"/>
        <v>144.67206399999998</v>
      </c>
      <c r="F60" s="1908">
        <f t="shared" si="3"/>
        <v>127.07166982800004</v>
      </c>
      <c r="G60" s="1908">
        <f t="shared" si="4"/>
        <v>117.14426950000001</v>
      </c>
      <c r="H60" s="1847">
        <f t="shared" si="5"/>
        <v>112.22127116799999</v>
      </c>
      <c r="I60" s="1908">
        <f t="shared" si="6"/>
        <v>117.07166982800004</v>
      </c>
      <c r="J60" s="1908">
        <f t="shared" si="7"/>
        <v>133.03600739950002</v>
      </c>
      <c r="K60" s="1908">
        <f t="shared" si="8"/>
        <v>117.14426950000001</v>
      </c>
      <c r="M60" s="1852">
        <v>30</v>
      </c>
      <c r="N60" s="1911">
        <f>K26</f>
        <v>150</v>
      </c>
      <c r="O60" s="1905">
        <f t="shared" si="13"/>
        <v>136</v>
      </c>
      <c r="Q60" s="1913">
        <v>6.9999999999999902</v>
      </c>
      <c r="R60" s="1912">
        <f>K30</f>
        <v>160</v>
      </c>
      <c r="S60" s="1912">
        <f>K32</f>
        <v>195</v>
      </c>
      <c r="T60" s="1912">
        <f>K34</f>
        <v>200</v>
      </c>
    </row>
    <row r="61" spans="1:20">
      <c r="A61" s="1907">
        <v>51</v>
      </c>
      <c r="B61" s="1908">
        <f t="shared" si="0"/>
        <v>141.2609628065</v>
      </c>
      <c r="C61" s="1908"/>
      <c r="D61" s="1908">
        <f t="shared" si="1"/>
        <v>151.79475781249999</v>
      </c>
      <c r="E61" s="1908">
        <f t="shared" si="2"/>
        <v>146.67206399999998</v>
      </c>
      <c r="F61" s="1908">
        <f t="shared" si="3"/>
        <v>128.57166982800004</v>
      </c>
      <c r="G61" s="1908">
        <f t="shared" si="4"/>
        <v>118.64426950000001</v>
      </c>
      <c r="H61" s="1847">
        <f t="shared" si="5"/>
        <v>113.72127116799999</v>
      </c>
      <c r="I61" s="1908">
        <f t="shared" si="6"/>
        <v>118.57166982800004</v>
      </c>
      <c r="J61" s="1908">
        <f t="shared" si="7"/>
        <v>134.53600739950002</v>
      </c>
      <c r="K61" s="1908">
        <f t="shared" si="8"/>
        <v>118.64426950000001</v>
      </c>
      <c r="M61" s="1852">
        <v>31</v>
      </c>
      <c r="N61" s="1905">
        <f t="shared" ref="N61:N90" si="14">N60+M$26</f>
        <v>151.5</v>
      </c>
      <c r="O61" s="1905">
        <f t="shared" si="13"/>
        <v>137.5</v>
      </c>
      <c r="Q61" s="1852">
        <v>7.0999999999999899</v>
      </c>
      <c r="R61" s="1905">
        <f>R60+M$30/10</f>
        <v>162</v>
      </c>
      <c r="S61" s="1905">
        <f>S60+M$32/10</f>
        <v>197.5</v>
      </c>
      <c r="T61" s="1905">
        <f>T60+M$34/10</f>
        <v>202.5</v>
      </c>
    </row>
    <row r="62" spans="1:20">
      <c r="A62" s="1907">
        <v>52</v>
      </c>
      <c r="B62" s="1908">
        <f t="shared" si="0"/>
        <v>142.7609628065</v>
      </c>
      <c r="C62" s="1908"/>
      <c r="D62" s="1908">
        <f t="shared" si="1"/>
        <v>153.29475781249999</v>
      </c>
      <c r="E62" s="1908">
        <f t="shared" si="2"/>
        <v>148.67206399999998</v>
      </c>
      <c r="F62" s="1908">
        <f t="shared" si="3"/>
        <v>130.07166982800004</v>
      </c>
      <c r="G62" s="1908">
        <f t="shared" si="4"/>
        <v>120.14426950000001</v>
      </c>
      <c r="H62" s="1847">
        <f t="shared" si="5"/>
        <v>115.22127116799999</v>
      </c>
      <c r="I62" s="1908">
        <f t="shared" si="6"/>
        <v>120.07166982800004</v>
      </c>
      <c r="J62" s="1908">
        <f t="shared" si="7"/>
        <v>136.03600739950002</v>
      </c>
      <c r="K62" s="1908">
        <f t="shared" si="8"/>
        <v>120.14426950000001</v>
      </c>
      <c r="M62" s="1852">
        <v>32</v>
      </c>
      <c r="N62" s="1905">
        <f t="shared" si="14"/>
        <v>153</v>
      </c>
      <c r="O62" s="1905">
        <f t="shared" si="13"/>
        <v>139</v>
      </c>
      <c r="Q62" s="1906">
        <v>7.1999999999999904</v>
      </c>
      <c r="R62" s="1905">
        <f t="shared" ref="R62:R110" si="15">R61+M$30/10</f>
        <v>164</v>
      </c>
      <c r="S62" s="1905">
        <f t="shared" ref="S62:S110" si="16">S61+M$32/10</f>
        <v>200</v>
      </c>
      <c r="T62" s="1905">
        <f t="shared" ref="T62:T110" si="17">T61+M$34/10</f>
        <v>205</v>
      </c>
    </row>
    <row r="63" spans="1:20">
      <c r="A63" s="1907">
        <v>53</v>
      </c>
      <c r="B63" s="1908">
        <f t="shared" si="0"/>
        <v>144.2609628065</v>
      </c>
      <c r="C63" s="1908"/>
      <c r="D63" s="1908">
        <f t="shared" si="1"/>
        <v>154.79475781249999</v>
      </c>
      <c r="E63" s="1908">
        <f t="shared" si="2"/>
        <v>150.67206399999998</v>
      </c>
      <c r="F63" s="1908">
        <f t="shared" si="3"/>
        <v>131.57166982800004</v>
      </c>
      <c r="G63" s="1908">
        <f t="shared" si="4"/>
        <v>121.64426950000001</v>
      </c>
      <c r="H63" s="1847">
        <f t="shared" si="5"/>
        <v>116.72127116799999</v>
      </c>
      <c r="I63" s="1908">
        <f t="shared" si="6"/>
        <v>121.57166982800004</v>
      </c>
      <c r="J63" s="1908">
        <f t="shared" si="7"/>
        <v>137.53600739950002</v>
      </c>
      <c r="K63" s="1908">
        <f t="shared" si="8"/>
        <v>121.64426950000001</v>
      </c>
      <c r="M63" s="1852">
        <v>33</v>
      </c>
      <c r="N63" s="1905">
        <f t="shared" si="14"/>
        <v>154.5</v>
      </c>
      <c r="O63" s="1905">
        <f t="shared" si="13"/>
        <v>140.5</v>
      </c>
      <c r="Q63" s="1852">
        <v>7.2999999999999901</v>
      </c>
      <c r="R63" s="1905">
        <f t="shared" si="15"/>
        <v>166</v>
      </c>
      <c r="S63" s="1905">
        <f t="shared" si="16"/>
        <v>202.5</v>
      </c>
      <c r="T63" s="1905">
        <f t="shared" si="17"/>
        <v>207.5</v>
      </c>
    </row>
    <row r="64" spans="1:20">
      <c r="A64" s="1907">
        <v>54</v>
      </c>
      <c r="B64" s="1908">
        <f t="shared" si="0"/>
        <v>145.7609628065</v>
      </c>
      <c r="C64" s="1908"/>
      <c r="D64" s="1908">
        <f t="shared" si="1"/>
        <v>156.29475781249999</v>
      </c>
      <c r="E64" s="1908">
        <f t="shared" si="2"/>
        <v>152.67206399999998</v>
      </c>
      <c r="F64" s="1908">
        <f t="shared" si="3"/>
        <v>133.07166982800004</v>
      </c>
      <c r="G64" s="1908">
        <f t="shared" si="4"/>
        <v>123.14426950000001</v>
      </c>
      <c r="H64" s="1847">
        <f t="shared" si="5"/>
        <v>118.22127116799999</v>
      </c>
      <c r="I64" s="1908">
        <f t="shared" si="6"/>
        <v>123.07166982800004</v>
      </c>
      <c r="J64" s="1908">
        <f t="shared" si="7"/>
        <v>139.03600739950002</v>
      </c>
      <c r="K64" s="1908">
        <f t="shared" si="8"/>
        <v>123.14426950000001</v>
      </c>
      <c r="M64" s="1852">
        <v>34</v>
      </c>
      <c r="N64" s="1905">
        <f t="shared" si="14"/>
        <v>156</v>
      </c>
      <c r="O64" s="1905">
        <f t="shared" si="13"/>
        <v>142</v>
      </c>
      <c r="Q64" s="1906">
        <v>7.3999999999999897</v>
      </c>
      <c r="R64" s="1905">
        <f t="shared" si="15"/>
        <v>168</v>
      </c>
      <c r="S64" s="1905">
        <f t="shared" si="16"/>
        <v>205</v>
      </c>
      <c r="T64" s="1905">
        <f t="shared" si="17"/>
        <v>210</v>
      </c>
    </row>
    <row r="65" spans="1:20">
      <c r="A65" s="1907">
        <v>55</v>
      </c>
      <c r="B65" s="1908">
        <f t="shared" si="0"/>
        <v>147.2609628065</v>
      </c>
      <c r="C65" s="1908"/>
      <c r="D65" s="1908">
        <f t="shared" si="1"/>
        <v>157.79475781249999</v>
      </c>
      <c r="E65" s="1908">
        <f t="shared" si="2"/>
        <v>154.67206399999998</v>
      </c>
      <c r="F65" s="1908">
        <f t="shared" si="3"/>
        <v>134.57166982800004</v>
      </c>
      <c r="G65" s="1908">
        <f t="shared" si="4"/>
        <v>124.64426950000001</v>
      </c>
      <c r="H65" s="1847">
        <f t="shared" si="5"/>
        <v>119.72127116799999</v>
      </c>
      <c r="I65" s="1908">
        <f t="shared" si="6"/>
        <v>124.57166982800004</v>
      </c>
      <c r="J65" s="1908">
        <f t="shared" si="7"/>
        <v>140.53600739950002</v>
      </c>
      <c r="K65" s="1908">
        <f t="shared" si="8"/>
        <v>124.64426950000001</v>
      </c>
      <c r="M65" s="1852">
        <v>35</v>
      </c>
      <c r="N65" s="1905">
        <f t="shared" si="14"/>
        <v>157.5</v>
      </c>
      <c r="O65" s="1905">
        <f t="shared" si="13"/>
        <v>143.5</v>
      </c>
      <c r="Q65" s="1852">
        <v>7.4999999999999902</v>
      </c>
      <c r="R65" s="1905">
        <f t="shared" si="15"/>
        <v>170</v>
      </c>
      <c r="S65" s="1905">
        <f t="shared" si="16"/>
        <v>207.5</v>
      </c>
      <c r="T65" s="1905">
        <f t="shared" si="17"/>
        <v>212.5</v>
      </c>
    </row>
    <row r="66" spans="1:20">
      <c r="A66" s="1907">
        <v>56</v>
      </c>
      <c r="B66" s="1908">
        <f t="shared" si="0"/>
        <v>148.7609628065</v>
      </c>
      <c r="C66" s="1908"/>
      <c r="D66" s="1908">
        <f t="shared" si="1"/>
        <v>159.29475781249999</v>
      </c>
      <c r="E66" s="1908">
        <f t="shared" si="2"/>
        <v>156.67206399999998</v>
      </c>
      <c r="F66" s="1908">
        <f t="shared" si="3"/>
        <v>136.07166982800004</v>
      </c>
      <c r="G66" s="1908">
        <f t="shared" si="4"/>
        <v>126.14426950000001</v>
      </c>
      <c r="H66" s="1847">
        <f t="shared" si="5"/>
        <v>121.22127116799999</v>
      </c>
      <c r="I66" s="1908">
        <f t="shared" si="6"/>
        <v>126.07166982800004</v>
      </c>
      <c r="J66" s="1908">
        <f t="shared" si="7"/>
        <v>142.03600739950002</v>
      </c>
      <c r="K66" s="1908">
        <f t="shared" si="8"/>
        <v>126.14426950000001</v>
      </c>
      <c r="M66" s="1852">
        <v>36</v>
      </c>
      <c r="N66" s="1905">
        <f t="shared" si="14"/>
        <v>159</v>
      </c>
      <c r="O66" s="1905">
        <f t="shared" si="13"/>
        <v>145</v>
      </c>
      <c r="Q66" s="1906">
        <v>7.5999999999999899</v>
      </c>
      <c r="R66" s="1905">
        <f t="shared" si="15"/>
        <v>172</v>
      </c>
      <c r="S66" s="1905">
        <f t="shared" si="16"/>
        <v>210</v>
      </c>
      <c r="T66" s="1905">
        <f t="shared" si="17"/>
        <v>215</v>
      </c>
    </row>
    <row r="67" spans="1:20">
      <c r="A67" s="1907">
        <v>57</v>
      </c>
      <c r="B67" s="1908">
        <f t="shared" si="0"/>
        <v>150.2609628065</v>
      </c>
      <c r="C67" s="1908"/>
      <c r="D67" s="1908">
        <f t="shared" si="1"/>
        <v>160.79475781249999</v>
      </c>
      <c r="E67" s="1908">
        <f t="shared" si="2"/>
        <v>158.67206399999998</v>
      </c>
      <c r="F67" s="1908">
        <f t="shared" si="3"/>
        <v>137.57166982800004</v>
      </c>
      <c r="G67" s="1908">
        <f t="shared" si="4"/>
        <v>127.64426950000001</v>
      </c>
      <c r="H67" s="1847">
        <f t="shared" si="5"/>
        <v>122.72127116799999</v>
      </c>
      <c r="I67" s="1908">
        <f t="shared" si="6"/>
        <v>127.57166982800004</v>
      </c>
      <c r="J67" s="1908">
        <f t="shared" si="7"/>
        <v>143.53600739950002</v>
      </c>
      <c r="K67" s="1908">
        <f t="shared" si="8"/>
        <v>127.64426950000001</v>
      </c>
      <c r="M67" s="1852">
        <v>37</v>
      </c>
      <c r="N67" s="1905">
        <f t="shared" si="14"/>
        <v>160.5</v>
      </c>
      <c r="O67" s="1905">
        <f t="shared" si="13"/>
        <v>146.5</v>
      </c>
      <c r="Q67" s="1906">
        <v>7.6999999999999904</v>
      </c>
      <c r="R67" s="1905">
        <f t="shared" si="15"/>
        <v>174</v>
      </c>
      <c r="S67" s="1905">
        <f t="shared" si="16"/>
        <v>212.5</v>
      </c>
      <c r="T67" s="1905">
        <f t="shared" si="17"/>
        <v>217.5</v>
      </c>
    </row>
    <row r="68" spans="1:20">
      <c r="A68" s="1907">
        <v>58</v>
      </c>
      <c r="B68" s="1908">
        <f t="shared" si="0"/>
        <v>151.7609628065</v>
      </c>
      <c r="C68" s="1908"/>
      <c r="D68" s="1908">
        <f t="shared" si="1"/>
        <v>162.29475781249999</v>
      </c>
      <c r="E68" s="1908">
        <f t="shared" si="2"/>
        <v>160.67206399999998</v>
      </c>
      <c r="F68" s="1908">
        <f t="shared" si="3"/>
        <v>139.07166982800004</v>
      </c>
      <c r="G68" s="1908">
        <f t="shared" si="4"/>
        <v>129.14426950000001</v>
      </c>
      <c r="H68" s="1847">
        <f t="shared" si="5"/>
        <v>124.22127116799999</v>
      </c>
      <c r="I68" s="1908">
        <f t="shared" si="6"/>
        <v>129.07166982800004</v>
      </c>
      <c r="J68" s="1908">
        <f t="shared" si="7"/>
        <v>145.03600739950002</v>
      </c>
      <c r="K68" s="1908">
        <f t="shared" si="8"/>
        <v>129.14426950000001</v>
      </c>
      <c r="M68" s="1852">
        <v>38</v>
      </c>
      <c r="N68" s="1905">
        <f t="shared" si="14"/>
        <v>162</v>
      </c>
      <c r="O68" s="1905">
        <f t="shared" si="13"/>
        <v>148</v>
      </c>
      <c r="Q68" s="1852">
        <v>7.7999999999999901</v>
      </c>
      <c r="R68" s="1905">
        <f t="shared" si="15"/>
        <v>176</v>
      </c>
      <c r="S68" s="1905">
        <f t="shared" si="16"/>
        <v>215</v>
      </c>
      <c r="T68" s="1905">
        <f t="shared" si="17"/>
        <v>220</v>
      </c>
    </row>
    <row r="69" spans="1:20">
      <c r="A69" s="1907">
        <v>59</v>
      </c>
      <c r="B69" s="1908">
        <f t="shared" si="0"/>
        <v>153.2609628065</v>
      </c>
      <c r="C69" s="1908"/>
      <c r="D69" s="1908">
        <f t="shared" si="1"/>
        <v>163.79475781249999</v>
      </c>
      <c r="E69" s="1908">
        <f t="shared" si="2"/>
        <v>162.67206399999998</v>
      </c>
      <c r="F69" s="1908">
        <f t="shared" si="3"/>
        <v>140.57166982800004</v>
      </c>
      <c r="G69" s="1908">
        <f t="shared" si="4"/>
        <v>130.64426950000001</v>
      </c>
      <c r="H69" s="1847">
        <f t="shared" si="5"/>
        <v>125.72127116799999</v>
      </c>
      <c r="I69" s="1908">
        <f t="shared" si="6"/>
        <v>130.57166982800004</v>
      </c>
      <c r="J69" s="1908">
        <f t="shared" si="7"/>
        <v>146.53600739950002</v>
      </c>
      <c r="K69" s="1908">
        <f t="shared" si="8"/>
        <v>130.64426950000001</v>
      </c>
      <c r="M69" s="1852">
        <v>39</v>
      </c>
      <c r="N69" s="1905">
        <f t="shared" si="14"/>
        <v>163.5</v>
      </c>
      <c r="O69" s="1905">
        <f t="shared" si="13"/>
        <v>149.5</v>
      </c>
      <c r="Q69" s="1906">
        <v>7.8999999999999897</v>
      </c>
      <c r="R69" s="1905">
        <f t="shared" si="15"/>
        <v>178</v>
      </c>
      <c r="S69" s="1905">
        <f t="shared" si="16"/>
        <v>217.5</v>
      </c>
      <c r="T69" s="1905">
        <f t="shared" si="17"/>
        <v>222.5</v>
      </c>
    </row>
    <row r="70" spans="1:20">
      <c r="A70" s="1907">
        <v>60</v>
      </c>
      <c r="B70" s="1908">
        <f t="shared" si="0"/>
        <v>154.7609628065</v>
      </c>
      <c r="C70" s="1908"/>
      <c r="D70" s="1908">
        <f t="shared" si="1"/>
        <v>165.29475781249999</v>
      </c>
      <c r="E70" s="1912">
        <f>K12</f>
        <v>164.67206399999998</v>
      </c>
      <c r="F70" s="1912">
        <f>K14</f>
        <v>142.07166982800004</v>
      </c>
      <c r="G70" s="1912">
        <f>K16</f>
        <v>132.14426950000001</v>
      </c>
      <c r="H70" s="1914">
        <f>K18</f>
        <v>127.22127116799999</v>
      </c>
      <c r="I70" s="1912">
        <f>K20</f>
        <v>132.07166982800004</v>
      </c>
      <c r="J70" s="1908">
        <f t="shared" si="7"/>
        <v>148.03600739950002</v>
      </c>
      <c r="K70" s="1912">
        <f>K24</f>
        <v>132.14426950000001</v>
      </c>
      <c r="M70" s="1852">
        <v>40</v>
      </c>
      <c r="N70" s="1905">
        <f t="shared" si="14"/>
        <v>165</v>
      </c>
      <c r="O70" s="1905">
        <f t="shared" si="13"/>
        <v>151</v>
      </c>
      <c r="Q70" s="1906">
        <v>7.9999999999999902</v>
      </c>
      <c r="R70" s="1905">
        <f t="shared" si="15"/>
        <v>180</v>
      </c>
      <c r="S70" s="1905">
        <f t="shared" si="16"/>
        <v>220</v>
      </c>
      <c r="T70" s="1905">
        <f t="shared" si="17"/>
        <v>225</v>
      </c>
    </row>
    <row r="71" spans="1:20">
      <c r="A71" s="1907">
        <v>61</v>
      </c>
      <c r="B71" s="1908">
        <f t="shared" si="0"/>
        <v>156.2609628065</v>
      </c>
      <c r="C71" s="1908"/>
      <c r="D71" s="1908">
        <f t="shared" si="1"/>
        <v>166.79475781249999</v>
      </c>
      <c r="E71" s="1908">
        <f t="shared" ref="E71:E130" si="18">E70+M$12</f>
        <v>166.67206399999998</v>
      </c>
      <c r="F71" s="1908">
        <f t="shared" ref="F71:F130" si="19">F70+M$14</f>
        <v>143.57166982800004</v>
      </c>
      <c r="G71" s="1908">
        <f t="shared" ref="G71:G130" si="20">G70+M$16</f>
        <v>133.64426950000001</v>
      </c>
      <c r="H71" s="1847">
        <f t="shared" ref="H71:H130" si="21">H70+M$18</f>
        <v>128.72127116799999</v>
      </c>
      <c r="I71" s="1908">
        <f t="shared" ref="I71:I130" si="22">I70+M$20</f>
        <v>132.27166982800003</v>
      </c>
      <c r="J71" s="1908">
        <f t="shared" si="7"/>
        <v>149.53600739950002</v>
      </c>
      <c r="K71" s="1908">
        <f t="shared" ref="K71:K130" si="23">K70+M$24</f>
        <v>133.64426950000001</v>
      </c>
      <c r="M71" s="1852">
        <v>41</v>
      </c>
      <c r="N71" s="1905">
        <f t="shared" si="14"/>
        <v>166.5</v>
      </c>
      <c r="O71" s="1905">
        <f t="shared" si="13"/>
        <v>152.5</v>
      </c>
      <c r="Q71" s="1906">
        <v>8.0999999999999908</v>
      </c>
      <c r="R71" s="1905">
        <f t="shared" si="15"/>
        <v>182</v>
      </c>
      <c r="S71" s="1905">
        <f t="shared" si="16"/>
        <v>222.5</v>
      </c>
      <c r="T71" s="1905">
        <f t="shared" si="17"/>
        <v>227.5</v>
      </c>
    </row>
    <row r="72" spans="1:20">
      <c r="A72" s="1907">
        <v>62</v>
      </c>
      <c r="B72" s="1908">
        <f t="shared" si="0"/>
        <v>157.7609628065</v>
      </c>
      <c r="C72" s="1908"/>
      <c r="D72" s="1908">
        <f t="shared" si="1"/>
        <v>168.29475781249999</v>
      </c>
      <c r="E72" s="1908">
        <f t="shared" si="18"/>
        <v>168.67206399999998</v>
      </c>
      <c r="F72" s="1908">
        <f t="shared" si="19"/>
        <v>145.07166982800004</v>
      </c>
      <c r="G72" s="1908">
        <f t="shared" si="20"/>
        <v>135.14426950000001</v>
      </c>
      <c r="H72" s="1847">
        <f t="shared" si="21"/>
        <v>130.22127116799999</v>
      </c>
      <c r="I72" s="1908">
        <f t="shared" si="22"/>
        <v>132.47166982800002</v>
      </c>
      <c r="J72" s="1908">
        <f t="shared" si="7"/>
        <v>151.03600739950002</v>
      </c>
      <c r="K72" s="1908">
        <f t="shared" si="23"/>
        <v>135.14426950000001</v>
      </c>
      <c r="M72" s="1852">
        <v>42</v>
      </c>
      <c r="N72" s="1905">
        <f t="shared" si="14"/>
        <v>168</v>
      </c>
      <c r="O72" s="1905">
        <f t="shared" si="13"/>
        <v>154</v>
      </c>
      <c r="Q72" s="1852">
        <v>8.1999999999999904</v>
      </c>
      <c r="R72" s="1905">
        <f t="shared" si="15"/>
        <v>184</v>
      </c>
      <c r="S72" s="1905">
        <f t="shared" si="16"/>
        <v>225</v>
      </c>
      <c r="T72" s="1905">
        <f t="shared" si="17"/>
        <v>230</v>
      </c>
    </row>
    <row r="73" spans="1:20">
      <c r="A73" s="1907">
        <v>63</v>
      </c>
      <c r="B73" s="1908">
        <f t="shared" si="0"/>
        <v>159.2609628065</v>
      </c>
      <c r="C73" s="1908"/>
      <c r="D73" s="1908">
        <f t="shared" si="1"/>
        <v>169.79475781249999</v>
      </c>
      <c r="E73" s="1908">
        <f t="shared" si="18"/>
        <v>170.67206399999998</v>
      </c>
      <c r="F73" s="1908">
        <f t="shared" si="19"/>
        <v>146.57166982800004</v>
      </c>
      <c r="G73" s="1908">
        <f t="shared" si="20"/>
        <v>136.64426950000001</v>
      </c>
      <c r="H73" s="1847">
        <f t="shared" si="21"/>
        <v>131.72127116799999</v>
      </c>
      <c r="I73" s="1908">
        <f t="shared" si="22"/>
        <v>132.67166982800001</v>
      </c>
      <c r="J73" s="1908">
        <f t="shared" si="7"/>
        <v>152.53600739950002</v>
      </c>
      <c r="K73" s="1908">
        <f t="shared" si="23"/>
        <v>136.64426950000001</v>
      </c>
      <c r="M73" s="1852">
        <v>43</v>
      </c>
      <c r="N73" s="1905">
        <f t="shared" si="14"/>
        <v>169.5</v>
      </c>
      <c r="O73" s="1905">
        <f t="shared" si="13"/>
        <v>155.5</v>
      </c>
      <c r="Q73" s="1906">
        <v>8.2999999999999901</v>
      </c>
      <c r="R73" s="1905">
        <f t="shared" si="15"/>
        <v>186</v>
      </c>
      <c r="S73" s="1905">
        <f t="shared" si="16"/>
        <v>227.5</v>
      </c>
      <c r="T73" s="1905">
        <f t="shared" si="17"/>
        <v>232.5</v>
      </c>
    </row>
    <row r="74" spans="1:20">
      <c r="A74" s="1907">
        <v>64</v>
      </c>
      <c r="B74" s="1908">
        <f t="shared" si="0"/>
        <v>160.7609628065</v>
      </c>
      <c r="C74" s="1908"/>
      <c r="D74" s="1908">
        <f t="shared" si="1"/>
        <v>171.29475781249999</v>
      </c>
      <c r="E74" s="1908">
        <f t="shared" si="18"/>
        <v>172.67206399999998</v>
      </c>
      <c r="F74" s="1908">
        <f t="shared" si="19"/>
        <v>148.07166982800004</v>
      </c>
      <c r="G74" s="1908">
        <f t="shared" si="20"/>
        <v>138.14426950000001</v>
      </c>
      <c r="H74" s="1847">
        <f t="shared" si="21"/>
        <v>133.22127116799999</v>
      </c>
      <c r="I74" s="1908">
        <f t="shared" si="22"/>
        <v>132.87166982799999</v>
      </c>
      <c r="J74" s="1908">
        <f t="shared" si="7"/>
        <v>154.03600739950002</v>
      </c>
      <c r="K74" s="1908">
        <f t="shared" si="23"/>
        <v>138.14426950000001</v>
      </c>
      <c r="M74" s="1852">
        <v>44</v>
      </c>
      <c r="N74" s="1905">
        <f t="shared" si="14"/>
        <v>171</v>
      </c>
      <c r="O74" s="1905">
        <f t="shared" si="13"/>
        <v>157</v>
      </c>
      <c r="Q74" s="1852">
        <v>8.3999999999999897</v>
      </c>
      <c r="R74" s="1905">
        <f t="shared" si="15"/>
        <v>188</v>
      </c>
      <c r="S74" s="1905">
        <f t="shared" si="16"/>
        <v>230</v>
      </c>
      <c r="T74" s="1905">
        <f t="shared" si="17"/>
        <v>235</v>
      </c>
    </row>
    <row r="75" spans="1:20">
      <c r="A75" s="1907">
        <v>65</v>
      </c>
      <c r="B75" s="1908">
        <f t="shared" si="0"/>
        <v>162.2609628065</v>
      </c>
      <c r="C75" s="1908"/>
      <c r="D75" s="1908">
        <f t="shared" si="1"/>
        <v>172.79475781249999</v>
      </c>
      <c r="E75" s="1908">
        <f t="shared" si="18"/>
        <v>174.67206399999998</v>
      </c>
      <c r="F75" s="1908">
        <f t="shared" si="19"/>
        <v>149.57166982800004</v>
      </c>
      <c r="G75" s="1908">
        <f t="shared" si="20"/>
        <v>139.64426950000001</v>
      </c>
      <c r="H75" s="1847">
        <f t="shared" si="21"/>
        <v>134.72127116799999</v>
      </c>
      <c r="I75" s="1908">
        <f t="shared" si="22"/>
        <v>133.07166982799998</v>
      </c>
      <c r="J75" s="1908">
        <f t="shared" si="7"/>
        <v>155.53600739950002</v>
      </c>
      <c r="K75" s="1908">
        <f t="shared" si="23"/>
        <v>139.64426950000001</v>
      </c>
      <c r="M75" s="1852">
        <v>45</v>
      </c>
      <c r="N75" s="1905">
        <f t="shared" si="14"/>
        <v>172.5</v>
      </c>
      <c r="O75" s="1905">
        <f t="shared" si="13"/>
        <v>158.5</v>
      </c>
      <c r="Q75" s="1906">
        <v>8.4999999999999893</v>
      </c>
      <c r="R75" s="1905">
        <f t="shared" si="15"/>
        <v>190</v>
      </c>
      <c r="S75" s="1905">
        <f t="shared" si="16"/>
        <v>232.5</v>
      </c>
      <c r="T75" s="1905">
        <f t="shared" si="17"/>
        <v>237.5</v>
      </c>
    </row>
    <row r="76" spans="1:20">
      <c r="A76" s="1907">
        <v>66</v>
      </c>
      <c r="B76" s="1908">
        <f t="shared" si="0"/>
        <v>163.7609628065</v>
      </c>
      <c r="C76" s="1908"/>
      <c r="D76" s="1908">
        <f t="shared" si="1"/>
        <v>174.29475781249999</v>
      </c>
      <c r="E76" s="1908">
        <f t="shared" si="18"/>
        <v>176.67206399999998</v>
      </c>
      <c r="F76" s="1908">
        <f t="shared" si="19"/>
        <v>151.07166982800004</v>
      </c>
      <c r="G76" s="1908">
        <f t="shared" si="20"/>
        <v>141.14426950000001</v>
      </c>
      <c r="H76" s="1847">
        <f t="shared" si="21"/>
        <v>136.22127116799999</v>
      </c>
      <c r="I76" s="1908">
        <f t="shared" si="22"/>
        <v>133.27166982799997</v>
      </c>
      <c r="J76" s="1908">
        <f t="shared" si="7"/>
        <v>157.03600739950002</v>
      </c>
      <c r="K76" s="1908">
        <f t="shared" si="23"/>
        <v>141.14426950000001</v>
      </c>
      <c r="M76" s="1852">
        <v>46</v>
      </c>
      <c r="N76" s="1905">
        <f t="shared" si="14"/>
        <v>174</v>
      </c>
      <c r="O76" s="1905">
        <f t="shared" si="13"/>
        <v>160</v>
      </c>
      <c r="Q76" s="1906">
        <v>8.5999999999999908</v>
      </c>
      <c r="R76" s="1905">
        <f t="shared" si="15"/>
        <v>192</v>
      </c>
      <c r="S76" s="1905">
        <f t="shared" si="16"/>
        <v>235</v>
      </c>
      <c r="T76" s="1905">
        <f t="shared" si="17"/>
        <v>240</v>
      </c>
    </row>
    <row r="77" spans="1:20">
      <c r="A77" s="1907">
        <v>67</v>
      </c>
      <c r="B77" s="1908">
        <f t="shared" si="0"/>
        <v>165.2609628065</v>
      </c>
      <c r="C77" s="1908"/>
      <c r="D77" s="1908">
        <f t="shared" si="1"/>
        <v>175.79475781249999</v>
      </c>
      <c r="E77" s="1908">
        <f t="shared" si="18"/>
        <v>178.67206399999998</v>
      </c>
      <c r="F77" s="1908">
        <f t="shared" si="19"/>
        <v>152.57166982800004</v>
      </c>
      <c r="G77" s="1908">
        <f t="shared" si="20"/>
        <v>142.64426950000001</v>
      </c>
      <c r="H77" s="1847">
        <f t="shared" si="21"/>
        <v>137.72127116799999</v>
      </c>
      <c r="I77" s="1908">
        <f t="shared" si="22"/>
        <v>133.47166982799996</v>
      </c>
      <c r="J77" s="1908">
        <f t="shared" si="7"/>
        <v>158.53600739950002</v>
      </c>
      <c r="K77" s="1908">
        <f t="shared" si="23"/>
        <v>142.64426950000001</v>
      </c>
      <c r="M77" s="1852">
        <v>47</v>
      </c>
      <c r="N77" s="1905">
        <f t="shared" si="14"/>
        <v>175.5</v>
      </c>
      <c r="O77" s="1905">
        <f t="shared" si="13"/>
        <v>161.5</v>
      </c>
      <c r="Q77" s="1852">
        <v>8.6999999999999904</v>
      </c>
      <c r="R77" s="1905">
        <f t="shared" si="15"/>
        <v>194</v>
      </c>
      <c r="S77" s="1905">
        <f t="shared" si="16"/>
        <v>237.5</v>
      </c>
      <c r="T77" s="1905">
        <f t="shared" si="17"/>
        <v>242.5</v>
      </c>
    </row>
    <row r="78" spans="1:20">
      <c r="A78" s="1907">
        <v>68</v>
      </c>
      <c r="B78" s="1908">
        <f t="shared" si="0"/>
        <v>166.7609628065</v>
      </c>
      <c r="C78" s="1908"/>
      <c r="D78" s="1908">
        <f t="shared" si="1"/>
        <v>177.29475781249999</v>
      </c>
      <c r="E78" s="1908">
        <f t="shared" si="18"/>
        <v>180.67206399999998</v>
      </c>
      <c r="F78" s="1908">
        <f t="shared" si="19"/>
        <v>154.07166982800004</v>
      </c>
      <c r="G78" s="1908">
        <f t="shared" si="20"/>
        <v>144.14426950000001</v>
      </c>
      <c r="H78" s="1847">
        <f t="shared" si="21"/>
        <v>139.22127116799999</v>
      </c>
      <c r="I78" s="1908">
        <f t="shared" si="22"/>
        <v>133.67166982799995</v>
      </c>
      <c r="J78" s="1908">
        <f t="shared" si="7"/>
        <v>160.03600739950002</v>
      </c>
      <c r="K78" s="1908">
        <f t="shared" si="23"/>
        <v>144.14426950000001</v>
      </c>
      <c r="M78" s="1852">
        <v>48</v>
      </c>
      <c r="N78" s="1905">
        <f t="shared" si="14"/>
        <v>177</v>
      </c>
      <c r="O78" s="1905">
        <f t="shared" si="13"/>
        <v>163</v>
      </c>
      <c r="Q78" s="1906">
        <v>8.7999999999999901</v>
      </c>
      <c r="R78" s="1905">
        <f t="shared" si="15"/>
        <v>196</v>
      </c>
      <c r="S78" s="1905">
        <f t="shared" si="16"/>
        <v>240</v>
      </c>
      <c r="T78" s="1905">
        <f t="shared" si="17"/>
        <v>245</v>
      </c>
    </row>
    <row r="79" spans="1:20">
      <c r="A79" s="1907">
        <v>69</v>
      </c>
      <c r="B79" s="1908">
        <f t="shared" si="0"/>
        <v>168.2609628065</v>
      </c>
      <c r="C79" s="1908"/>
      <c r="D79" s="1908">
        <f t="shared" si="1"/>
        <v>178.79475781249999</v>
      </c>
      <c r="E79" s="1908">
        <f t="shared" si="18"/>
        <v>182.67206399999998</v>
      </c>
      <c r="F79" s="1908">
        <f t="shared" si="19"/>
        <v>155.57166982800004</v>
      </c>
      <c r="G79" s="1908">
        <f t="shared" si="20"/>
        <v>145.64426950000001</v>
      </c>
      <c r="H79" s="1847">
        <f t="shared" si="21"/>
        <v>140.72127116799999</v>
      </c>
      <c r="I79" s="1908">
        <f t="shared" si="22"/>
        <v>133.87166982799994</v>
      </c>
      <c r="J79" s="1908">
        <f t="shared" si="7"/>
        <v>161.53600739950002</v>
      </c>
      <c r="K79" s="1908">
        <f t="shared" si="23"/>
        <v>145.64426950000001</v>
      </c>
      <c r="M79" s="1852">
        <v>49</v>
      </c>
      <c r="N79" s="1905">
        <f t="shared" si="14"/>
        <v>178.5</v>
      </c>
      <c r="O79" s="1905">
        <f t="shared" si="13"/>
        <v>164.5</v>
      </c>
      <c r="Q79" s="1852">
        <v>8.8999999999999897</v>
      </c>
      <c r="R79" s="1905">
        <f t="shared" si="15"/>
        <v>198</v>
      </c>
      <c r="S79" s="1905">
        <f t="shared" si="16"/>
        <v>242.5</v>
      </c>
      <c r="T79" s="1905">
        <f t="shared" si="17"/>
        <v>247.5</v>
      </c>
    </row>
    <row r="80" spans="1:20">
      <c r="A80" s="1910">
        <v>70</v>
      </c>
      <c r="B80" s="1912">
        <f>K8</f>
        <v>169.7609628065</v>
      </c>
      <c r="C80" s="1908"/>
      <c r="D80" s="1912">
        <f>K10</f>
        <v>180.29475781249999</v>
      </c>
      <c r="E80" s="1908">
        <f t="shared" si="18"/>
        <v>184.67206399999998</v>
      </c>
      <c r="F80" s="1908">
        <f t="shared" si="19"/>
        <v>157.07166982800004</v>
      </c>
      <c r="G80" s="1908">
        <f t="shared" si="20"/>
        <v>147.14426950000001</v>
      </c>
      <c r="H80" s="1847">
        <f t="shared" si="21"/>
        <v>142.22127116799999</v>
      </c>
      <c r="I80" s="1908">
        <f t="shared" si="22"/>
        <v>134.07166982799993</v>
      </c>
      <c r="J80" s="1912">
        <f>K22</f>
        <v>163.03600739950002</v>
      </c>
      <c r="K80" s="1908">
        <f t="shared" si="23"/>
        <v>147.14426950000001</v>
      </c>
      <c r="M80" s="1852">
        <v>50</v>
      </c>
      <c r="N80" s="1905">
        <f t="shared" si="14"/>
        <v>180</v>
      </c>
      <c r="O80" s="1905">
        <f t="shared" si="13"/>
        <v>166</v>
      </c>
      <c r="Q80" s="1906">
        <v>8.9999999999999893</v>
      </c>
      <c r="R80" s="1905">
        <f t="shared" si="15"/>
        <v>200</v>
      </c>
      <c r="S80" s="1905">
        <f t="shared" si="16"/>
        <v>245</v>
      </c>
      <c r="T80" s="1905">
        <f t="shared" si="17"/>
        <v>250</v>
      </c>
    </row>
    <row r="81" spans="1:20">
      <c r="A81" s="1907">
        <v>71</v>
      </c>
      <c r="B81" s="1908">
        <f t="shared" ref="B81:B130" si="24">B80+M$8</f>
        <v>171.2609628065</v>
      </c>
      <c r="C81" s="1908"/>
      <c r="D81" s="1908">
        <f t="shared" ref="D81:D130" si="25">D80+M$10</f>
        <v>181.79475781249999</v>
      </c>
      <c r="E81" s="1908">
        <f t="shared" si="18"/>
        <v>186.67206399999998</v>
      </c>
      <c r="F81" s="1908">
        <f t="shared" si="19"/>
        <v>158.57166982800004</v>
      </c>
      <c r="G81" s="1908">
        <f t="shared" si="20"/>
        <v>148.64426950000001</v>
      </c>
      <c r="H81" s="1847">
        <f t="shared" si="21"/>
        <v>143.72127116799999</v>
      </c>
      <c r="I81" s="1908">
        <f t="shared" si="22"/>
        <v>134.27166982799992</v>
      </c>
      <c r="J81" s="1908">
        <f t="shared" ref="J81:J130" si="26">J80+M$22</f>
        <v>164.53600739950002</v>
      </c>
      <c r="K81" s="1908">
        <f t="shared" si="23"/>
        <v>148.64426950000001</v>
      </c>
      <c r="M81" s="1852">
        <v>51</v>
      </c>
      <c r="N81" s="1905">
        <f t="shared" si="14"/>
        <v>181.5</v>
      </c>
      <c r="O81" s="1905">
        <f t="shared" si="13"/>
        <v>167.5</v>
      </c>
      <c r="Q81" s="1852">
        <v>9.0999999999999908</v>
      </c>
      <c r="R81" s="1905">
        <f t="shared" si="15"/>
        <v>202</v>
      </c>
      <c r="S81" s="1905">
        <f t="shared" si="16"/>
        <v>247.5</v>
      </c>
      <c r="T81" s="1905">
        <f t="shared" si="17"/>
        <v>252.5</v>
      </c>
    </row>
    <row r="82" spans="1:20">
      <c r="A82" s="1907">
        <v>72</v>
      </c>
      <c r="B82" s="1908">
        <f t="shared" si="24"/>
        <v>172.7609628065</v>
      </c>
      <c r="C82" s="1908"/>
      <c r="D82" s="1908">
        <f t="shared" si="25"/>
        <v>183.29475781249999</v>
      </c>
      <c r="E82" s="1908">
        <f t="shared" si="18"/>
        <v>188.67206399999998</v>
      </c>
      <c r="F82" s="1908">
        <f t="shared" si="19"/>
        <v>160.07166982800004</v>
      </c>
      <c r="G82" s="1908">
        <f t="shared" si="20"/>
        <v>150.14426950000001</v>
      </c>
      <c r="H82" s="1847">
        <f t="shared" si="21"/>
        <v>145.22127116799999</v>
      </c>
      <c r="I82" s="1908">
        <f t="shared" si="22"/>
        <v>134.4716698279999</v>
      </c>
      <c r="J82" s="1908">
        <f t="shared" si="26"/>
        <v>166.03600739950002</v>
      </c>
      <c r="K82" s="1908">
        <f t="shared" si="23"/>
        <v>150.14426950000001</v>
      </c>
      <c r="M82" s="1852">
        <v>52</v>
      </c>
      <c r="N82" s="1905">
        <f t="shared" si="14"/>
        <v>183</v>
      </c>
      <c r="O82" s="1905">
        <f t="shared" si="13"/>
        <v>169</v>
      </c>
      <c r="Q82" s="1906">
        <v>9.1999999999999904</v>
      </c>
      <c r="R82" s="1905">
        <f t="shared" si="15"/>
        <v>204</v>
      </c>
      <c r="S82" s="1905">
        <f t="shared" si="16"/>
        <v>250</v>
      </c>
      <c r="T82" s="1905">
        <f t="shared" si="17"/>
        <v>255</v>
      </c>
    </row>
    <row r="83" spans="1:20">
      <c r="A83" s="1907">
        <v>73</v>
      </c>
      <c r="B83" s="1908">
        <f t="shared" si="24"/>
        <v>174.2609628065</v>
      </c>
      <c r="C83" s="1908"/>
      <c r="D83" s="1908">
        <f t="shared" si="25"/>
        <v>184.79475781249999</v>
      </c>
      <c r="E83" s="1908">
        <f t="shared" si="18"/>
        <v>190.67206399999998</v>
      </c>
      <c r="F83" s="1908">
        <f t="shared" si="19"/>
        <v>161.57166982800004</v>
      </c>
      <c r="G83" s="1908">
        <f t="shared" si="20"/>
        <v>151.64426950000001</v>
      </c>
      <c r="H83" s="1847">
        <f t="shared" si="21"/>
        <v>146.72127116799999</v>
      </c>
      <c r="I83" s="1908">
        <f t="shared" si="22"/>
        <v>134.67166982799989</v>
      </c>
      <c r="J83" s="1908">
        <f t="shared" si="26"/>
        <v>167.53600739950002</v>
      </c>
      <c r="K83" s="1908">
        <f t="shared" si="23"/>
        <v>151.64426950000001</v>
      </c>
      <c r="M83" s="1852">
        <v>53</v>
      </c>
      <c r="N83" s="1905">
        <f t="shared" si="14"/>
        <v>184.5</v>
      </c>
      <c r="O83" s="1905">
        <f t="shared" si="13"/>
        <v>170.5</v>
      </c>
      <c r="Q83" s="1852">
        <v>9.2999999999999794</v>
      </c>
      <c r="R83" s="1905">
        <f t="shared" si="15"/>
        <v>206</v>
      </c>
      <c r="S83" s="1905">
        <f t="shared" si="16"/>
        <v>252.5</v>
      </c>
      <c r="T83" s="1905">
        <f t="shared" si="17"/>
        <v>257.5</v>
      </c>
    </row>
    <row r="84" spans="1:20">
      <c r="A84" s="1907">
        <v>74</v>
      </c>
      <c r="B84" s="1908">
        <f t="shared" si="24"/>
        <v>175.7609628065</v>
      </c>
      <c r="C84" s="1908"/>
      <c r="D84" s="1908">
        <f t="shared" si="25"/>
        <v>186.29475781249999</v>
      </c>
      <c r="E84" s="1908">
        <f t="shared" si="18"/>
        <v>192.67206399999998</v>
      </c>
      <c r="F84" s="1908">
        <f t="shared" si="19"/>
        <v>163.07166982800004</v>
      </c>
      <c r="G84" s="1908">
        <f t="shared" si="20"/>
        <v>153.14426950000001</v>
      </c>
      <c r="H84" s="1847">
        <f t="shared" si="21"/>
        <v>148.22127116799999</v>
      </c>
      <c r="I84" s="1908">
        <f t="shared" si="22"/>
        <v>134.87166982799988</v>
      </c>
      <c r="J84" s="1908">
        <f t="shared" si="26"/>
        <v>169.03600739950002</v>
      </c>
      <c r="K84" s="1908">
        <f t="shared" si="23"/>
        <v>153.14426950000001</v>
      </c>
      <c r="M84" s="1852">
        <v>54</v>
      </c>
      <c r="N84" s="1905">
        <f t="shared" si="14"/>
        <v>186</v>
      </c>
      <c r="O84" s="1905">
        <f t="shared" si="13"/>
        <v>172</v>
      </c>
      <c r="Q84" s="1906">
        <v>9.3999999999999808</v>
      </c>
      <c r="R84" s="1905">
        <f t="shared" si="15"/>
        <v>208</v>
      </c>
      <c r="S84" s="1905">
        <f t="shared" si="16"/>
        <v>255</v>
      </c>
      <c r="T84" s="1905">
        <f t="shared" si="17"/>
        <v>260</v>
      </c>
    </row>
    <row r="85" spans="1:20">
      <c r="A85" s="1907">
        <v>75</v>
      </c>
      <c r="B85" s="1908">
        <f t="shared" si="24"/>
        <v>177.2609628065</v>
      </c>
      <c r="C85" s="1908"/>
      <c r="D85" s="1908">
        <f t="shared" si="25"/>
        <v>187.79475781249999</v>
      </c>
      <c r="E85" s="1908">
        <f t="shared" si="18"/>
        <v>194.67206399999998</v>
      </c>
      <c r="F85" s="1908">
        <f t="shared" si="19"/>
        <v>164.57166982800004</v>
      </c>
      <c r="G85" s="1908">
        <f t="shared" si="20"/>
        <v>154.64426950000001</v>
      </c>
      <c r="H85" s="1847">
        <f t="shared" si="21"/>
        <v>149.72127116799999</v>
      </c>
      <c r="I85" s="1908">
        <f t="shared" si="22"/>
        <v>135.07166982799987</v>
      </c>
      <c r="J85" s="1908">
        <f t="shared" si="26"/>
        <v>170.53600739950002</v>
      </c>
      <c r="K85" s="1908">
        <f t="shared" si="23"/>
        <v>154.64426950000001</v>
      </c>
      <c r="M85" s="1852">
        <v>55</v>
      </c>
      <c r="N85" s="1905">
        <f t="shared" si="14"/>
        <v>187.5</v>
      </c>
      <c r="O85" s="1905">
        <f t="shared" si="13"/>
        <v>173.5</v>
      </c>
      <c r="Q85" s="1906">
        <v>9.4999999999999805</v>
      </c>
      <c r="R85" s="1905">
        <f t="shared" si="15"/>
        <v>210</v>
      </c>
      <c r="S85" s="1905">
        <f t="shared" si="16"/>
        <v>257.5</v>
      </c>
      <c r="T85" s="1905">
        <f t="shared" si="17"/>
        <v>262.5</v>
      </c>
    </row>
    <row r="86" spans="1:20">
      <c r="A86" s="1907">
        <v>76</v>
      </c>
      <c r="B86" s="1908">
        <f t="shared" si="24"/>
        <v>178.7609628065</v>
      </c>
      <c r="C86" s="1908"/>
      <c r="D86" s="1908">
        <f t="shared" si="25"/>
        <v>189.29475781249999</v>
      </c>
      <c r="E86" s="1908">
        <f t="shared" si="18"/>
        <v>196.67206399999998</v>
      </c>
      <c r="F86" s="1908">
        <f t="shared" si="19"/>
        <v>166.07166982800004</v>
      </c>
      <c r="G86" s="1908">
        <f t="shared" si="20"/>
        <v>156.14426950000001</v>
      </c>
      <c r="H86" s="1847">
        <f t="shared" si="21"/>
        <v>151.22127116799999</v>
      </c>
      <c r="I86" s="1908">
        <f t="shared" si="22"/>
        <v>135.27166982799986</v>
      </c>
      <c r="J86" s="1908">
        <f t="shared" si="26"/>
        <v>172.03600739950002</v>
      </c>
      <c r="K86" s="1908">
        <f t="shared" si="23"/>
        <v>156.14426950000001</v>
      </c>
      <c r="M86" s="1852">
        <v>56</v>
      </c>
      <c r="N86" s="1905">
        <f t="shared" si="14"/>
        <v>189</v>
      </c>
      <c r="O86" s="1905">
        <f t="shared" si="13"/>
        <v>175</v>
      </c>
      <c r="Q86" s="1852">
        <v>9.5999999999999801</v>
      </c>
      <c r="R86" s="1905">
        <f t="shared" si="15"/>
        <v>212</v>
      </c>
      <c r="S86" s="1905">
        <f t="shared" si="16"/>
        <v>260</v>
      </c>
      <c r="T86" s="1905">
        <f t="shared" si="17"/>
        <v>265</v>
      </c>
    </row>
    <row r="87" spans="1:20">
      <c r="A87" s="1907">
        <v>77</v>
      </c>
      <c r="B87" s="1908">
        <f t="shared" si="24"/>
        <v>180.2609628065</v>
      </c>
      <c r="C87" s="1908"/>
      <c r="D87" s="1908">
        <f t="shared" si="25"/>
        <v>190.79475781249999</v>
      </c>
      <c r="E87" s="1908">
        <f t="shared" si="18"/>
        <v>198.67206399999998</v>
      </c>
      <c r="F87" s="1908">
        <f t="shared" si="19"/>
        <v>167.57166982800004</v>
      </c>
      <c r="G87" s="1908">
        <f t="shared" si="20"/>
        <v>157.64426950000001</v>
      </c>
      <c r="H87" s="1847">
        <f t="shared" si="21"/>
        <v>152.72127116799999</v>
      </c>
      <c r="I87" s="1908">
        <f t="shared" si="22"/>
        <v>135.47166982799985</v>
      </c>
      <c r="J87" s="1908">
        <f t="shared" si="26"/>
        <v>173.53600739950002</v>
      </c>
      <c r="K87" s="1908">
        <f t="shared" si="23"/>
        <v>157.64426950000001</v>
      </c>
      <c r="M87" s="1852">
        <v>57</v>
      </c>
      <c r="N87" s="1905">
        <f t="shared" si="14"/>
        <v>190.5</v>
      </c>
      <c r="O87" s="1905">
        <f t="shared" si="13"/>
        <v>176.5</v>
      </c>
      <c r="Q87" s="1906">
        <v>9.6999999999999797</v>
      </c>
      <c r="R87" s="1905">
        <f t="shared" si="15"/>
        <v>214</v>
      </c>
      <c r="S87" s="1905">
        <f t="shared" si="16"/>
        <v>262.5</v>
      </c>
      <c r="T87" s="1905">
        <f t="shared" si="17"/>
        <v>267.5</v>
      </c>
    </row>
    <row r="88" spans="1:20">
      <c r="A88" s="1907">
        <v>78</v>
      </c>
      <c r="B88" s="1908">
        <f t="shared" si="24"/>
        <v>181.7609628065</v>
      </c>
      <c r="C88" s="1908"/>
      <c r="D88" s="1908">
        <f t="shared" si="25"/>
        <v>192.29475781249999</v>
      </c>
      <c r="E88" s="1908">
        <f t="shared" si="18"/>
        <v>200.67206399999998</v>
      </c>
      <c r="F88" s="1908">
        <f t="shared" si="19"/>
        <v>169.07166982800004</v>
      </c>
      <c r="G88" s="1908">
        <f t="shared" si="20"/>
        <v>159.14426950000001</v>
      </c>
      <c r="H88" s="1847">
        <f t="shared" si="21"/>
        <v>154.22127116799999</v>
      </c>
      <c r="I88" s="1908">
        <f t="shared" si="22"/>
        <v>135.67166982799984</v>
      </c>
      <c r="J88" s="1908">
        <f t="shared" si="26"/>
        <v>175.03600739950002</v>
      </c>
      <c r="K88" s="1908">
        <f t="shared" si="23"/>
        <v>159.14426950000001</v>
      </c>
      <c r="M88" s="1852">
        <v>58</v>
      </c>
      <c r="N88" s="1905">
        <f t="shared" si="14"/>
        <v>192</v>
      </c>
      <c r="O88" s="1905">
        <f t="shared" si="13"/>
        <v>178</v>
      </c>
      <c r="Q88" s="1852">
        <v>9.7999999999999794</v>
      </c>
      <c r="R88" s="1905">
        <f t="shared" si="15"/>
        <v>216</v>
      </c>
      <c r="S88" s="1905">
        <f t="shared" si="16"/>
        <v>265</v>
      </c>
      <c r="T88" s="1905">
        <f t="shared" si="17"/>
        <v>270</v>
      </c>
    </row>
    <row r="89" spans="1:20">
      <c r="A89" s="1907">
        <v>79</v>
      </c>
      <c r="B89" s="1908">
        <f t="shared" si="24"/>
        <v>183.2609628065</v>
      </c>
      <c r="C89" s="1908"/>
      <c r="D89" s="1908">
        <f t="shared" si="25"/>
        <v>193.79475781249999</v>
      </c>
      <c r="E89" s="1908">
        <f t="shared" si="18"/>
        <v>202.67206399999998</v>
      </c>
      <c r="F89" s="1908">
        <f t="shared" si="19"/>
        <v>170.57166982800004</v>
      </c>
      <c r="G89" s="1908">
        <f t="shared" si="20"/>
        <v>160.64426950000001</v>
      </c>
      <c r="H89" s="1847">
        <f t="shared" si="21"/>
        <v>155.72127116799999</v>
      </c>
      <c r="I89" s="1908">
        <f t="shared" si="22"/>
        <v>135.87166982799982</v>
      </c>
      <c r="J89" s="1908">
        <f t="shared" si="26"/>
        <v>176.53600739950002</v>
      </c>
      <c r="K89" s="1908">
        <f t="shared" si="23"/>
        <v>160.64426950000001</v>
      </c>
      <c r="M89" s="1852">
        <v>59</v>
      </c>
      <c r="N89" s="1905">
        <f t="shared" si="14"/>
        <v>193.5</v>
      </c>
      <c r="O89" s="1905">
        <f t="shared" si="13"/>
        <v>179.5</v>
      </c>
      <c r="Q89" s="1906">
        <v>9.8999999999999808</v>
      </c>
      <c r="R89" s="1905">
        <f t="shared" si="15"/>
        <v>218</v>
      </c>
      <c r="S89" s="1905">
        <f t="shared" si="16"/>
        <v>267.5</v>
      </c>
      <c r="T89" s="1905">
        <f t="shared" si="17"/>
        <v>272.5</v>
      </c>
    </row>
    <row r="90" spans="1:20">
      <c r="A90" s="1907">
        <v>80</v>
      </c>
      <c r="B90" s="1908">
        <f t="shared" si="24"/>
        <v>184.7609628065</v>
      </c>
      <c r="C90" s="1908"/>
      <c r="D90" s="1908">
        <f t="shared" si="25"/>
        <v>195.29475781249999</v>
      </c>
      <c r="E90" s="1908">
        <f t="shared" si="18"/>
        <v>204.67206399999998</v>
      </c>
      <c r="F90" s="1908">
        <f t="shared" si="19"/>
        <v>172.07166982800004</v>
      </c>
      <c r="G90" s="1908">
        <f t="shared" si="20"/>
        <v>162.14426950000001</v>
      </c>
      <c r="H90" s="1847">
        <f t="shared" si="21"/>
        <v>157.22127116799999</v>
      </c>
      <c r="I90" s="1908">
        <f t="shared" si="22"/>
        <v>136.07166982799981</v>
      </c>
      <c r="J90" s="1908">
        <f t="shared" si="26"/>
        <v>178.03600739950002</v>
      </c>
      <c r="K90" s="1908">
        <f t="shared" si="23"/>
        <v>162.14426950000001</v>
      </c>
      <c r="M90" s="1852">
        <v>60</v>
      </c>
      <c r="N90" s="1905">
        <f t="shared" si="14"/>
        <v>195</v>
      </c>
      <c r="O90" s="1905">
        <f t="shared" si="13"/>
        <v>181</v>
      </c>
      <c r="Q90" s="1906">
        <v>9.9999999999999805</v>
      </c>
      <c r="R90" s="1905">
        <f t="shared" si="15"/>
        <v>220</v>
      </c>
      <c r="S90" s="1905">
        <f t="shared" si="16"/>
        <v>270</v>
      </c>
      <c r="T90" s="1905">
        <f t="shared" si="17"/>
        <v>275</v>
      </c>
    </row>
    <row r="91" spans="1:20">
      <c r="A91" s="1907">
        <v>81</v>
      </c>
      <c r="B91" s="1908">
        <f t="shared" si="24"/>
        <v>186.2609628065</v>
      </c>
      <c r="C91" s="1908"/>
      <c r="D91" s="1908">
        <f t="shared" si="25"/>
        <v>196.79475781249999</v>
      </c>
      <c r="E91" s="1908">
        <f t="shared" si="18"/>
        <v>206.67206399999998</v>
      </c>
      <c r="F91" s="1908">
        <f t="shared" si="19"/>
        <v>173.57166982800004</v>
      </c>
      <c r="G91" s="1908">
        <f t="shared" si="20"/>
        <v>163.64426950000001</v>
      </c>
      <c r="H91" s="1847">
        <f t="shared" si="21"/>
        <v>158.72127116799999</v>
      </c>
      <c r="I91" s="1908">
        <f t="shared" si="22"/>
        <v>136.2716698279998</v>
      </c>
      <c r="J91" s="1908">
        <f t="shared" si="26"/>
        <v>179.53600739950002</v>
      </c>
      <c r="K91" s="1908">
        <f t="shared" si="23"/>
        <v>163.64426950000001</v>
      </c>
      <c r="Q91" s="1906">
        <v>10.1</v>
      </c>
      <c r="R91" s="1905">
        <f t="shared" si="15"/>
        <v>222</v>
      </c>
      <c r="S91" s="1905">
        <f t="shared" si="16"/>
        <v>272.5</v>
      </c>
      <c r="T91" s="1905">
        <f t="shared" si="17"/>
        <v>277.5</v>
      </c>
    </row>
    <row r="92" spans="1:20">
      <c r="A92" s="1907">
        <v>82</v>
      </c>
      <c r="B92" s="1908">
        <f t="shared" si="24"/>
        <v>187.7609628065</v>
      </c>
      <c r="C92" s="1908"/>
      <c r="D92" s="1908">
        <f t="shared" si="25"/>
        <v>198.29475781249999</v>
      </c>
      <c r="E92" s="1908">
        <f t="shared" si="18"/>
        <v>208.67206399999998</v>
      </c>
      <c r="F92" s="1908">
        <f t="shared" si="19"/>
        <v>175.07166982800004</v>
      </c>
      <c r="G92" s="1908">
        <f t="shared" si="20"/>
        <v>165.14426950000001</v>
      </c>
      <c r="H92" s="1847">
        <f t="shared" si="21"/>
        <v>160.22127116799999</v>
      </c>
      <c r="I92" s="1908">
        <f t="shared" si="22"/>
        <v>136.47166982799979</v>
      </c>
      <c r="J92" s="1908">
        <f t="shared" si="26"/>
        <v>181.03600739950002</v>
      </c>
      <c r="K92" s="1908">
        <f t="shared" si="23"/>
        <v>165.14426950000001</v>
      </c>
      <c r="Q92" s="1852">
        <v>10.199999999999999</v>
      </c>
      <c r="R92" s="1905">
        <f t="shared" si="15"/>
        <v>224</v>
      </c>
      <c r="S92" s="1905">
        <f t="shared" si="16"/>
        <v>275</v>
      </c>
      <c r="T92" s="1905">
        <f t="shared" si="17"/>
        <v>280</v>
      </c>
    </row>
    <row r="93" spans="1:20">
      <c r="A93" s="1907">
        <v>83</v>
      </c>
      <c r="B93" s="1908">
        <f t="shared" si="24"/>
        <v>189.2609628065</v>
      </c>
      <c r="C93" s="1908"/>
      <c r="D93" s="1908">
        <f t="shared" si="25"/>
        <v>199.79475781249999</v>
      </c>
      <c r="E93" s="1908">
        <f t="shared" si="18"/>
        <v>210.67206399999998</v>
      </c>
      <c r="F93" s="1908">
        <f t="shared" si="19"/>
        <v>176.57166982800004</v>
      </c>
      <c r="G93" s="1908">
        <f t="shared" si="20"/>
        <v>166.64426950000001</v>
      </c>
      <c r="H93" s="1847">
        <f t="shared" si="21"/>
        <v>161.72127116799999</v>
      </c>
      <c r="I93" s="1908">
        <f t="shared" si="22"/>
        <v>136.67166982799978</v>
      </c>
      <c r="J93" s="1908">
        <f t="shared" si="26"/>
        <v>182.53600739950002</v>
      </c>
      <c r="K93" s="1908">
        <f t="shared" si="23"/>
        <v>166.64426950000001</v>
      </c>
      <c r="Q93" s="1906">
        <v>10.3</v>
      </c>
      <c r="R93" s="1905">
        <f t="shared" si="15"/>
        <v>226</v>
      </c>
      <c r="S93" s="1905">
        <f t="shared" si="16"/>
        <v>277.5</v>
      </c>
      <c r="T93" s="1905">
        <f t="shared" si="17"/>
        <v>282.5</v>
      </c>
    </row>
    <row r="94" spans="1:20">
      <c r="A94" s="1907">
        <v>84</v>
      </c>
      <c r="B94" s="1908">
        <f t="shared" si="24"/>
        <v>190.7609628065</v>
      </c>
      <c r="C94" s="1908"/>
      <c r="D94" s="1908">
        <f t="shared" si="25"/>
        <v>201.29475781249999</v>
      </c>
      <c r="E94" s="1908">
        <f t="shared" si="18"/>
        <v>212.67206399999998</v>
      </c>
      <c r="F94" s="1908">
        <f t="shared" si="19"/>
        <v>178.07166982800004</v>
      </c>
      <c r="G94" s="1908">
        <f t="shared" si="20"/>
        <v>168.14426950000001</v>
      </c>
      <c r="H94" s="1847">
        <f t="shared" si="21"/>
        <v>163.22127116799999</v>
      </c>
      <c r="I94" s="1908">
        <f t="shared" si="22"/>
        <v>136.87166982799977</v>
      </c>
      <c r="J94" s="1908">
        <f t="shared" si="26"/>
        <v>184.03600739950002</v>
      </c>
      <c r="K94" s="1908">
        <f t="shared" si="23"/>
        <v>168.14426950000001</v>
      </c>
      <c r="Q94" s="1906">
        <v>10.4</v>
      </c>
      <c r="R94" s="1905">
        <f t="shared" si="15"/>
        <v>228</v>
      </c>
      <c r="S94" s="1905">
        <f t="shared" si="16"/>
        <v>280</v>
      </c>
      <c r="T94" s="1905">
        <f t="shared" si="17"/>
        <v>285</v>
      </c>
    </row>
    <row r="95" spans="1:20">
      <c r="A95" s="1907">
        <v>85</v>
      </c>
      <c r="B95" s="1908">
        <f t="shared" si="24"/>
        <v>192.2609628065</v>
      </c>
      <c r="C95" s="1908"/>
      <c r="D95" s="1908">
        <f t="shared" si="25"/>
        <v>202.79475781249999</v>
      </c>
      <c r="E95" s="1908">
        <f t="shared" si="18"/>
        <v>214.67206399999998</v>
      </c>
      <c r="F95" s="1908">
        <f t="shared" si="19"/>
        <v>179.57166982800004</v>
      </c>
      <c r="G95" s="1908">
        <f t="shared" si="20"/>
        <v>169.64426950000001</v>
      </c>
      <c r="H95" s="1847">
        <f t="shared" si="21"/>
        <v>164.72127116799999</v>
      </c>
      <c r="I95" s="1908">
        <f t="shared" si="22"/>
        <v>137.07166982799976</v>
      </c>
      <c r="J95" s="1908">
        <f t="shared" si="26"/>
        <v>185.53600739950002</v>
      </c>
      <c r="K95" s="1908">
        <f t="shared" si="23"/>
        <v>169.64426950000001</v>
      </c>
      <c r="Q95" s="1852">
        <v>10.5</v>
      </c>
      <c r="R95" s="1905">
        <f t="shared" si="15"/>
        <v>230</v>
      </c>
      <c r="S95" s="1905">
        <f t="shared" si="16"/>
        <v>282.5</v>
      </c>
      <c r="T95" s="1905">
        <f t="shared" si="17"/>
        <v>287.5</v>
      </c>
    </row>
    <row r="96" spans="1:20">
      <c r="A96" s="1907">
        <v>86</v>
      </c>
      <c r="B96" s="1908">
        <f t="shared" si="24"/>
        <v>193.7609628065</v>
      </c>
      <c r="C96" s="1908"/>
      <c r="D96" s="1908">
        <f t="shared" si="25"/>
        <v>204.29475781249999</v>
      </c>
      <c r="E96" s="1908">
        <f t="shared" si="18"/>
        <v>216.67206399999998</v>
      </c>
      <c r="F96" s="1908">
        <f t="shared" si="19"/>
        <v>181.07166982800004</v>
      </c>
      <c r="G96" s="1908">
        <f t="shared" si="20"/>
        <v>171.14426950000001</v>
      </c>
      <c r="H96" s="1847">
        <f t="shared" si="21"/>
        <v>166.22127116799999</v>
      </c>
      <c r="I96" s="1908">
        <f t="shared" si="22"/>
        <v>137.27166982799974</v>
      </c>
      <c r="J96" s="1908">
        <f t="shared" si="26"/>
        <v>187.03600739950002</v>
      </c>
      <c r="K96" s="1908">
        <f t="shared" si="23"/>
        <v>171.14426950000001</v>
      </c>
      <c r="Q96" s="1906">
        <v>10.6</v>
      </c>
      <c r="R96" s="1905">
        <f t="shared" si="15"/>
        <v>232</v>
      </c>
      <c r="S96" s="1905">
        <f t="shared" si="16"/>
        <v>285</v>
      </c>
      <c r="T96" s="1905">
        <f t="shared" si="17"/>
        <v>290</v>
      </c>
    </row>
    <row r="97" spans="1:20">
      <c r="A97" s="1907">
        <v>87</v>
      </c>
      <c r="B97" s="1908">
        <f t="shared" si="24"/>
        <v>195.2609628065</v>
      </c>
      <c r="C97" s="1908"/>
      <c r="D97" s="1908">
        <f t="shared" si="25"/>
        <v>205.79475781249999</v>
      </c>
      <c r="E97" s="1908">
        <f t="shared" si="18"/>
        <v>218.67206399999998</v>
      </c>
      <c r="F97" s="1908">
        <f t="shared" si="19"/>
        <v>182.57166982800004</v>
      </c>
      <c r="G97" s="1908">
        <f t="shared" si="20"/>
        <v>172.64426950000001</v>
      </c>
      <c r="H97" s="1847">
        <f t="shared" si="21"/>
        <v>167.72127116799999</v>
      </c>
      <c r="I97" s="1908">
        <f t="shared" si="22"/>
        <v>137.47166982799973</v>
      </c>
      <c r="J97" s="1908">
        <f t="shared" si="26"/>
        <v>188.53600739950002</v>
      </c>
      <c r="K97" s="1908">
        <f t="shared" si="23"/>
        <v>172.64426950000001</v>
      </c>
      <c r="Q97" s="1852">
        <v>10.7</v>
      </c>
      <c r="R97" s="1905">
        <f t="shared" si="15"/>
        <v>234</v>
      </c>
      <c r="S97" s="1905">
        <f t="shared" si="16"/>
        <v>287.5</v>
      </c>
      <c r="T97" s="1905">
        <f t="shared" si="17"/>
        <v>292.5</v>
      </c>
    </row>
    <row r="98" spans="1:20">
      <c r="A98" s="1907">
        <v>88</v>
      </c>
      <c r="B98" s="1908">
        <f t="shared" si="24"/>
        <v>196.7609628065</v>
      </c>
      <c r="C98" s="1908"/>
      <c r="D98" s="1908">
        <f t="shared" si="25"/>
        <v>207.29475781249999</v>
      </c>
      <c r="E98" s="1908">
        <f t="shared" si="18"/>
        <v>220.67206399999998</v>
      </c>
      <c r="F98" s="1908">
        <f t="shared" si="19"/>
        <v>184.07166982800004</v>
      </c>
      <c r="G98" s="1908">
        <f t="shared" si="20"/>
        <v>174.14426950000001</v>
      </c>
      <c r="H98" s="1847">
        <f t="shared" si="21"/>
        <v>169.22127116799999</v>
      </c>
      <c r="I98" s="1908">
        <f t="shared" si="22"/>
        <v>137.67166982799972</v>
      </c>
      <c r="J98" s="1908">
        <f t="shared" si="26"/>
        <v>190.03600739950002</v>
      </c>
      <c r="K98" s="1908">
        <f t="shared" si="23"/>
        <v>174.14426950000001</v>
      </c>
      <c r="Q98" s="1906">
        <v>10.8</v>
      </c>
      <c r="R98" s="1905">
        <f t="shared" si="15"/>
        <v>236</v>
      </c>
      <c r="S98" s="1905">
        <f t="shared" si="16"/>
        <v>290</v>
      </c>
      <c r="T98" s="1905">
        <f t="shared" si="17"/>
        <v>295</v>
      </c>
    </row>
    <row r="99" spans="1:20">
      <c r="A99" s="1907">
        <v>89</v>
      </c>
      <c r="B99" s="1908">
        <f t="shared" si="24"/>
        <v>198.2609628065</v>
      </c>
      <c r="C99" s="1908"/>
      <c r="D99" s="1908">
        <f t="shared" si="25"/>
        <v>208.79475781249999</v>
      </c>
      <c r="E99" s="1908">
        <f t="shared" si="18"/>
        <v>222.67206399999998</v>
      </c>
      <c r="F99" s="1908">
        <f t="shared" si="19"/>
        <v>185.57166982800004</v>
      </c>
      <c r="G99" s="1908">
        <f t="shared" si="20"/>
        <v>175.64426950000001</v>
      </c>
      <c r="H99" s="1847">
        <f t="shared" si="21"/>
        <v>170.72127116799999</v>
      </c>
      <c r="I99" s="1908">
        <f t="shared" si="22"/>
        <v>137.87166982799971</v>
      </c>
      <c r="J99" s="1908">
        <f t="shared" si="26"/>
        <v>191.53600739950002</v>
      </c>
      <c r="K99" s="1908">
        <f t="shared" si="23"/>
        <v>175.64426950000001</v>
      </c>
      <c r="Q99" s="1852">
        <v>10.9</v>
      </c>
      <c r="R99" s="1905">
        <f t="shared" si="15"/>
        <v>238</v>
      </c>
      <c r="S99" s="1905">
        <f t="shared" si="16"/>
        <v>292.5</v>
      </c>
      <c r="T99" s="1905">
        <f t="shared" si="17"/>
        <v>297.5</v>
      </c>
    </row>
    <row r="100" spans="1:20">
      <c r="A100" s="1907">
        <v>90</v>
      </c>
      <c r="B100" s="1908">
        <f t="shared" si="24"/>
        <v>199.7609628065</v>
      </c>
      <c r="C100" s="1908"/>
      <c r="D100" s="1908">
        <f t="shared" si="25"/>
        <v>210.29475781249999</v>
      </c>
      <c r="E100" s="1908">
        <f t="shared" si="18"/>
        <v>224.67206399999998</v>
      </c>
      <c r="F100" s="1908">
        <f t="shared" si="19"/>
        <v>187.07166982800004</v>
      </c>
      <c r="G100" s="1908">
        <f t="shared" si="20"/>
        <v>177.14426950000001</v>
      </c>
      <c r="H100" s="1847">
        <f t="shared" si="21"/>
        <v>172.22127116799999</v>
      </c>
      <c r="I100" s="1908">
        <f t="shared" si="22"/>
        <v>138.0716698279997</v>
      </c>
      <c r="J100" s="1908">
        <f t="shared" si="26"/>
        <v>193.03600739950002</v>
      </c>
      <c r="K100" s="1908">
        <f t="shared" si="23"/>
        <v>177.14426950000001</v>
      </c>
      <c r="Q100" s="1906">
        <v>11</v>
      </c>
      <c r="R100" s="1905">
        <f t="shared" si="15"/>
        <v>240</v>
      </c>
      <c r="S100" s="1905">
        <f t="shared" si="16"/>
        <v>295</v>
      </c>
      <c r="T100" s="1905">
        <f t="shared" si="17"/>
        <v>300</v>
      </c>
    </row>
    <row r="101" spans="1:20">
      <c r="A101" s="1907">
        <v>91</v>
      </c>
      <c r="B101" s="1908">
        <f t="shared" si="24"/>
        <v>201.2609628065</v>
      </c>
      <c r="C101" s="1908"/>
      <c r="D101" s="1908">
        <f t="shared" si="25"/>
        <v>211.79475781249999</v>
      </c>
      <c r="E101" s="1908">
        <f t="shared" si="18"/>
        <v>226.67206399999998</v>
      </c>
      <c r="F101" s="1908">
        <f t="shared" si="19"/>
        <v>188.57166982800004</v>
      </c>
      <c r="G101" s="1908">
        <f t="shared" si="20"/>
        <v>178.64426950000001</v>
      </c>
      <c r="H101" s="1847">
        <f t="shared" si="21"/>
        <v>173.72127116799999</v>
      </c>
      <c r="I101" s="1908">
        <f t="shared" si="22"/>
        <v>138.27166982799969</v>
      </c>
      <c r="J101" s="1908">
        <f t="shared" si="26"/>
        <v>194.53600739950002</v>
      </c>
      <c r="K101" s="1908">
        <f t="shared" si="23"/>
        <v>178.64426950000001</v>
      </c>
      <c r="Q101" s="1852">
        <v>11.1</v>
      </c>
      <c r="R101" s="1905">
        <f t="shared" si="15"/>
        <v>242</v>
      </c>
      <c r="S101" s="1905">
        <f t="shared" si="16"/>
        <v>297.5</v>
      </c>
      <c r="T101" s="1905">
        <f t="shared" si="17"/>
        <v>302.5</v>
      </c>
    </row>
    <row r="102" spans="1:20">
      <c r="A102" s="1907">
        <v>92</v>
      </c>
      <c r="B102" s="1908">
        <f t="shared" si="24"/>
        <v>202.7609628065</v>
      </c>
      <c r="C102" s="1908"/>
      <c r="D102" s="1908">
        <f t="shared" si="25"/>
        <v>213.29475781249999</v>
      </c>
      <c r="E102" s="1908">
        <f t="shared" si="18"/>
        <v>228.67206399999998</v>
      </c>
      <c r="F102" s="1908">
        <f t="shared" si="19"/>
        <v>190.07166982800004</v>
      </c>
      <c r="G102" s="1908">
        <f t="shared" si="20"/>
        <v>180.14426950000001</v>
      </c>
      <c r="H102" s="1847">
        <f t="shared" si="21"/>
        <v>175.22127116799999</v>
      </c>
      <c r="I102" s="1908">
        <f t="shared" si="22"/>
        <v>138.47166982799968</v>
      </c>
      <c r="J102" s="1908">
        <f t="shared" si="26"/>
        <v>196.03600739950002</v>
      </c>
      <c r="K102" s="1908">
        <f t="shared" si="23"/>
        <v>180.14426950000001</v>
      </c>
      <c r="Q102" s="1906">
        <v>11.2</v>
      </c>
      <c r="R102" s="1905">
        <f t="shared" si="15"/>
        <v>244</v>
      </c>
      <c r="S102" s="1905">
        <f t="shared" si="16"/>
        <v>300</v>
      </c>
      <c r="T102" s="1905">
        <f t="shared" si="17"/>
        <v>305</v>
      </c>
    </row>
    <row r="103" spans="1:20">
      <c r="A103" s="1907">
        <v>93</v>
      </c>
      <c r="B103" s="1908">
        <f t="shared" si="24"/>
        <v>204.2609628065</v>
      </c>
      <c r="C103" s="1908"/>
      <c r="D103" s="1908">
        <f t="shared" si="25"/>
        <v>214.79475781249999</v>
      </c>
      <c r="E103" s="1908">
        <f t="shared" si="18"/>
        <v>230.67206399999998</v>
      </c>
      <c r="F103" s="1908">
        <f t="shared" si="19"/>
        <v>191.57166982800004</v>
      </c>
      <c r="G103" s="1908">
        <f t="shared" si="20"/>
        <v>181.64426950000001</v>
      </c>
      <c r="H103" s="1847">
        <f t="shared" si="21"/>
        <v>176.72127116799999</v>
      </c>
      <c r="I103" s="1908">
        <f t="shared" si="22"/>
        <v>138.67166982799966</v>
      </c>
      <c r="J103" s="1908">
        <f t="shared" si="26"/>
        <v>197.53600739950002</v>
      </c>
      <c r="K103" s="1908">
        <f t="shared" si="23"/>
        <v>181.64426950000001</v>
      </c>
      <c r="Q103" s="1906">
        <v>11.3</v>
      </c>
      <c r="R103" s="1905">
        <f t="shared" si="15"/>
        <v>246</v>
      </c>
      <c r="S103" s="1905">
        <f t="shared" si="16"/>
        <v>302.5</v>
      </c>
      <c r="T103" s="1905">
        <f t="shared" si="17"/>
        <v>307.5</v>
      </c>
    </row>
    <row r="104" spans="1:20">
      <c r="A104" s="1907">
        <v>94</v>
      </c>
      <c r="B104" s="1908">
        <f t="shared" si="24"/>
        <v>205.7609628065</v>
      </c>
      <c r="C104" s="1908"/>
      <c r="D104" s="1908">
        <f t="shared" si="25"/>
        <v>216.29475781249999</v>
      </c>
      <c r="E104" s="1908">
        <f t="shared" si="18"/>
        <v>232.67206399999998</v>
      </c>
      <c r="F104" s="1908">
        <f t="shared" si="19"/>
        <v>193.07166982800004</v>
      </c>
      <c r="G104" s="1908">
        <f t="shared" si="20"/>
        <v>183.14426950000001</v>
      </c>
      <c r="H104" s="1847">
        <f t="shared" si="21"/>
        <v>178.22127116799999</v>
      </c>
      <c r="I104" s="1908">
        <f t="shared" si="22"/>
        <v>138.87166982799965</v>
      </c>
      <c r="J104" s="1908">
        <f t="shared" si="26"/>
        <v>199.03600739950002</v>
      </c>
      <c r="K104" s="1908">
        <f t="shared" si="23"/>
        <v>183.14426950000001</v>
      </c>
      <c r="Q104" s="1852">
        <v>11.4</v>
      </c>
      <c r="R104" s="1905">
        <f t="shared" si="15"/>
        <v>248</v>
      </c>
      <c r="S104" s="1905">
        <f t="shared" si="16"/>
        <v>305</v>
      </c>
      <c r="T104" s="1905">
        <f t="shared" si="17"/>
        <v>310</v>
      </c>
    </row>
    <row r="105" spans="1:20">
      <c r="A105" s="1907">
        <v>95</v>
      </c>
      <c r="B105" s="1908">
        <f t="shared" si="24"/>
        <v>207.2609628065</v>
      </c>
      <c r="C105" s="1908"/>
      <c r="D105" s="1908">
        <f t="shared" si="25"/>
        <v>217.79475781249999</v>
      </c>
      <c r="E105" s="1908">
        <f t="shared" si="18"/>
        <v>234.67206399999998</v>
      </c>
      <c r="F105" s="1908">
        <f t="shared" si="19"/>
        <v>194.57166982800004</v>
      </c>
      <c r="G105" s="1908">
        <f t="shared" si="20"/>
        <v>184.64426950000001</v>
      </c>
      <c r="H105" s="1847">
        <f t="shared" si="21"/>
        <v>179.72127116799999</v>
      </c>
      <c r="I105" s="1908">
        <f t="shared" si="22"/>
        <v>139.07166982799964</v>
      </c>
      <c r="J105" s="1908">
        <f t="shared" si="26"/>
        <v>200.53600739950002</v>
      </c>
      <c r="K105" s="1908">
        <f t="shared" si="23"/>
        <v>184.64426950000001</v>
      </c>
      <c r="Q105" s="1906">
        <v>11.5</v>
      </c>
      <c r="R105" s="1905">
        <f t="shared" si="15"/>
        <v>250</v>
      </c>
      <c r="S105" s="1905">
        <f t="shared" si="16"/>
        <v>307.5</v>
      </c>
      <c r="T105" s="1905">
        <f t="shared" si="17"/>
        <v>312.5</v>
      </c>
    </row>
    <row r="106" spans="1:20">
      <c r="A106" s="1907">
        <v>96</v>
      </c>
      <c r="B106" s="1908">
        <f t="shared" si="24"/>
        <v>208.7609628065</v>
      </c>
      <c r="C106" s="1908"/>
      <c r="D106" s="1908">
        <f t="shared" si="25"/>
        <v>219.29475781249999</v>
      </c>
      <c r="E106" s="1908">
        <f t="shared" si="18"/>
        <v>236.67206399999998</v>
      </c>
      <c r="F106" s="1908">
        <f t="shared" si="19"/>
        <v>196.07166982800004</v>
      </c>
      <c r="G106" s="1908">
        <f t="shared" si="20"/>
        <v>186.14426950000001</v>
      </c>
      <c r="H106" s="1847">
        <f t="shared" si="21"/>
        <v>181.22127116799999</v>
      </c>
      <c r="I106" s="1908">
        <f t="shared" si="22"/>
        <v>139.27166982799963</v>
      </c>
      <c r="J106" s="1908">
        <f t="shared" si="26"/>
        <v>202.03600739950002</v>
      </c>
      <c r="K106" s="1908">
        <f t="shared" si="23"/>
        <v>186.14426950000001</v>
      </c>
      <c r="Q106" s="1852">
        <v>11.6</v>
      </c>
      <c r="R106" s="1905">
        <f t="shared" si="15"/>
        <v>252</v>
      </c>
      <c r="S106" s="1905">
        <f t="shared" si="16"/>
        <v>310</v>
      </c>
      <c r="T106" s="1905">
        <f t="shared" si="17"/>
        <v>315</v>
      </c>
    </row>
    <row r="107" spans="1:20">
      <c r="A107" s="1907">
        <v>97</v>
      </c>
      <c r="B107" s="1908">
        <f t="shared" si="24"/>
        <v>210.2609628065</v>
      </c>
      <c r="C107" s="1908"/>
      <c r="D107" s="1908">
        <f t="shared" si="25"/>
        <v>220.79475781249999</v>
      </c>
      <c r="E107" s="1908">
        <f t="shared" si="18"/>
        <v>238.67206399999998</v>
      </c>
      <c r="F107" s="1908">
        <f t="shared" si="19"/>
        <v>197.57166982800004</v>
      </c>
      <c r="G107" s="1908">
        <f t="shared" si="20"/>
        <v>187.64426950000001</v>
      </c>
      <c r="H107" s="1847">
        <f t="shared" si="21"/>
        <v>182.72127116799999</v>
      </c>
      <c r="I107" s="1908">
        <f t="shared" si="22"/>
        <v>139.47166982799962</v>
      </c>
      <c r="J107" s="1908">
        <f t="shared" si="26"/>
        <v>203.53600739950002</v>
      </c>
      <c r="K107" s="1908">
        <f t="shared" si="23"/>
        <v>187.64426950000001</v>
      </c>
      <c r="Q107" s="1906">
        <v>11.7</v>
      </c>
      <c r="R107" s="1905">
        <f t="shared" si="15"/>
        <v>254</v>
      </c>
      <c r="S107" s="1905">
        <f t="shared" si="16"/>
        <v>312.5</v>
      </c>
      <c r="T107" s="1905">
        <f t="shared" si="17"/>
        <v>317.5</v>
      </c>
    </row>
    <row r="108" spans="1:20">
      <c r="A108" s="1907">
        <v>98</v>
      </c>
      <c r="B108" s="1908">
        <f t="shared" si="24"/>
        <v>211.7609628065</v>
      </c>
      <c r="C108" s="1908"/>
      <c r="D108" s="1908">
        <f t="shared" si="25"/>
        <v>222.29475781249999</v>
      </c>
      <c r="E108" s="1908">
        <f t="shared" si="18"/>
        <v>240.67206399999998</v>
      </c>
      <c r="F108" s="1908">
        <f t="shared" si="19"/>
        <v>199.07166982800004</v>
      </c>
      <c r="G108" s="1908">
        <f t="shared" si="20"/>
        <v>189.14426950000001</v>
      </c>
      <c r="H108" s="1847">
        <f t="shared" si="21"/>
        <v>184.22127116799999</v>
      </c>
      <c r="I108" s="1908">
        <f t="shared" si="22"/>
        <v>139.67166982799961</v>
      </c>
      <c r="J108" s="1908">
        <f t="shared" si="26"/>
        <v>205.03600739950002</v>
      </c>
      <c r="K108" s="1908">
        <f t="shared" si="23"/>
        <v>189.14426950000001</v>
      </c>
      <c r="Q108" s="1906">
        <v>11.8</v>
      </c>
      <c r="R108" s="1905">
        <f t="shared" si="15"/>
        <v>256</v>
      </c>
      <c r="S108" s="1905">
        <f t="shared" si="16"/>
        <v>315</v>
      </c>
      <c r="T108" s="1905">
        <f t="shared" si="17"/>
        <v>320</v>
      </c>
    </row>
    <row r="109" spans="1:20">
      <c r="A109" s="1907">
        <v>99</v>
      </c>
      <c r="B109" s="1908">
        <f t="shared" si="24"/>
        <v>213.2609628065</v>
      </c>
      <c r="C109" s="1908"/>
      <c r="D109" s="1908">
        <f t="shared" si="25"/>
        <v>223.79475781249999</v>
      </c>
      <c r="E109" s="1908">
        <f t="shared" si="18"/>
        <v>242.67206399999998</v>
      </c>
      <c r="F109" s="1908">
        <f t="shared" si="19"/>
        <v>200.57166982800004</v>
      </c>
      <c r="G109" s="1908">
        <f t="shared" si="20"/>
        <v>190.64426950000001</v>
      </c>
      <c r="H109" s="1847">
        <f t="shared" si="21"/>
        <v>185.72127116799999</v>
      </c>
      <c r="I109" s="1908">
        <f t="shared" si="22"/>
        <v>139.8716698279996</v>
      </c>
      <c r="J109" s="1908">
        <f t="shared" si="26"/>
        <v>206.53600739950002</v>
      </c>
      <c r="K109" s="1908">
        <f t="shared" si="23"/>
        <v>190.64426950000001</v>
      </c>
      <c r="Q109" s="1852">
        <v>11.9</v>
      </c>
      <c r="R109" s="1905">
        <f t="shared" si="15"/>
        <v>258</v>
      </c>
      <c r="S109" s="1905">
        <f t="shared" si="16"/>
        <v>317.5</v>
      </c>
      <c r="T109" s="1905">
        <f t="shared" si="17"/>
        <v>322.5</v>
      </c>
    </row>
    <row r="110" spans="1:20">
      <c r="A110" s="1907">
        <v>100</v>
      </c>
      <c r="B110" s="1908">
        <f t="shared" si="24"/>
        <v>214.7609628065</v>
      </c>
      <c r="C110" s="1908"/>
      <c r="D110" s="1908">
        <f t="shared" si="25"/>
        <v>225.29475781249999</v>
      </c>
      <c r="E110" s="1908">
        <f t="shared" si="18"/>
        <v>244.67206399999998</v>
      </c>
      <c r="F110" s="1908">
        <f t="shared" si="19"/>
        <v>202.07166982800004</v>
      </c>
      <c r="G110" s="1908">
        <f t="shared" si="20"/>
        <v>192.14426950000001</v>
      </c>
      <c r="H110" s="1847">
        <f t="shared" si="21"/>
        <v>187.22127116799999</v>
      </c>
      <c r="I110" s="1908">
        <f t="shared" si="22"/>
        <v>140.07166982799959</v>
      </c>
      <c r="J110" s="1908">
        <f t="shared" si="26"/>
        <v>208.03600739950002</v>
      </c>
      <c r="K110" s="1908">
        <f t="shared" si="23"/>
        <v>192.14426950000001</v>
      </c>
      <c r="Q110" s="1906">
        <v>12</v>
      </c>
      <c r="R110" s="1905">
        <f t="shared" si="15"/>
        <v>260</v>
      </c>
      <c r="S110" s="1905">
        <f t="shared" si="16"/>
        <v>320</v>
      </c>
      <c r="T110" s="1905">
        <f t="shared" si="17"/>
        <v>325</v>
      </c>
    </row>
    <row r="111" spans="1:20">
      <c r="A111" s="1907">
        <v>101</v>
      </c>
      <c r="B111" s="1908">
        <f t="shared" si="24"/>
        <v>216.2609628065</v>
      </c>
      <c r="C111" s="1908"/>
      <c r="D111" s="1908">
        <f t="shared" si="25"/>
        <v>226.79475781249999</v>
      </c>
      <c r="E111" s="1908">
        <f t="shared" si="18"/>
        <v>246.67206399999998</v>
      </c>
      <c r="F111" s="1908">
        <f t="shared" si="19"/>
        <v>203.57166982800004</v>
      </c>
      <c r="G111" s="1908">
        <f t="shared" si="20"/>
        <v>193.64426950000001</v>
      </c>
      <c r="H111" s="1847">
        <f t="shared" si="21"/>
        <v>188.72127116799999</v>
      </c>
      <c r="I111" s="1908">
        <f t="shared" si="22"/>
        <v>140.27166982799957</v>
      </c>
      <c r="J111" s="1908">
        <f t="shared" si="26"/>
        <v>209.53600739950002</v>
      </c>
      <c r="K111" s="1908">
        <f t="shared" si="23"/>
        <v>193.64426950000001</v>
      </c>
      <c r="Q111" s="1852"/>
      <c r="R111" s="1853"/>
      <c r="S111" s="1905"/>
      <c r="T111" s="1853"/>
    </row>
    <row r="112" spans="1:20">
      <c r="A112" s="1907">
        <v>102</v>
      </c>
      <c r="B112" s="1908">
        <f t="shared" si="24"/>
        <v>217.7609628065</v>
      </c>
      <c r="C112" s="1908"/>
      <c r="D112" s="1908">
        <f t="shared" si="25"/>
        <v>228.29475781249999</v>
      </c>
      <c r="E112" s="1908">
        <f t="shared" si="18"/>
        <v>248.67206399999998</v>
      </c>
      <c r="F112" s="1908">
        <f t="shared" si="19"/>
        <v>205.07166982800004</v>
      </c>
      <c r="G112" s="1908">
        <f t="shared" si="20"/>
        <v>195.14426950000001</v>
      </c>
      <c r="H112" s="1847">
        <f t="shared" si="21"/>
        <v>190.22127116799999</v>
      </c>
      <c r="I112" s="1908">
        <f t="shared" si="22"/>
        <v>140.47166982799956</v>
      </c>
      <c r="J112" s="1908">
        <f t="shared" si="26"/>
        <v>211.03600739950002</v>
      </c>
      <c r="K112" s="1908">
        <f t="shared" si="23"/>
        <v>195.14426950000001</v>
      </c>
    </row>
    <row r="113" spans="1:11">
      <c r="A113" s="1907">
        <v>103</v>
      </c>
      <c r="B113" s="1908">
        <f t="shared" si="24"/>
        <v>219.2609628065</v>
      </c>
      <c r="C113" s="1908"/>
      <c r="D113" s="1908">
        <f t="shared" si="25"/>
        <v>229.79475781249999</v>
      </c>
      <c r="E113" s="1908">
        <f t="shared" si="18"/>
        <v>250.67206399999998</v>
      </c>
      <c r="F113" s="1908">
        <f t="shared" si="19"/>
        <v>206.57166982800004</v>
      </c>
      <c r="G113" s="1908">
        <f t="shared" si="20"/>
        <v>196.64426950000001</v>
      </c>
      <c r="H113" s="1847">
        <f t="shared" si="21"/>
        <v>191.72127116799999</v>
      </c>
      <c r="I113" s="1908">
        <f t="shared" si="22"/>
        <v>140.67166982799955</v>
      </c>
      <c r="J113" s="1908">
        <f t="shared" si="26"/>
        <v>212.53600739950002</v>
      </c>
      <c r="K113" s="1908">
        <f t="shared" si="23"/>
        <v>196.64426950000001</v>
      </c>
    </row>
    <row r="114" spans="1:11">
      <c r="A114" s="1907">
        <v>104</v>
      </c>
      <c r="B114" s="1908">
        <f t="shared" si="24"/>
        <v>220.7609628065</v>
      </c>
      <c r="C114" s="1908"/>
      <c r="D114" s="1908">
        <f t="shared" si="25"/>
        <v>231.29475781249999</v>
      </c>
      <c r="E114" s="1908">
        <f t="shared" si="18"/>
        <v>252.67206399999998</v>
      </c>
      <c r="F114" s="1908">
        <f t="shared" si="19"/>
        <v>208.07166982800004</v>
      </c>
      <c r="G114" s="1908">
        <f t="shared" si="20"/>
        <v>198.14426950000001</v>
      </c>
      <c r="H114" s="1847">
        <f t="shared" si="21"/>
        <v>193.22127116799999</v>
      </c>
      <c r="I114" s="1908">
        <f t="shared" si="22"/>
        <v>140.87166982799954</v>
      </c>
      <c r="J114" s="1908">
        <f t="shared" si="26"/>
        <v>214.03600739950002</v>
      </c>
      <c r="K114" s="1908">
        <f t="shared" si="23"/>
        <v>198.14426950000001</v>
      </c>
    </row>
    <row r="115" spans="1:11">
      <c r="A115" s="1907">
        <v>105</v>
      </c>
      <c r="B115" s="1908">
        <f t="shared" si="24"/>
        <v>222.2609628065</v>
      </c>
      <c r="C115" s="1908"/>
      <c r="D115" s="1908">
        <f t="shared" si="25"/>
        <v>232.79475781249999</v>
      </c>
      <c r="E115" s="1908">
        <f t="shared" si="18"/>
        <v>254.67206399999998</v>
      </c>
      <c r="F115" s="1908">
        <f t="shared" si="19"/>
        <v>209.57166982800004</v>
      </c>
      <c r="G115" s="1908">
        <f t="shared" si="20"/>
        <v>199.64426950000001</v>
      </c>
      <c r="H115" s="1847">
        <f t="shared" si="21"/>
        <v>194.72127116799999</v>
      </c>
      <c r="I115" s="1908">
        <f t="shared" si="22"/>
        <v>141.07166982799953</v>
      </c>
      <c r="J115" s="1908">
        <f t="shared" si="26"/>
        <v>215.53600739950002</v>
      </c>
      <c r="K115" s="1908">
        <f t="shared" si="23"/>
        <v>199.64426950000001</v>
      </c>
    </row>
    <row r="116" spans="1:11">
      <c r="A116" s="1907">
        <v>106</v>
      </c>
      <c r="B116" s="1908">
        <f t="shared" si="24"/>
        <v>223.7609628065</v>
      </c>
      <c r="C116" s="1908"/>
      <c r="D116" s="1908">
        <f t="shared" si="25"/>
        <v>234.29475781249999</v>
      </c>
      <c r="E116" s="1908">
        <f t="shared" si="18"/>
        <v>256.67206399999998</v>
      </c>
      <c r="F116" s="1908">
        <f t="shared" si="19"/>
        <v>211.07166982800004</v>
      </c>
      <c r="G116" s="1908">
        <f t="shared" si="20"/>
        <v>201.14426950000001</v>
      </c>
      <c r="H116" s="1847">
        <f t="shared" si="21"/>
        <v>196.22127116799999</v>
      </c>
      <c r="I116" s="1908">
        <f t="shared" si="22"/>
        <v>141.27166982799952</v>
      </c>
      <c r="J116" s="1908">
        <f t="shared" si="26"/>
        <v>217.03600739950002</v>
      </c>
      <c r="K116" s="1908">
        <f t="shared" si="23"/>
        <v>201.14426950000001</v>
      </c>
    </row>
    <row r="117" spans="1:11">
      <c r="A117" s="1907">
        <v>107</v>
      </c>
      <c r="B117" s="1908">
        <f t="shared" si="24"/>
        <v>225.2609628065</v>
      </c>
      <c r="C117" s="1908"/>
      <c r="D117" s="1908">
        <f t="shared" si="25"/>
        <v>235.79475781249999</v>
      </c>
      <c r="E117" s="1908">
        <f t="shared" si="18"/>
        <v>258.67206399999998</v>
      </c>
      <c r="F117" s="1908">
        <f t="shared" si="19"/>
        <v>212.57166982800004</v>
      </c>
      <c r="G117" s="1908">
        <f t="shared" si="20"/>
        <v>202.64426950000001</v>
      </c>
      <c r="H117" s="1847">
        <f t="shared" si="21"/>
        <v>197.72127116799999</v>
      </c>
      <c r="I117" s="1908">
        <f t="shared" si="22"/>
        <v>141.47166982799951</v>
      </c>
      <c r="J117" s="1908">
        <f t="shared" si="26"/>
        <v>218.53600739950002</v>
      </c>
      <c r="K117" s="1908">
        <f t="shared" si="23"/>
        <v>202.64426950000001</v>
      </c>
    </row>
    <row r="118" spans="1:11">
      <c r="A118" s="1907">
        <v>108</v>
      </c>
      <c r="B118" s="1908">
        <f t="shared" si="24"/>
        <v>226.7609628065</v>
      </c>
      <c r="C118" s="1908"/>
      <c r="D118" s="1908">
        <f t="shared" si="25"/>
        <v>237.29475781249999</v>
      </c>
      <c r="E118" s="1908">
        <f t="shared" si="18"/>
        <v>260.67206399999998</v>
      </c>
      <c r="F118" s="1908">
        <f t="shared" si="19"/>
        <v>214.07166982800004</v>
      </c>
      <c r="G118" s="1908">
        <f t="shared" si="20"/>
        <v>204.14426950000001</v>
      </c>
      <c r="H118" s="1847">
        <f t="shared" si="21"/>
        <v>199.22127116799999</v>
      </c>
      <c r="I118" s="1908">
        <f t="shared" si="22"/>
        <v>141.67166982799949</v>
      </c>
      <c r="J118" s="1908">
        <f t="shared" si="26"/>
        <v>220.03600739950002</v>
      </c>
      <c r="K118" s="1908">
        <f t="shared" si="23"/>
        <v>204.14426950000001</v>
      </c>
    </row>
    <row r="119" spans="1:11">
      <c r="A119" s="1907">
        <v>109</v>
      </c>
      <c r="B119" s="1908">
        <f t="shared" si="24"/>
        <v>228.2609628065</v>
      </c>
      <c r="C119" s="1908"/>
      <c r="D119" s="1908">
        <f t="shared" si="25"/>
        <v>238.79475781249999</v>
      </c>
      <c r="E119" s="1908">
        <f t="shared" si="18"/>
        <v>262.67206399999998</v>
      </c>
      <c r="F119" s="1908">
        <f t="shared" si="19"/>
        <v>215.57166982800004</v>
      </c>
      <c r="G119" s="1908">
        <f t="shared" si="20"/>
        <v>205.64426950000001</v>
      </c>
      <c r="H119" s="1847">
        <f t="shared" si="21"/>
        <v>200.72127116799999</v>
      </c>
      <c r="I119" s="1908">
        <f t="shared" si="22"/>
        <v>141.87166982799948</v>
      </c>
      <c r="J119" s="1908">
        <f t="shared" si="26"/>
        <v>221.53600739950002</v>
      </c>
      <c r="K119" s="1908">
        <f t="shared" si="23"/>
        <v>205.64426950000001</v>
      </c>
    </row>
    <row r="120" spans="1:11">
      <c r="A120" s="1907">
        <v>110</v>
      </c>
      <c r="B120" s="1908">
        <f t="shared" si="24"/>
        <v>229.7609628065</v>
      </c>
      <c r="C120" s="1908"/>
      <c r="D120" s="1908">
        <f t="shared" si="25"/>
        <v>240.29475781249999</v>
      </c>
      <c r="E120" s="1908">
        <f t="shared" si="18"/>
        <v>264.67206399999998</v>
      </c>
      <c r="F120" s="1908">
        <f t="shared" si="19"/>
        <v>217.07166982800004</v>
      </c>
      <c r="G120" s="1908">
        <f t="shared" si="20"/>
        <v>207.14426950000001</v>
      </c>
      <c r="H120" s="1847">
        <f t="shared" si="21"/>
        <v>202.22127116799999</v>
      </c>
      <c r="I120" s="1908">
        <f t="shared" si="22"/>
        <v>142.07166982799947</v>
      </c>
      <c r="J120" s="1908">
        <f t="shared" si="26"/>
        <v>223.03600739950002</v>
      </c>
      <c r="K120" s="1908">
        <f t="shared" si="23"/>
        <v>207.14426950000001</v>
      </c>
    </row>
    <row r="121" spans="1:11">
      <c r="A121" s="1907">
        <v>111</v>
      </c>
      <c r="B121" s="1908">
        <f t="shared" si="24"/>
        <v>231.2609628065</v>
      </c>
      <c r="C121" s="1908"/>
      <c r="D121" s="1908">
        <f t="shared" si="25"/>
        <v>241.79475781249999</v>
      </c>
      <c r="E121" s="1908">
        <f t="shared" si="18"/>
        <v>266.67206399999998</v>
      </c>
      <c r="F121" s="1908">
        <f t="shared" si="19"/>
        <v>218.57166982800004</v>
      </c>
      <c r="G121" s="1908">
        <f t="shared" si="20"/>
        <v>208.64426950000001</v>
      </c>
      <c r="H121" s="1847">
        <f t="shared" si="21"/>
        <v>203.72127116799999</v>
      </c>
      <c r="I121" s="1908">
        <f t="shared" si="22"/>
        <v>142.27166982799946</v>
      </c>
      <c r="J121" s="1908">
        <f t="shared" si="26"/>
        <v>224.53600739950002</v>
      </c>
      <c r="K121" s="1908">
        <f t="shared" si="23"/>
        <v>208.64426950000001</v>
      </c>
    </row>
    <row r="122" spans="1:11">
      <c r="A122" s="1907">
        <v>112</v>
      </c>
      <c r="B122" s="1908">
        <f t="shared" si="24"/>
        <v>232.7609628065</v>
      </c>
      <c r="C122" s="1908"/>
      <c r="D122" s="1908">
        <f t="shared" si="25"/>
        <v>243.29475781249999</v>
      </c>
      <c r="E122" s="1908">
        <f t="shared" si="18"/>
        <v>268.67206399999998</v>
      </c>
      <c r="F122" s="1908">
        <f t="shared" si="19"/>
        <v>220.07166982800004</v>
      </c>
      <c r="G122" s="1908">
        <f t="shared" si="20"/>
        <v>210.14426950000001</v>
      </c>
      <c r="H122" s="1847">
        <f t="shared" si="21"/>
        <v>205.22127116799999</v>
      </c>
      <c r="I122" s="1908">
        <f t="shared" si="22"/>
        <v>142.47166982799945</v>
      </c>
      <c r="J122" s="1908">
        <f t="shared" si="26"/>
        <v>226.03600739950002</v>
      </c>
      <c r="K122" s="1908">
        <f t="shared" si="23"/>
        <v>210.14426950000001</v>
      </c>
    </row>
    <row r="123" spans="1:11">
      <c r="A123" s="1907">
        <v>113</v>
      </c>
      <c r="B123" s="1908">
        <f t="shared" si="24"/>
        <v>234.2609628065</v>
      </c>
      <c r="C123" s="1908"/>
      <c r="D123" s="1908">
        <f t="shared" si="25"/>
        <v>244.79475781249999</v>
      </c>
      <c r="E123" s="1908">
        <f t="shared" si="18"/>
        <v>270.67206399999998</v>
      </c>
      <c r="F123" s="1908">
        <f t="shared" si="19"/>
        <v>221.57166982800004</v>
      </c>
      <c r="G123" s="1908">
        <f t="shared" si="20"/>
        <v>211.64426950000001</v>
      </c>
      <c r="H123" s="1847">
        <f t="shared" si="21"/>
        <v>206.72127116799999</v>
      </c>
      <c r="I123" s="1908">
        <f t="shared" si="22"/>
        <v>142.67166982799944</v>
      </c>
      <c r="J123" s="1908">
        <f t="shared" si="26"/>
        <v>227.53600739950002</v>
      </c>
      <c r="K123" s="1908">
        <f t="shared" si="23"/>
        <v>211.64426950000001</v>
      </c>
    </row>
    <row r="124" spans="1:11">
      <c r="A124" s="1907">
        <v>114</v>
      </c>
      <c r="B124" s="1908">
        <f t="shared" si="24"/>
        <v>235.7609628065</v>
      </c>
      <c r="C124" s="1908"/>
      <c r="D124" s="1908">
        <f t="shared" si="25"/>
        <v>246.29475781249999</v>
      </c>
      <c r="E124" s="1908">
        <f t="shared" si="18"/>
        <v>272.67206399999998</v>
      </c>
      <c r="F124" s="1908">
        <f t="shared" si="19"/>
        <v>223.07166982800004</v>
      </c>
      <c r="G124" s="1908">
        <f t="shared" si="20"/>
        <v>213.14426950000001</v>
      </c>
      <c r="H124" s="1847">
        <f t="shared" si="21"/>
        <v>208.22127116799999</v>
      </c>
      <c r="I124" s="1908">
        <f t="shared" si="22"/>
        <v>142.87166982799943</v>
      </c>
      <c r="J124" s="1908">
        <f t="shared" si="26"/>
        <v>229.03600739950002</v>
      </c>
      <c r="K124" s="1908">
        <f t="shared" si="23"/>
        <v>213.14426950000001</v>
      </c>
    </row>
    <row r="125" spans="1:11">
      <c r="A125" s="1907">
        <v>115</v>
      </c>
      <c r="B125" s="1908">
        <f t="shared" si="24"/>
        <v>237.2609628065</v>
      </c>
      <c r="C125" s="1908"/>
      <c r="D125" s="1908">
        <f t="shared" si="25"/>
        <v>247.79475781249999</v>
      </c>
      <c r="E125" s="1908">
        <f t="shared" si="18"/>
        <v>274.67206399999998</v>
      </c>
      <c r="F125" s="1908">
        <f t="shared" si="19"/>
        <v>224.57166982800004</v>
      </c>
      <c r="G125" s="1908">
        <f t="shared" si="20"/>
        <v>214.64426950000001</v>
      </c>
      <c r="H125" s="1847">
        <f t="shared" si="21"/>
        <v>209.72127116799999</v>
      </c>
      <c r="I125" s="1908">
        <f t="shared" si="22"/>
        <v>143.07166982799941</v>
      </c>
      <c r="J125" s="1908">
        <f t="shared" si="26"/>
        <v>230.53600739950002</v>
      </c>
      <c r="K125" s="1908">
        <f t="shared" si="23"/>
        <v>214.64426950000001</v>
      </c>
    </row>
    <row r="126" spans="1:11">
      <c r="A126" s="1907">
        <v>116</v>
      </c>
      <c r="B126" s="1908">
        <f t="shared" si="24"/>
        <v>238.7609628065</v>
      </c>
      <c r="C126" s="1908"/>
      <c r="D126" s="1908">
        <f t="shared" si="25"/>
        <v>249.29475781249999</v>
      </c>
      <c r="E126" s="1908">
        <f t="shared" si="18"/>
        <v>276.67206399999998</v>
      </c>
      <c r="F126" s="1908">
        <f t="shared" si="19"/>
        <v>226.07166982800004</v>
      </c>
      <c r="G126" s="1908">
        <f t="shared" si="20"/>
        <v>216.14426950000001</v>
      </c>
      <c r="H126" s="1847">
        <f t="shared" si="21"/>
        <v>211.22127116799999</v>
      </c>
      <c r="I126" s="1908">
        <f t="shared" si="22"/>
        <v>143.2716698279994</v>
      </c>
      <c r="J126" s="1908">
        <f t="shared" si="26"/>
        <v>232.03600739950002</v>
      </c>
      <c r="K126" s="1908">
        <f t="shared" si="23"/>
        <v>216.14426950000001</v>
      </c>
    </row>
    <row r="127" spans="1:11">
      <c r="A127" s="1907">
        <v>117</v>
      </c>
      <c r="B127" s="1908">
        <f t="shared" si="24"/>
        <v>240.2609628065</v>
      </c>
      <c r="C127" s="1908"/>
      <c r="D127" s="1908">
        <f t="shared" si="25"/>
        <v>250.79475781249999</v>
      </c>
      <c r="E127" s="1908">
        <f t="shared" si="18"/>
        <v>278.67206399999998</v>
      </c>
      <c r="F127" s="1908">
        <f t="shared" si="19"/>
        <v>227.57166982800004</v>
      </c>
      <c r="G127" s="1908">
        <f t="shared" si="20"/>
        <v>217.64426950000001</v>
      </c>
      <c r="H127" s="1847">
        <f t="shared" si="21"/>
        <v>212.72127116799999</v>
      </c>
      <c r="I127" s="1908">
        <f t="shared" si="22"/>
        <v>143.47166982799939</v>
      </c>
      <c r="J127" s="1908">
        <f t="shared" si="26"/>
        <v>233.53600739950002</v>
      </c>
      <c r="K127" s="1908">
        <f t="shared" si="23"/>
        <v>217.64426950000001</v>
      </c>
    </row>
    <row r="128" spans="1:11">
      <c r="A128" s="1907">
        <v>118</v>
      </c>
      <c r="B128" s="1908">
        <f t="shared" si="24"/>
        <v>241.7609628065</v>
      </c>
      <c r="C128" s="1908"/>
      <c r="D128" s="1908">
        <f t="shared" si="25"/>
        <v>252.29475781249999</v>
      </c>
      <c r="E128" s="1908">
        <f t="shared" si="18"/>
        <v>280.67206399999998</v>
      </c>
      <c r="F128" s="1908">
        <f t="shared" si="19"/>
        <v>229.07166982800004</v>
      </c>
      <c r="G128" s="1908">
        <f t="shared" si="20"/>
        <v>219.14426950000001</v>
      </c>
      <c r="H128" s="1847">
        <f t="shared" si="21"/>
        <v>214.22127116799999</v>
      </c>
      <c r="I128" s="1908">
        <f t="shared" si="22"/>
        <v>143.67166982799938</v>
      </c>
      <c r="J128" s="1908">
        <f t="shared" si="26"/>
        <v>235.03600739950002</v>
      </c>
      <c r="K128" s="1908">
        <f t="shared" si="23"/>
        <v>219.14426950000001</v>
      </c>
    </row>
    <row r="129" spans="1:11">
      <c r="A129" s="1907">
        <v>119</v>
      </c>
      <c r="B129" s="1908">
        <f t="shared" si="24"/>
        <v>243.2609628065</v>
      </c>
      <c r="C129" s="1908"/>
      <c r="D129" s="1908">
        <f t="shared" si="25"/>
        <v>253.79475781249999</v>
      </c>
      <c r="E129" s="1908">
        <f t="shared" si="18"/>
        <v>282.67206399999998</v>
      </c>
      <c r="F129" s="1908">
        <f t="shared" si="19"/>
        <v>230.57166982800004</v>
      </c>
      <c r="G129" s="1908">
        <f t="shared" si="20"/>
        <v>220.64426950000001</v>
      </c>
      <c r="H129" s="1847">
        <f t="shared" si="21"/>
        <v>215.72127116799999</v>
      </c>
      <c r="I129" s="1908">
        <f t="shared" si="22"/>
        <v>143.87166982799937</v>
      </c>
      <c r="J129" s="1908">
        <f t="shared" si="26"/>
        <v>236.53600739950002</v>
      </c>
      <c r="K129" s="1908">
        <f t="shared" si="23"/>
        <v>220.64426950000001</v>
      </c>
    </row>
    <row r="130" spans="1:11">
      <c r="A130" s="1907">
        <v>120</v>
      </c>
      <c r="B130" s="1908">
        <f t="shared" si="24"/>
        <v>244.7609628065</v>
      </c>
      <c r="C130" s="1908"/>
      <c r="D130" s="1908">
        <f t="shared" si="25"/>
        <v>255.29475781249999</v>
      </c>
      <c r="E130" s="1908">
        <f t="shared" si="18"/>
        <v>284.67206399999998</v>
      </c>
      <c r="F130" s="1908">
        <f t="shared" si="19"/>
        <v>232.07166982800004</v>
      </c>
      <c r="G130" s="1908">
        <f t="shared" si="20"/>
        <v>222.14426950000001</v>
      </c>
      <c r="H130" s="1847">
        <f t="shared" si="21"/>
        <v>217.22127116799999</v>
      </c>
      <c r="I130" s="1908">
        <f t="shared" si="22"/>
        <v>144.07166982799936</v>
      </c>
      <c r="J130" s="1908">
        <f t="shared" si="26"/>
        <v>238.03600739950002</v>
      </c>
      <c r="K130" s="1908">
        <f t="shared" si="23"/>
        <v>222.14426950000001</v>
      </c>
    </row>
  </sheetData>
  <protectedRanges>
    <protectedRange sqref="J8:J24 L8:L24 M8:M19 M23:M24" name="Område1"/>
    <protectedRange sqref="M20:M22" name="Område1_1"/>
  </protectedRanges>
  <mergeCells count="2">
    <mergeCell ref="H4:I4"/>
    <mergeCell ref="L4:M4"/>
  </mergeCells>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4"/>
  <dimension ref="A1:X335"/>
  <sheetViews>
    <sheetView zoomScale="80" zoomScaleNormal="80" workbookViewId="0">
      <selection activeCell="I19" sqref="I19"/>
    </sheetView>
  </sheetViews>
  <sheetFormatPr defaultRowHeight="12.75"/>
  <cols>
    <col min="1" max="1" width="20.28515625" customWidth="1"/>
    <col min="2" max="2" width="11.7109375" customWidth="1"/>
    <col min="3" max="3" width="12.28515625" bestFit="1" customWidth="1"/>
    <col min="5" max="5" width="10.28515625" customWidth="1"/>
    <col min="6" max="6" width="12.7109375" customWidth="1"/>
    <col min="11" max="11" width="11.28515625" customWidth="1"/>
    <col min="13" max="13" width="20.28515625" customWidth="1"/>
    <col min="14" max="14" width="11.7109375" customWidth="1"/>
    <col min="15" max="15" width="12.28515625" bestFit="1" customWidth="1"/>
    <col min="17" max="17" width="10.28515625" customWidth="1"/>
    <col min="18" max="18" width="12.7109375" customWidth="1"/>
  </cols>
  <sheetData>
    <row r="1" spans="1:21" ht="25.5">
      <c r="A1" s="2182" t="s">
        <v>353</v>
      </c>
      <c r="B1" s="263"/>
      <c r="C1" s="263"/>
      <c r="D1" s="263"/>
      <c r="E1" s="263"/>
      <c r="F1" s="263"/>
      <c r="G1" s="263"/>
      <c r="H1" s="263"/>
      <c r="I1" s="263"/>
      <c r="J1" s="263"/>
      <c r="K1" s="263"/>
      <c r="L1" s="263"/>
      <c r="M1" s="2182" t="s">
        <v>201</v>
      </c>
      <c r="N1" s="263"/>
      <c r="O1" s="263"/>
      <c r="P1" s="263"/>
      <c r="Q1" s="263"/>
      <c r="R1" s="263"/>
      <c r="S1" s="263"/>
      <c r="T1" s="263"/>
    </row>
    <row r="2" spans="1:21">
      <c r="A2" s="263"/>
      <c r="B2" s="263"/>
      <c r="C2" s="263"/>
      <c r="D2" s="263"/>
      <c r="E2" s="263"/>
      <c r="F2" s="263"/>
      <c r="G2" s="263"/>
      <c r="H2" s="263"/>
      <c r="I2" s="263"/>
      <c r="J2" s="263"/>
      <c r="K2" s="263"/>
      <c r="L2" s="263"/>
      <c r="M2" s="263"/>
      <c r="N2" s="263"/>
      <c r="O2" s="263"/>
      <c r="P2" s="263"/>
      <c r="Q2" s="263"/>
      <c r="R2" s="263"/>
      <c r="S2" s="263"/>
      <c r="T2" s="263"/>
    </row>
    <row r="3" spans="1:21">
      <c r="A3" s="263"/>
      <c r="B3" s="263"/>
      <c r="C3" s="263"/>
      <c r="D3" s="263"/>
      <c r="E3" s="263"/>
      <c r="F3" s="263"/>
      <c r="G3" s="263"/>
      <c r="H3" s="263"/>
      <c r="I3" s="263"/>
      <c r="J3" s="263"/>
      <c r="K3" s="263"/>
      <c r="L3" s="263"/>
      <c r="M3" s="263"/>
      <c r="N3" s="263"/>
      <c r="O3" s="263"/>
      <c r="P3" s="263"/>
      <c r="Q3" s="263"/>
      <c r="R3" s="263"/>
      <c r="S3" s="263"/>
      <c r="T3" s="263"/>
    </row>
    <row r="4" spans="1:21">
      <c r="A4" s="2183"/>
      <c r="B4" s="267"/>
      <c r="C4" s="267"/>
      <c r="D4" s="267"/>
      <c r="E4" s="263"/>
      <c r="F4" s="263"/>
      <c r="G4" s="263"/>
      <c r="H4" s="263"/>
      <c r="I4" s="263"/>
      <c r="J4" s="263"/>
      <c r="K4" s="263"/>
      <c r="L4" s="263"/>
      <c r="M4" s="2184"/>
      <c r="N4" s="267"/>
      <c r="O4" s="267"/>
      <c r="P4" s="267"/>
      <c r="Q4" s="263"/>
      <c r="R4" s="263"/>
      <c r="S4" s="263"/>
      <c r="T4" s="263"/>
    </row>
    <row r="5" spans="1:21">
      <c r="A5" s="2185"/>
      <c r="B5" s="1469"/>
      <c r="C5" s="1468"/>
      <c r="D5" s="319"/>
      <c r="E5" s="320"/>
      <c r="F5" s="320"/>
      <c r="G5" s="320"/>
      <c r="H5" s="320"/>
      <c r="I5" s="2187"/>
      <c r="J5" s="267"/>
      <c r="K5" s="267"/>
      <c r="L5" s="263"/>
      <c r="M5" s="2188"/>
      <c r="N5" s="1469"/>
      <c r="O5" s="2186"/>
      <c r="P5" s="319"/>
      <c r="Q5" s="320"/>
      <c r="R5" s="320"/>
      <c r="S5" s="320"/>
      <c r="T5" s="320"/>
      <c r="U5" s="2187"/>
    </row>
    <row r="6" spans="1:21">
      <c r="A6" s="2188"/>
      <c r="B6" s="357"/>
      <c r="C6" s="309"/>
      <c r="D6" s="323"/>
      <c r="E6" s="331" t="s">
        <v>1121</v>
      </c>
      <c r="F6" s="326"/>
      <c r="G6" s="326"/>
      <c r="H6" s="326"/>
      <c r="I6" s="2190"/>
      <c r="J6" s="267"/>
      <c r="K6" s="267"/>
      <c r="L6" s="263"/>
      <c r="M6" s="2188"/>
      <c r="N6" s="357"/>
      <c r="O6" s="2189"/>
      <c r="P6" s="323"/>
      <c r="Q6" s="331" t="s">
        <v>1121</v>
      </c>
      <c r="R6" s="326"/>
      <c r="S6" s="326"/>
      <c r="T6" s="326"/>
      <c r="U6" s="2190"/>
    </row>
    <row r="7" spans="1:21">
      <c r="A7" s="2188" t="s">
        <v>1123</v>
      </c>
      <c r="B7" s="2191">
        <f>'"Kvävesimulator"'!U38</f>
        <v>4.0999999999999996</v>
      </c>
      <c r="C7" s="309" t="s">
        <v>103</v>
      </c>
      <c r="D7" s="323"/>
      <c r="E7" s="339" t="s">
        <v>1124</v>
      </c>
      <c r="F7" s="339" t="s">
        <v>727</v>
      </c>
      <c r="G7" s="326"/>
      <c r="H7" s="326"/>
      <c r="I7" s="2190"/>
      <c r="J7" s="267"/>
      <c r="K7" s="267"/>
      <c r="L7" s="263"/>
      <c r="M7" s="2188" t="s">
        <v>1123</v>
      </c>
      <c r="N7" s="2191">
        <f>'"Kvävesimulator"'!U40</f>
        <v>2.81</v>
      </c>
      <c r="O7" s="2189" t="s">
        <v>103</v>
      </c>
      <c r="P7" s="323"/>
      <c r="Q7" s="339" t="s">
        <v>1124</v>
      </c>
      <c r="R7" s="339" t="s">
        <v>727</v>
      </c>
      <c r="S7" s="326"/>
      <c r="T7" s="326"/>
      <c r="U7" s="2190"/>
    </row>
    <row r="8" spans="1:21">
      <c r="A8" s="2188" t="s">
        <v>1125</v>
      </c>
      <c r="B8" s="2191">
        <f>'"Kvävesimulator"'!S8</f>
        <v>11.3</v>
      </c>
      <c r="C8" s="309" t="s">
        <v>1142</v>
      </c>
      <c r="D8" s="323"/>
      <c r="E8" s="310">
        <v>15</v>
      </c>
      <c r="F8" s="2194">
        <f t="shared" ref="F8:F16" si="0">$B$12+(E8-$B$14/100)*$B$16</f>
        <v>123.32932092800002</v>
      </c>
      <c r="G8" s="326"/>
      <c r="H8" s="326"/>
      <c r="I8" s="2190"/>
      <c r="J8" s="267"/>
      <c r="K8" s="267"/>
      <c r="L8" s="263"/>
      <c r="M8" s="2188" t="s">
        <v>1125</v>
      </c>
      <c r="N8" s="2191">
        <f>'"Kvävesimulator"'!S8</f>
        <v>11.3</v>
      </c>
      <c r="O8" s="2189" t="s">
        <v>1142</v>
      </c>
      <c r="P8" s="323"/>
      <c r="Q8" s="310">
        <v>15</v>
      </c>
      <c r="R8" s="2194">
        <f t="shared" ref="R8:R16" si="1">$N$12+(Q8-$N$14/100)*$N$16</f>
        <v>101.09874600000001</v>
      </c>
      <c r="S8" s="326"/>
      <c r="T8" s="326"/>
      <c r="U8" s="2190"/>
    </row>
    <row r="9" spans="1:21">
      <c r="A9" s="2188" t="s">
        <v>1126</v>
      </c>
      <c r="B9" s="2191">
        <f>'"Kvävesimulator"'!W38</f>
        <v>0.4</v>
      </c>
      <c r="C9" s="309" t="s">
        <v>103</v>
      </c>
      <c r="D9" s="323"/>
      <c r="E9" s="310">
        <v>20</v>
      </c>
      <c r="F9" s="2194">
        <f>$B$12+(E9-$B$14/100)*$B$16</f>
        <v>133.32932092800002</v>
      </c>
      <c r="G9" s="326"/>
      <c r="H9" s="326"/>
      <c r="I9" s="2190"/>
      <c r="J9" s="267"/>
      <c r="K9" s="267"/>
      <c r="L9" s="263"/>
      <c r="M9" s="2188" t="s">
        <v>1126</v>
      </c>
      <c r="N9" s="2191">
        <f>'"Kvävesimulator"'!W40</f>
        <v>0.4</v>
      </c>
      <c r="O9" s="2189" t="s">
        <v>103</v>
      </c>
      <c r="P9" s="323"/>
      <c r="Q9" s="310">
        <v>20</v>
      </c>
      <c r="R9" s="2194">
        <f t="shared" si="1"/>
        <v>111.09874600000001</v>
      </c>
      <c r="S9" s="326"/>
      <c r="T9" s="326"/>
      <c r="U9" s="2190"/>
    </row>
    <row r="10" spans="1:21">
      <c r="A10" s="2188" t="s">
        <v>1127</v>
      </c>
      <c r="B10" s="2195">
        <f>B8/(B7-B9)</f>
        <v>3.0540540540540544</v>
      </c>
      <c r="C10" s="309"/>
      <c r="D10" s="323"/>
      <c r="E10" s="310">
        <v>25</v>
      </c>
      <c r="F10" s="2194">
        <f t="shared" si="0"/>
        <v>143.32932092800002</v>
      </c>
      <c r="G10" s="326"/>
      <c r="H10" s="326"/>
      <c r="I10" s="2190"/>
      <c r="J10" s="267"/>
      <c r="K10" s="267"/>
      <c r="L10" s="263"/>
      <c r="M10" s="2188" t="s">
        <v>1127</v>
      </c>
      <c r="N10" s="2195">
        <f>N8/(N7-N9)</f>
        <v>4.6887966804979255</v>
      </c>
      <c r="O10" s="2189"/>
      <c r="P10" s="323"/>
      <c r="Q10" s="310">
        <v>25</v>
      </c>
      <c r="R10" s="2194">
        <f t="shared" si="1"/>
        <v>121.09874600000001</v>
      </c>
      <c r="S10" s="326"/>
      <c r="T10" s="326"/>
      <c r="U10" s="2190"/>
    </row>
    <row r="11" spans="1:21">
      <c r="A11" s="2188"/>
      <c r="B11" s="357"/>
      <c r="C11" s="309"/>
      <c r="D11" s="323"/>
      <c r="E11" s="310">
        <v>30</v>
      </c>
      <c r="F11" s="2194">
        <f t="shared" si="0"/>
        <v>153.32932092800002</v>
      </c>
      <c r="G11" s="326"/>
      <c r="H11" s="326"/>
      <c r="I11" s="2190"/>
      <c r="J11" s="267"/>
      <c r="K11" s="267"/>
      <c r="L11" s="263"/>
      <c r="M11" s="2188"/>
      <c r="N11" s="357"/>
      <c r="O11" s="2189"/>
      <c r="P11" s="323"/>
      <c r="Q11" s="310">
        <v>30</v>
      </c>
      <c r="R11" s="2194">
        <f t="shared" si="1"/>
        <v>131.09874600000001</v>
      </c>
      <c r="S11" s="326"/>
      <c r="T11" s="326"/>
      <c r="U11" s="2190"/>
    </row>
    <row r="12" spans="1:21">
      <c r="A12" s="2188" t="s">
        <v>1128</v>
      </c>
      <c r="B12" s="2193">
        <f>VLOOKUP(B30,Höstraps,4)+B13</f>
        <v>189</v>
      </c>
      <c r="C12" s="309" t="s">
        <v>1129</v>
      </c>
      <c r="D12" s="323"/>
      <c r="E12" s="310">
        <v>35</v>
      </c>
      <c r="F12" s="2194">
        <f t="shared" si="0"/>
        <v>163.32932092800002</v>
      </c>
      <c r="G12" s="326"/>
      <c r="H12" s="326"/>
      <c r="I12" s="2190"/>
      <c r="J12" s="267"/>
      <c r="K12" s="267"/>
      <c r="L12" s="263"/>
      <c r="M12" s="2188" t="s">
        <v>1128</v>
      </c>
      <c r="N12" s="2193">
        <f>VLOOKUP(N30,Vårraps,4)+N13</f>
        <v>110</v>
      </c>
      <c r="O12" s="2189" t="s">
        <v>1129</v>
      </c>
      <c r="P12" s="323"/>
      <c r="Q12" s="310">
        <v>35</v>
      </c>
      <c r="R12" s="2194">
        <f t="shared" si="1"/>
        <v>141.09874600000001</v>
      </c>
      <c r="S12" s="326"/>
      <c r="T12" s="326"/>
      <c r="U12" s="2190"/>
    </row>
    <row r="13" spans="1:21">
      <c r="A13" s="2188" t="s">
        <v>149</v>
      </c>
      <c r="B13" s="2196">
        <v>19</v>
      </c>
      <c r="C13" s="309" t="s">
        <v>317</v>
      </c>
      <c r="D13" s="323"/>
      <c r="E13" s="310">
        <v>40</v>
      </c>
      <c r="F13" s="2194">
        <f t="shared" si="0"/>
        <v>173.32932092800002</v>
      </c>
      <c r="G13" s="326"/>
      <c r="H13" s="326"/>
      <c r="I13" s="2190"/>
      <c r="J13" s="267"/>
      <c r="K13" s="267"/>
      <c r="L13" s="263"/>
      <c r="M13" s="2188" t="s">
        <v>149</v>
      </c>
      <c r="N13" s="2196">
        <v>13</v>
      </c>
      <c r="O13" s="2189" t="s">
        <v>317</v>
      </c>
      <c r="P13" s="323"/>
      <c r="Q13" s="310">
        <v>40</v>
      </c>
      <c r="R13" s="2194">
        <f t="shared" si="1"/>
        <v>151.09874600000001</v>
      </c>
      <c r="S13" s="326"/>
      <c r="T13" s="326"/>
      <c r="U13" s="2190"/>
    </row>
    <row r="14" spans="1:21">
      <c r="A14" s="2188" t="s">
        <v>1130</v>
      </c>
      <c r="B14" s="2197">
        <f>B$27+(B$26*B12)-(B$25*(B12*B12))+(B$24*(B12*B12*B12))</f>
        <v>4783.5339535999992</v>
      </c>
      <c r="C14" s="309" t="s">
        <v>317</v>
      </c>
      <c r="D14" s="323"/>
      <c r="E14" s="310">
        <v>45</v>
      </c>
      <c r="F14" s="2194">
        <f t="shared" si="0"/>
        <v>183.32932092800002</v>
      </c>
      <c r="G14" s="326"/>
      <c r="H14" s="326"/>
      <c r="I14" s="2190"/>
      <c r="J14" s="267"/>
      <c r="K14" s="267"/>
      <c r="L14" s="263"/>
      <c r="M14" s="2188" t="s">
        <v>1130</v>
      </c>
      <c r="N14" s="2197">
        <f>N$27+(N$26*N12)-(N$25*(N12*N12))+(N$24*(N12*N12*N12))</f>
        <v>1945.0626999999999</v>
      </c>
      <c r="O14" s="2189" t="s">
        <v>317</v>
      </c>
      <c r="P14" s="323"/>
      <c r="Q14" s="310">
        <v>45</v>
      </c>
      <c r="R14" s="2194">
        <f t="shared" si="1"/>
        <v>161.09874600000001</v>
      </c>
      <c r="S14" s="326"/>
      <c r="T14" s="326"/>
      <c r="U14" s="2190"/>
    </row>
    <row r="15" spans="1:21">
      <c r="A15" s="2188"/>
      <c r="B15" s="357"/>
      <c r="C15" s="309"/>
      <c r="D15" s="323"/>
      <c r="E15" s="310">
        <v>50</v>
      </c>
      <c r="F15" s="2194">
        <f t="shared" si="0"/>
        <v>193.32932092800002</v>
      </c>
      <c r="G15" s="326"/>
      <c r="H15" s="326"/>
      <c r="I15" s="2190"/>
      <c r="J15" s="267"/>
      <c r="K15" s="267"/>
      <c r="L15" s="263"/>
      <c r="M15" s="2188"/>
      <c r="N15" s="357"/>
      <c r="O15" s="2189"/>
      <c r="P15" s="323"/>
      <c r="Q15" s="310">
        <v>50</v>
      </c>
      <c r="R15" s="2194">
        <f t="shared" si="1"/>
        <v>171.09874600000001</v>
      </c>
      <c r="S15" s="326"/>
      <c r="T15" s="326"/>
      <c r="U15" s="2190"/>
    </row>
    <row r="16" spans="1:21">
      <c r="A16" s="2188" t="s">
        <v>1131</v>
      </c>
      <c r="B16" s="2196">
        <v>2</v>
      </c>
      <c r="C16" s="309" t="s">
        <v>1132</v>
      </c>
      <c r="D16" s="323"/>
      <c r="E16" s="310">
        <v>55</v>
      </c>
      <c r="F16" s="2194">
        <f t="shared" si="0"/>
        <v>203.32932092800002</v>
      </c>
      <c r="G16" s="326"/>
      <c r="H16" s="326"/>
      <c r="I16" s="2190"/>
      <c r="J16" s="267"/>
      <c r="K16" s="267"/>
      <c r="L16" s="263"/>
      <c r="M16" s="2188" t="s">
        <v>1131</v>
      </c>
      <c r="N16" s="2196">
        <v>2</v>
      </c>
      <c r="O16" s="2189" t="s">
        <v>1132</v>
      </c>
      <c r="P16" s="323"/>
      <c r="Q16" s="310">
        <v>55</v>
      </c>
      <c r="R16" s="2194">
        <f t="shared" si="1"/>
        <v>181.09874600000001</v>
      </c>
      <c r="S16" s="326"/>
      <c r="T16" s="326"/>
      <c r="U16" s="2190"/>
    </row>
    <row r="17" spans="1:23">
      <c r="A17" s="2188"/>
      <c r="B17" s="2198"/>
      <c r="C17" s="309"/>
      <c r="D17" s="323"/>
      <c r="E17" s="326"/>
      <c r="F17" s="326"/>
      <c r="G17" s="326"/>
      <c r="H17" s="326"/>
      <c r="I17" s="2190"/>
      <c r="J17" s="267"/>
      <c r="K17" s="267"/>
      <c r="L17" s="263"/>
      <c r="M17" s="2188"/>
      <c r="N17" s="2198"/>
      <c r="O17" s="2189"/>
      <c r="P17" s="323"/>
      <c r="Q17" s="326"/>
      <c r="R17" s="326"/>
      <c r="S17" s="326"/>
      <c r="T17" s="326"/>
      <c r="U17" s="2190"/>
    </row>
    <row r="18" spans="1:23">
      <c r="A18" s="2188"/>
      <c r="B18" s="2198"/>
      <c r="C18" s="309"/>
      <c r="D18" s="323"/>
      <c r="E18" s="326"/>
      <c r="F18" s="326"/>
      <c r="G18" s="326"/>
      <c r="H18" s="326"/>
      <c r="I18" s="2190"/>
      <c r="J18" s="267"/>
      <c r="K18" s="267"/>
      <c r="L18" s="263"/>
      <c r="M18" s="2188"/>
      <c r="N18" s="2198"/>
      <c r="O18" s="2189"/>
      <c r="P18" s="323"/>
      <c r="Q18" s="326"/>
      <c r="R18" s="326"/>
      <c r="S18" s="326"/>
      <c r="T18" s="326"/>
      <c r="U18" s="2190"/>
    </row>
    <row r="19" spans="1:23">
      <c r="A19" s="2199"/>
      <c r="B19" s="2200"/>
      <c r="C19" s="2200"/>
      <c r="D19" s="327"/>
      <c r="E19" s="328"/>
      <c r="F19" s="328"/>
      <c r="G19" s="328"/>
      <c r="H19" s="328"/>
      <c r="I19" s="2202"/>
      <c r="J19" s="267"/>
      <c r="K19" s="267"/>
      <c r="L19" s="263"/>
      <c r="M19" s="2199"/>
      <c r="N19" s="2200"/>
      <c r="O19" s="2201"/>
      <c r="P19" s="327"/>
      <c r="Q19" s="328"/>
      <c r="R19" s="328"/>
      <c r="S19" s="328"/>
      <c r="T19" s="328"/>
      <c r="U19" s="2202"/>
    </row>
    <row r="20" spans="1:23">
      <c r="A20" s="319"/>
      <c r="B20" s="2203" t="s">
        <v>1133</v>
      </c>
      <c r="C20" s="2187"/>
      <c r="D20" s="263"/>
      <c r="E20" s="263"/>
      <c r="F20" s="263"/>
      <c r="G20" s="263"/>
      <c r="H20" s="263"/>
      <c r="I20" s="263"/>
      <c r="J20" s="263"/>
      <c r="K20" s="263"/>
      <c r="L20" s="263"/>
      <c r="M20" s="319"/>
      <c r="N20" s="2203" t="s">
        <v>1133</v>
      </c>
      <c r="O20" s="2187"/>
      <c r="P20" s="263"/>
      <c r="Q20" s="263"/>
      <c r="R20" s="263"/>
      <c r="S20" s="263"/>
      <c r="T20" s="263"/>
    </row>
    <row r="21" spans="1:23" ht="14.25">
      <c r="A21" s="323"/>
      <c r="B21" s="326" t="s">
        <v>1313</v>
      </c>
      <c r="C21" s="2190"/>
      <c r="D21" s="263"/>
      <c r="E21" s="263"/>
      <c r="F21" s="263"/>
      <c r="G21" s="263"/>
      <c r="H21" s="263"/>
      <c r="I21" s="263"/>
      <c r="J21" s="263"/>
      <c r="K21" s="263"/>
      <c r="L21" s="263"/>
      <c r="M21" s="323"/>
      <c r="N21" s="326" t="s">
        <v>1313</v>
      </c>
      <c r="O21" s="2190"/>
      <c r="P21" s="263"/>
      <c r="Q21" s="263"/>
      <c r="R21" s="263"/>
      <c r="S21" s="263"/>
      <c r="T21" s="263"/>
    </row>
    <row r="22" spans="1:23">
      <c r="A22" s="323"/>
      <c r="B22" s="326"/>
      <c r="C22" s="2190"/>
      <c r="D22" s="263"/>
      <c r="E22" s="263"/>
      <c r="F22" s="263"/>
      <c r="G22" s="263"/>
      <c r="H22" s="263"/>
      <c r="I22" s="263"/>
      <c r="J22" s="263"/>
      <c r="K22" s="263"/>
      <c r="L22" s="263"/>
      <c r="M22" s="323"/>
      <c r="N22" s="326"/>
      <c r="O22" s="2190"/>
      <c r="P22" s="263"/>
      <c r="Q22" s="263"/>
      <c r="R22" s="263"/>
      <c r="S22" s="263"/>
      <c r="T22" s="263"/>
    </row>
    <row r="23" spans="1:23">
      <c r="A23" s="323"/>
      <c r="B23" s="310" t="s">
        <v>1135</v>
      </c>
      <c r="C23" s="2204"/>
      <c r="D23" s="263"/>
      <c r="E23" s="263"/>
      <c r="F23" s="263"/>
      <c r="G23" s="263"/>
      <c r="H23" s="263"/>
      <c r="I23" s="263"/>
      <c r="J23" s="263"/>
      <c r="K23" s="263"/>
      <c r="L23" s="263"/>
      <c r="M23" s="323"/>
      <c r="N23" s="310" t="s">
        <v>1135</v>
      </c>
      <c r="O23" s="2204"/>
      <c r="P23" s="263"/>
      <c r="Q23" s="263"/>
      <c r="R23" s="263"/>
      <c r="S23" s="263"/>
      <c r="T23" s="263"/>
    </row>
    <row r="24" spans="1:23">
      <c r="A24" s="2205" t="s">
        <v>672</v>
      </c>
      <c r="B24" s="2196">
        <v>9.4400000000000004E-5</v>
      </c>
      <c r="C24" s="2207"/>
      <c r="D24" s="263"/>
      <c r="E24" s="2233" t="s">
        <v>1202</v>
      </c>
      <c r="F24" s="320"/>
      <c r="G24" s="320"/>
      <c r="H24" s="320"/>
      <c r="I24" s="2187"/>
      <c r="J24" s="267"/>
      <c r="K24" s="267"/>
      <c r="L24" s="263"/>
      <c r="M24" s="2205" t="s">
        <v>672</v>
      </c>
      <c r="N24" s="2196">
        <v>5.4700000000000001E-5</v>
      </c>
      <c r="O24" s="2207"/>
      <c r="P24" s="263"/>
      <c r="Q24" s="2233" t="s">
        <v>1203</v>
      </c>
      <c r="R24" s="320"/>
      <c r="S24" s="320"/>
      <c r="T24" s="320"/>
      <c r="U24" s="2187"/>
    </row>
    <row r="25" spans="1:23">
      <c r="A25" s="2205" t="s">
        <v>1138</v>
      </c>
      <c r="B25" s="2196">
        <v>7.1760000000000004E-2</v>
      </c>
      <c r="C25" s="2207"/>
      <c r="D25" s="263"/>
      <c r="E25" s="323" t="s">
        <v>1204</v>
      </c>
      <c r="F25" s="326"/>
      <c r="G25" s="326"/>
      <c r="H25" s="326"/>
      <c r="I25" s="2190"/>
      <c r="J25" s="267"/>
      <c r="K25" s="267"/>
      <c r="L25" s="263"/>
      <c r="M25" s="2205" t="s">
        <v>1138</v>
      </c>
      <c r="N25" s="2196">
        <v>5.1830000000000001E-2</v>
      </c>
      <c r="O25" s="2207"/>
      <c r="P25" s="263"/>
      <c r="Q25" s="323" t="s">
        <v>1204</v>
      </c>
      <c r="R25" s="326"/>
      <c r="S25" s="326"/>
      <c r="T25" s="326"/>
      <c r="U25" s="2190"/>
    </row>
    <row r="26" spans="1:23">
      <c r="A26" s="2205" t="s">
        <v>1139</v>
      </c>
      <c r="B26" s="2196">
        <v>19.237079999999999</v>
      </c>
      <c r="C26" s="2207"/>
      <c r="D26" s="263"/>
      <c r="E26" s="327" t="s">
        <v>1205</v>
      </c>
      <c r="F26" s="328"/>
      <c r="G26" s="328"/>
      <c r="H26" s="328"/>
      <c r="I26" s="2202"/>
      <c r="J26" s="267"/>
      <c r="K26" s="267"/>
      <c r="L26" s="263"/>
      <c r="M26" s="2205" t="s">
        <v>1139</v>
      </c>
      <c r="N26" s="2196">
        <v>13.14</v>
      </c>
      <c r="O26" s="2207"/>
      <c r="P26" s="263"/>
      <c r="Q26" s="327" t="s">
        <v>1205</v>
      </c>
      <c r="R26" s="328"/>
      <c r="S26" s="328"/>
      <c r="T26" s="2234"/>
      <c r="U26" s="2202"/>
    </row>
    <row r="27" spans="1:23">
      <c r="A27" s="2205" t="s">
        <v>1140</v>
      </c>
      <c r="B27" s="2196">
        <v>3073.7449999999999</v>
      </c>
      <c r="C27" s="2207"/>
      <c r="D27" s="263"/>
      <c r="E27" s="263"/>
      <c r="F27" s="263"/>
      <c r="G27" s="263"/>
      <c r="H27" s="263"/>
      <c r="I27" s="263"/>
      <c r="J27" s="263"/>
      <c r="K27" s="263"/>
      <c r="L27" s="263"/>
      <c r="M27" s="2205" t="s">
        <v>1140</v>
      </c>
      <c r="N27" s="2196">
        <v>1054</v>
      </c>
      <c r="O27" s="2207"/>
      <c r="P27" s="263"/>
      <c r="Q27" s="263"/>
      <c r="R27" s="263"/>
      <c r="S27" s="263"/>
      <c r="T27" s="263"/>
    </row>
    <row r="28" spans="1:23">
      <c r="A28" s="327"/>
      <c r="B28" s="328"/>
      <c r="C28" s="2202"/>
      <c r="D28" s="263"/>
      <c r="E28" s="263"/>
      <c r="F28" s="263"/>
      <c r="G28" s="263"/>
      <c r="H28" s="263"/>
      <c r="I28" s="263"/>
      <c r="J28" s="263"/>
      <c r="K28" s="263"/>
      <c r="L28" s="263"/>
      <c r="M28" s="327"/>
      <c r="N28" s="328"/>
      <c r="O28" s="2202"/>
      <c r="P28" s="263"/>
      <c r="Q28" s="263"/>
      <c r="R28" s="263"/>
      <c r="S28" s="263"/>
      <c r="T28" s="263"/>
    </row>
    <row r="29" spans="1:23">
      <c r="A29" s="263"/>
      <c r="B29" s="263"/>
      <c r="C29" s="263"/>
      <c r="D29" s="263"/>
      <c r="E29" s="263"/>
      <c r="F29" s="263"/>
      <c r="G29" s="263"/>
      <c r="J29" s="263"/>
      <c r="K29" s="263"/>
      <c r="L29" s="263"/>
      <c r="M29" s="263"/>
      <c r="N29" s="263"/>
      <c r="O29" s="263"/>
      <c r="P29" s="263"/>
      <c r="Q29" s="263"/>
      <c r="R29" s="263"/>
      <c r="S29" s="263"/>
      <c r="T29" s="263"/>
    </row>
    <row r="30" spans="1:23">
      <c r="A30" s="2211" t="s">
        <v>1141</v>
      </c>
      <c r="B30" s="2196">
        <v>0</v>
      </c>
      <c r="C30" s="263" t="s">
        <v>1142</v>
      </c>
      <c r="D30" s="263"/>
      <c r="E30" s="263"/>
      <c r="F30" s="263"/>
      <c r="G30" s="263"/>
      <c r="H30" s="263"/>
      <c r="I30" s="263"/>
      <c r="J30" s="263"/>
      <c r="K30" s="263"/>
      <c r="L30" s="263"/>
      <c r="M30" s="2211" t="s">
        <v>1141</v>
      </c>
      <c r="N30" s="2196">
        <v>0</v>
      </c>
      <c r="O30" s="263" t="s">
        <v>1142</v>
      </c>
      <c r="P30" s="263"/>
      <c r="Q30" s="263"/>
      <c r="R30" s="263"/>
      <c r="S30" s="263"/>
      <c r="T30" s="263"/>
      <c r="V30" s="267"/>
      <c r="W30" s="267"/>
    </row>
    <row r="31" spans="1:23">
      <c r="A31" s="263"/>
      <c r="B31" s="263"/>
      <c r="C31" s="263"/>
      <c r="D31" s="263"/>
      <c r="E31" s="263"/>
      <c r="F31" s="263"/>
      <c r="G31" s="263"/>
      <c r="H31" s="263"/>
      <c r="I31" s="263"/>
      <c r="J31" s="263"/>
      <c r="K31" s="263"/>
      <c r="L31" s="263"/>
      <c r="M31" s="263"/>
      <c r="N31" s="263"/>
      <c r="O31" s="263"/>
      <c r="P31" s="263"/>
      <c r="Q31" s="263"/>
      <c r="R31" s="263"/>
      <c r="S31" s="263"/>
      <c r="T31" s="263"/>
    </row>
    <row r="32" spans="1:23">
      <c r="A32" s="263"/>
      <c r="B32" s="263"/>
      <c r="C32" s="263"/>
      <c r="D32" s="263"/>
      <c r="E32" s="263"/>
      <c r="F32" s="263"/>
      <c r="G32" s="263"/>
      <c r="H32" s="263"/>
      <c r="I32" s="263"/>
      <c r="J32" s="263"/>
      <c r="K32" s="263"/>
      <c r="L32" s="263"/>
      <c r="M32" s="263"/>
      <c r="N32" s="263"/>
      <c r="O32" s="263"/>
      <c r="P32" s="263"/>
      <c r="Q32" s="263"/>
      <c r="R32" s="263"/>
      <c r="S32" s="263"/>
      <c r="T32" s="263"/>
    </row>
    <row r="33" spans="1:24">
      <c r="A33" s="263"/>
      <c r="B33" s="263" t="s">
        <v>1143</v>
      </c>
      <c r="C33" s="263"/>
      <c r="D33" s="263"/>
      <c r="E33" s="263"/>
      <c r="F33" s="263"/>
      <c r="G33" s="263"/>
      <c r="H33" s="263"/>
      <c r="I33" s="263"/>
      <c r="J33" s="263"/>
      <c r="K33" s="263"/>
      <c r="L33" s="263"/>
      <c r="M33" s="263"/>
      <c r="N33" s="263" t="s">
        <v>1143</v>
      </c>
      <c r="O33" s="263"/>
      <c r="P33" s="263"/>
      <c r="Q33" s="263"/>
      <c r="R33" s="263"/>
      <c r="S33" s="263"/>
      <c r="T33" s="263"/>
    </row>
    <row r="34" spans="1:24">
      <c r="A34" s="2212" t="s">
        <v>135</v>
      </c>
      <c r="B34" s="2212" t="s">
        <v>139</v>
      </c>
      <c r="C34" s="2212" t="s">
        <v>1144</v>
      </c>
      <c r="D34" s="2212" t="s">
        <v>74</v>
      </c>
      <c r="E34" s="2213"/>
      <c r="F34" s="2213"/>
      <c r="G34" s="2213"/>
      <c r="H34" s="2213"/>
      <c r="I34" s="2213"/>
      <c r="J34" s="2214" t="s">
        <v>1145</v>
      </c>
      <c r="K34" s="2213"/>
      <c r="L34" s="263"/>
      <c r="M34" s="2212" t="s">
        <v>135</v>
      </c>
      <c r="N34" s="2212" t="s">
        <v>139</v>
      </c>
      <c r="O34" s="2212" t="s">
        <v>1144</v>
      </c>
      <c r="P34" s="2212" t="s">
        <v>74</v>
      </c>
      <c r="Q34" s="2213"/>
      <c r="R34" s="2213"/>
      <c r="S34" s="2213"/>
      <c r="T34" s="2213"/>
      <c r="U34" s="2213"/>
      <c r="V34" s="2214" t="s">
        <v>1145</v>
      </c>
      <c r="W34" s="2213"/>
      <c r="X34" s="263"/>
    </row>
    <row r="35" spans="1:24">
      <c r="A35" s="2212">
        <v>-22</v>
      </c>
      <c r="B35" s="2217">
        <f t="shared" ref="B35:B98" si="2">B$27+(B$26*D35)-(B$25*(D35^2))+(B$24*(D35^3))</f>
        <v>4935.2689999999984</v>
      </c>
      <c r="C35" s="2217">
        <f>C36</f>
        <v>1.6301407999999356</v>
      </c>
      <c r="D35" s="2212">
        <v>300</v>
      </c>
      <c r="E35" s="2213"/>
      <c r="F35" s="2215" t="s">
        <v>1146</v>
      </c>
      <c r="G35" s="2217">
        <v>6</v>
      </c>
      <c r="H35" s="2218" t="s">
        <v>1147</v>
      </c>
      <c r="I35" s="2218"/>
      <c r="J35" s="2217">
        <v>30</v>
      </c>
      <c r="K35" s="2218"/>
      <c r="L35" s="2208"/>
      <c r="M35" s="2212">
        <v>-22</v>
      </c>
      <c r="N35" s="2217">
        <f t="shared" ref="N35:N98" si="3">N$27+(N$26*P35)-(N$25*(P35^2))+(N$24*(P35^3))</f>
        <v>1808.2000000000003</v>
      </c>
      <c r="O35" s="2217">
        <f>O36</f>
        <v>-3.1808170999995582</v>
      </c>
      <c r="P35" s="2212">
        <v>300</v>
      </c>
      <c r="Q35" s="2213"/>
      <c r="R35" s="2215" t="s">
        <v>1146</v>
      </c>
      <c r="S35" s="2217">
        <v>6</v>
      </c>
      <c r="T35" s="2218" t="s">
        <v>1147</v>
      </c>
      <c r="U35" s="2218"/>
      <c r="V35" s="2217">
        <v>20</v>
      </c>
      <c r="W35" s="2218"/>
      <c r="X35" s="2208"/>
    </row>
    <row r="36" spans="1:24">
      <c r="A36" s="2217">
        <f>(C36*(B$7-B$9))-B$8</f>
        <v>-5.2684790400002397</v>
      </c>
      <c r="B36" s="2217">
        <f t="shared" si="2"/>
        <v>4933.6130255999997</v>
      </c>
      <c r="C36" s="2217">
        <f t="shared" ref="C36:C99" si="4">B36-B37</f>
        <v>1.6301407999999356</v>
      </c>
      <c r="D36" s="2212">
        <v>299</v>
      </c>
      <c r="E36" s="2219"/>
      <c r="F36" s="2213" t="s">
        <v>1144</v>
      </c>
      <c r="G36" s="1848">
        <v>1.4999999999999999E-2</v>
      </c>
      <c r="H36" s="2218" t="s">
        <v>1148</v>
      </c>
      <c r="I36" s="2218"/>
      <c r="J36" s="2218"/>
      <c r="K36" s="2218"/>
      <c r="L36" s="2208"/>
      <c r="M36" s="2217">
        <f>(O36*(N$7-N$9))-N$8</f>
        <v>-18.965769210998936</v>
      </c>
      <c r="N36" s="2217">
        <f t="shared" si="3"/>
        <v>1811.3863453000004</v>
      </c>
      <c r="O36" s="2217">
        <f t="shared" ref="O36:O99" si="5">N36-N37</f>
        <v>-3.1808170999995582</v>
      </c>
      <c r="P36" s="2212">
        <v>299</v>
      </c>
      <c r="Q36" s="2219"/>
      <c r="R36" s="2213" t="s">
        <v>1144</v>
      </c>
      <c r="S36" s="1848">
        <v>4.4999999999999998E-2</v>
      </c>
      <c r="T36" s="2218" t="s">
        <v>1148</v>
      </c>
      <c r="U36" s="2218"/>
      <c r="V36" s="2218"/>
      <c r="W36" s="2218"/>
      <c r="X36" s="2208"/>
    </row>
    <row r="37" spans="1:24">
      <c r="A37" s="2217">
        <f t="shared" ref="A37:A100" si="6">(C37*(B$7-B$9))-B$8</f>
        <v>-5.3619676799957245</v>
      </c>
      <c r="B37" s="2217">
        <f t="shared" si="2"/>
        <v>4931.9828847999997</v>
      </c>
      <c r="C37" s="2217">
        <f t="shared" si="4"/>
        <v>1.6048736000011559</v>
      </c>
      <c r="D37" s="2212">
        <v>298</v>
      </c>
      <c r="E37" s="2219"/>
      <c r="F37" s="2213" t="s">
        <v>1144</v>
      </c>
      <c r="G37" s="1848">
        <v>1.2999999999999999E-2</v>
      </c>
      <c r="H37" s="2218" t="s">
        <v>1149</v>
      </c>
      <c r="I37" s="2218"/>
      <c r="J37" s="2213" t="s">
        <v>1150</v>
      </c>
      <c r="K37" s="2218"/>
      <c r="L37" s="2208"/>
      <c r="M37" s="2217">
        <f t="shared" ref="M37:M100" si="7">(O37*(N$7-N$9))-N$8</f>
        <v>-18.95165528699928</v>
      </c>
      <c r="N37" s="2217">
        <f t="shared" si="3"/>
        <v>1814.5671623999999</v>
      </c>
      <c r="O37" s="2217">
        <f t="shared" si="5"/>
        <v>-3.1749606999997013</v>
      </c>
      <c r="P37" s="2212">
        <v>298</v>
      </c>
      <c r="Q37" s="2219"/>
      <c r="R37" s="2213" t="s">
        <v>1144</v>
      </c>
      <c r="S37" s="1848">
        <v>0.03</v>
      </c>
      <c r="T37" s="2218" t="s">
        <v>1149</v>
      </c>
      <c r="U37" s="2218"/>
      <c r="V37" s="2213" t="s">
        <v>1150</v>
      </c>
      <c r="W37" s="2218"/>
      <c r="X37" s="2208"/>
    </row>
    <row r="38" spans="1:24">
      <c r="A38" s="2217">
        <f t="shared" si="6"/>
        <v>-5.4533606400045764</v>
      </c>
      <c r="B38" s="2217">
        <f t="shared" si="2"/>
        <v>4930.3780111999986</v>
      </c>
      <c r="C38" s="2217">
        <f t="shared" si="4"/>
        <v>1.5801727999987634</v>
      </c>
      <c r="D38" s="2212">
        <v>297</v>
      </c>
      <c r="E38" s="2219"/>
      <c r="F38" s="2213" t="s">
        <v>952</v>
      </c>
      <c r="G38" s="1849">
        <f>IF(B10&lt;G35,(1+(G35-B10)*G37),IF(B10&gt;G35,(1+(G35-B10)*G36),0))</f>
        <v>1.0382972972972973</v>
      </c>
      <c r="H38" s="2213"/>
      <c r="I38" s="2213"/>
      <c r="J38" s="2217">
        <f>J35*G38</f>
        <v>31.148918918918916</v>
      </c>
      <c r="K38" s="2213"/>
      <c r="L38" s="2208"/>
      <c r="M38" s="2217">
        <f t="shared" si="7"/>
        <v>-18.936750401002335</v>
      </c>
      <c r="N38" s="2217">
        <f t="shared" si="3"/>
        <v>1817.7421230999996</v>
      </c>
      <c r="O38" s="2217">
        <f t="shared" si="5"/>
        <v>-3.1687761000009687</v>
      </c>
      <c r="P38" s="2212">
        <v>297</v>
      </c>
      <c r="Q38" s="2219"/>
      <c r="R38" s="2213" t="s">
        <v>952</v>
      </c>
      <c r="S38" s="1849">
        <f>IF(N10&lt;S35,(1+(S35-N10)*S37),IF(N10&gt;S35,(1+(S35-N10)*S36),0))</f>
        <v>1.0393360995850622</v>
      </c>
      <c r="T38" s="2213"/>
      <c r="U38" s="2213"/>
      <c r="V38" s="2217">
        <f>V35*S38</f>
        <v>20.786721991701246</v>
      </c>
      <c r="W38" s="2213"/>
      <c r="X38" s="2208"/>
    </row>
    <row r="39" spans="1:24">
      <c r="A39" s="2217">
        <f t="shared" si="6"/>
        <v>-5.5426579199998756</v>
      </c>
      <c r="B39" s="2217">
        <f t="shared" si="2"/>
        <v>4928.7978383999998</v>
      </c>
      <c r="C39" s="2217">
        <f t="shared" si="4"/>
        <v>1.556038400000034</v>
      </c>
      <c r="D39" s="2212">
        <v>296</v>
      </c>
      <c r="E39" s="2219"/>
      <c r="F39" s="2213"/>
      <c r="G39" s="2219"/>
      <c r="H39" s="2213"/>
      <c r="I39" s="2213"/>
      <c r="J39" s="263"/>
      <c r="K39" s="2213"/>
      <c r="L39" s="2208"/>
      <c r="M39" s="2217">
        <f t="shared" si="7"/>
        <v>-18.921054552998235</v>
      </c>
      <c r="N39" s="2217">
        <f t="shared" si="3"/>
        <v>1820.9108992000006</v>
      </c>
      <c r="O39" s="2217">
        <f t="shared" si="5"/>
        <v>-3.1622632999992675</v>
      </c>
      <c r="P39" s="2212">
        <v>296</v>
      </c>
      <c r="Q39" s="2219"/>
      <c r="R39" s="2213"/>
      <c r="S39" s="2219"/>
      <c r="T39" s="2213"/>
      <c r="U39" s="2213"/>
      <c r="V39" s="263"/>
      <c r="W39" s="2213"/>
      <c r="X39" s="2208"/>
    </row>
    <row r="40" spans="1:24">
      <c r="A40" s="2217">
        <f t="shared" si="6"/>
        <v>-5.6298595200018111</v>
      </c>
      <c r="B40" s="2217">
        <f t="shared" si="2"/>
        <v>4927.2417999999998</v>
      </c>
      <c r="C40" s="2217">
        <f t="shared" si="4"/>
        <v>1.5324703999995108</v>
      </c>
      <c r="D40" s="2212">
        <v>295</v>
      </c>
      <c r="E40" s="2219"/>
      <c r="F40" s="2220" t="s">
        <v>1152</v>
      </c>
      <c r="G40" s="2224"/>
      <c r="H40" s="2221" t="s">
        <v>74</v>
      </c>
      <c r="I40" s="2222" t="s">
        <v>139</v>
      </c>
      <c r="J40" s="2222"/>
      <c r="K40" s="2223" t="s">
        <v>120</v>
      </c>
      <c r="L40" s="2208"/>
      <c r="M40" s="2217">
        <f t="shared" si="7"/>
        <v>-18.904567742999038</v>
      </c>
      <c r="N40" s="2217">
        <f t="shared" si="3"/>
        <v>1824.0731624999999</v>
      </c>
      <c r="O40" s="2217">
        <f t="shared" si="5"/>
        <v>-3.1554222999996</v>
      </c>
      <c r="P40" s="2212">
        <v>295</v>
      </c>
      <c r="Q40" s="2219"/>
      <c r="R40" s="2220" t="s">
        <v>1152</v>
      </c>
      <c r="S40" s="2224"/>
      <c r="T40" s="2221" t="s">
        <v>74</v>
      </c>
      <c r="U40" s="2222" t="s">
        <v>139</v>
      </c>
      <c r="V40" s="2222"/>
      <c r="W40" s="2223" t="s">
        <v>120</v>
      </c>
      <c r="X40" s="2208"/>
    </row>
    <row r="41" spans="1:24">
      <c r="A41" s="2217">
        <f t="shared" si="6"/>
        <v>-5.714965439990193</v>
      </c>
      <c r="B41" s="2217">
        <f t="shared" si="2"/>
        <v>4925.7093296000003</v>
      </c>
      <c r="C41" s="2217">
        <f t="shared" si="4"/>
        <v>1.5094688000026508</v>
      </c>
      <c r="D41" s="2212">
        <v>294</v>
      </c>
      <c r="E41" s="2219"/>
      <c r="F41" s="2225"/>
      <c r="G41" s="2226" t="s">
        <v>1153</v>
      </c>
      <c r="H41" s="2225" t="s">
        <v>317</v>
      </c>
      <c r="I41" s="2227" t="s">
        <v>317</v>
      </c>
      <c r="J41" s="2220" t="s">
        <v>1153</v>
      </c>
      <c r="K41" s="2225" t="s">
        <v>1154</v>
      </c>
      <c r="L41" s="2208"/>
      <c r="M41" s="2217">
        <f t="shared" si="7"/>
        <v>-18.887289971001998</v>
      </c>
      <c r="N41" s="2217">
        <f t="shared" si="3"/>
        <v>1827.2285847999995</v>
      </c>
      <c r="O41" s="2217">
        <f t="shared" si="5"/>
        <v>-3.1482531000008294</v>
      </c>
      <c r="P41" s="2212">
        <v>294</v>
      </c>
      <c r="Q41" s="2219"/>
      <c r="R41" s="2225"/>
      <c r="S41" s="2226" t="s">
        <v>1153</v>
      </c>
      <c r="T41" s="2225" t="s">
        <v>317</v>
      </c>
      <c r="U41" s="2227" t="s">
        <v>317</v>
      </c>
      <c r="V41" s="2220" t="s">
        <v>1153</v>
      </c>
      <c r="W41" s="2225" t="s">
        <v>1154</v>
      </c>
      <c r="X41" s="2208"/>
    </row>
    <row r="42" spans="1:24">
      <c r="A42" s="2217">
        <f t="shared" si="6"/>
        <v>-5.7979756800087685</v>
      </c>
      <c r="B42" s="2217">
        <f t="shared" si="2"/>
        <v>4924.1998607999976</v>
      </c>
      <c r="C42" s="2217">
        <f t="shared" si="4"/>
        <v>1.4870335999976305</v>
      </c>
      <c r="D42" s="2212">
        <v>293</v>
      </c>
      <c r="E42" s="2219"/>
      <c r="F42" s="2229">
        <v>3.6</v>
      </c>
      <c r="G42" s="2230">
        <f t="shared" ref="G42:G47" si="8">F43-F42</f>
        <v>0.69999999999999973</v>
      </c>
      <c r="H42" s="2225">
        <v>172</v>
      </c>
      <c r="I42" s="2212">
        <v>4740</v>
      </c>
      <c r="J42" s="2212">
        <f t="shared" ref="J42:J47" si="9">I42-I43</f>
        <v>39</v>
      </c>
      <c r="K42" s="1854">
        <f t="shared" ref="K42:K47" si="10">J42/I42/G42</f>
        <v>1.1754068716094038E-2</v>
      </c>
      <c r="L42" s="2208"/>
      <c r="M42" s="2217">
        <f t="shared" si="7"/>
        <v>-18.869221237000001</v>
      </c>
      <c r="N42" s="2217">
        <f t="shared" si="3"/>
        <v>1830.3768379000003</v>
      </c>
      <c r="O42" s="2217">
        <f t="shared" si="5"/>
        <v>-3.1407556999999997</v>
      </c>
      <c r="P42" s="2212">
        <v>293</v>
      </c>
      <c r="Q42" s="2219"/>
      <c r="R42" s="2229">
        <v>3.6</v>
      </c>
      <c r="S42" s="2230">
        <f t="shared" ref="S42:S47" si="11">R43-R42</f>
        <v>0.69999999999999973</v>
      </c>
      <c r="T42" s="2225">
        <v>112</v>
      </c>
      <c r="U42" s="2212">
        <v>1952</v>
      </c>
      <c r="V42" s="2212">
        <f t="shared" ref="V42:V47" si="12">U42-U43</f>
        <v>39</v>
      </c>
      <c r="W42" s="1854">
        <f t="shared" ref="W42:W47" si="13">V42/U42/S42</f>
        <v>2.8542154566744745E-2</v>
      </c>
      <c r="X42" s="2208"/>
    </row>
    <row r="43" spans="1:24">
      <c r="A43" s="2217">
        <f t="shared" si="6"/>
        <v>-5.8788902400036944</v>
      </c>
      <c r="B43" s="2217">
        <f t="shared" si="2"/>
        <v>4922.7128272</v>
      </c>
      <c r="C43" s="2217">
        <f t="shared" si="4"/>
        <v>1.4651647999990018</v>
      </c>
      <c r="D43" s="2212">
        <v>292</v>
      </c>
      <c r="E43" s="2219"/>
      <c r="F43" s="2231">
        <v>4.3</v>
      </c>
      <c r="G43" s="2230">
        <f t="shared" si="8"/>
        <v>0.70000000000000018</v>
      </c>
      <c r="H43" s="2212">
        <v>160</v>
      </c>
      <c r="I43" s="2212">
        <v>4701</v>
      </c>
      <c r="J43" s="2212">
        <f t="shared" si="9"/>
        <v>46</v>
      </c>
      <c r="K43" s="1855">
        <f t="shared" si="10"/>
        <v>1.3978788707569816E-2</v>
      </c>
      <c r="L43" s="2208"/>
      <c r="M43" s="2217">
        <f t="shared" si="7"/>
        <v>-18.85036154099852</v>
      </c>
      <c r="N43" s="2217">
        <f t="shared" si="3"/>
        <v>1833.5175936000003</v>
      </c>
      <c r="O43" s="2217">
        <f t="shared" si="5"/>
        <v>-3.1329300999993848</v>
      </c>
      <c r="P43" s="2212">
        <v>292</v>
      </c>
      <c r="Q43" s="2219"/>
      <c r="R43" s="2231">
        <v>4.3</v>
      </c>
      <c r="S43" s="2230">
        <f t="shared" si="11"/>
        <v>0.70000000000000018</v>
      </c>
      <c r="T43" s="2212">
        <v>102</v>
      </c>
      <c r="U43" s="2212">
        <v>1913</v>
      </c>
      <c r="V43" s="2212">
        <f t="shared" si="12"/>
        <v>46</v>
      </c>
      <c r="W43" s="1855">
        <f t="shared" si="13"/>
        <v>3.4351430064968998E-2</v>
      </c>
      <c r="X43" s="2208"/>
    </row>
    <row r="44" spans="1:24">
      <c r="A44" s="2217">
        <f t="shared" si="6"/>
        <v>-5.9577091199951617</v>
      </c>
      <c r="B44" s="2217">
        <f t="shared" si="2"/>
        <v>4921.247662400001</v>
      </c>
      <c r="C44" s="2217">
        <f t="shared" si="4"/>
        <v>1.4438624000013078</v>
      </c>
      <c r="D44" s="2212">
        <v>291</v>
      </c>
      <c r="E44" s="2219"/>
      <c r="F44" s="2231">
        <v>5</v>
      </c>
      <c r="G44" s="2230">
        <f t="shared" si="8"/>
        <v>0.70000000000000018</v>
      </c>
      <c r="H44" s="2212">
        <v>148</v>
      </c>
      <c r="I44" s="2212">
        <v>4655</v>
      </c>
      <c r="J44" s="2212">
        <f t="shared" si="9"/>
        <v>45</v>
      </c>
      <c r="K44" s="1855">
        <f t="shared" si="10"/>
        <v>1.381003529231241E-2</v>
      </c>
      <c r="L44" s="2208"/>
      <c r="M44" s="2217">
        <f t="shared" si="7"/>
        <v>-18.830710883001391</v>
      </c>
      <c r="N44" s="2217">
        <f t="shared" si="3"/>
        <v>1836.6505236999997</v>
      </c>
      <c r="O44" s="2217">
        <f t="shared" si="5"/>
        <v>-3.1247763000005762</v>
      </c>
      <c r="P44" s="2212">
        <v>291</v>
      </c>
      <c r="Q44" s="2219"/>
      <c r="R44" s="2231">
        <v>5</v>
      </c>
      <c r="S44" s="2230">
        <f t="shared" si="11"/>
        <v>0.70000000000000018</v>
      </c>
      <c r="T44" s="2212">
        <v>92</v>
      </c>
      <c r="U44" s="2212">
        <v>1867</v>
      </c>
      <c r="V44" s="2212">
        <f t="shared" si="12"/>
        <v>54</v>
      </c>
      <c r="W44" s="1855">
        <f t="shared" si="13"/>
        <v>4.1319152192210565E-2</v>
      </c>
      <c r="X44" s="2208"/>
    </row>
    <row r="45" spans="1:24">
      <c r="A45" s="2217">
        <f t="shared" si="6"/>
        <v>-6.0344323199966325</v>
      </c>
      <c r="B45" s="2217">
        <f t="shared" si="2"/>
        <v>4919.8037999999997</v>
      </c>
      <c r="C45" s="2217">
        <f t="shared" si="4"/>
        <v>1.4231264000009105</v>
      </c>
      <c r="D45" s="2212">
        <v>290</v>
      </c>
      <c r="E45" s="2219"/>
      <c r="F45" s="2231">
        <v>5.7</v>
      </c>
      <c r="G45" s="2230">
        <f t="shared" si="8"/>
        <v>0.70000000000000018</v>
      </c>
      <c r="H45" s="2212">
        <v>138</v>
      </c>
      <c r="I45" s="2212">
        <v>4610</v>
      </c>
      <c r="J45" s="2212">
        <f t="shared" si="9"/>
        <v>46</v>
      </c>
      <c r="K45" s="1855">
        <f t="shared" si="10"/>
        <v>1.4254725751471952E-2</v>
      </c>
      <c r="L45" s="2208"/>
      <c r="M45" s="2217">
        <f t="shared" si="7"/>
        <v>-18.810269262999299</v>
      </c>
      <c r="N45" s="2217">
        <f t="shared" si="3"/>
        <v>1839.7753000000002</v>
      </c>
      <c r="O45" s="2217">
        <f t="shared" si="5"/>
        <v>-3.1162942999997085</v>
      </c>
      <c r="P45" s="2212">
        <v>290</v>
      </c>
      <c r="Q45" s="2219"/>
      <c r="R45" s="2231">
        <v>5.7</v>
      </c>
      <c r="S45" s="2230">
        <f t="shared" si="11"/>
        <v>0.70000000000000018</v>
      </c>
      <c r="T45" s="2212">
        <v>82</v>
      </c>
      <c r="U45" s="2212">
        <v>1813</v>
      </c>
      <c r="V45" s="2212">
        <f t="shared" si="12"/>
        <v>55</v>
      </c>
      <c r="W45" s="1855">
        <f t="shared" si="13"/>
        <v>4.3337798439839245E-2</v>
      </c>
      <c r="X45" s="2208"/>
    </row>
    <row r="46" spans="1:24">
      <c r="A46" s="2217">
        <f t="shared" si="6"/>
        <v>-6.1090598400047398</v>
      </c>
      <c r="B46" s="2217">
        <f t="shared" si="2"/>
        <v>4918.3806735999988</v>
      </c>
      <c r="C46" s="2217">
        <f t="shared" si="4"/>
        <v>1.4029567999987194</v>
      </c>
      <c r="D46" s="2212">
        <v>289</v>
      </c>
      <c r="E46" s="2219"/>
      <c r="F46" s="2231">
        <v>6.4</v>
      </c>
      <c r="G46" s="2230">
        <f t="shared" si="8"/>
        <v>0.69999999999999929</v>
      </c>
      <c r="H46" s="2212">
        <v>129</v>
      </c>
      <c r="I46" s="2212">
        <v>4564</v>
      </c>
      <c r="J46" s="2212">
        <f t="shared" si="9"/>
        <v>52</v>
      </c>
      <c r="K46" s="1855">
        <f t="shared" si="10"/>
        <v>1.6276449229998765E-2</v>
      </c>
      <c r="L46" s="2208"/>
      <c r="M46" s="2217">
        <f t="shared" si="7"/>
        <v>-18.789036681000464</v>
      </c>
      <c r="N46" s="2217">
        <f t="shared" si="3"/>
        <v>1842.8915943</v>
      </c>
      <c r="O46" s="2217">
        <f t="shared" si="5"/>
        <v>-3.1074841000001925</v>
      </c>
      <c r="P46" s="2212">
        <v>289</v>
      </c>
      <c r="Q46" s="2219"/>
      <c r="R46" s="2231">
        <v>6.4</v>
      </c>
      <c r="S46" s="2230">
        <f t="shared" si="11"/>
        <v>0.69999999999999929</v>
      </c>
      <c r="T46" s="2212">
        <v>73</v>
      </c>
      <c r="U46" s="2212">
        <v>1758</v>
      </c>
      <c r="V46" s="2212">
        <f t="shared" si="12"/>
        <v>61</v>
      </c>
      <c r="W46" s="1855">
        <f t="shared" si="13"/>
        <v>4.9569315780919929E-2</v>
      </c>
      <c r="X46" s="2208"/>
    </row>
    <row r="47" spans="1:24">
      <c r="A47" s="2217">
        <f t="shared" si="6"/>
        <v>-6.1815916799959281</v>
      </c>
      <c r="B47" s="2217">
        <f t="shared" si="2"/>
        <v>4916.9777168000001</v>
      </c>
      <c r="C47" s="2217">
        <f t="shared" si="4"/>
        <v>1.3833536000011009</v>
      </c>
      <c r="D47" s="2212">
        <v>288</v>
      </c>
      <c r="E47" s="2219"/>
      <c r="F47" s="2231">
        <v>7.1</v>
      </c>
      <c r="G47" s="2230">
        <f t="shared" si="8"/>
        <v>0.80000000000000071</v>
      </c>
      <c r="H47" s="2212">
        <v>120</v>
      </c>
      <c r="I47" s="2212">
        <v>4512</v>
      </c>
      <c r="J47" s="2212">
        <f t="shared" si="9"/>
        <v>58</v>
      </c>
      <c r="K47" s="1855">
        <f t="shared" si="10"/>
        <v>1.6068262411347504E-2</v>
      </c>
      <c r="L47" s="2208"/>
      <c r="M47" s="2217">
        <f t="shared" si="7"/>
        <v>-18.767013137000504</v>
      </c>
      <c r="N47" s="2217">
        <f t="shared" si="3"/>
        <v>1845.9990784000001</v>
      </c>
      <c r="O47" s="2217">
        <f t="shared" si="5"/>
        <v>-3.098345700000209</v>
      </c>
      <c r="P47" s="2212">
        <v>288</v>
      </c>
      <c r="Q47" s="2219"/>
      <c r="R47" s="2231">
        <v>7.1</v>
      </c>
      <c r="S47" s="2230">
        <f t="shared" si="11"/>
        <v>0.80000000000000071</v>
      </c>
      <c r="T47" s="2212">
        <v>64</v>
      </c>
      <c r="U47" s="2212">
        <v>1697</v>
      </c>
      <c r="V47" s="2212">
        <f t="shared" si="12"/>
        <v>60</v>
      </c>
      <c r="W47" s="1855">
        <f t="shared" si="13"/>
        <v>4.4195639363582756E-2</v>
      </c>
      <c r="X47" s="2208"/>
    </row>
    <row r="48" spans="1:24">
      <c r="A48" s="2217">
        <f t="shared" si="6"/>
        <v>-6.252027839997119</v>
      </c>
      <c r="B48" s="2217">
        <f t="shared" si="2"/>
        <v>4915.594363199999</v>
      </c>
      <c r="C48" s="2217">
        <f t="shared" si="4"/>
        <v>1.364316800000779</v>
      </c>
      <c r="D48" s="2212">
        <v>287</v>
      </c>
      <c r="E48" s="2219"/>
      <c r="F48" s="2231">
        <v>7.9</v>
      </c>
      <c r="G48" s="2217" t="e">
        <f>#REF!-F48</f>
        <v>#REF!</v>
      </c>
      <c r="H48" s="2212">
        <v>111</v>
      </c>
      <c r="I48" s="2212">
        <v>4454</v>
      </c>
      <c r="J48" s="2212" t="e">
        <f>I48-#REF!</f>
        <v>#REF!</v>
      </c>
      <c r="K48" s="1848"/>
      <c r="L48" s="2208"/>
      <c r="M48" s="2217">
        <f t="shared" si="7"/>
        <v>-18.744198630999417</v>
      </c>
      <c r="N48" s="2217">
        <f t="shared" si="3"/>
        <v>1849.0974241000004</v>
      </c>
      <c r="O48" s="2217">
        <f t="shared" si="5"/>
        <v>-3.0888790999997582</v>
      </c>
      <c r="P48" s="2212">
        <v>287</v>
      </c>
      <c r="Q48" s="2219"/>
      <c r="R48" s="2231">
        <v>7.9</v>
      </c>
      <c r="S48" s="2217" t="e">
        <f>#REF!-R48</f>
        <v>#REF!</v>
      </c>
      <c r="T48" s="2212">
        <v>56</v>
      </c>
      <c r="U48" s="2212">
        <v>1637</v>
      </c>
      <c r="V48" s="2212" t="e">
        <f>U48-#REF!</f>
        <v>#REF!</v>
      </c>
      <c r="W48" s="1848"/>
      <c r="X48" s="2208"/>
    </row>
    <row r="49" spans="1:20">
      <c r="A49" s="2217">
        <f t="shared" si="6"/>
        <v>-6.3203683200049463</v>
      </c>
      <c r="B49" s="2217">
        <f t="shared" si="2"/>
        <v>4914.2300463999982</v>
      </c>
      <c r="C49" s="2217">
        <f t="shared" si="4"/>
        <v>1.3458463999986634</v>
      </c>
      <c r="D49" s="2212">
        <v>286</v>
      </c>
      <c r="E49" s="2219"/>
      <c r="F49" s="2213"/>
      <c r="G49" s="2219"/>
      <c r="H49" s="2213"/>
      <c r="I49" s="2213"/>
      <c r="J49" s="2213"/>
      <c r="K49" s="2213"/>
      <c r="L49" s="263"/>
      <c r="M49" s="2217">
        <f t="shared" si="7"/>
        <v>-18.720593162999396</v>
      </c>
      <c r="N49" s="2217">
        <f t="shared" si="3"/>
        <v>1852.1863032000001</v>
      </c>
      <c r="O49" s="2217">
        <f t="shared" si="5"/>
        <v>-3.0790842999997494</v>
      </c>
      <c r="P49" s="2212">
        <v>286</v>
      </c>
      <c r="Q49" s="2219"/>
      <c r="R49" s="2213"/>
      <c r="S49" s="2219"/>
      <c r="T49" s="2213"/>
    </row>
    <row r="50" spans="1:20">
      <c r="A50" s="2217">
        <f t="shared" si="6"/>
        <v>-6.3866131200059506</v>
      </c>
      <c r="B50" s="2217">
        <f t="shared" si="2"/>
        <v>4912.8841999999995</v>
      </c>
      <c r="C50" s="2217">
        <f t="shared" si="4"/>
        <v>1.3279423999983919</v>
      </c>
      <c r="D50" s="2212">
        <v>285</v>
      </c>
      <c r="E50" s="2219"/>
      <c r="F50" s="2213"/>
      <c r="G50" s="2219"/>
      <c r="H50" s="2213"/>
      <c r="I50" s="2213"/>
      <c r="J50" s="2213"/>
      <c r="K50" s="2213"/>
      <c r="L50" s="263"/>
      <c r="M50" s="2217">
        <f t="shared" si="7"/>
        <v>-18.696196733000441</v>
      </c>
      <c r="N50" s="2217">
        <f t="shared" si="3"/>
        <v>1855.2653874999999</v>
      </c>
      <c r="O50" s="2217">
        <f t="shared" si="5"/>
        <v>-3.0689613000001827</v>
      </c>
      <c r="P50" s="2212">
        <v>285</v>
      </c>
      <c r="Q50" s="2219"/>
      <c r="R50" s="2213"/>
      <c r="S50" s="2219"/>
      <c r="T50" s="2213"/>
    </row>
    <row r="51" spans="1:20">
      <c r="A51" s="2217">
        <f t="shared" si="6"/>
        <v>-6.4507622399967666</v>
      </c>
      <c r="B51" s="2217">
        <f t="shared" si="2"/>
        <v>4911.5562576000011</v>
      </c>
      <c r="C51" s="2217">
        <f t="shared" si="4"/>
        <v>1.3106048000008741</v>
      </c>
      <c r="D51" s="2212">
        <v>284</v>
      </c>
      <c r="E51" s="2219"/>
      <c r="F51" s="2213"/>
      <c r="G51" s="2219"/>
      <c r="H51" s="2213"/>
      <c r="I51" s="2213"/>
      <c r="J51" s="2213"/>
      <c r="K51" s="2213"/>
      <c r="L51" s="263"/>
      <c r="M51" s="2217">
        <f t="shared" si="7"/>
        <v>-18.671009341000907</v>
      </c>
      <c r="N51" s="2217">
        <f t="shared" si="3"/>
        <v>1858.3343488</v>
      </c>
      <c r="O51" s="2217">
        <f t="shared" si="5"/>
        <v>-3.058510100000376</v>
      </c>
      <c r="P51" s="2212">
        <v>284</v>
      </c>
      <c r="Q51" s="2219"/>
      <c r="R51" s="2213"/>
      <c r="S51" s="2219"/>
      <c r="T51" s="2213"/>
    </row>
    <row r="52" spans="1:20">
      <c r="A52" s="2217">
        <f t="shared" si="6"/>
        <v>-6.5128156799975851</v>
      </c>
      <c r="B52" s="2217">
        <f t="shared" si="2"/>
        <v>4910.2456528000002</v>
      </c>
      <c r="C52" s="2217">
        <f t="shared" si="4"/>
        <v>1.293833600000653</v>
      </c>
      <c r="D52" s="2212">
        <v>283</v>
      </c>
      <c r="E52" s="2219"/>
      <c r="F52" s="2213"/>
      <c r="G52" s="2219"/>
      <c r="H52" s="2213"/>
      <c r="I52" s="2213"/>
      <c r="J52" s="2213"/>
      <c r="K52" s="2213"/>
      <c r="L52" s="263"/>
      <c r="M52" s="2217">
        <f t="shared" si="7"/>
        <v>-18.645030986996957</v>
      </c>
      <c r="N52" s="2217">
        <f t="shared" si="3"/>
        <v>1861.3928589000004</v>
      </c>
      <c r="O52" s="2217">
        <f t="shared" si="5"/>
        <v>-3.0477306999987377</v>
      </c>
      <c r="P52" s="2212">
        <v>283</v>
      </c>
      <c r="Q52" s="2219"/>
      <c r="R52" s="2213"/>
      <c r="S52" s="2219"/>
      <c r="T52" s="2213"/>
    </row>
    <row r="53" spans="1:20">
      <c r="A53" s="2217">
        <f t="shared" si="6"/>
        <v>-6.5727734400050402</v>
      </c>
      <c r="B53" s="2217">
        <f t="shared" si="2"/>
        <v>4908.9518191999996</v>
      </c>
      <c r="C53" s="2217">
        <f t="shared" si="4"/>
        <v>1.277628799998638</v>
      </c>
      <c r="D53" s="2212">
        <v>282</v>
      </c>
      <c r="E53" s="2219"/>
      <c r="F53" s="2213"/>
      <c r="G53" s="2219"/>
      <c r="H53" s="2213"/>
      <c r="I53" s="2213"/>
      <c r="J53" s="2213"/>
      <c r="K53" s="2213"/>
      <c r="L53" s="263"/>
      <c r="M53" s="2217">
        <f t="shared" si="7"/>
        <v>-18.618261671001747</v>
      </c>
      <c r="N53" s="2217">
        <f t="shared" si="3"/>
        <v>1864.4405895999992</v>
      </c>
      <c r="O53" s="2217">
        <f t="shared" si="5"/>
        <v>-3.0366231000007247</v>
      </c>
      <c r="P53" s="2212">
        <v>282</v>
      </c>
      <c r="Q53" s="2219"/>
      <c r="R53" s="2213"/>
      <c r="S53" s="2219"/>
      <c r="T53" s="2213"/>
    </row>
    <row r="54" spans="1:20">
      <c r="A54" s="2217">
        <f t="shared" si="6"/>
        <v>-6.6306355199922118</v>
      </c>
      <c r="B54" s="2217">
        <f t="shared" si="2"/>
        <v>4907.674190400001</v>
      </c>
      <c r="C54" s="2217">
        <f t="shared" si="4"/>
        <v>1.2619904000021052</v>
      </c>
      <c r="D54" s="2212">
        <v>281</v>
      </c>
      <c r="E54" s="2219"/>
      <c r="F54" s="2213"/>
      <c r="G54" s="2219"/>
      <c r="H54" s="2213"/>
      <c r="I54" s="2213"/>
      <c r="J54" s="2213"/>
      <c r="K54" s="2213"/>
      <c r="L54" s="263"/>
      <c r="M54" s="2217">
        <f t="shared" si="7"/>
        <v>-18.590701393001574</v>
      </c>
      <c r="N54" s="2217">
        <f t="shared" si="3"/>
        <v>1867.4772126999999</v>
      </c>
      <c r="O54" s="2217">
        <f t="shared" si="5"/>
        <v>-3.0251873000006526</v>
      </c>
      <c r="P54" s="2212">
        <v>281</v>
      </c>
      <c r="Q54" s="2219"/>
      <c r="R54" s="2213"/>
      <c r="S54" s="2219"/>
      <c r="T54" s="2213"/>
    </row>
    <row r="55" spans="1:20">
      <c r="A55" s="2217">
        <f t="shared" si="6"/>
        <v>-6.6864019199994811</v>
      </c>
      <c r="B55" s="2217">
        <f t="shared" si="2"/>
        <v>4906.4121999999988</v>
      </c>
      <c r="C55" s="2217">
        <f t="shared" si="4"/>
        <v>1.2469184000001405</v>
      </c>
      <c r="D55" s="2212">
        <v>280</v>
      </c>
      <c r="E55" s="2219"/>
      <c r="F55" s="2213"/>
      <c r="G55" s="2219"/>
      <c r="H55" s="2213"/>
      <c r="I55" s="2213"/>
      <c r="J55" s="2213"/>
      <c r="K55" s="2213"/>
      <c r="L55" s="263"/>
      <c r="M55" s="2217">
        <f t="shared" si="7"/>
        <v>-18.562350152997535</v>
      </c>
      <c r="N55" s="2217">
        <f t="shared" si="3"/>
        <v>1870.5024000000005</v>
      </c>
      <c r="O55" s="2217">
        <f t="shared" si="5"/>
        <v>-3.0134232999989763</v>
      </c>
      <c r="P55" s="2212">
        <v>280</v>
      </c>
      <c r="Q55" s="2219"/>
      <c r="R55" s="2213"/>
      <c r="S55" s="2219"/>
      <c r="T55" s="2213"/>
    </row>
    <row r="56" spans="1:20">
      <c r="A56" s="2217">
        <f t="shared" si="6"/>
        <v>-6.7400726400032918</v>
      </c>
      <c r="B56" s="2217">
        <f t="shared" si="2"/>
        <v>4905.1652815999987</v>
      </c>
      <c r="C56" s="2217">
        <f t="shared" si="4"/>
        <v>1.2324127999991106</v>
      </c>
      <c r="D56" s="2212">
        <v>279</v>
      </c>
      <c r="E56" s="2219"/>
      <c r="F56" s="2213"/>
      <c r="G56" s="2219"/>
      <c r="H56" s="2213"/>
      <c r="I56" s="2213"/>
      <c r="J56" s="2213"/>
      <c r="K56" s="2213"/>
      <c r="L56" s="263"/>
      <c r="M56" s="2217">
        <f t="shared" si="7"/>
        <v>-18.533207951001682</v>
      </c>
      <c r="N56" s="2217">
        <f t="shared" si="3"/>
        <v>1873.5158232999995</v>
      </c>
      <c r="O56" s="2217">
        <f t="shared" si="5"/>
        <v>-3.0013311000006979</v>
      </c>
      <c r="P56" s="2212">
        <v>279</v>
      </c>
      <c r="Q56" s="2219"/>
      <c r="R56" s="2213"/>
      <c r="S56" s="2219"/>
      <c r="T56" s="2213"/>
    </row>
    <row r="57" spans="1:20">
      <c r="A57" s="2217">
        <f t="shared" si="6"/>
        <v>-6.7916476800036447</v>
      </c>
      <c r="B57" s="2217">
        <f t="shared" si="2"/>
        <v>4903.9328687999996</v>
      </c>
      <c r="C57" s="2217">
        <f t="shared" si="4"/>
        <v>1.2184735999990153</v>
      </c>
      <c r="D57" s="2212">
        <v>278</v>
      </c>
      <c r="E57" s="2219"/>
      <c r="F57" s="2213"/>
      <c r="G57" s="2219"/>
      <c r="H57" s="2213"/>
      <c r="I57" s="2213"/>
      <c r="J57" s="2213"/>
      <c r="K57" s="2213"/>
      <c r="L57" s="263"/>
      <c r="M57" s="2217">
        <f t="shared" si="7"/>
        <v>-18.503274787000869</v>
      </c>
      <c r="N57" s="2217">
        <f t="shared" si="3"/>
        <v>1876.5171544000002</v>
      </c>
      <c r="O57" s="2217">
        <f t="shared" si="5"/>
        <v>-2.9889107000003605</v>
      </c>
      <c r="P57" s="2212">
        <v>278</v>
      </c>
      <c r="Q57" s="2219"/>
      <c r="R57" s="2213"/>
      <c r="S57" s="2219"/>
      <c r="T57" s="2213"/>
    </row>
    <row r="58" spans="1:20">
      <c r="A58" s="2217">
        <f t="shared" si="6"/>
        <v>-6.8411270399971738</v>
      </c>
      <c r="B58" s="2217">
        <f t="shared" si="2"/>
        <v>4902.7143952000006</v>
      </c>
      <c r="C58" s="2217">
        <f t="shared" si="4"/>
        <v>1.2051008000007641</v>
      </c>
      <c r="D58" s="2212">
        <v>277</v>
      </c>
      <c r="E58" s="2219"/>
      <c r="F58" s="2213"/>
      <c r="G58" s="2219"/>
      <c r="H58" s="2213"/>
      <c r="I58" s="2213"/>
      <c r="J58" s="2213"/>
      <c r="K58" s="2213"/>
      <c r="L58" s="263"/>
      <c r="M58" s="2217">
        <f t="shared" si="7"/>
        <v>-18.472550660999477</v>
      </c>
      <c r="N58" s="2217">
        <f t="shared" si="3"/>
        <v>1879.5060651000006</v>
      </c>
      <c r="O58" s="2217">
        <f t="shared" si="5"/>
        <v>-2.9761620999997831</v>
      </c>
      <c r="P58" s="2212">
        <v>277</v>
      </c>
      <c r="Q58" s="2219"/>
      <c r="R58" s="2213"/>
      <c r="S58" s="2219"/>
      <c r="T58" s="2213"/>
    </row>
    <row r="59" spans="1:20">
      <c r="A59" s="2217">
        <f t="shared" si="6"/>
        <v>-6.8885107199973401</v>
      </c>
      <c r="B59" s="2217">
        <f t="shared" si="2"/>
        <v>4901.5092943999998</v>
      </c>
      <c r="C59" s="2217">
        <f t="shared" si="4"/>
        <v>1.1922944000007192</v>
      </c>
      <c r="D59" s="2212">
        <v>276</v>
      </c>
      <c r="E59" s="2219"/>
      <c r="F59" s="2213"/>
      <c r="G59" s="2219"/>
      <c r="H59" s="2213"/>
      <c r="I59" s="2213"/>
      <c r="J59" s="2213"/>
      <c r="K59" s="2213"/>
      <c r="L59" s="263"/>
      <c r="M59" s="2217">
        <f t="shared" si="7"/>
        <v>-18.441035572998604</v>
      </c>
      <c r="N59" s="2217">
        <f t="shared" si="3"/>
        <v>1882.4822272000004</v>
      </c>
      <c r="O59" s="2217">
        <f t="shared" si="5"/>
        <v>-2.9630852999994204</v>
      </c>
      <c r="P59" s="2212">
        <v>276</v>
      </c>
      <c r="Q59" s="2219"/>
      <c r="R59" s="2213"/>
      <c r="S59" s="2219"/>
      <c r="T59" s="2213"/>
    </row>
    <row r="60" spans="1:20">
      <c r="A60" s="2217">
        <f t="shared" si="6"/>
        <v>-6.9337987200041438</v>
      </c>
      <c r="B60" s="2217">
        <f t="shared" si="2"/>
        <v>4900.3169999999991</v>
      </c>
      <c r="C60" s="2217">
        <f t="shared" si="4"/>
        <v>1.1800543999988804</v>
      </c>
      <c r="D60" s="2212">
        <v>275</v>
      </c>
      <c r="E60" s="2219"/>
      <c r="F60" s="2213"/>
      <c r="G60" s="2219"/>
      <c r="H60" s="2213"/>
      <c r="I60" s="2213"/>
      <c r="J60" s="2213"/>
      <c r="K60" s="2213"/>
      <c r="L60" s="263"/>
      <c r="M60" s="2217">
        <f t="shared" si="7"/>
        <v>-18.408729523001536</v>
      </c>
      <c r="N60" s="2217">
        <f t="shared" si="3"/>
        <v>1885.4453124999998</v>
      </c>
      <c r="O60" s="2217">
        <f t="shared" si="5"/>
        <v>-2.9496803000006366</v>
      </c>
      <c r="P60" s="2212">
        <v>275</v>
      </c>
      <c r="Q60" s="2219"/>
      <c r="R60" s="2213"/>
      <c r="S60" s="2219"/>
      <c r="T60" s="2213"/>
    </row>
    <row r="61" spans="1:20">
      <c r="A61" s="2217">
        <f t="shared" si="6"/>
        <v>-6.9769910399973938</v>
      </c>
      <c r="B61" s="2217">
        <f t="shared" si="2"/>
        <v>4899.1369456000002</v>
      </c>
      <c r="C61" s="2217">
        <f t="shared" si="4"/>
        <v>1.1683808000007048</v>
      </c>
      <c r="D61" s="2212">
        <v>274</v>
      </c>
      <c r="E61" s="2219"/>
      <c r="F61" s="2213"/>
      <c r="G61" s="2219"/>
      <c r="H61" s="2213"/>
      <c r="I61" s="2213"/>
      <c r="J61" s="2213"/>
      <c r="K61" s="2213"/>
      <c r="L61" s="263"/>
      <c r="M61" s="2217">
        <f t="shared" si="7"/>
        <v>-18.375632510998955</v>
      </c>
      <c r="N61" s="2217">
        <f t="shared" si="3"/>
        <v>1888.3949928000004</v>
      </c>
      <c r="O61" s="2217">
        <f t="shared" si="5"/>
        <v>-2.9359470999995665</v>
      </c>
      <c r="P61" s="2212">
        <v>274</v>
      </c>
      <c r="Q61" s="2219"/>
      <c r="R61" s="2213"/>
      <c r="S61" s="2219"/>
      <c r="T61" s="2213"/>
    </row>
    <row r="62" spans="1:20">
      <c r="A62" s="2217">
        <f t="shared" si="6"/>
        <v>-7.0180876799972802</v>
      </c>
      <c r="B62" s="2217">
        <f t="shared" si="2"/>
        <v>4897.9685647999995</v>
      </c>
      <c r="C62" s="2217">
        <f t="shared" si="4"/>
        <v>1.1572736000007353</v>
      </c>
      <c r="D62" s="2212">
        <v>273</v>
      </c>
      <c r="E62" s="2219"/>
      <c r="F62" s="2213"/>
      <c r="G62" s="2219"/>
      <c r="H62" s="2213"/>
      <c r="I62" s="2213"/>
      <c r="J62" s="2213"/>
      <c r="K62" s="2213"/>
      <c r="L62" s="263"/>
      <c r="M62" s="2217">
        <f t="shared" si="7"/>
        <v>-18.341744536999634</v>
      </c>
      <c r="N62" s="2217">
        <f t="shared" si="3"/>
        <v>1891.3309399</v>
      </c>
      <c r="O62" s="2217">
        <f t="shared" si="5"/>
        <v>-2.9218856999998479</v>
      </c>
      <c r="P62" s="2212">
        <v>273</v>
      </c>
      <c r="Q62" s="2219"/>
      <c r="R62" s="2213"/>
      <c r="S62" s="2219"/>
      <c r="T62" s="2213"/>
    </row>
    <row r="63" spans="1:20">
      <c r="A63" s="2217">
        <f t="shared" si="6"/>
        <v>-7.0570886400004396</v>
      </c>
      <c r="B63" s="2217">
        <f t="shared" si="2"/>
        <v>4896.8112911999988</v>
      </c>
      <c r="C63" s="2217">
        <f t="shared" si="4"/>
        <v>1.1467327999998815</v>
      </c>
      <c r="D63" s="2212">
        <v>272</v>
      </c>
      <c r="E63" s="2219"/>
      <c r="F63" s="2213"/>
      <c r="G63" s="2219"/>
      <c r="H63" s="2213"/>
      <c r="I63" s="2213"/>
      <c r="J63" s="2213"/>
      <c r="K63" s="2213"/>
      <c r="L63" s="263"/>
      <c r="M63" s="2217">
        <f t="shared" si="7"/>
        <v>-18.307065601000829</v>
      </c>
      <c r="N63" s="2217">
        <f t="shared" si="3"/>
        <v>1894.2528255999998</v>
      </c>
      <c r="O63" s="2217">
        <f t="shared" si="5"/>
        <v>-2.9074961000003441</v>
      </c>
      <c r="P63" s="2212">
        <v>272</v>
      </c>
      <c r="Q63" s="2219"/>
      <c r="R63" s="2213"/>
      <c r="S63" s="2219"/>
      <c r="T63" s="2213"/>
    </row>
    <row r="64" spans="1:20">
      <c r="A64" s="2217">
        <f t="shared" si="6"/>
        <v>-7.09399392000687</v>
      </c>
      <c r="B64" s="2217">
        <f t="shared" si="2"/>
        <v>4895.6645583999989</v>
      </c>
      <c r="C64" s="2217">
        <f t="shared" si="4"/>
        <v>1.1367583999981434</v>
      </c>
      <c r="D64" s="2212">
        <v>271</v>
      </c>
      <c r="E64" s="2219"/>
      <c r="F64" s="2213"/>
      <c r="G64" s="2219"/>
      <c r="H64" s="2213"/>
      <c r="I64" s="2213"/>
      <c r="J64" s="2213"/>
      <c r="K64" s="2213"/>
      <c r="L64" s="263"/>
      <c r="M64" s="2217">
        <f t="shared" si="7"/>
        <v>-18.271595702999804</v>
      </c>
      <c r="N64" s="2217">
        <f t="shared" si="3"/>
        <v>1897.1603217000002</v>
      </c>
      <c r="O64" s="2217">
        <f t="shared" si="5"/>
        <v>-2.8927782999999181</v>
      </c>
      <c r="P64" s="2212">
        <v>271</v>
      </c>
      <c r="Q64" s="2219"/>
      <c r="R64" s="2213"/>
      <c r="S64" s="2219"/>
      <c r="T64" s="2213"/>
    </row>
    <row r="65" spans="1:20">
      <c r="A65" s="2217">
        <f t="shared" si="6"/>
        <v>-7.1288035199963824</v>
      </c>
      <c r="B65" s="2217">
        <f t="shared" si="2"/>
        <v>4894.5278000000008</v>
      </c>
      <c r="C65" s="2217">
        <f t="shared" si="4"/>
        <v>1.127350400000978</v>
      </c>
      <c r="D65" s="2212">
        <v>270</v>
      </c>
      <c r="E65" s="2219"/>
      <c r="F65" s="2213"/>
      <c r="G65" s="2219"/>
      <c r="H65" s="2213"/>
      <c r="I65" s="2213"/>
      <c r="J65" s="2213"/>
      <c r="K65" s="2213"/>
      <c r="L65" s="263"/>
      <c r="M65" s="2217">
        <f t="shared" si="7"/>
        <v>-18.235334842998746</v>
      </c>
      <c r="N65" s="2217">
        <f t="shared" si="3"/>
        <v>1900.0531000000001</v>
      </c>
      <c r="O65" s="2217">
        <f t="shared" si="5"/>
        <v>-2.8777322999994794</v>
      </c>
      <c r="P65" s="2212">
        <v>270</v>
      </c>
      <c r="Q65" s="2219"/>
      <c r="R65" s="2213"/>
      <c r="S65" s="2219"/>
      <c r="T65" s="2213"/>
    </row>
    <row r="66" spans="1:20">
      <c r="A66" s="2217">
        <f t="shared" si="6"/>
        <v>-7.1615174399958974</v>
      </c>
      <c r="B66" s="2217">
        <f t="shared" si="2"/>
        <v>4893.4004495999998</v>
      </c>
      <c r="C66" s="2217">
        <f t="shared" si="4"/>
        <v>1.1185088000011092</v>
      </c>
      <c r="D66" s="2212">
        <v>269</v>
      </c>
      <c r="E66" s="2219"/>
      <c r="F66" s="2213"/>
      <c r="G66" s="2219"/>
      <c r="H66" s="2213"/>
      <c r="I66" s="2213"/>
      <c r="J66" s="2213"/>
      <c r="K66" s="2213"/>
      <c r="L66" s="263"/>
      <c r="M66" s="2217">
        <f t="shared" si="7"/>
        <v>-18.198283021002041</v>
      </c>
      <c r="N66" s="2217">
        <f t="shared" si="3"/>
        <v>1902.9308322999996</v>
      </c>
      <c r="O66" s="2217">
        <f t="shared" si="5"/>
        <v>-2.8623581000008471</v>
      </c>
      <c r="P66" s="2212">
        <v>269</v>
      </c>
      <c r="Q66" s="2219"/>
      <c r="R66" s="2213"/>
      <c r="S66" s="2219"/>
      <c r="T66" s="2213"/>
    </row>
    <row r="67" spans="1:20">
      <c r="A67" s="2217">
        <f t="shared" si="6"/>
        <v>-7.1921356800020488</v>
      </c>
      <c r="B67" s="2217">
        <f t="shared" si="2"/>
        <v>4892.2819407999987</v>
      </c>
      <c r="C67" s="2217">
        <f t="shared" si="4"/>
        <v>1.1102335999994466</v>
      </c>
      <c r="D67" s="2212">
        <v>268</v>
      </c>
      <c r="E67" s="2219"/>
      <c r="F67" s="2213"/>
      <c r="G67" s="2219"/>
      <c r="H67" s="2213"/>
      <c r="I67" s="2213"/>
      <c r="J67" s="2213"/>
      <c r="K67" s="2213"/>
      <c r="L67" s="263"/>
      <c r="M67" s="2217">
        <f t="shared" si="7"/>
        <v>-18.160440236998731</v>
      </c>
      <c r="N67" s="2217">
        <f t="shared" si="3"/>
        <v>1905.7931904000004</v>
      </c>
      <c r="O67" s="2217">
        <f t="shared" si="5"/>
        <v>-2.8466556999994737</v>
      </c>
      <c r="P67" s="2212">
        <v>268</v>
      </c>
      <c r="Q67" s="2219"/>
      <c r="R67" s="2213"/>
      <c r="S67" s="2219"/>
      <c r="T67" s="2213"/>
    </row>
    <row r="68" spans="1:20">
      <c r="A68" s="2217">
        <f t="shared" si="6"/>
        <v>-7.2206582399980119</v>
      </c>
      <c r="B68" s="2217">
        <f t="shared" si="2"/>
        <v>4891.1717071999992</v>
      </c>
      <c r="C68" s="2217">
        <f t="shared" si="4"/>
        <v>1.1025248000005377</v>
      </c>
      <c r="D68" s="2212">
        <v>267</v>
      </c>
      <c r="E68" s="2219"/>
      <c r="F68" s="2213"/>
      <c r="G68" s="2219"/>
      <c r="H68" s="2213"/>
      <c r="I68" s="2213"/>
      <c r="J68" s="2213"/>
      <c r="K68" s="2213"/>
      <c r="L68" s="263"/>
      <c r="M68" s="2217">
        <f t="shared" si="7"/>
        <v>-18.121806490999777</v>
      </c>
      <c r="N68" s="2217">
        <f t="shared" si="3"/>
        <v>1908.6398460999999</v>
      </c>
      <c r="O68" s="2217">
        <f t="shared" si="5"/>
        <v>-2.8306250999999065</v>
      </c>
      <c r="P68" s="2212">
        <v>267</v>
      </c>
      <c r="Q68" s="2219"/>
      <c r="R68" s="2213"/>
      <c r="S68" s="2219"/>
      <c r="T68" s="2213"/>
    </row>
    <row r="69" spans="1:20">
      <c r="A69" s="2217">
        <f t="shared" si="6"/>
        <v>-7.2470851200006123</v>
      </c>
      <c r="B69" s="2217">
        <f t="shared" si="2"/>
        <v>4890.0691823999987</v>
      </c>
      <c r="C69" s="2217">
        <f t="shared" si="4"/>
        <v>1.0953823999998349</v>
      </c>
      <c r="D69" s="2212">
        <v>266</v>
      </c>
      <c r="E69" s="2219"/>
      <c r="F69" s="2213"/>
      <c r="G69" s="2219"/>
      <c r="H69" s="2213"/>
      <c r="I69" s="2213"/>
      <c r="J69" s="2213"/>
      <c r="K69" s="2213"/>
      <c r="L69" s="263"/>
      <c r="M69" s="2217">
        <f t="shared" si="7"/>
        <v>-18.082381783000788</v>
      </c>
      <c r="N69" s="2217">
        <f t="shared" si="3"/>
        <v>1911.4704711999998</v>
      </c>
      <c r="O69" s="2217">
        <f t="shared" si="5"/>
        <v>-2.8142663000003267</v>
      </c>
      <c r="P69" s="2212">
        <v>266</v>
      </c>
      <c r="Q69" s="2219"/>
      <c r="R69" s="2213"/>
      <c r="S69" s="2219"/>
      <c r="T69" s="2213"/>
    </row>
    <row r="70" spans="1:20">
      <c r="A70" s="2217">
        <f t="shared" si="6"/>
        <v>-7.2714163199997541</v>
      </c>
      <c r="B70" s="2217">
        <f t="shared" si="2"/>
        <v>4888.9737999999988</v>
      </c>
      <c r="C70" s="2217">
        <f t="shared" si="4"/>
        <v>1.0888064000000668</v>
      </c>
      <c r="D70" s="2212">
        <v>265</v>
      </c>
      <c r="E70" s="2219"/>
      <c r="F70" s="2213"/>
      <c r="G70" s="2219"/>
      <c r="H70" s="2213"/>
      <c r="I70" s="2213"/>
      <c r="J70" s="2213"/>
      <c r="K70" s="2213"/>
      <c r="L70" s="263"/>
      <c r="M70" s="2217">
        <f t="shared" si="7"/>
        <v>-18.042166113000128</v>
      </c>
      <c r="N70" s="2217">
        <f t="shared" si="3"/>
        <v>1914.2847375000001</v>
      </c>
      <c r="O70" s="2217">
        <f t="shared" si="5"/>
        <v>-2.7975793000000522</v>
      </c>
      <c r="P70" s="2212">
        <v>265</v>
      </c>
      <c r="Q70" s="2219"/>
      <c r="R70" s="2213"/>
      <c r="S70" s="2219"/>
      <c r="T70" s="2213"/>
    </row>
    <row r="71" spans="1:20">
      <c r="A71" s="2217">
        <f t="shared" si="6"/>
        <v>-7.2936518400021679</v>
      </c>
      <c r="B71" s="2217">
        <f t="shared" si="2"/>
        <v>4887.8849935999988</v>
      </c>
      <c r="C71" s="2217">
        <f t="shared" si="4"/>
        <v>1.0827967999994144</v>
      </c>
      <c r="D71" s="2212">
        <v>264</v>
      </c>
      <c r="E71" s="2219"/>
      <c r="F71" s="2213"/>
      <c r="G71" s="2219"/>
      <c r="H71" s="2213"/>
      <c r="I71" s="2213"/>
      <c r="J71" s="2213"/>
      <c r="K71" s="2213"/>
      <c r="L71" s="263"/>
      <c r="M71" s="2217">
        <f t="shared" si="7"/>
        <v>-18.001159480998886</v>
      </c>
      <c r="N71" s="2217">
        <f t="shared" si="3"/>
        <v>1917.0823168000002</v>
      </c>
      <c r="O71" s="2217">
        <f t="shared" si="5"/>
        <v>-2.7805640999995376</v>
      </c>
      <c r="P71" s="2212">
        <v>264</v>
      </c>
      <c r="Q71" s="2219"/>
      <c r="R71" s="2213"/>
      <c r="S71" s="2219"/>
      <c r="T71" s="2213"/>
    </row>
    <row r="72" spans="1:20">
      <c r="A72" s="2217">
        <f t="shared" si="6"/>
        <v>-7.313791680001124</v>
      </c>
      <c r="B72" s="2217">
        <f t="shared" si="2"/>
        <v>4886.8021967999994</v>
      </c>
      <c r="C72" s="2217">
        <f t="shared" si="4"/>
        <v>1.0773535999996966</v>
      </c>
      <c r="D72" s="2212">
        <v>263</v>
      </c>
      <c r="E72" s="2219"/>
      <c r="F72" s="2213"/>
      <c r="G72" s="2219"/>
      <c r="H72" s="2213"/>
      <c r="I72" s="2213"/>
      <c r="J72" s="2213"/>
      <c r="K72" s="2213"/>
      <c r="L72" s="263"/>
      <c r="M72" s="2217">
        <f t="shared" si="7"/>
        <v>-17.959361887000902</v>
      </c>
      <c r="N72" s="2217">
        <f t="shared" si="3"/>
        <v>1919.8628808999997</v>
      </c>
      <c r="O72" s="2217">
        <f t="shared" si="5"/>
        <v>-2.7632207000003746</v>
      </c>
      <c r="P72" s="2212">
        <v>263</v>
      </c>
      <c r="Q72" s="2219"/>
      <c r="R72" s="2213"/>
      <c r="S72" s="2219"/>
      <c r="T72" s="2213"/>
    </row>
    <row r="73" spans="1:20">
      <c r="A73" s="2217">
        <f t="shared" si="6"/>
        <v>-7.3318358399999859</v>
      </c>
      <c r="B73" s="2217">
        <f t="shared" si="2"/>
        <v>4885.7248431999997</v>
      </c>
      <c r="C73" s="2217">
        <f t="shared" si="4"/>
        <v>1.072476800000004</v>
      </c>
      <c r="D73" s="2212">
        <v>262</v>
      </c>
      <c r="E73" s="2219"/>
      <c r="F73" s="2213"/>
      <c r="G73" s="2219"/>
      <c r="H73" s="2213"/>
      <c r="I73" s="2213"/>
      <c r="J73" s="2213"/>
      <c r="K73" s="2213"/>
      <c r="L73" s="263"/>
      <c r="M73" s="2217">
        <f t="shared" si="7"/>
        <v>-17.916773330999057</v>
      </c>
      <c r="N73" s="2217">
        <f t="shared" si="3"/>
        <v>1922.6261016000001</v>
      </c>
      <c r="O73" s="2217">
        <f t="shared" si="5"/>
        <v>-2.7455490999996073</v>
      </c>
      <c r="P73" s="2212">
        <v>262</v>
      </c>
      <c r="Q73" s="2219"/>
      <c r="R73" s="2213"/>
      <c r="S73" s="2219"/>
      <c r="T73" s="2213"/>
    </row>
    <row r="74" spans="1:20">
      <c r="A74" s="2217">
        <f t="shared" si="6"/>
        <v>-7.3477843199987554</v>
      </c>
      <c r="B74" s="2217">
        <f t="shared" si="2"/>
        <v>4884.6523663999997</v>
      </c>
      <c r="C74" s="2217">
        <f t="shared" si="4"/>
        <v>1.0681664000003366</v>
      </c>
      <c r="D74" s="2212">
        <v>261</v>
      </c>
      <c r="E74" s="2219"/>
      <c r="F74" s="2213"/>
      <c r="G74" s="2219"/>
      <c r="H74" s="2213"/>
      <c r="I74" s="2213"/>
      <c r="J74" s="2213"/>
      <c r="K74" s="2213"/>
      <c r="L74" s="263"/>
      <c r="M74" s="2217">
        <f t="shared" si="7"/>
        <v>-17.873393812999915</v>
      </c>
      <c r="N74" s="2217">
        <f t="shared" si="3"/>
        <v>1925.3716506999997</v>
      </c>
      <c r="O74" s="2217">
        <f t="shared" si="5"/>
        <v>-2.7275492999999642</v>
      </c>
      <c r="P74" s="2212">
        <v>261</v>
      </c>
      <c r="Q74" s="2219"/>
      <c r="R74" s="2213"/>
      <c r="S74" s="2219"/>
      <c r="T74" s="2213"/>
    </row>
    <row r="75" spans="1:20">
      <c r="A75" s="2217">
        <f t="shared" si="6"/>
        <v>-7.3616371199974324</v>
      </c>
      <c r="B75" s="2217">
        <f t="shared" si="2"/>
        <v>4883.5841999999993</v>
      </c>
      <c r="C75" s="2217">
        <f t="shared" si="4"/>
        <v>1.0644224000006943</v>
      </c>
      <c r="D75" s="2212">
        <v>260</v>
      </c>
      <c r="E75" s="2219"/>
      <c r="F75" s="2213"/>
      <c r="G75" s="2219"/>
      <c r="H75" s="2213"/>
      <c r="I75" s="2213"/>
      <c r="J75" s="2213"/>
      <c r="K75" s="2213"/>
      <c r="L75" s="263"/>
      <c r="M75" s="2217">
        <f t="shared" si="7"/>
        <v>-17.829223333001291</v>
      </c>
      <c r="N75" s="2217">
        <f t="shared" si="3"/>
        <v>1928.0991999999997</v>
      </c>
      <c r="O75" s="2217">
        <f t="shared" si="5"/>
        <v>-2.7092213000005358</v>
      </c>
      <c r="P75" s="2212">
        <v>260</v>
      </c>
      <c r="Q75" s="2219"/>
      <c r="R75" s="2213"/>
      <c r="S75" s="2219"/>
      <c r="T75" s="2213"/>
    </row>
    <row r="76" spans="1:20">
      <c r="A76" s="2217">
        <f t="shared" si="6"/>
        <v>-7.3733942399993797</v>
      </c>
      <c r="B76" s="2217">
        <f t="shared" si="2"/>
        <v>4882.5197775999986</v>
      </c>
      <c r="C76" s="2217">
        <f t="shared" si="4"/>
        <v>1.0612448000001677</v>
      </c>
      <c r="D76" s="2212">
        <v>259</v>
      </c>
      <c r="E76" s="2219"/>
      <c r="F76" s="2213"/>
      <c r="G76" s="2219"/>
      <c r="H76" s="2213"/>
      <c r="I76" s="2213"/>
      <c r="J76" s="2213"/>
      <c r="K76" s="2213"/>
      <c r="L76" s="263"/>
      <c r="M76" s="2217">
        <f t="shared" si="7"/>
        <v>-17.784261891001542</v>
      </c>
      <c r="N76" s="2217">
        <f t="shared" si="3"/>
        <v>1930.8084213000002</v>
      </c>
      <c r="O76" s="2217">
        <f t="shared" si="5"/>
        <v>-2.6905651000006401</v>
      </c>
      <c r="P76" s="2212">
        <v>259</v>
      </c>
      <c r="Q76" s="2219"/>
      <c r="R76" s="2213"/>
      <c r="S76" s="2219"/>
      <c r="T76" s="2213"/>
    </row>
    <row r="77" spans="1:20">
      <c r="A77" s="2217">
        <f t="shared" si="6"/>
        <v>-7.3830556800012355</v>
      </c>
      <c r="B77" s="2217">
        <f t="shared" si="2"/>
        <v>4881.4585327999985</v>
      </c>
      <c r="C77" s="2217">
        <f t="shared" si="4"/>
        <v>1.0586335999996663</v>
      </c>
      <c r="D77" s="2212">
        <v>258</v>
      </c>
      <c r="E77" s="2219"/>
      <c r="F77" s="2213"/>
      <c r="G77" s="2219"/>
      <c r="H77" s="2213"/>
      <c r="I77" s="2213"/>
      <c r="J77" s="2213"/>
      <c r="K77" s="2213"/>
      <c r="L77" s="263"/>
      <c r="M77" s="2217">
        <f t="shared" si="7"/>
        <v>-17.73850948699738</v>
      </c>
      <c r="N77" s="2217">
        <f t="shared" si="3"/>
        <v>1933.4989864000008</v>
      </c>
      <c r="O77" s="2217">
        <f t="shared" si="5"/>
        <v>-2.6715806999989127</v>
      </c>
      <c r="P77" s="2212">
        <v>258</v>
      </c>
      <c r="Q77" s="2219"/>
      <c r="R77" s="2213"/>
      <c r="S77" s="2219"/>
      <c r="T77" s="2213"/>
    </row>
    <row r="78" spans="1:20">
      <c r="A78" s="2217">
        <f t="shared" si="6"/>
        <v>-7.390621440002997</v>
      </c>
      <c r="B78" s="2217">
        <f t="shared" si="2"/>
        <v>4880.3998991999988</v>
      </c>
      <c r="C78" s="2217">
        <f t="shared" si="4"/>
        <v>1.0565887999991901</v>
      </c>
      <c r="D78" s="2212">
        <v>257</v>
      </c>
      <c r="E78" s="2219"/>
      <c r="F78" s="2213"/>
      <c r="G78" s="2219"/>
      <c r="H78" s="2213"/>
      <c r="I78" s="2213"/>
      <c r="J78" s="2213"/>
      <c r="K78" s="2213"/>
      <c r="L78" s="263"/>
      <c r="M78" s="2217">
        <f t="shared" si="7"/>
        <v>-17.69196612100086</v>
      </c>
      <c r="N78" s="2217">
        <f t="shared" si="3"/>
        <v>1936.1705670999997</v>
      </c>
      <c r="O78" s="2217">
        <f t="shared" si="5"/>
        <v>-2.6522681000003558</v>
      </c>
      <c r="P78" s="2212">
        <v>257</v>
      </c>
      <c r="Q78" s="2219"/>
      <c r="R78" s="2213"/>
      <c r="S78" s="2219"/>
      <c r="T78" s="2213"/>
    </row>
    <row r="79" spans="1:20">
      <c r="A79" s="2217">
        <f t="shared" si="6"/>
        <v>-7.3960915199979365</v>
      </c>
      <c r="B79" s="2217">
        <f t="shared" si="2"/>
        <v>4879.3433103999996</v>
      </c>
      <c r="C79" s="2217">
        <f t="shared" si="4"/>
        <v>1.055110400000558</v>
      </c>
      <c r="D79" s="2212">
        <v>256</v>
      </c>
      <c r="E79" s="2219"/>
      <c r="F79" s="2213"/>
      <c r="G79" s="2219"/>
      <c r="H79" s="2213"/>
      <c r="I79" s="2213"/>
      <c r="J79" s="2213"/>
      <c r="K79" s="2213"/>
      <c r="L79" s="263"/>
      <c r="M79" s="2217">
        <f t="shared" si="7"/>
        <v>-17.644631793001565</v>
      </c>
      <c r="N79" s="2217">
        <f t="shared" si="3"/>
        <v>1938.8228352000001</v>
      </c>
      <c r="O79" s="2217">
        <f t="shared" si="5"/>
        <v>-2.6326273000006495</v>
      </c>
      <c r="P79" s="2212">
        <v>256</v>
      </c>
      <c r="Q79" s="2219"/>
      <c r="R79" s="2213"/>
      <c r="S79" s="2219"/>
      <c r="T79" s="2213"/>
    </row>
    <row r="80" spans="1:20">
      <c r="A80" s="2217">
        <f t="shared" si="6"/>
        <v>-7.3994659200028767</v>
      </c>
      <c r="B80" s="2217">
        <f t="shared" si="2"/>
        <v>4878.2881999999991</v>
      </c>
      <c r="C80" s="2217">
        <f t="shared" si="4"/>
        <v>1.0541983999992226</v>
      </c>
      <c r="D80" s="2212">
        <v>255</v>
      </c>
      <c r="E80" s="2219"/>
      <c r="F80" s="2213"/>
      <c r="G80" s="2219"/>
      <c r="H80" s="2213"/>
      <c r="I80" s="2213"/>
      <c r="J80" s="2213"/>
      <c r="K80" s="2213"/>
      <c r="L80" s="263"/>
      <c r="M80" s="2217">
        <f t="shared" si="7"/>
        <v>-17.596506502996217</v>
      </c>
      <c r="N80" s="2217">
        <f t="shared" si="3"/>
        <v>1941.4554625000007</v>
      </c>
      <c r="O80" s="2217">
        <f t="shared" si="5"/>
        <v>-2.6126582999984294</v>
      </c>
      <c r="P80" s="2212">
        <v>255</v>
      </c>
      <c r="Q80" s="2219"/>
      <c r="R80" s="2213"/>
      <c r="S80" s="2219"/>
      <c r="T80" s="2213"/>
    </row>
    <row r="81" spans="1:20">
      <c r="A81" s="2217">
        <f t="shared" si="6"/>
        <v>-7.4007446400009949</v>
      </c>
      <c r="B81" s="2217">
        <f t="shared" si="2"/>
        <v>4877.2340015999998</v>
      </c>
      <c r="C81" s="2217">
        <f t="shared" si="4"/>
        <v>1.0538527999997314</v>
      </c>
      <c r="D81" s="2212">
        <v>254</v>
      </c>
      <c r="E81" s="2219"/>
      <c r="F81" s="2213"/>
      <c r="G81" s="2219"/>
      <c r="H81" s="2213"/>
      <c r="I81" s="2213"/>
      <c r="J81" s="2213"/>
      <c r="K81" s="2213"/>
      <c r="L81" s="263"/>
      <c r="M81" s="2217">
        <f t="shared" si="7"/>
        <v>-17.547590251001793</v>
      </c>
      <c r="N81" s="2217">
        <f t="shared" si="3"/>
        <v>1944.0681207999992</v>
      </c>
      <c r="O81" s="2217">
        <f t="shared" si="5"/>
        <v>-2.592361100000744</v>
      </c>
      <c r="P81" s="2212">
        <v>254</v>
      </c>
      <c r="Q81" s="2219"/>
      <c r="R81" s="2213"/>
      <c r="S81" s="2219"/>
      <c r="T81" s="2213"/>
    </row>
    <row r="82" spans="1:20">
      <c r="A82" s="2217">
        <f t="shared" si="6"/>
        <v>-7.3999276799956544</v>
      </c>
      <c r="B82" s="2217">
        <f t="shared" si="2"/>
        <v>4876.1801488000001</v>
      </c>
      <c r="C82" s="2217">
        <f t="shared" si="4"/>
        <v>1.0540736000011748</v>
      </c>
      <c r="D82" s="2212">
        <v>253</v>
      </c>
      <c r="E82" s="2219"/>
      <c r="F82" s="2213"/>
      <c r="G82" s="2219"/>
      <c r="H82" s="2213"/>
      <c r="I82" s="2213"/>
      <c r="J82" s="2213"/>
      <c r="K82" s="2213"/>
      <c r="L82" s="263"/>
      <c r="M82" s="2217">
        <f t="shared" si="7"/>
        <v>-17.497883037001863</v>
      </c>
      <c r="N82" s="2217">
        <f t="shared" si="3"/>
        <v>1946.6604818999999</v>
      </c>
      <c r="O82" s="2217">
        <f t="shared" si="5"/>
        <v>-2.5717357000007723</v>
      </c>
      <c r="P82" s="2212">
        <v>253</v>
      </c>
      <c r="Q82" s="2219"/>
      <c r="R82" s="2213"/>
      <c r="S82" s="2219"/>
      <c r="T82" s="2213"/>
    </row>
    <row r="83" spans="1:20">
      <c r="A83" s="2217">
        <f t="shared" si="6"/>
        <v>-7.3970150400003156</v>
      </c>
      <c r="B83" s="2217">
        <f t="shared" si="2"/>
        <v>4875.1260751999989</v>
      </c>
      <c r="C83" s="2217">
        <f t="shared" si="4"/>
        <v>1.0548607999999149</v>
      </c>
      <c r="D83" s="2212">
        <v>252</v>
      </c>
      <c r="E83" s="2219"/>
      <c r="F83" s="2213"/>
      <c r="G83" s="2219"/>
      <c r="H83" s="2213"/>
      <c r="I83" s="2213"/>
      <c r="J83" s="2213"/>
      <c r="K83" s="2213"/>
      <c r="L83" s="263"/>
      <c r="M83" s="2217">
        <f t="shared" si="7"/>
        <v>-17.447384860999161</v>
      </c>
      <c r="N83" s="2217">
        <f t="shared" si="3"/>
        <v>1949.2322176000007</v>
      </c>
      <c r="O83" s="2217">
        <f t="shared" si="5"/>
        <v>-2.5507820999996511</v>
      </c>
      <c r="P83" s="2212">
        <v>252</v>
      </c>
      <c r="Q83" s="2219"/>
      <c r="R83" s="2213"/>
      <c r="S83" s="2219"/>
      <c r="T83" s="2213"/>
    </row>
    <row r="84" spans="1:20">
      <c r="A84" s="2217">
        <f t="shared" si="6"/>
        <v>-7.3920067200015191</v>
      </c>
      <c r="B84" s="2217">
        <f t="shared" si="2"/>
        <v>4874.071214399999</v>
      </c>
      <c r="C84" s="2217">
        <f t="shared" si="4"/>
        <v>1.0562143999995897</v>
      </c>
      <c r="D84" s="2212">
        <v>251</v>
      </c>
      <c r="E84" s="2219"/>
      <c r="F84" s="2213"/>
      <c r="G84" s="2219"/>
      <c r="H84" s="2213"/>
      <c r="I84" s="2213"/>
      <c r="J84" s="2213"/>
      <c r="K84" s="2213"/>
      <c r="L84" s="263"/>
      <c r="M84" s="2217">
        <f t="shared" si="7"/>
        <v>-17.396095722999167</v>
      </c>
      <c r="N84" s="2217">
        <f t="shared" si="3"/>
        <v>1951.7829997000003</v>
      </c>
      <c r="O84" s="2217">
        <f t="shared" si="5"/>
        <v>-2.5295002999996541</v>
      </c>
      <c r="P84" s="2212">
        <v>251</v>
      </c>
      <c r="Q84" s="2219"/>
      <c r="R84" s="2213"/>
      <c r="S84" s="2219"/>
      <c r="T84" s="2213"/>
    </row>
    <row r="85" spans="1:20">
      <c r="A85" s="2217">
        <f t="shared" si="6"/>
        <v>-7.3849027199992641</v>
      </c>
      <c r="B85" s="2217">
        <f t="shared" si="2"/>
        <v>4873.0149999999994</v>
      </c>
      <c r="C85" s="2217">
        <f t="shared" si="4"/>
        <v>1.0581344000001991</v>
      </c>
      <c r="D85" s="2212">
        <v>250</v>
      </c>
      <c r="E85" s="2219"/>
      <c r="F85" s="2213"/>
      <c r="G85" s="2219"/>
      <c r="H85" s="2213"/>
      <c r="I85" s="2213"/>
      <c r="J85" s="2213"/>
      <c r="K85" s="2213"/>
      <c r="L85" s="263"/>
      <c r="M85" s="2217">
        <f t="shared" si="7"/>
        <v>-17.344015623001884</v>
      </c>
      <c r="N85" s="2217">
        <f t="shared" si="3"/>
        <v>1954.3125</v>
      </c>
      <c r="O85" s="2217">
        <f t="shared" si="5"/>
        <v>-2.5078903000007813</v>
      </c>
      <c r="P85" s="2212">
        <v>250</v>
      </c>
      <c r="Q85" s="2219"/>
      <c r="R85" s="2213"/>
      <c r="S85" s="2219"/>
      <c r="T85" s="2213"/>
    </row>
    <row r="86" spans="1:20">
      <c r="A86" s="2217">
        <f t="shared" si="6"/>
        <v>-7.3757030400036463</v>
      </c>
      <c r="B86" s="2217">
        <f t="shared" si="2"/>
        <v>4871.9568655999992</v>
      </c>
      <c r="C86" s="2217">
        <f t="shared" si="4"/>
        <v>1.0606207999990147</v>
      </c>
      <c r="D86" s="2212">
        <v>249</v>
      </c>
      <c r="E86" s="2219"/>
      <c r="F86" s="2213"/>
      <c r="G86" s="2219"/>
      <c r="H86" s="2213"/>
      <c r="I86" s="2213"/>
      <c r="J86" s="2213"/>
      <c r="K86" s="2213"/>
      <c r="L86" s="263"/>
      <c r="M86" s="2217">
        <f t="shared" si="7"/>
        <v>-17.291144560998543</v>
      </c>
      <c r="N86" s="2217">
        <f t="shared" si="3"/>
        <v>1956.8203903000008</v>
      </c>
      <c r="O86" s="2217">
        <f t="shared" si="5"/>
        <v>-2.4859520999993947</v>
      </c>
      <c r="P86" s="2212">
        <v>249</v>
      </c>
      <c r="Q86" s="2219"/>
      <c r="R86" s="2213"/>
      <c r="S86" s="2219"/>
      <c r="T86" s="2213"/>
    </row>
    <row r="87" spans="1:20">
      <c r="A87" s="2217">
        <f t="shared" si="6"/>
        <v>-7.3644076799944749</v>
      </c>
      <c r="B87" s="2217">
        <f t="shared" si="2"/>
        <v>4870.8962448000002</v>
      </c>
      <c r="C87" s="2217">
        <f t="shared" si="4"/>
        <v>1.0636736000014935</v>
      </c>
      <c r="D87" s="2212">
        <v>248</v>
      </c>
      <c r="E87" s="2219"/>
      <c r="F87" s="2213"/>
      <c r="G87" s="2219"/>
      <c r="H87" s="2213"/>
      <c r="I87" s="2213"/>
      <c r="J87" s="2213"/>
      <c r="K87" s="2213"/>
      <c r="L87" s="263"/>
      <c r="M87" s="2217">
        <f t="shared" si="7"/>
        <v>-17.237482536999554</v>
      </c>
      <c r="N87" s="2217">
        <f t="shared" si="3"/>
        <v>1959.3063424000002</v>
      </c>
      <c r="O87" s="2217">
        <f t="shared" si="5"/>
        <v>-2.4636856999998145</v>
      </c>
      <c r="P87" s="2212">
        <v>248</v>
      </c>
      <c r="Q87" s="2219"/>
      <c r="R87" s="2213"/>
      <c r="S87" s="2219"/>
      <c r="T87" s="2213"/>
    </row>
    <row r="88" spans="1:20">
      <c r="A88" s="2217">
        <f t="shared" si="6"/>
        <v>-7.3510166400054011</v>
      </c>
      <c r="B88" s="2217">
        <f t="shared" si="2"/>
        <v>4869.8325711999987</v>
      </c>
      <c r="C88" s="2217">
        <f t="shared" si="4"/>
        <v>1.0672927999985404</v>
      </c>
      <c r="D88" s="2212">
        <v>247</v>
      </c>
      <c r="E88" s="2219"/>
      <c r="F88" s="2213"/>
      <c r="G88" s="2219"/>
      <c r="H88" s="2213"/>
      <c r="I88" s="2213"/>
      <c r="J88" s="2213"/>
      <c r="K88" s="2213"/>
      <c r="L88" s="263"/>
      <c r="M88" s="2217">
        <f t="shared" si="7"/>
        <v>-17.183029551001084</v>
      </c>
      <c r="N88" s="2217">
        <f t="shared" si="3"/>
        <v>1961.7700281</v>
      </c>
      <c r="O88" s="2217">
        <f t="shared" si="5"/>
        <v>-2.4410911000004489</v>
      </c>
      <c r="P88" s="2212">
        <v>247</v>
      </c>
      <c r="Q88" s="2219"/>
      <c r="R88" s="2213"/>
      <c r="S88" s="2219"/>
      <c r="T88" s="2213"/>
    </row>
    <row r="89" spans="1:20">
      <c r="A89" s="2217">
        <f t="shared" si="6"/>
        <v>-7.3355299199994093</v>
      </c>
      <c r="B89" s="2217">
        <f t="shared" si="2"/>
        <v>4868.7652784000002</v>
      </c>
      <c r="C89" s="2217">
        <f t="shared" si="4"/>
        <v>1.07147840000016</v>
      </c>
      <c r="D89" s="2212">
        <v>246</v>
      </c>
      <c r="E89" s="2219"/>
      <c r="F89" s="2213"/>
      <c r="G89" s="2219"/>
      <c r="H89" s="2213"/>
      <c r="I89" s="2213"/>
      <c r="J89" s="2213"/>
      <c r="K89" s="2213"/>
      <c r="L89" s="263"/>
      <c r="M89" s="2217">
        <f t="shared" si="7"/>
        <v>-17.127785602999843</v>
      </c>
      <c r="N89" s="2217">
        <f t="shared" si="3"/>
        <v>1964.2111192000004</v>
      </c>
      <c r="O89" s="2217">
        <f t="shared" si="5"/>
        <v>-2.4181682999999339</v>
      </c>
      <c r="P89" s="2212">
        <v>246</v>
      </c>
      <c r="Q89" s="2219"/>
      <c r="R89" s="2213"/>
      <c r="S89" s="2219"/>
      <c r="T89" s="2213"/>
    </row>
    <row r="90" spans="1:20">
      <c r="A90" s="2217">
        <f t="shared" si="6"/>
        <v>-7.3179475199966877</v>
      </c>
      <c r="B90" s="2217">
        <f t="shared" si="2"/>
        <v>4867.6938</v>
      </c>
      <c r="C90" s="2217">
        <f t="shared" si="4"/>
        <v>1.0762304000008953</v>
      </c>
      <c r="D90" s="2212">
        <v>245</v>
      </c>
      <c r="E90" s="2219"/>
      <c r="F90" s="2213"/>
      <c r="G90" s="2219"/>
      <c r="H90" s="2213"/>
      <c r="I90" s="2213"/>
      <c r="J90" s="2213"/>
      <c r="K90" s="2213"/>
      <c r="L90" s="263"/>
      <c r="M90" s="2217">
        <f t="shared" si="7"/>
        <v>-17.07175069299857</v>
      </c>
      <c r="N90" s="2217">
        <f t="shared" si="3"/>
        <v>1966.6292875000004</v>
      </c>
      <c r="O90" s="2217">
        <f t="shared" si="5"/>
        <v>-2.3949172999994062</v>
      </c>
      <c r="P90" s="2212">
        <v>245</v>
      </c>
      <c r="Q90" s="2219"/>
      <c r="R90" s="2213"/>
      <c r="S90" s="2219"/>
      <c r="T90" s="2213"/>
    </row>
    <row r="91" spans="1:20">
      <c r="A91" s="2217">
        <f t="shared" si="6"/>
        <v>-7.2982694400006052</v>
      </c>
      <c r="B91" s="2217">
        <f t="shared" si="2"/>
        <v>4866.6175695999991</v>
      </c>
      <c r="C91" s="2217">
        <f t="shared" si="4"/>
        <v>1.0815487999998368</v>
      </c>
      <c r="D91" s="2212">
        <v>244</v>
      </c>
      <c r="E91" s="2219"/>
      <c r="F91" s="2213"/>
      <c r="G91" s="2219"/>
      <c r="H91" s="2213"/>
      <c r="I91" s="2213"/>
      <c r="J91" s="2213"/>
      <c r="K91" s="2213"/>
      <c r="L91" s="263"/>
      <c r="M91" s="2217">
        <f t="shared" si="7"/>
        <v>-17.0149248210022</v>
      </c>
      <c r="N91" s="2217">
        <f t="shared" si="3"/>
        <v>1969.0242047999998</v>
      </c>
      <c r="O91" s="2217">
        <f t="shared" si="5"/>
        <v>-2.3713381000009122</v>
      </c>
      <c r="P91" s="2212">
        <v>244</v>
      </c>
      <c r="Q91" s="2219"/>
      <c r="R91" s="2213"/>
      <c r="S91" s="2219"/>
      <c r="T91" s="2213"/>
    </row>
    <row r="92" spans="1:20">
      <c r="A92" s="2217">
        <f t="shared" si="6"/>
        <v>-7.2764956800010632</v>
      </c>
      <c r="B92" s="2217">
        <f t="shared" si="2"/>
        <v>4865.5360207999993</v>
      </c>
      <c r="C92" s="2217">
        <f t="shared" si="4"/>
        <v>1.0874335999997129</v>
      </c>
      <c r="D92" s="2212">
        <v>243</v>
      </c>
      <c r="E92" s="2219"/>
      <c r="F92" s="2213"/>
      <c r="G92" s="2219"/>
      <c r="H92" s="2213"/>
      <c r="I92" s="2213"/>
      <c r="J92" s="2213"/>
      <c r="K92" s="2213"/>
      <c r="L92" s="263"/>
      <c r="M92" s="2217">
        <f t="shared" si="7"/>
        <v>-16.957307986998675</v>
      </c>
      <c r="N92" s="2217">
        <f t="shared" si="3"/>
        <v>1971.3955429000007</v>
      </c>
      <c r="O92" s="2217">
        <f t="shared" si="5"/>
        <v>-2.3474306999994496</v>
      </c>
      <c r="P92" s="2212">
        <v>243</v>
      </c>
      <c r="Q92" s="2219"/>
      <c r="R92" s="2213"/>
      <c r="S92" s="2219"/>
      <c r="T92" s="2213"/>
    </row>
    <row r="93" spans="1:20">
      <c r="A93" s="2217">
        <f t="shared" si="6"/>
        <v>-7.2526262400014287</v>
      </c>
      <c r="B93" s="2217">
        <f t="shared" si="2"/>
        <v>4864.4485871999996</v>
      </c>
      <c r="C93" s="2217">
        <f t="shared" si="4"/>
        <v>1.0938847999996142</v>
      </c>
      <c r="D93" s="2212">
        <v>242</v>
      </c>
      <c r="E93" s="2219"/>
      <c r="F93" s="2213"/>
      <c r="G93" s="2219"/>
      <c r="H93" s="2213"/>
      <c r="I93" s="2213"/>
      <c r="J93" s="2213"/>
      <c r="K93" s="2213"/>
      <c r="L93" s="263"/>
      <c r="M93" s="2217">
        <f t="shared" si="7"/>
        <v>-16.898900190999505</v>
      </c>
      <c r="N93" s="2217">
        <f t="shared" si="3"/>
        <v>1973.7429736000001</v>
      </c>
      <c r="O93" s="2217">
        <f t="shared" si="5"/>
        <v>-2.3231950999997935</v>
      </c>
      <c r="P93" s="2212">
        <v>242</v>
      </c>
      <c r="Q93" s="2219"/>
      <c r="R93" s="2213"/>
      <c r="S93" s="2219"/>
      <c r="T93" s="2213"/>
    </row>
    <row r="94" spans="1:20">
      <c r="A94" s="2217">
        <f t="shared" si="6"/>
        <v>-7.2266611199983357</v>
      </c>
      <c r="B94" s="2217">
        <f t="shared" si="2"/>
        <v>4863.3547024</v>
      </c>
      <c r="C94" s="2217">
        <f t="shared" si="4"/>
        <v>1.1009024000004501</v>
      </c>
      <c r="D94" s="2212">
        <v>241</v>
      </c>
      <c r="E94" s="2219"/>
      <c r="F94" s="2213"/>
      <c r="G94" s="2219"/>
      <c r="H94" s="2213"/>
      <c r="I94" s="2213"/>
      <c r="J94" s="2213"/>
      <c r="K94" s="2213"/>
      <c r="L94" s="263"/>
      <c r="M94" s="2217">
        <f t="shared" si="7"/>
        <v>-16.839701433001398</v>
      </c>
      <c r="N94" s="2217">
        <f t="shared" si="3"/>
        <v>1976.0661686999999</v>
      </c>
      <c r="O94" s="2217">
        <f t="shared" si="5"/>
        <v>-2.2986313000005794</v>
      </c>
      <c r="P94" s="2212">
        <v>241</v>
      </c>
      <c r="Q94" s="2219"/>
      <c r="R94" s="2213"/>
      <c r="S94" s="2219"/>
      <c r="T94" s="2213"/>
    </row>
    <row r="95" spans="1:20">
      <c r="A95" s="2217">
        <f t="shared" si="6"/>
        <v>-7.19860032000188</v>
      </c>
      <c r="B95" s="2217">
        <f t="shared" si="2"/>
        <v>4862.2537999999995</v>
      </c>
      <c r="C95" s="2217">
        <f t="shared" si="4"/>
        <v>1.1084863999994923</v>
      </c>
      <c r="D95" s="2212">
        <v>240</v>
      </c>
      <c r="E95" s="2219"/>
      <c r="F95" s="2213"/>
      <c r="G95" s="2219"/>
      <c r="H95" s="2213"/>
      <c r="I95" s="2213"/>
      <c r="J95" s="2213"/>
      <c r="K95" s="2213"/>
      <c r="L95" s="263"/>
      <c r="M95" s="2217">
        <f t="shared" si="7"/>
        <v>-16.779711712998328</v>
      </c>
      <c r="N95" s="2217">
        <f t="shared" si="3"/>
        <v>1978.3648000000005</v>
      </c>
      <c r="O95" s="2217">
        <f t="shared" si="5"/>
        <v>-2.2737392999993062</v>
      </c>
      <c r="P95" s="2212">
        <v>240</v>
      </c>
      <c r="Q95" s="2219"/>
      <c r="R95" s="2213"/>
      <c r="S95" s="2219"/>
      <c r="T95" s="2213"/>
    </row>
    <row r="96" spans="1:20">
      <c r="A96" s="2217">
        <f t="shared" si="6"/>
        <v>-7.1684438399986004</v>
      </c>
      <c r="B96" s="2217">
        <f t="shared" si="2"/>
        <v>4861.1453136</v>
      </c>
      <c r="C96" s="2217">
        <f t="shared" si="4"/>
        <v>1.1166368000003786</v>
      </c>
      <c r="D96" s="2212">
        <v>239</v>
      </c>
      <c r="E96" s="2219"/>
      <c r="F96" s="2213"/>
      <c r="G96" s="2219"/>
      <c r="H96" s="2213"/>
      <c r="I96" s="2213"/>
      <c r="J96" s="2213"/>
      <c r="K96" s="2213"/>
      <c r="L96" s="263"/>
      <c r="M96" s="2217">
        <f t="shared" si="7"/>
        <v>-16.718931030999613</v>
      </c>
      <c r="N96" s="2217">
        <f t="shared" si="3"/>
        <v>1980.6385392999998</v>
      </c>
      <c r="O96" s="2217">
        <f t="shared" si="5"/>
        <v>-2.2485190999998395</v>
      </c>
      <c r="P96" s="2212">
        <v>239</v>
      </c>
      <c r="Q96" s="2219"/>
      <c r="R96" s="2213"/>
      <c r="S96" s="2219"/>
      <c r="T96" s="2213"/>
    </row>
    <row r="97" spans="1:20">
      <c r="A97" s="2217">
        <f t="shared" si="6"/>
        <v>-7.1361916799985927</v>
      </c>
      <c r="B97" s="2217">
        <f t="shared" si="2"/>
        <v>4860.0286767999996</v>
      </c>
      <c r="C97" s="2217">
        <f t="shared" si="4"/>
        <v>1.1253536000003805</v>
      </c>
      <c r="D97" s="2212">
        <v>238</v>
      </c>
      <c r="E97" s="2219"/>
      <c r="F97" s="2213"/>
      <c r="G97" s="2219"/>
      <c r="H97" s="2213"/>
      <c r="I97" s="2213"/>
      <c r="J97" s="2213"/>
      <c r="K97" s="2213"/>
      <c r="L97" s="263"/>
      <c r="M97" s="2217">
        <f t="shared" si="7"/>
        <v>-16.657359387001417</v>
      </c>
      <c r="N97" s="2217">
        <f t="shared" si="3"/>
        <v>1982.8870583999997</v>
      </c>
      <c r="O97" s="2217">
        <f t="shared" si="5"/>
        <v>-2.2229707000005874</v>
      </c>
      <c r="P97" s="2212">
        <v>238</v>
      </c>
      <c r="Q97" s="2219"/>
      <c r="R97" s="2213"/>
      <c r="S97" s="2219"/>
      <c r="T97" s="2213"/>
    </row>
    <row r="98" spans="1:20">
      <c r="A98" s="2217">
        <f t="shared" si="6"/>
        <v>-7.1018438399984927</v>
      </c>
      <c r="B98" s="2217">
        <f t="shared" si="2"/>
        <v>4858.9033231999992</v>
      </c>
      <c r="C98" s="2217">
        <f t="shared" si="4"/>
        <v>1.1346368000004077</v>
      </c>
      <c r="D98" s="2212">
        <v>237</v>
      </c>
      <c r="E98" s="2219"/>
      <c r="F98" s="2213"/>
      <c r="G98" s="2219"/>
      <c r="H98" s="2213"/>
      <c r="I98" s="2213"/>
      <c r="J98" s="2213"/>
      <c r="K98" s="2213"/>
      <c r="L98" s="263"/>
      <c r="M98" s="2217">
        <f t="shared" si="7"/>
        <v>-16.594996780999352</v>
      </c>
      <c r="N98" s="2217">
        <f t="shared" si="3"/>
        <v>1985.1100291000002</v>
      </c>
      <c r="O98" s="2217">
        <f t="shared" si="5"/>
        <v>-2.197094099999731</v>
      </c>
      <c r="P98" s="2212">
        <v>237</v>
      </c>
      <c r="Q98" s="2219"/>
      <c r="R98" s="2213"/>
      <c r="S98" s="2219"/>
      <c r="T98" s="2213"/>
    </row>
    <row r="99" spans="1:20">
      <c r="A99" s="2217">
        <f t="shared" si="6"/>
        <v>-7.0654003200016646</v>
      </c>
      <c r="B99" s="2217">
        <f t="shared" ref="B99:B162" si="14">B$27+(B$26*D99)-(B$25*(D99^2))+(B$24*(D99^3))</f>
        <v>4857.7686863999988</v>
      </c>
      <c r="C99" s="2217">
        <f t="shared" si="4"/>
        <v>1.1444863999995505</v>
      </c>
      <c r="D99" s="2212">
        <v>236</v>
      </c>
      <c r="E99" s="2219"/>
      <c r="F99" s="2213"/>
      <c r="G99" s="2219"/>
      <c r="H99" s="2213"/>
      <c r="I99" s="2213"/>
      <c r="J99" s="2213"/>
      <c r="K99" s="2213"/>
      <c r="L99" s="263"/>
      <c r="M99" s="2217">
        <f t="shared" si="7"/>
        <v>-16.531843212999451</v>
      </c>
      <c r="N99" s="2217">
        <f t="shared" ref="N99:N162" si="15">N$27+(N$26*P99)-(N$25*(P99^2))+(N$24*(P99^3))</f>
        <v>1987.3071232</v>
      </c>
      <c r="O99" s="2217">
        <f t="shared" si="5"/>
        <v>-2.1708892999997715</v>
      </c>
      <c r="P99" s="2212">
        <v>236</v>
      </c>
      <c r="Q99" s="2219"/>
      <c r="R99" s="2213"/>
      <c r="S99" s="2219"/>
      <c r="T99" s="2213"/>
    </row>
    <row r="100" spans="1:20">
      <c r="A100" s="2217">
        <f t="shared" si="6"/>
        <v>-7.0268611199980127</v>
      </c>
      <c r="B100" s="2217">
        <f t="shared" si="14"/>
        <v>4856.6241999999993</v>
      </c>
      <c r="C100" s="2217">
        <f t="shared" ref="C100:C163" si="16">B100-B101</f>
        <v>1.1549024000005375</v>
      </c>
      <c r="D100" s="2212">
        <v>235</v>
      </c>
      <c r="E100" s="2219"/>
      <c r="F100" s="2213"/>
      <c r="G100" s="2219"/>
      <c r="H100" s="2213"/>
      <c r="I100" s="2213"/>
      <c r="J100" s="2213"/>
      <c r="K100" s="2213"/>
      <c r="L100" s="263"/>
      <c r="M100" s="2217">
        <f t="shared" si="7"/>
        <v>-16.46789868300171</v>
      </c>
      <c r="N100" s="2217">
        <f t="shared" si="15"/>
        <v>1989.4780124999997</v>
      </c>
      <c r="O100" s="2217">
        <f t="shared" ref="O100:O163" si="17">N100-N101</f>
        <v>-2.1443563000007089</v>
      </c>
      <c r="P100" s="2212">
        <v>235</v>
      </c>
      <c r="Q100" s="2219"/>
      <c r="R100" s="2213"/>
      <c r="S100" s="2219"/>
      <c r="T100" s="2213"/>
    </row>
    <row r="101" spans="1:20">
      <c r="A101" s="2217">
        <f t="shared" ref="A101:A164" si="18">(C101*(B$7-B$9))-B$8</f>
        <v>-6.986226240000998</v>
      </c>
      <c r="B101" s="2217">
        <f t="shared" si="14"/>
        <v>4855.4692975999988</v>
      </c>
      <c r="C101" s="2217">
        <f t="shared" si="16"/>
        <v>1.1658847999997306</v>
      </c>
      <c r="D101" s="2212">
        <v>234</v>
      </c>
      <c r="E101" s="2219"/>
      <c r="F101" s="2213"/>
      <c r="G101" s="2219"/>
      <c r="H101" s="2213"/>
      <c r="I101" s="2213"/>
      <c r="J101" s="2213"/>
      <c r="K101" s="2213"/>
      <c r="L101" s="263"/>
      <c r="M101" s="2217">
        <f t="shared" ref="M101:M164" si="19">(O101*(N$7-N$9))-N$8</f>
        <v>-16.403163191000651</v>
      </c>
      <c r="N101" s="2217">
        <f t="shared" si="15"/>
        <v>1991.6223688000005</v>
      </c>
      <c r="O101" s="2217">
        <f t="shared" si="17"/>
        <v>-2.1174951000002693</v>
      </c>
      <c r="P101" s="2212">
        <v>234</v>
      </c>
      <c r="Q101" s="2219"/>
      <c r="R101" s="2213"/>
      <c r="S101" s="2219"/>
      <c r="T101" s="2213"/>
    </row>
    <row r="102" spans="1:20">
      <c r="A102" s="2217">
        <f t="shared" si="18"/>
        <v>-6.9434956800038901</v>
      </c>
      <c r="B102" s="2217">
        <f t="shared" si="14"/>
        <v>4854.303412799999</v>
      </c>
      <c r="C102" s="2217">
        <f t="shared" si="16"/>
        <v>1.1774335999989489</v>
      </c>
      <c r="D102" s="2212">
        <v>233</v>
      </c>
      <c r="E102" s="2219"/>
      <c r="F102" s="2213"/>
      <c r="G102" s="2219"/>
      <c r="H102" s="2213"/>
      <c r="I102" s="2213"/>
      <c r="J102" s="2213"/>
      <c r="K102" s="2213"/>
      <c r="L102" s="263"/>
      <c r="M102" s="2217">
        <f t="shared" si="19"/>
        <v>-16.337636736996821</v>
      </c>
      <c r="N102" s="2217">
        <f t="shared" si="15"/>
        <v>1993.7398639000007</v>
      </c>
      <c r="O102" s="2217">
        <f t="shared" si="17"/>
        <v>-2.0903056999986802</v>
      </c>
      <c r="P102" s="2212">
        <v>233</v>
      </c>
      <c r="Q102" s="2219"/>
      <c r="R102" s="2213"/>
      <c r="S102" s="2219"/>
      <c r="T102" s="2213"/>
    </row>
    <row r="103" spans="1:20">
      <c r="A103" s="2217">
        <f t="shared" si="18"/>
        <v>-6.8986694399965938</v>
      </c>
      <c r="B103" s="2217">
        <f t="shared" si="14"/>
        <v>4853.1259792000001</v>
      </c>
      <c r="C103" s="2217">
        <f t="shared" si="16"/>
        <v>1.1895488000009209</v>
      </c>
      <c r="D103" s="2212">
        <v>232</v>
      </c>
      <c r="E103" s="2219"/>
      <c r="F103" s="2213"/>
      <c r="G103" s="2219"/>
      <c r="H103" s="2213"/>
      <c r="I103" s="2213"/>
      <c r="J103" s="2213"/>
      <c r="K103" s="2213"/>
      <c r="L103" s="263"/>
      <c r="M103" s="2217">
        <f t="shared" si="19"/>
        <v>-16.27131932100118</v>
      </c>
      <c r="N103" s="2217">
        <f t="shared" si="15"/>
        <v>1995.8301695999994</v>
      </c>
      <c r="O103" s="2217">
        <f t="shared" si="17"/>
        <v>-2.0627881000004891</v>
      </c>
      <c r="P103" s="2212">
        <v>232</v>
      </c>
      <c r="Q103" s="2219"/>
      <c r="R103" s="2213"/>
      <c r="S103" s="2219"/>
      <c r="T103" s="2213"/>
    </row>
    <row r="104" spans="1:20">
      <c r="A104" s="2217">
        <f t="shared" si="18"/>
        <v>-6.8517475200026645</v>
      </c>
      <c r="B104" s="2217">
        <f t="shared" si="14"/>
        <v>4851.9364303999992</v>
      </c>
      <c r="C104" s="2217">
        <f t="shared" si="16"/>
        <v>1.2022303999992801</v>
      </c>
      <c r="D104" s="2212">
        <v>231</v>
      </c>
      <c r="E104" s="2219"/>
      <c r="F104" s="2213"/>
      <c r="G104" s="2219"/>
      <c r="H104" s="2213"/>
      <c r="I104" s="2213"/>
      <c r="J104" s="2213"/>
      <c r="K104" s="2213"/>
      <c r="L104" s="263"/>
      <c r="M104" s="2217">
        <f t="shared" si="19"/>
        <v>-16.204210943000575</v>
      </c>
      <c r="N104" s="2217">
        <f t="shared" si="15"/>
        <v>1997.8929576999999</v>
      </c>
      <c r="O104" s="2217">
        <f t="shared" si="17"/>
        <v>-2.0349423000002389</v>
      </c>
      <c r="P104" s="2212">
        <v>231</v>
      </c>
      <c r="Q104" s="2219"/>
      <c r="R104" s="2213"/>
      <c r="S104" s="2219"/>
      <c r="T104" s="2213"/>
    </row>
    <row r="105" spans="1:20">
      <c r="A105" s="2217">
        <f t="shared" si="18"/>
        <v>-6.8027299199985478</v>
      </c>
      <c r="B105" s="2217">
        <f t="shared" si="14"/>
        <v>4850.7341999999999</v>
      </c>
      <c r="C105" s="2217">
        <f t="shared" si="16"/>
        <v>1.2154784000003929</v>
      </c>
      <c r="D105" s="2212">
        <v>230</v>
      </c>
      <c r="E105" s="2219"/>
      <c r="F105" s="2213"/>
      <c r="G105" s="2219"/>
      <c r="H105" s="2213"/>
      <c r="I105" s="2213"/>
      <c r="J105" s="2213"/>
      <c r="K105" s="2213"/>
      <c r="L105" s="263"/>
      <c r="M105" s="2217">
        <f t="shared" si="19"/>
        <v>-16.136311602999395</v>
      </c>
      <c r="N105" s="2217">
        <f t="shared" si="15"/>
        <v>1999.9279000000001</v>
      </c>
      <c r="O105" s="2217">
        <f t="shared" si="17"/>
        <v>-2.0067682999997487</v>
      </c>
      <c r="P105" s="2212">
        <v>230</v>
      </c>
      <c r="Q105" s="2219"/>
      <c r="R105" s="2213"/>
      <c r="S105" s="2219"/>
      <c r="T105" s="2213"/>
    </row>
    <row r="106" spans="1:20">
      <c r="A106" s="2217">
        <f t="shared" si="18"/>
        <v>-6.7516166399977022</v>
      </c>
      <c r="B106" s="2217">
        <f t="shared" si="14"/>
        <v>4849.5187215999995</v>
      </c>
      <c r="C106" s="2217">
        <f t="shared" si="16"/>
        <v>1.2292928000006214</v>
      </c>
      <c r="D106" s="2212">
        <v>229</v>
      </c>
      <c r="E106" s="2219"/>
      <c r="F106" s="2213"/>
      <c r="G106" s="2219"/>
      <c r="H106" s="2213"/>
      <c r="I106" s="2213"/>
      <c r="J106" s="2213"/>
      <c r="K106" s="2213"/>
      <c r="L106" s="263"/>
      <c r="M106" s="2217">
        <f t="shared" si="19"/>
        <v>-16.067621301000923</v>
      </c>
      <c r="N106" s="2217">
        <f t="shared" si="15"/>
        <v>2001.9346682999999</v>
      </c>
      <c r="O106" s="2217">
        <f t="shared" si="17"/>
        <v>-1.9782661000003827</v>
      </c>
      <c r="P106" s="2212">
        <v>229</v>
      </c>
      <c r="Q106" s="2219"/>
      <c r="R106" s="2213"/>
      <c r="S106" s="2219"/>
      <c r="T106" s="2213"/>
    </row>
    <row r="107" spans="1:20">
      <c r="A107" s="2217">
        <f t="shared" si="18"/>
        <v>-6.6984076800001287</v>
      </c>
      <c r="B107" s="2217">
        <f t="shared" si="14"/>
        <v>4848.2894287999989</v>
      </c>
      <c r="C107" s="2217">
        <f t="shared" si="16"/>
        <v>1.2436735999999655</v>
      </c>
      <c r="D107" s="2212">
        <v>228</v>
      </c>
      <c r="E107" s="2219"/>
      <c r="F107" s="2213"/>
      <c r="G107" s="2219"/>
      <c r="H107" s="2213"/>
      <c r="I107" s="2213"/>
      <c r="J107" s="2213"/>
      <c r="K107" s="2213"/>
      <c r="L107" s="263"/>
      <c r="M107" s="2217">
        <f t="shared" si="19"/>
        <v>-15.998140036999681</v>
      </c>
      <c r="N107" s="2217">
        <f t="shared" si="15"/>
        <v>2003.9129344000003</v>
      </c>
      <c r="O107" s="2217">
        <f t="shared" si="17"/>
        <v>-1.9494356999998672</v>
      </c>
      <c r="P107" s="2212">
        <v>228</v>
      </c>
      <c r="Q107" s="2219"/>
      <c r="R107" s="2213"/>
      <c r="S107" s="2219"/>
      <c r="T107" s="2213"/>
    </row>
    <row r="108" spans="1:20">
      <c r="A108" s="2217">
        <f t="shared" si="18"/>
        <v>-6.6431030400024618</v>
      </c>
      <c r="B108" s="2217">
        <f t="shared" si="14"/>
        <v>4847.0457551999989</v>
      </c>
      <c r="C108" s="2217">
        <f t="shared" si="16"/>
        <v>1.2586207999993348</v>
      </c>
      <c r="D108" s="2212">
        <v>227</v>
      </c>
      <c r="E108" s="2219"/>
      <c r="F108" s="2213"/>
      <c r="G108" s="2219"/>
      <c r="H108" s="2213"/>
      <c r="I108" s="2213"/>
      <c r="J108" s="2213"/>
      <c r="K108" s="2213"/>
      <c r="L108" s="263"/>
      <c r="M108" s="2217">
        <f t="shared" si="19"/>
        <v>-15.927867811000052</v>
      </c>
      <c r="N108" s="2217">
        <f t="shared" si="15"/>
        <v>2005.8623701000001</v>
      </c>
      <c r="O108" s="2217">
        <f t="shared" si="17"/>
        <v>-1.9202771000000212</v>
      </c>
      <c r="P108" s="2212">
        <v>227</v>
      </c>
      <c r="Q108" s="2219"/>
      <c r="R108" s="2213"/>
      <c r="S108" s="2219"/>
      <c r="T108" s="2213"/>
    </row>
    <row r="109" spans="1:20">
      <c r="A109" s="2217">
        <f t="shared" si="18"/>
        <v>-6.5857027199979719</v>
      </c>
      <c r="B109" s="2217">
        <f t="shared" si="14"/>
        <v>4845.7871343999996</v>
      </c>
      <c r="C109" s="2217">
        <f t="shared" si="16"/>
        <v>1.2741344000005483</v>
      </c>
      <c r="D109" s="2212">
        <v>226</v>
      </c>
      <c r="E109" s="2219"/>
      <c r="F109" s="2213"/>
      <c r="G109" s="2219"/>
      <c r="H109" s="2213"/>
      <c r="I109" s="2213"/>
      <c r="J109" s="2213"/>
      <c r="K109" s="2213"/>
      <c r="L109" s="263"/>
      <c r="M109" s="2217">
        <f t="shared" si="19"/>
        <v>-15.856804622999297</v>
      </c>
      <c r="N109" s="2217">
        <f t="shared" si="15"/>
        <v>2007.7826472000002</v>
      </c>
      <c r="O109" s="2217">
        <f t="shared" si="17"/>
        <v>-1.8907902999997077</v>
      </c>
      <c r="P109" s="2212">
        <v>226</v>
      </c>
      <c r="Q109" s="2219"/>
      <c r="R109" s="2213"/>
      <c r="S109" s="2219"/>
      <c r="T109" s="2213"/>
    </row>
    <row r="110" spans="1:20">
      <c r="A110" s="2217">
        <f t="shared" si="18"/>
        <v>-6.5262067200034846</v>
      </c>
      <c r="B110" s="2217">
        <f t="shared" si="14"/>
        <v>4844.512999999999</v>
      </c>
      <c r="C110" s="2217">
        <f t="shared" si="16"/>
        <v>1.2902143999990585</v>
      </c>
      <c r="D110" s="2212">
        <v>225</v>
      </c>
      <c r="E110" s="2219"/>
      <c r="F110" s="2213"/>
      <c r="G110" s="2219"/>
      <c r="H110" s="2213"/>
      <c r="I110" s="2213"/>
      <c r="J110" s="2213"/>
      <c r="K110" s="2213"/>
      <c r="L110" s="263"/>
      <c r="M110" s="2217">
        <f t="shared" si="19"/>
        <v>-15.784950473000702</v>
      </c>
      <c r="N110" s="2217">
        <f t="shared" si="15"/>
        <v>2009.6734374999999</v>
      </c>
      <c r="O110" s="2217">
        <f t="shared" si="17"/>
        <v>-1.8609753000002911</v>
      </c>
      <c r="P110" s="2212">
        <v>225</v>
      </c>
      <c r="Q110" s="2219"/>
      <c r="R110" s="2213"/>
      <c r="S110" s="2219"/>
      <c r="T110" s="2213"/>
    </row>
    <row r="111" spans="1:20">
      <c r="A111" s="2217">
        <f t="shared" si="18"/>
        <v>-6.464615039998808</v>
      </c>
      <c r="B111" s="2217">
        <f t="shared" si="14"/>
        <v>4843.2227856</v>
      </c>
      <c r="C111" s="2217">
        <f t="shared" si="16"/>
        <v>1.3068608000003223</v>
      </c>
      <c r="D111" s="2212">
        <v>224</v>
      </c>
      <c r="E111" s="2219"/>
      <c r="F111" s="2213"/>
      <c r="G111" s="2219"/>
      <c r="H111" s="2213"/>
      <c r="I111" s="2213"/>
      <c r="J111" s="2213"/>
      <c r="K111" s="2213"/>
      <c r="L111" s="263"/>
      <c r="M111" s="2217">
        <f t="shared" si="19"/>
        <v>-15.712305360999885</v>
      </c>
      <c r="N111" s="2217">
        <f t="shared" si="15"/>
        <v>2011.5344128000002</v>
      </c>
      <c r="O111" s="2217">
        <f t="shared" si="17"/>
        <v>-1.8308320999999523</v>
      </c>
      <c r="P111" s="2212">
        <v>224</v>
      </c>
      <c r="Q111" s="2219"/>
      <c r="R111" s="2213"/>
      <c r="S111" s="2219"/>
      <c r="T111" s="2213"/>
    </row>
    <row r="112" spans="1:20">
      <c r="A112" s="2217">
        <f t="shared" si="18"/>
        <v>-6.4009276799974044</v>
      </c>
      <c r="B112" s="2217">
        <f t="shared" si="14"/>
        <v>4841.9159247999996</v>
      </c>
      <c r="C112" s="2217">
        <f t="shared" si="16"/>
        <v>1.3240736000007018</v>
      </c>
      <c r="D112" s="2212">
        <v>223</v>
      </c>
      <c r="E112" s="2219"/>
      <c r="F112" s="2213"/>
      <c r="G112" s="2219"/>
      <c r="H112" s="2213"/>
      <c r="I112" s="2213"/>
      <c r="J112" s="2213"/>
      <c r="K112" s="2213"/>
      <c r="L112" s="263"/>
      <c r="M112" s="2217">
        <f t="shared" si="19"/>
        <v>-15.638869286999039</v>
      </c>
      <c r="N112" s="2217">
        <f t="shared" si="15"/>
        <v>2013.3652449000001</v>
      </c>
      <c r="O112" s="2217">
        <f t="shared" si="17"/>
        <v>-1.8003606999996009</v>
      </c>
      <c r="P112" s="2212">
        <v>223</v>
      </c>
      <c r="Q112" s="2219"/>
      <c r="R112" s="2213"/>
      <c r="S112" s="2219"/>
      <c r="T112" s="2213"/>
    </row>
    <row r="113" spans="1:20">
      <c r="A113" s="2217">
        <f t="shared" si="18"/>
        <v>-6.3351446399992719</v>
      </c>
      <c r="B113" s="2217">
        <f t="shared" si="14"/>
        <v>4840.5918511999989</v>
      </c>
      <c r="C113" s="2217">
        <f t="shared" si="16"/>
        <v>1.341852800000197</v>
      </c>
      <c r="D113" s="2212">
        <v>222</v>
      </c>
      <c r="E113" s="2219"/>
      <c r="F113" s="2213"/>
      <c r="G113" s="2219"/>
      <c r="H113" s="2213"/>
      <c r="I113" s="2213"/>
      <c r="J113" s="2213"/>
      <c r="K113" s="2213"/>
      <c r="L113" s="263"/>
      <c r="M113" s="2217">
        <f t="shared" si="19"/>
        <v>-15.564642251000354</v>
      </c>
      <c r="N113" s="2217">
        <f t="shared" si="15"/>
        <v>2015.1656055999997</v>
      </c>
      <c r="O113" s="2217">
        <f t="shared" si="17"/>
        <v>-1.7695611000001463</v>
      </c>
      <c r="P113" s="2212">
        <v>222</v>
      </c>
      <c r="Q113" s="2219"/>
      <c r="R113" s="2213"/>
      <c r="S113" s="2219"/>
      <c r="T113" s="2213"/>
    </row>
    <row r="114" spans="1:20">
      <c r="A114" s="2217">
        <f t="shared" si="18"/>
        <v>-6.267265920001047</v>
      </c>
      <c r="B114" s="2217">
        <f t="shared" si="14"/>
        <v>4839.2499983999987</v>
      </c>
      <c r="C114" s="2217">
        <f t="shared" si="16"/>
        <v>1.3601983999997174</v>
      </c>
      <c r="D114" s="2212">
        <v>221</v>
      </c>
      <c r="E114" s="2219"/>
      <c r="F114" s="2213"/>
      <c r="G114" s="2219"/>
      <c r="H114" s="2213"/>
      <c r="I114" s="2213"/>
      <c r="J114" s="2213"/>
      <c r="K114" s="2213"/>
      <c r="L114" s="263"/>
      <c r="M114" s="2217">
        <f t="shared" si="19"/>
        <v>-15.489624253000542</v>
      </c>
      <c r="N114" s="2217">
        <f t="shared" si="15"/>
        <v>2016.9351666999999</v>
      </c>
      <c r="O114" s="2217">
        <f t="shared" si="17"/>
        <v>-1.7384333000002243</v>
      </c>
      <c r="P114" s="2212">
        <v>221</v>
      </c>
      <c r="Q114" s="2219"/>
      <c r="R114" s="2213"/>
      <c r="S114" s="2219"/>
      <c r="T114" s="2213"/>
    </row>
    <row r="115" spans="1:20">
      <c r="A115" s="2217">
        <f t="shared" si="18"/>
        <v>-6.1972915200027288</v>
      </c>
      <c r="B115" s="2217">
        <f t="shared" si="14"/>
        <v>4837.889799999999</v>
      </c>
      <c r="C115" s="2217">
        <f t="shared" si="16"/>
        <v>1.3791103999992629</v>
      </c>
      <c r="D115" s="2212">
        <v>220</v>
      </c>
      <c r="E115" s="2219"/>
      <c r="F115" s="2213"/>
      <c r="G115" s="2219"/>
      <c r="H115" s="2213"/>
      <c r="I115" s="2213"/>
      <c r="J115" s="2213"/>
      <c r="K115" s="2213"/>
      <c r="L115" s="263"/>
      <c r="M115" s="2217">
        <f t="shared" si="19"/>
        <v>-15.413815293000152</v>
      </c>
      <c r="N115" s="2217">
        <f t="shared" si="15"/>
        <v>2018.6736000000001</v>
      </c>
      <c r="O115" s="2217">
        <f t="shared" si="17"/>
        <v>-1.7069773000000623</v>
      </c>
      <c r="P115" s="2212">
        <v>220</v>
      </c>
      <c r="Q115" s="2219"/>
      <c r="R115" s="2213"/>
      <c r="S115" s="2219"/>
      <c r="T115" s="2213"/>
    </row>
    <row r="116" spans="1:20">
      <c r="A116" s="2217">
        <f t="shared" si="18"/>
        <v>-6.1252214399975866</v>
      </c>
      <c r="B116" s="2217">
        <f t="shared" si="14"/>
        <v>4836.5106895999998</v>
      </c>
      <c r="C116" s="2217">
        <f t="shared" si="16"/>
        <v>1.3985888000006526</v>
      </c>
      <c r="D116" s="2212">
        <v>219</v>
      </c>
      <c r="E116" s="2219"/>
      <c r="F116" s="2213"/>
      <c r="G116" s="2219"/>
      <c r="H116" s="2213"/>
      <c r="I116" s="2213"/>
      <c r="J116" s="2213"/>
      <c r="K116" s="2213"/>
      <c r="L116" s="263"/>
      <c r="M116" s="2217">
        <f t="shared" si="19"/>
        <v>-15.337215370999182</v>
      </c>
      <c r="N116" s="2217">
        <f t="shared" si="15"/>
        <v>2020.3805773000001</v>
      </c>
      <c r="O116" s="2217">
        <f t="shared" si="17"/>
        <v>-1.6751930999996603</v>
      </c>
      <c r="P116" s="2212">
        <v>219</v>
      </c>
      <c r="Q116" s="2219"/>
      <c r="R116" s="2213"/>
      <c r="S116" s="2219"/>
      <c r="T116" s="2213"/>
    </row>
    <row r="117" spans="1:20">
      <c r="A117" s="2217">
        <f t="shared" si="18"/>
        <v>-6.0510556800024471</v>
      </c>
      <c r="B117" s="2217">
        <f t="shared" si="14"/>
        <v>4835.1121007999991</v>
      </c>
      <c r="C117" s="2217">
        <f t="shared" si="16"/>
        <v>1.4186335999993389</v>
      </c>
      <c r="D117" s="2212">
        <v>218</v>
      </c>
      <c r="E117" s="2219"/>
      <c r="F117" s="2213"/>
      <c r="G117" s="2219"/>
      <c r="H117" s="2213"/>
      <c r="I117" s="2213"/>
      <c r="J117" s="2213"/>
      <c r="K117" s="2213"/>
      <c r="L117" s="263"/>
      <c r="M117" s="2217">
        <f t="shared" si="19"/>
        <v>-15.259824487000374</v>
      </c>
      <c r="N117" s="2217">
        <f t="shared" si="15"/>
        <v>2022.0557703999998</v>
      </c>
      <c r="O117" s="2217">
        <f t="shared" si="17"/>
        <v>-1.643080700000155</v>
      </c>
      <c r="P117" s="2212">
        <v>218</v>
      </c>
      <c r="Q117" s="2219"/>
      <c r="R117" s="2213"/>
      <c r="S117" s="2219"/>
      <c r="T117" s="2213"/>
    </row>
    <row r="118" spans="1:20">
      <c r="A118" s="2217">
        <f t="shared" si="18"/>
        <v>-5.9747942400004845</v>
      </c>
      <c r="B118" s="2217">
        <f t="shared" si="14"/>
        <v>4833.6934671999998</v>
      </c>
      <c r="C118" s="2217">
        <f t="shared" si="16"/>
        <v>1.4392447999998694</v>
      </c>
      <c r="D118" s="2212">
        <v>217</v>
      </c>
      <c r="E118" s="2219"/>
      <c r="F118" s="2213"/>
      <c r="G118" s="2219"/>
      <c r="H118" s="2213"/>
      <c r="I118" s="2213"/>
      <c r="J118" s="2213"/>
      <c r="K118" s="2213"/>
      <c r="L118" s="263"/>
      <c r="M118" s="2217">
        <f t="shared" si="19"/>
        <v>-15.18164264100044</v>
      </c>
      <c r="N118" s="2217">
        <f t="shared" si="15"/>
        <v>2023.6988511</v>
      </c>
      <c r="O118" s="2217">
        <f t="shared" si="17"/>
        <v>-1.6106401000001824</v>
      </c>
      <c r="P118" s="2212">
        <v>217</v>
      </c>
      <c r="Q118" s="2219"/>
      <c r="R118" s="2213"/>
      <c r="S118" s="2219"/>
      <c r="T118" s="2213"/>
    </row>
    <row r="119" spans="1:20">
      <c r="A119" s="2217">
        <f t="shared" si="18"/>
        <v>-5.8964371199984278</v>
      </c>
      <c r="B119" s="2217">
        <f t="shared" si="14"/>
        <v>4832.2542223999999</v>
      </c>
      <c r="C119" s="2217">
        <f t="shared" si="16"/>
        <v>1.4604224000004251</v>
      </c>
      <c r="D119" s="2212">
        <v>216</v>
      </c>
      <c r="E119" s="2219"/>
      <c r="F119" s="2213"/>
      <c r="G119" s="2219"/>
      <c r="H119" s="2213"/>
      <c r="I119" s="2213"/>
      <c r="J119" s="2213"/>
      <c r="K119" s="2213"/>
      <c r="L119" s="263"/>
      <c r="M119" s="2217">
        <f t="shared" si="19"/>
        <v>-15.10266983299938</v>
      </c>
      <c r="N119" s="2217">
        <f t="shared" si="15"/>
        <v>2025.3094912000001</v>
      </c>
      <c r="O119" s="2217">
        <f t="shared" si="17"/>
        <v>-1.5778712999997424</v>
      </c>
      <c r="P119" s="2212">
        <v>216</v>
      </c>
      <c r="Q119" s="2219"/>
      <c r="R119" s="2213"/>
      <c r="S119" s="2219"/>
      <c r="T119" s="2213"/>
    </row>
    <row r="120" spans="1:20">
      <c r="A120" s="2217">
        <f t="shared" si="18"/>
        <v>-5.8159843199996439</v>
      </c>
      <c r="B120" s="2217">
        <f t="shared" si="14"/>
        <v>4830.7937999999995</v>
      </c>
      <c r="C120" s="2217">
        <f t="shared" si="16"/>
        <v>1.4821664000000965</v>
      </c>
      <c r="D120" s="2212">
        <v>215</v>
      </c>
      <c r="E120" s="2219"/>
      <c r="F120" s="2213"/>
      <c r="G120" s="2219"/>
      <c r="H120" s="2213"/>
      <c r="I120" s="2213"/>
      <c r="J120" s="2213"/>
      <c r="K120" s="2213"/>
      <c r="L120" s="263"/>
      <c r="M120" s="2217">
        <f t="shared" si="19"/>
        <v>-15.02290606300048</v>
      </c>
      <c r="N120" s="2217">
        <f t="shared" si="15"/>
        <v>2026.8873624999999</v>
      </c>
      <c r="O120" s="2217">
        <f t="shared" si="17"/>
        <v>-1.5447743000001992</v>
      </c>
      <c r="P120" s="2212">
        <v>215</v>
      </c>
      <c r="Q120" s="2219"/>
      <c r="R120" s="2213"/>
      <c r="S120" s="2219"/>
      <c r="T120" s="2213"/>
    </row>
    <row r="121" spans="1:20">
      <c r="A121" s="2217">
        <f t="shared" si="18"/>
        <v>-5.7334358400007668</v>
      </c>
      <c r="B121" s="2217">
        <f t="shared" si="14"/>
        <v>4829.3116335999994</v>
      </c>
      <c r="C121" s="2217">
        <f t="shared" si="16"/>
        <v>1.504476799999793</v>
      </c>
      <c r="D121" s="2212">
        <v>214</v>
      </c>
      <c r="E121" s="2219"/>
      <c r="F121" s="2213"/>
      <c r="G121" s="2219"/>
      <c r="H121" s="2213"/>
      <c r="I121" s="2213"/>
      <c r="J121" s="2213"/>
      <c r="K121" s="2213"/>
      <c r="L121" s="263"/>
      <c r="M121" s="2217">
        <f t="shared" si="19"/>
        <v>-14.942351331000456</v>
      </c>
      <c r="N121" s="2217">
        <f t="shared" si="15"/>
        <v>2028.4321368000001</v>
      </c>
      <c r="O121" s="2217">
        <f t="shared" si="17"/>
        <v>-1.5113491000001886</v>
      </c>
      <c r="P121" s="2212">
        <v>214</v>
      </c>
      <c r="Q121" s="2219"/>
      <c r="R121" s="2213"/>
      <c r="S121" s="2219"/>
      <c r="T121" s="2213"/>
    </row>
    <row r="122" spans="1:20">
      <c r="A122" s="2217">
        <f t="shared" si="18"/>
        <v>-5.6487916799984319</v>
      </c>
      <c r="B122" s="2217">
        <f t="shared" si="14"/>
        <v>4827.8071567999996</v>
      </c>
      <c r="C122" s="2217">
        <f t="shared" si="16"/>
        <v>1.5273536000004242</v>
      </c>
      <c r="D122" s="2212">
        <v>213</v>
      </c>
      <c r="E122" s="2219"/>
      <c r="F122" s="2213"/>
      <c r="G122" s="2219"/>
      <c r="H122" s="2213"/>
      <c r="I122" s="2213"/>
      <c r="J122" s="2213"/>
      <c r="K122" s="2213"/>
      <c r="L122" s="263"/>
      <c r="M122" s="2217">
        <f t="shared" si="19"/>
        <v>-14.861005636999304</v>
      </c>
      <c r="N122" s="2217">
        <f t="shared" si="15"/>
        <v>2029.9434859000003</v>
      </c>
      <c r="O122" s="2217">
        <f t="shared" si="17"/>
        <v>-1.4775956999997106</v>
      </c>
      <c r="P122" s="2212">
        <v>213</v>
      </c>
      <c r="Q122" s="2219"/>
      <c r="R122" s="2213"/>
      <c r="S122" s="2219"/>
      <c r="T122" s="2213"/>
    </row>
    <row r="123" spans="1:20">
      <c r="A123" s="2217">
        <f t="shared" si="18"/>
        <v>-5.5620518399993681</v>
      </c>
      <c r="B123" s="2217">
        <f t="shared" si="14"/>
        <v>4826.2798031999992</v>
      </c>
      <c r="C123" s="2217">
        <f t="shared" si="16"/>
        <v>1.5507968000001711</v>
      </c>
      <c r="D123" s="2212">
        <v>212</v>
      </c>
      <c r="E123" s="2219"/>
      <c r="F123" s="2213"/>
      <c r="G123" s="2219"/>
      <c r="H123" s="2213"/>
      <c r="I123" s="2213"/>
      <c r="J123" s="2213"/>
      <c r="K123" s="2213"/>
      <c r="L123" s="263"/>
      <c r="M123" s="2217">
        <f t="shared" si="19"/>
        <v>-14.778868980999764</v>
      </c>
      <c r="N123" s="2217">
        <f t="shared" si="15"/>
        <v>2031.4210816</v>
      </c>
      <c r="O123" s="2217">
        <f t="shared" si="17"/>
        <v>-1.4435140999999021</v>
      </c>
      <c r="P123" s="2212">
        <v>212</v>
      </c>
      <c r="Q123" s="2219"/>
      <c r="R123" s="2213"/>
      <c r="S123" s="2219"/>
      <c r="T123" s="2213"/>
    </row>
    <row r="124" spans="1:20">
      <c r="A124" s="2217">
        <f t="shared" si="18"/>
        <v>-5.4732163200035764</v>
      </c>
      <c r="B124" s="2217">
        <f t="shared" si="14"/>
        <v>4824.729006399999</v>
      </c>
      <c r="C124" s="2217">
        <f t="shared" si="16"/>
        <v>1.5748063999990336</v>
      </c>
      <c r="D124" s="2212">
        <v>211</v>
      </c>
      <c r="E124" s="2219"/>
      <c r="F124" s="2213"/>
      <c r="G124" s="2219"/>
      <c r="H124" s="2213"/>
      <c r="I124" s="2213"/>
      <c r="J124" s="2213"/>
      <c r="K124" s="2213"/>
      <c r="L124" s="263"/>
      <c r="M124" s="2217">
        <f t="shared" si="19"/>
        <v>-14.695941363000744</v>
      </c>
      <c r="N124" s="2217">
        <f t="shared" si="15"/>
        <v>2032.8645956999999</v>
      </c>
      <c r="O124" s="2217">
        <f t="shared" si="17"/>
        <v>-1.4091043000003083</v>
      </c>
      <c r="P124" s="2212">
        <v>211</v>
      </c>
      <c r="Q124" s="2219"/>
      <c r="R124" s="2213"/>
      <c r="S124" s="2219"/>
      <c r="T124" s="2213"/>
    </row>
    <row r="125" spans="1:20">
      <c r="A125" s="2217">
        <f t="shared" si="18"/>
        <v>-5.3822851199975972</v>
      </c>
      <c r="B125" s="2217">
        <f t="shared" si="14"/>
        <v>4823.1541999999999</v>
      </c>
      <c r="C125" s="2217">
        <f t="shared" si="16"/>
        <v>1.5993824000006498</v>
      </c>
      <c r="D125" s="2212">
        <v>210</v>
      </c>
      <c r="E125" s="2219"/>
      <c r="F125" s="2213"/>
      <c r="G125" s="2219"/>
      <c r="H125" s="2213"/>
      <c r="I125" s="2213"/>
      <c r="J125" s="2213"/>
      <c r="K125" s="2213"/>
      <c r="L125" s="263"/>
      <c r="M125" s="2217">
        <f t="shared" si="19"/>
        <v>-14.612222783000048</v>
      </c>
      <c r="N125" s="2217">
        <f t="shared" si="15"/>
        <v>2034.2737000000002</v>
      </c>
      <c r="O125" s="2217">
        <f t="shared" si="17"/>
        <v>-1.3743663000000197</v>
      </c>
      <c r="P125" s="2212">
        <v>210</v>
      </c>
      <c r="Q125" s="2219"/>
      <c r="R125" s="2213"/>
      <c r="S125" s="2219"/>
      <c r="T125" s="2213"/>
    </row>
    <row r="126" spans="1:20">
      <c r="A126" s="2217">
        <f t="shared" si="18"/>
        <v>-5.2892582399982544</v>
      </c>
      <c r="B126" s="2217">
        <f t="shared" si="14"/>
        <v>4821.5548175999993</v>
      </c>
      <c r="C126" s="2217">
        <f t="shared" si="16"/>
        <v>1.6245248000004722</v>
      </c>
      <c r="D126" s="2212">
        <v>209</v>
      </c>
      <c r="E126" s="2219"/>
      <c r="F126" s="2213"/>
      <c r="G126" s="2219"/>
      <c r="H126" s="2213"/>
      <c r="I126" s="2213"/>
      <c r="J126" s="2213"/>
      <c r="K126" s="2213"/>
      <c r="L126" s="263"/>
      <c r="M126" s="2217">
        <f t="shared" si="19"/>
        <v>-14.527713240998775</v>
      </c>
      <c r="N126" s="2217">
        <f t="shared" si="15"/>
        <v>2035.6480663000002</v>
      </c>
      <c r="O126" s="2217">
        <f t="shared" si="17"/>
        <v>-1.3393000999994911</v>
      </c>
      <c r="P126" s="2212">
        <v>209</v>
      </c>
      <c r="Q126" s="2219"/>
      <c r="R126" s="2213"/>
      <c r="S126" s="2219"/>
      <c r="T126" s="2213"/>
    </row>
    <row r="127" spans="1:20">
      <c r="A127" s="2217">
        <f t="shared" si="18"/>
        <v>-5.1941356800021836</v>
      </c>
      <c r="B127" s="2217">
        <f t="shared" si="14"/>
        <v>4819.9302927999988</v>
      </c>
      <c r="C127" s="2217">
        <f t="shared" si="16"/>
        <v>1.6502335999994102</v>
      </c>
      <c r="D127" s="2212">
        <v>208</v>
      </c>
      <c r="E127" s="2219"/>
      <c r="F127" s="2213"/>
      <c r="G127" s="2219"/>
      <c r="H127" s="2213"/>
      <c r="I127" s="2213"/>
      <c r="J127" s="2213"/>
      <c r="K127" s="2213"/>
      <c r="L127" s="263"/>
      <c r="M127" s="2217">
        <f t="shared" si="19"/>
        <v>-14.442412737000209</v>
      </c>
      <c r="N127" s="2217">
        <f t="shared" si="15"/>
        <v>2036.9873663999997</v>
      </c>
      <c r="O127" s="2217">
        <f t="shared" si="17"/>
        <v>-1.3039057000000867</v>
      </c>
      <c r="P127" s="2212">
        <v>208</v>
      </c>
      <c r="Q127" s="2219"/>
      <c r="R127" s="2213"/>
      <c r="S127" s="2219"/>
      <c r="T127" s="2213"/>
    </row>
    <row r="128" spans="1:20">
      <c r="A128" s="2217">
        <f t="shared" si="18"/>
        <v>-5.0969174399992889</v>
      </c>
      <c r="B128" s="2217">
        <f t="shared" si="14"/>
        <v>4818.2800591999994</v>
      </c>
      <c r="C128" s="2217">
        <f t="shared" si="16"/>
        <v>1.6765088000001924</v>
      </c>
      <c r="D128" s="2212">
        <v>207</v>
      </c>
      <c r="E128" s="2219"/>
      <c r="F128" s="2213"/>
      <c r="G128" s="2219"/>
      <c r="H128" s="2213"/>
      <c r="I128" s="2213"/>
      <c r="J128" s="2213"/>
      <c r="K128" s="2213"/>
      <c r="L128" s="263"/>
      <c r="M128" s="2217">
        <f t="shared" si="19"/>
        <v>-14.356321271001066</v>
      </c>
      <c r="N128" s="2217">
        <f t="shared" si="15"/>
        <v>2038.2912720999998</v>
      </c>
      <c r="O128" s="2217">
        <f t="shared" si="17"/>
        <v>-1.2681831000004422</v>
      </c>
      <c r="P128" s="2212">
        <v>207</v>
      </c>
      <c r="Q128" s="2219"/>
      <c r="R128" s="2213"/>
      <c r="S128" s="2219"/>
      <c r="T128" s="2213"/>
    </row>
    <row r="129" spans="1:20">
      <c r="A129" s="2217">
        <f t="shared" si="18"/>
        <v>-4.9976035199996671</v>
      </c>
      <c r="B129" s="2217">
        <f t="shared" si="14"/>
        <v>4816.6035503999992</v>
      </c>
      <c r="C129" s="2217">
        <f t="shared" si="16"/>
        <v>1.7033504000000903</v>
      </c>
      <c r="D129" s="2212">
        <v>206</v>
      </c>
      <c r="E129" s="2219"/>
      <c r="F129" s="2213"/>
      <c r="G129" s="2219"/>
      <c r="H129" s="2213"/>
      <c r="I129" s="2213"/>
      <c r="J129" s="2213"/>
      <c r="K129" s="2213"/>
      <c r="L129" s="263"/>
      <c r="M129" s="2217">
        <f t="shared" si="19"/>
        <v>-14.269438843000248</v>
      </c>
      <c r="N129" s="2217">
        <f t="shared" si="15"/>
        <v>2039.5594552000002</v>
      </c>
      <c r="O129" s="2217">
        <f t="shared" si="17"/>
        <v>-1.232132300000103</v>
      </c>
      <c r="P129" s="2212">
        <v>206</v>
      </c>
      <c r="Q129" s="2219"/>
      <c r="R129" s="2213"/>
      <c r="S129" s="2219"/>
      <c r="T129" s="2213"/>
    </row>
    <row r="130" spans="1:20">
      <c r="A130" s="2217">
        <f t="shared" si="18"/>
        <v>-4.896193919999952</v>
      </c>
      <c r="B130" s="2217">
        <f t="shared" si="14"/>
        <v>4814.9001999999991</v>
      </c>
      <c r="C130" s="2217">
        <f t="shared" si="16"/>
        <v>1.7307584000000134</v>
      </c>
      <c r="D130" s="2212">
        <v>205</v>
      </c>
      <c r="E130" s="2219"/>
      <c r="F130" s="2213"/>
      <c r="G130" s="2219"/>
      <c r="H130" s="2213"/>
      <c r="I130" s="2213"/>
      <c r="J130" s="2213"/>
      <c r="K130" s="2213"/>
      <c r="L130" s="263"/>
      <c r="M130" s="2217">
        <f t="shared" si="19"/>
        <v>-14.181765452998853</v>
      </c>
      <c r="N130" s="2217">
        <f t="shared" si="15"/>
        <v>2040.7915875000003</v>
      </c>
      <c r="O130" s="2217">
        <f t="shared" si="17"/>
        <v>-1.1957532999995237</v>
      </c>
      <c r="P130" s="2212">
        <v>205</v>
      </c>
      <c r="Q130" s="2219"/>
      <c r="R130" s="2213"/>
      <c r="S130" s="2219"/>
      <c r="T130" s="2213"/>
    </row>
    <row r="131" spans="1:20">
      <c r="A131" s="2217">
        <f t="shared" si="18"/>
        <v>-4.7926886400001436</v>
      </c>
      <c r="B131" s="2217">
        <f t="shared" si="14"/>
        <v>4813.1694415999991</v>
      </c>
      <c r="C131" s="2217">
        <f t="shared" si="16"/>
        <v>1.7587327999999616</v>
      </c>
      <c r="D131" s="2212">
        <v>204</v>
      </c>
      <c r="E131" s="2219"/>
      <c r="F131" s="2213"/>
      <c r="G131" s="2219"/>
      <c r="H131" s="2213"/>
      <c r="I131" s="2213"/>
      <c r="J131" s="2213"/>
      <c r="K131" s="2213"/>
      <c r="L131" s="263"/>
      <c r="M131" s="2217">
        <f t="shared" si="19"/>
        <v>-14.093301101000167</v>
      </c>
      <c r="N131" s="2217">
        <f t="shared" si="15"/>
        <v>2041.9873407999999</v>
      </c>
      <c r="O131" s="2217">
        <f t="shared" si="17"/>
        <v>-1.1590461000000687</v>
      </c>
      <c r="P131" s="2212">
        <v>204</v>
      </c>
      <c r="Q131" s="2219"/>
      <c r="R131" s="2213"/>
      <c r="S131" s="2219"/>
      <c r="T131" s="2213"/>
    </row>
    <row r="132" spans="1:20">
      <c r="A132" s="2217">
        <f t="shared" si="18"/>
        <v>-4.6870876800002419</v>
      </c>
      <c r="B132" s="2217">
        <f t="shared" si="14"/>
        <v>4811.4107087999992</v>
      </c>
      <c r="C132" s="2217">
        <f t="shared" si="16"/>
        <v>1.787273599999935</v>
      </c>
      <c r="D132" s="2212">
        <v>203</v>
      </c>
      <c r="E132" s="2219"/>
      <c r="F132" s="2213"/>
      <c r="G132" s="2219"/>
      <c r="H132" s="2213"/>
      <c r="I132" s="2213"/>
      <c r="J132" s="2213"/>
      <c r="K132" s="2213"/>
      <c r="L132" s="263"/>
      <c r="M132" s="2217">
        <f t="shared" si="19"/>
        <v>-14.004045787000354</v>
      </c>
      <c r="N132" s="2217">
        <f t="shared" si="15"/>
        <v>2043.1463868999999</v>
      </c>
      <c r="O132" s="2217">
        <f t="shared" si="17"/>
        <v>-1.1220107000001462</v>
      </c>
      <c r="P132" s="2212">
        <v>203</v>
      </c>
      <c r="Q132" s="2219"/>
      <c r="R132" s="2213"/>
      <c r="S132" s="2219"/>
      <c r="T132" s="2213"/>
    </row>
    <row r="133" spans="1:20">
      <c r="A133" s="2217">
        <f t="shared" si="18"/>
        <v>-4.5793910400002469</v>
      </c>
      <c r="B133" s="2217">
        <f t="shared" si="14"/>
        <v>4809.6234351999992</v>
      </c>
      <c r="C133" s="2217">
        <f t="shared" si="16"/>
        <v>1.8163807999999335</v>
      </c>
      <c r="D133" s="2212">
        <v>202</v>
      </c>
      <c r="E133" s="2219"/>
      <c r="F133" s="2213"/>
      <c r="G133" s="2219"/>
      <c r="H133" s="2213"/>
      <c r="I133" s="2213"/>
      <c r="J133" s="2213"/>
      <c r="K133" s="2213"/>
      <c r="L133" s="263"/>
      <c r="M133" s="2217">
        <f t="shared" si="19"/>
        <v>-13.91399951100051</v>
      </c>
      <c r="N133" s="2217">
        <f t="shared" si="15"/>
        <v>2044.2683976000001</v>
      </c>
      <c r="O133" s="2217">
        <f t="shared" si="17"/>
        <v>-1.0846471000002111</v>
      </c>
      <c r="P133" s="2212">
        <v>202</v>
      </c>
      <c r="Q133" s="2219"/>
      <c r="R133" s="2213"/>
      <c r="S133" s="2219"/>
      <c r="T133" s="2213"/>
    </row>
    <row r="134" spans="1:20">
      <c r="A134" s="2217">
        <f t="shared" si="18"/>
        <v>-4.4695987200035248</v>
      </c>
      <c r="B134" s="2217">
        <f t="shared" si="14"/>
        <v>4807.8070543999993</v>
      </c>
      <c r="C134" s="2217">
        <f t="shared" si="16"/>
        <v>1.8460543999990477</v>
      </c>
      <c r="D134" s="2212">
        <v>201</v>
      </c>
      <c r="E134" s="2219"/>
      <c r="F134" s="2213"/>
      <c r="G134" s="2219"/>
      <c r="H134" s="2213"/>
      <c r="I134" s="2213"/>
      <c r="J134" s="2213"/>
      <c r="K134" s="2213"/>
      <c r="L134" s="263"/>
      <c r="M134" s="2217">
        <f t="shared" si="19"/>
        <v>-13.823162272999539</v>
      </c>
      <c r="N134" s="2217">
        <f t="shared" si="15"/>
        <v>2045.3530447000003</v>
      </c>
      <c r="O134" s="2217">
        <f t="shared" si="17"/>
        <v>-1.0469552999998086</v>
      </c>
      <c r="P134" s="2212">
        <v>201</v>
      </c>
      <c r="Q134" s="2219"/>
      <c r="R134" s="2213"/>
      <c r="S134" s="2219"/>
      <c r="T134" s="2213"/>
    </row>
    <row r="135" spans="1:20">
      <c r="A135" s="2217">
        <f t="shared" si="18"/>
        <v>-4.3577107199966134</v>
      </c>
      <c r="B135" s="2217">
        <f t="shared" si="14"/>
        <v>4805.9610000000002</v>
      </c>
      <c r="C135" s="2217">
        <f t="shared" si="16"/>
        <v>1.8762944000009156</v>
      </c>
      <c r="D135" s="2212">
        <v>200</v>
      </c>
      <c r="E135" s="2219"/>
      <c r="F135" s="2213"/>
      <c r="G135" s="2219"/>
      <c r="H135" s="2213"/>
      <c r="I135" s="2213"/>
      <c r="J135" s="2213"/>
      <c r="K135" s="2213"/>
      <c r="L135" s="263"/>
      <c r="M135" s="2217">
        <f t="shared" si="19"/>
        <v>-13.731534072999635</v>
      </c>
      <c r="N135" s="2217">
        <f t="shared" si="15"/>
        <v>2046.4</v>
      </c>
      <c r="O135" s="2217">
        <f t="shared" si="17"/>
        <v>-1.0089352999998482</v>
      </c>
      <c r="P135" s="2212">
        <v>200</v>
      </c>
      <c r="Q135" s="2219"/>
      <c r="R135" s="2213"/>
      <c r="S135" s="2219"/>
      <c r="T135" s="2213"/>
    </row>
    <row r="136" spans="1:20">
      <c r="A136" s="2217">
        <f t="shared" si="18"/>
        <v>-4.24372704000307</v>
      </c>
      <c r="B136" s="2217">
        <f t="shared" si="14"/>
        <v>4804.0847055999993</v>
      </c>
      <c r="C136" s="2217">
        <f t="shared" si="16"/>
        <v>1.9071007999991707</v>
      </c>
      <c r="D136" s="2212">
        <v>199</v>
      </c>
      <c r="E136" s="2219"/>
      <c r="F136" s="2213"/>
      <c r="G136" s="2219"/>
      <c r="H136" s="2213"/>
      <c r="I136" s="2213"/>
      <c r="J136" s="2213"/>
      <c r="K136" s="2213"/>
      <c r="L136" s="263"/>
      <c r="M136" s="2217">
        <f t="shared" si="19"/>
        <v>-13.639114911000249</v>
      </c>
      <c r="N136" s="2217">
        <f t="shared" si="15"/>
        <v>2047.4089352999999</v>
      </c>
      <c r="O136" s="2217">
        <f t="shared" si="17"/>
        <v>-0.97058710000010251</v>
      </c>
      <c r="P136" s="2212">
        <v>199</v>
      </c>
      <c r="Q136" s="2219"/>
      <c r="R136" s="2213"/>
      <c r="S136" s="2219"/>
      <c r="T136" s="2213"/>
    </row>
    <row r="137" spans="1:20">
      <c r="A137" s="2217">
        <f t="shared" si="18"/>
        <v>-4.127647679995972</v>
      </c>
      <c r="B137" s="2217">
        <f t="shared" si="14"/>
        <v>4802.1776048000002</v>
      </c>
      <c r="C137" s="2217">
        <f t="shared" si="16"/>
        <v>1.9384736000010889</v>
      </c>
      <c r="D137" s="2212">
        <v>198</v>
      </c>
      <c r="E137" s="2219"/>
      <c r="F137" s="2213"/>
      <c r="G137" s="2219"/>
      <c r="H137" s="2213"/>
      <c r="I137" s="2213"/>
      <c r="J137" s="2213"/>
      <c r="K137" s="2213"/>
      <c r="L137" s="263"/>
      <c r="M137" s="2217">
        <f t="shared" si="19"/>
        <v>-13.545904787000282</v>
      </c>
      <c r="N137" s="2217">
        <f t="shared" si="15"/>
        <v>2048.3795224</v>
      </c>
      <c r="O137" s="2217">
        <f t="shared" si="17"/>
        <v>-0.93191070000011678</v>
      </c>
      <c r="P137" s="2212">
        <v>198</v>
      </c>
      <c r="Q137" s="2219"/>
      <c r="R137" s="2213"/>
      <c r="S137" s="2219"/>
      <c r="T137" s="2213"/>
    </row>
    <row r="138" spans="1:20">
      <c r="A138" s="2217">
        <f t="shared" si="18"/>
        <v>-4.009472640002242</v>
      </c>
      <c r="B138" s="2217">
        <f t="shared" si="14"/>
        <v>4800.2391311999991</v>
      </c>
      <c r="C138" s="2217">
        <f t="shared" si="16"/>
        <v>1.9704127999993943</v>
      </c>
      <c r="D138" s="2212">
        <v>197</v>
      </c>
      <c r="E138" s="2219"/>
      <c r="F138" s="2213"/>
      <c r="G138" s="2219"/>
      <c r="H138" s="2213"/>
      <c r="I138" s="2213"/>
      <c r="J138" s="2213"/>
      <c r="K138" s="2213"/>
      <c r="L138" s="263"/>
      <c r="M138" s="2217">
        <f t="shared" si="19"/>
        <v>-13.451903700999738</v>
      </c>
      <c r="N138" s="2217">
        <f t="shared" si="15"/>
        <v>2049.3114331000002</v>
      </c>
      <c r="O138" s="2217">
        <f t="shared" si="17"/>
        <v>-0.89290609999989101</v>
      </c>
      <c r="P138" s="2212">
        <v>197</v>
      </c>
      <c r="Q138" s="2219"/>
      <c r="R138" s="2213"/>
      <c r="S138" s="2219"/>
      <c r="T138" s="2213"/>
    </row>
    <row r="139" spans="1:20">
      <c r="A139" s="2217">
        <f t="shared" si="18"/>
        <v>-3.889201920001689</v>
      </c>
      <c r="B139" s="2217">
        <f t="shared" si="14"/>
        <v>4798.2687183999997</v>
      </c>
      <c r="C139" s="2217">
        <f t="shared" si="16"/>
        <v>2.0029183999995439</v>
      </c>
      <c r="D139" s="2212">
        <v>196</v>
      </c>
      <c r="E139" s="2219"/>
      <c r="F139" s="2213"/>
      <c r="G139" s="2219"/>
      <c r="H139" s="2213"/>
      <c r="I139" s="2213"/>
      <c r="J139" s="2213"/>
      <c r="K139" s="2213"/>
      <c r="L139" s="263"/>
      <c r="M139" s="2217">
        <f t="shared" si="19"/>
        <v>-13.357111653000807</v>
      </c>
      <c r="N139" s="2217">
        <f t="shared" si="15"/>
        <v>2050.2043392</v>
      </c>
      <c r="O139" s="2217">
        <f t="shared" si="17"/>
        <v>-0.85357330000033471</v>
      </c>
      <c r="P139" s="2212">
        <v>196</v>
      </c>
      <c r="Q139" s="2219"/>
      <c r="R139" s="2213"/>
      <c r="S139" s="2219"/>
      <c r="T139" s="2213"/>
    </row>
    <row r="140" spans="1:20">
      <c r="A140" s="2217">
        <f t="shared" si="18"/>
        <v>-3.7668355199976773</v>
      </c>
      <c r="B140" s="2217">
        <f t="shared" si="14"/>
        <v>4796.2658000000001</v>
      </c>
      <c r="C140" s="2217">
        <f t="shared" si="16"/>
        <v>2.0359904000006281</v>
      </c>
      <c r="D140" s="2212">
        <v>195</v>
      </c>
      <c r="E140" s="2219"/>
      <c r="F140" s="2213"/>
      <c r="G140" s="2219"/>
      <c r="H140" s="2213"/>
      <c r="I140" s="2213"/>
      <c r="J140" s="2213"/>
      <c r="K140" s="2213"/>
      <c r="L140" s="263"/>
      <c r="M140" s="2217">
        <f t="shared" si="19"/>
        <v>-13.261528643000203</v>
      </c>
      <c r="N140" s="2217">
        <f t="shared" si="15"/>
        <v>2051.0579125000004</v>
      </c>
      <c r="O140" s="2217">
        <f t="shared" si="17"/>
        <v>-0.81391230000008363</v>
      </c>
      <c r="P140" s="2212">
        <v>195</v>
      </c>
      <c r="Q140" s="2219"/>
      <c r="R140" s="2213"/>
      <c r="S140" s="2219"/>
      <c r="T140" s="2213"/>
    </row>
    <row r="141" spans="1:20">
      <c r="A141" s="2217">
        <f t="shared" si="18"/>
        <v>-3.6423734400003029</v>
      </c>
      <c r="B141" s="2217">
        <f t="shared" si="14"/>
        <v>4794.2298095999995</v>
      </c>
      <c r="C141" s="2217">
        <f t="shared" si="16"/>
        <v>2.0696287999999186</v>
      </c>
      <c r="D141" s="2212">
        <v>194</v>
      </c>
      <c r="E141" s="2219"/>
      <c r="F141" s="2213"/>
      <c r="G141" s="2219"/>
      <c r="H141" s="2213"/>
      <c r="I141" s="2213"/>
      <c r="J141" s="2213"/>
      <c r="K141" s="2213"/>
      <c r="L141" s="263"/>
      <c r="M141" s="2217">
        <f t="shared" si="19"/>
        <v>-13.165154670999019</v>
      </c>
      <c r="N141" s="2217">
        <f t="shared" si="15"/>
        <v>2051.8718248000005</v>
      </c>
      <c r="O141" s="2217">
        <f t="shared" si="17"/>
        <v>-0.77392309999959252</v>
      </c>
      <c r="P141" s="2212">
        <v>194</v>
      </c>
      <c r="Q141" s="2219"/>
      <c r="R141" s="2213"/>
      <c r="S141" s="2219"/>
      <c r="T141" s="2213"/>
    </row>
    <row r="142" spans="1:20">
      <c r="A142" s="2217">
        <f t="shared" si="18"/>
        <v>-3.5158156799961047</v>
      </c>
      <c r="B142" s="2217">
        <f t="shared" si="14"/>
        <v>4792.1601807999996</v>
      </c>
      <c r="C142" s="2217">
        <f t="shared" si="16"/>
        <v>2.1038336000010531</v>
      </c>
      <c r="D142" s="2212">
        <v>193</v>
      </c>
      <c r="E142" s="2219"/>
      <c r="F142" s="2213"/>
      <c r="G142" s="2219"/>
      <c r="H142" s="2213"/>
      <c r="I142" s="2213"/>
      <c r="J142" s="2213"/>
      <c r="K142" s="2213"/>
      <c r="L142" s="263"/>
      <c r="M142" s="2217">
        <f t="shared" si="19"/>
        <v>-13.067989737000545</v>
      </c>
      <c r="N142" s="2217">
        <f t="shared" si="15"/>
        <v>2052.6457479000001</v>
      </c>
      <c r="O142" s="2217">
        <f t="shared" si="17"/>
        <v>-0.73360570000022562</v>
      </c>
      <c r="P142" s="2212">
        <v>193</v>
      </c>
      <c r="Q142" s="2219"/>
      <c r="R142" s="2213"/>
      <c r="S142" s="2219"/>
      <c r="T142" s="2213"/>
    </row>
    <row r="143" spans="1:20">
      <c r="A143" s="2217">
        <f t="shared" si="18"/>
        <v>-3.3871622400052743</v>
      </c>
      <c r="B143" s="2217">
        <f t="shared" si="14"/>
        <v>4790.0563471999985</v>
      </c>
      <c r="C143" s="2217">
        <f t="shared" si="16"/>
        <v>2.1386047999985749</v>
      </c>
      <c r="D143" s="2212">
        <v>192</v>
      </c>
      <c r="E143" s="2219"/>
      <c r="F143" s="2213"/>
      <c r="G143" s="2219"/>
      <c r="H143" s="2213"/>
      <c r="I143" s="2213"/>
      <c r="J143" s="2213"/>
      <c r="K143" s="2213"/>
      <c r="L143" s="263"/>
      <c r="M143" s="2217">
        <f t="shared" si="19"/>
        <v>-12.970033841000395</v>
      </c>
      <c r="N143" s="2217">
        <f t="shared" si="15"/>
        <v>2053.3793536000003</v>
      </c>
      <c r="O143" s="2217">
        <f t="shared" si="17"/>
        <v>-0.69296010000016395</v>
      </c>
      <c r="P143" s="2212">
        <v>192</v>
      </c>
      <c r="Q143" s="2219"/>
      <c r="R143" s="2213"/>
      <c r="S143" s="2219"/>
      <c r="T143" s="2213"/>
    </row>
    <row r="144" spans="1:20">
      <c r="A144" s="2217">
        <f t="shared" si="18"/>
        <v>-3.256413119997525</v>
      </c>
      <c r="B144" s="2217">
        <f t="shared" si="14"/>
        <v>4787.9177424</v>
      </c>
      <c r="C144" s="2217">
        <f t="shared" si="16"/>
        <v>2.1739424000006693</v>
      </c>
      <c r="D144" s="2212">
        <v>191</v>
      </c>
      <c r="E144" s="2219"/>
      <c r="F144" s="2213"/>
      <c r="G144" s="2219"/>
      <c r="H144" s="2213"/>
      <c r="I144" s="2213"/>
      <c r="J144" s="2213"/>
      <c r="K144" s="2213"/>
      <c r="L144" s="263"/>
      <c r="M144" s="2217">
        <f t="shared" si="19"/>
        <v>-12.871286982998573</v>
      </c>
      <c r="N144" s="2217">
        <f t="shared" si="15"/>
        <v>2054.0723137000004</v>
      </c>
      <c r="O144" s="2217">
        <f t="shared" si="17"/>
        <v>-0.65198629999940749</v>
      </c>
      <c r="P144" s="2212">
        <v>191</v>
      </c>
      <c r="Q144" s="2219"/>
      <c r="R144" s="2213"/>
      <c r="S144" s="2219"/>
      <c r="T144" s="2213"/>
    </row>
    <row r="145" spans="1:20">
      <c r="A145" s="2217">
        <f t="shared" si="18"/>
        <v>-3.1235683199997784</v>
      </c>
      <c r="B145" s="2217">
        <f t="shared" si="14"/>
        <v>4785.7437999999993</v>
      </c>
      <c r="C145" s="2217">
        <f t="shared" si="16"/>
        <v>2.2098464000000604</v>
      </c>
      <c r="D145" s="2212">
        <v>190</v>
      </c>
      <c r="E145" s="2219"/>
      <c r="F145" s="2213"/>
      <c r="G145" s="2219"/>
      <c r="H145" s="2213"/>
      <c r="I145" s="2213"/>
      <c r="J145" s="2213"/>
      <c r="K145" s="2213"/>
      <c r="L145" s="263"/>
      <c r="M145" s="2217">
        <f t="shared" si="19"/>
        <v>-12.771749163000555</v>
      </c>
      <c r="N145" s="2217">
        <f t="shared" si="15"/>
        <v>2054.7242999999999</v>
      </c>
      <c r="O145" s="2217">
        <f t="shared" si="17"/>
        <v>-0.61068430000023</v>
      </c>
      <c r="P145" s="2212">
        <v>190</v>
      </c>
      <c r="Q145" s="2219"/>
      <c r="R145" s="2213"/>
      <c r="S145" s="2219"/>
      <c r="T145" s="2213"/>
    </row>
    <row r="146" spans="1:20">
      <c r="A146" s="2217">
        <f t="shared" si="18"/>
        <v>-2.9886278400019375</v>
      </c>
      <c r="B146" s="2217">
        <f t="shared" si="14"/>
        <v>4783.5339535999992</v>
      </c>
      <c r="C146" s="2217">
        <f t="shared" si="16"/>
        <v>2.2463167999994766</v>
      </c>
      <c r="D146" s="2212">
        <v>189</v>
      </c>
      <c r="E146" s="2219"/>
      <c r="F146" s="2213"/>
      <c r="G146" s="2219"/>
      <c r="H146" s="2213"/>
      <c r="I146" s="2213"/>
      <c r="J146" s="2213"/>
      <c r="K146" s="2213"/>
      <c r="L146" s="263"/>
      <c r="M146" s="2217">
        <f t="shared" si="19"/>
        <v>-12.671420380999766</v>
      </c>
      <c r="N146" s="2217">
        <f t="shared" si="15"/>
        <v>2055.3349843000001</v>
      </c>
      <c r="O146" s="2217">
        <f t="shared" si="17"/>
        <v>-0.56905409999990297</v>
      </c>
      <c r="P146" s="2212">
        <v>189</v>
      </c>
      <c r="Q146" s="2219"/>
      <c r="R146" s="2213"/>
      <c r="S146" s="2219"/>
      <c r="T146" s="2213"/>
    </row>
    <row r="147" spans="1:20">
      <c r="A147" s="2217">
        <f t="shared" si="18"/>
        <v>-2.8515916799972736</v>
      </c>
      <c r="B147" s="2217">
        <f t="shared" si="14"/>
        <v>4781.2876367999997</v>
      </c>
      <c r="C147" s="2217">
        <f t="shared" si="16"/>
        <v>2.2833536000007371</v>
      </c>
      <c r="D147" s="2212">
        <v>188</v>
      </c>
      <c r="E147" s="2219"/>
      <c r="F147" s="2213"/>
      <c r="G147" s="2219"/>
      <c r="H147" s="2213"/>
      <c r="I147" s="2213"/>
      <c r="J147" s="2213"/>
      <c r="K147" s="2213"/>
      <c r="L147" s="263"/>
      <c r="M147" s="2217">
        <f t="shared" si="19"/>
        <v>-12.570300637000592</v>
      </c>
      <c r="N147" s="2217">
        <f t="shared" si="15"/>
        <v>2055.9040384</v>
      </c>
      <c r="O147" s="2217">
        <f t="shared" si="17"/>
        <v>-0.52709570000024542</v>
      </c>
      <c r="P147" s="2212">
        <v>188</v>
      </c>
      <c r="Q147" s="2219"/>
      <c r="R147" s="2213"/>
      <c r="S147" s="2219"/>
      <c r="T147" s="2213"/>
    </row>
    <row r="148" spans="1:20">
      <c r="A148" s="2217">
        <f t="shared" si="18"/>
        <v>-2.7124598400059785</v>
      </c>
      <c r="B148" s="2217">
        <f t="shared" si="14"/>
        <v>4779.004283199999</v>
      </c>
      <c r="C148" s="2217">
        <f t="shared" si="16"/>
        <v>2.3209567999983847</v>
      </c>
      <c r="D148" s="2212">
        <v>187</v>
      </c>
      <c r="E148" s="2219"/>
      <c r="F148" s="2213"/>
      <c r="G148" s="2219"/>
      <c r="H148" s="2213"/>
      <c r="I148" s="2213"/>
      <c r="J148" s="2213"/>
      <c r="K148" s="2213"/>
      <c r="L148" s="263"/>
      <c r="M148" s="2217">
        <f t="shared" si="19"/>
        <v>-12.468389930999743</v>
      </c>
      <c r="N148" s="2217">
        <f t="shared" si="15"/>
        <v>2056.4311341000002</v>
      </c>
      <c r="O148" s="2217">
        <f t="shared" si="17"/>
        <v>-0.48480909999989308</v>
      </c>
      <c r="P148" s="2212">
        <v>187</v>
      </c>
      <c r="Q148" s="2219"/>
      <c r="R148" s="2213"/>
      <c r="S148" s="2219"/>
      <c r="T148" s="2213"/>
    </row>
    <row r="149" spans="1:20">
      <c r="A149" s="2217">
        <f t="shared" si="18"/>
        <v>-2.571232319991033</v>
      </c>
      <c r="B149" s="2217">
        <f t="shared" si="14"/>
        <v>4776.6833264000006</v>
      </c>
      <c r="C149" s="2217">
        <f t="shared" si="16"/>
        <v>2.3591264000024239</v>
      </c>
      <c r="D149" s="2212">
        <v>186</v>
      </c>
      <c r="E149" s="2219"/>
      <c r="F149" s="2213"/>
      <c r="G149" s="2219"/>
      <c r="H149" s="2213"/>
      <c r="I149" s="2213"/>
      <c r="J149" s="2213"/>
      <c r="K149" s="2213"/>
      <c r="L149" s="263"/>
      <c r="M149" s="2217">
        <f t="shared" si="19"/>
        <v>-12.365688263000507</v>
      </c>
      <c r="N149" s="2217">
        <f t="shared" si="15"/>
        <v>2056.9159432000001</v>
      </c>
      <c r="O149" s="2217">
        <f t="shared" si="17"/>
        <v>-0.44219430000021021</v>
      </c>
      <c r="P149" s="2212">
        <v>186</v>
      </c>
      <c r="Q149" s="2219"/>
      <c r="R149" s="2213"/>
      <c r="S149" s="2219"/>
      <c r="T149" s="2213"/>
    </row>
    <row r="150" spans="1:20">
      <c r="A150" s="2217">
        <f t="shared" si="18"/>
        <v>-2.4279091200062801</v>
      </c>
      <c r="B150" s="2217">
        <f t="shared" si="14"/>
        <v>4774.3241999999982</v>
      </c>
      <c r="C150" s="2217">
        <f t="shared" si="16"/>
        <v>2.3978623999983029</v>
      </c>
      <c r="D150" s="2212">
        <v>185</v>
      </c>
      <c r="E150" s="2219"/>
      <c r="F150" s="2213"/>
      <c r="G150" s="2219"/>
      <c r="H150" s="2213"/>
      <c r="I150" s="2213"/>
      <c r="J150" s="2213"/>
      <c r="K150" s="2213"/>
      <c r="L150" s="263"/>
      <c r="M150" s="2217">
        <f t="shared" si="19"/>
        <v>-12.262195632999598</v>
      </c>
      <c r="N150" s="2217">
        <f t="shared" si="15"/>
        <v>2057.3581375000003</v>
      </c>
      <c r="O150" s="2217">
        <f t="shared" si="17"/>
        <v>-0.39925129999983255</v>
      </c>
      <c r="P150" s="2212">
        <v>185</v>
      </c>
      <c r="Q150" s="2219"/>
      <c r="R150" s="2213"/>
      <c r="S150" s="2219"/>
      <c r="T150" s="2213"/>
    </row>
    <row r="151" spans="1:20">
      <c r="A151" s="2217">
        <f t="shared" si="18"/>
        <v>-2.2824902399978804</v>
      </c>
      <c r="B151" s="2217">
        <f t="shared" si="14"/>
        <v>4771.9263375999999</v>
      </c>
      <c r="C151" s="2217">
        <f t="shared" si="16"/>
        <v>2.4371648000005735</v>
      </c>
      <c r="D151" s="2212">
        <v>184</v>
      </c>
      <c r="E151" s="2219"/>
      <c r="F151" s="2213"/>
      <c r="G151" s="2219"/>
      <c r="H151" s="2213"/>
      <c r="I151" s="2213"/>
      <c r="J151" s="2213"/>
      <c r="K151" s="2213"/>
      <c r="L151" s="263"/>
      <c r="M151" s="2217">
        <f t="shared" si="19"/>
        <v>-12.157912040999204</v>
      </c>
      <c r="N151" s="2217">
        <f t="shared" si="15"/>
        <v>2057.7573888000002</v>
      </c>
      <c r="O151" s="2217">
        <f t="shared" si="17"/>
        <v>-0.35598009999966962</v>
      </c>
      <c r="P151" s="2212">
        <v>184</v>
      </c>
      <c r="Q151" s="2219"/>
      <c r="R151" s="2213"/>
      <c r="S151" s="2219"/>
      <c r="T151" s="2213"/>
    </row>
    <row r="152" spans="1:20">
      <c r="A152" s="2217">
        <f t="shared" si="18"/>
        <v>-2.1349756799994815</v>
      </c>
      <c r="B152" s="2217">
        <f t="shared" si="14"/>
        <v>4769.4891727999993</v>
      </c>
      <c r="C152" s="2217">
        <f t="shared" si="16"/>
        <v>2.4770336000001407</v>
      </c>
      <c r="D152" s="2212">
        <v>183</v>
      </c>
      <c r="E152" s="2219"/>
      <c r="F152" s="2213"/>
      <c r="G152" s="2219"/>
      <c r="H152" s="2213"/>
      <c r="I152" s="2213"/>
      <c r="J152" s="2213"/>
      <c r="K152" s="2213"/>
      <c r="L152" s="263"/>
      <c r="M152" s="2217">
        <f t="shared" si="19"/>
        <v>-12.052837487000426</v>
      </c>
      <c r="N152" s="2217">
        <f t="shared" si="15"/>
        <v>2058.1133688999998</v>
      </c>
      <c r="O152" s="2217">
        <f t="shared" si="17"/>
        <v>-0.31238070000017615</v>
      </c>
      <c r="P152" s="2212">
        <v>183</v>
      </c>
      <c r="Q152" s="2219"/>
      <c r="R152" s="2213"/>
      <c r="S152" s="2219"/>
      <c r="T152" s="2213"/>
    </row>
    <row r="153" spans="1:20">
      <c r="A153" s="2217">
        <f t="shared" si="18"/>
        <v>-1.9853654400009884</v>
      </c>
      <c r="B153" s="2217">
        <f t="shared" si="14"/>
        <v>4767.0121391999992</v>
      </c>
      <c r="C153" s="2217">
        <f t="shared" si="16"/>
        <v>2.5174687999997332</v>
      </c>
      <c r="D153" s="2212">
        <v>182</v>
      </c>
      <c r="E153" s="2219"/>
      <c r="F153" s="2213"/>
      <c r="G153" s="2219"/>
      <c r="H153" s="2213"/>
      <c r="I153" s="2213"/>
      <c r="J153" s="2213"/>
      <c r="K153" s="2213"/>
      <c r="L153" s="263"/>
      <c r="M153" s="2217">
        <f t="shared" si="19"/>
        <v>-11.946971970999972</v>
      </c>
      <c r="N153" s="2217">
        <f t="shared" si="15"/>
        <v>2058.4257496</v>
      </c>
      <c r="O153" s="2217">
        <f t="shared" si="17"/>
        <v>-0.2684530999999879</v>
      </c>
      <c r="P153" s="2212">
        <v>182</v>
      </c>
      <c r="Q153" s="2219"/>
      <c r="R153" s="2213"/>
      <c r="S153" s="2219"/>
      <c r="T153" s="2213"/>
    </row>
    <row r="154" spans="1:20">
      <c r="A154" s="2217">
        <f t="shared" si="18"/>
        <v>-1.8336595199990384</v>
      </c>
      <c r="B154" s="2217">
        <f t="shared" si="14"/>
        <v>4764.4946703999994</v>
      </c>
      <c r="C154" s="2217">
        <f t="shared" si="16"/>
        <v>2.5584704000002603</v>
      </c>
      <c r="D154" s="2212">
        <v>181</v>
      </c>
      <c r="E154" s="2219"/>
      <c r="F154" s="2213"/>
      <c r="G154" s="2219"/>
      <c r="H154" s="2213"/>
      <c r="I154" s="2213"/>
      <c r="J154" s="2213"/>
      <c r="K154" s="2213"/>
      <c r="L154" s="263"/>
      <c r="M154" s="2217">
        <f t="shared" si="19"/>
        <v>-11.840315493000036</v>
      </c>
      <c r="N154" s="2217">
        <f t="shared" si="15"/>
        <v>2058.6942027</v>
      </c>
      <c r="O154" s="2217">
        <f t="shared" si="17"/>
        <v>-0.22419730000001437</v>
      </c>
      <c r="P154" s="2212">
        <v>181</v>
      </c>
      <c r="Q154" s="2219"/>
      <c r="R154" s="2213"/>
      <c r="S154" s="2219"/>
      <c r="T154" s="2213"/>
    </row>
    <row r="155" spans="1:20">
      <c r="A155" s="2217">
        <f t="shared" si="18"/>
        <v>-1.6798579200037249</v>
      </c>
      <c r="B155" s="2217">
        <f t="shared" si="14"/>
        <v>4761.9361999999992</v>
      </c>
      <c r="C155" s="2217">
        <f t="shared" si="16"/>
        <v>2.6000383999989936</v>
      </c>
      <c r="D155" s="2212">
        <v>180</v>
      </c>
      <c r="E155" s="2219"/>
      <c r="F155" s="2213"/>
      <c r="G155" s="2219"/>
      <c r="H155" s="2213"/>
      <c r="I155" s="2213"/>
      <c r="J155" s="2213"/>
      <c r="K155" s="2213"/>
      <c r="L155" s="263"/>
      <c r="M155" s="2217">
        <f t="shared" si="19"/>
        <v>-11.732868052999521</v>
      </c>
      <c r="N155" s="2217">
        <f t="shared" si="15"/>
        <v>2058.9184</v>
      </c>
      <c r="O155" s="2217">
        <f t="shared" si="17"/>
        <v>-0.1796132999998008</v>
      </c>
      <c r="P155" s="2212">
        <v>180</v>
      </c>
      <c r="Q155" s="2219"/>
      <c r="R155" s="2213"/>
      <c r="S155" s="2219"/>
      <c r="T155" s="2213"/>
    </row>
    <row r="156" spans="1:20">
      <c r="A156" s="2217">
        <f t="shared" si="18"/>
        <v>-1.5239606399948578</v>
      </c>
      <c r="B156" s="2217">
        <f t="shared" si="14"/>
        <v>4759.3361616000002</v>
      </c>
      <c r="C156" s="2217">
        <f t="shared" si="16"/>
        <v>2.64217280000139</v>
      </c>
      <c r="D156" s="2212">
        <v>179</v>
      </c>
      <c r="E156" s="2219"/>
      <c r="F156" s="2213"/>
      <c r="G156" s="2219"/>
      <c r="H156" s="2213"/>
      <c r="I156" s="2213"/>
      <c r="J156" s="2213"/>
      <c r="K156" s="2213"/>
      <c r="L156" s="263"/>
      <c r="M156" s="2217">
        <f t="shared" si="19"/>
        <v>-11.624629651000619</v>
      </c>
      <c r="N156" s="2217">
        <f t="shared" si="15"/>
        <v>2059.0980132999998</v>
      </c>
      <c r="O156" s="2217">
        <f t="shared" si="17"/>
        <v>-0.1347011000002567</v>
      </c>
      <c r="P156" s="2212">
        <v>179</v>
      </c>
      <c r="Q156" s="2219"/>
      <c r="R156" s="2213"/>
      <c r="S156" s="2219"/>
      <c r="T156" s="2213"/>
    </row>
    <row r="157" spans="1:20">
      <c r="A157" s="2217">
        <f t="shared" si="18"/>
        <v>-1.3659676800027238</v>
      </c>
      <c r="B157" s="2217">
        <f t="shared" si="14"/>
        <v>4756.6939887999988</v>
      </c>
      <c r="C157" s="2217">
        <f t="shared" si="16"/>
        <v>2.6848735999992641</v>
      </c>
      <c r="D157" s="2212">
        <v>178</v>
      </c>
      <c r="E157" s="2219"/>
      <c r="F157" s="2213"/>
      <c r="G157" s="2219"/>
      <c r="H157" s="2213"/>
      <c r="I157" s="2213"/>
      <c r="J157" s="2213"/>
      <c r="K157" s="2213"/>
      <c r="L157" s="263"/>
      <c r="M157" s="2217">
        <f t="shared" si="19"/>
        <v>-11.515600287000044</v>
      </c>
      <c r="N157" s="2217">
        <f t="shared" si="15"/>
        <v>2059.2327144000001</v>
      </c>
      <c r="O157" s="2217">
        <f t="shared" si="17"/>
        <v>-8.9460700000017823E-2</v>
      </c>
      <c r="P157" s="2212">
        <v>178</v>
      </c>
      <c r="Q157" s="2219"/>
      <c r="R157" s="2213"/>
      <c r="S157" s="2219"/>
      <c r="T157" s="2213"/>
    </row>
    <row r="158" spans="1:20">
      <c r="A158" s="2217">
        <f t="shared" si="18"/>
        <v>-1.2058790399970363</v>
      </c>
      <c r="B158" s="2217">
        <f t="shared" si="14"/>
        <v>4754.0091151999995</v>
      </c>
      <c r="C158" s="2217">
        <f t="shared" si="16"/>
        <v>2.7281408000008014</v>
      </c>
      <c r="D158" s="2212">
        <v>177</v>
      </c>
      <c r="E158" s="2219"/>
      <c r="F158" s="2213"/>
      <c r="G158" s="2219"/>
      <c r="H158" s="2213"/>
      <c r="I158" s="2213"/>
      <c r="J158" s="2213"/>
      <c r="K158" s="2213"/>
      <c r="L158" s="263"/>
      <c r="M158" s="2217">
        <f t="shared" si="19"/>
        <v>-11.405779960999986</v>
      </c>
      <c r="N158" s="2217">
        <f t="shared" si="15"/>
        <v>2059.3221751000001</v>
      </c>
      <c r="O158" s="2217">
        <f t="shared" si="17"/>
        <v>-4.3892099999993661E-2</v>
      </c>
      <c r="P158" s="2212">
        <v>177</v>
      </c>
      <c r="Q158" s="2219"/>
      <c r="R158" s="2213"/>
      <c r="S158" s="2219"/>
      <c r="T158" s="2213"/>
    </row>
    <row r="159" spans="1:20">
      <c r="A159" s="2217">
        <f t="shared" si="18"/>
        <v>-1.0436947200013513</v>
      </c>
      <c r="B159" s="2217">
        <f t="shared" si="14"/>
        <v>4751.2809743999987</v>
      </c>
      <c r="C159" s="2217">
        <f t="shared" si="16"/>
        <v>2.7719743999996354</v>
      </c>
      <c r="D159" s="2212">
        <v>176</v>
      </c>
      <c r="E159" s="2219"/>
      <c r="F159" s="2213"/>
      <c r="G159" s="2219"/>
      <c r="H159" s="2213"/>
      <c r="I159" s="2213"/>
      <c r="J159" s="2213"/>
      <c r="K159" s="2213"/>
      <c r="L159" s="263"/>
      <c r="M159" s="2217">
        <f t="shared" si="19"/>
        <v>-11.295168672999349</v>
      </c>
      <c r="N159" s="2217">
        <f t="shared" si="15"/>
        <v>2059.3660672000001</v>
      </c>
      <c r="O159" s="2217">
        <f t="shared" si="17"/>
        <v>2.0047000002705317E-3</v>
      </c>
      <c r="P159" s="2212">
        <v>176</v>
      </c>
      <c r="Q159" s="2219"/>
      <c r="R159" s="2213"/>
      <c r="S159" s="2219"/>
      <c r="T159" s="2213"/>
    </row>
    <row r="160" spans="1:20">
      <c r="A160" s="2217">
        <f t="shared" si="18"/>
        <v>-0.87941471999884158</v>
      </c>
      <c r="B160" s="2217">
        <f t="shared" si="14"/>
        <v>4748.5089999999991</v>
      </c>
      <c r="C160" s="2217">
        <f t="shared" si="16"/>
        <v>2.8163744000003135</v>
      </c>
      <c r="D160" s="2212">
        <v>175</v>
      </c>
      <c r="E160" s="2219"/>
      <c r="F160" s="2213"/>
      <c r="G160" s="2219"/>
      <c r="H160" s="2213"/>
      <c r="I160" s="2213"/>
      <c r="J160" s="2213"/>
      <c r="K160" s="2213"/>
      <c r="L160" s="263"/>
      <c r="M160" s="2217">
        <f t="shared" si="19"/>
        <v>-11.183766423000325</v>
      </c>
      <c r="N160" s="2217">
        <f t="shared" si="15"/>
        <v>2059.3640624999998</v>
      </c>
      <c r="O160" s="2217">
        <f t="shared" si="17"/>
        <v>4.8229699999865261E-2</v>
      </c>
      <c r="P160" s="2212">
        <v>175</v>
      </c>
      <c r="Q160" s="2219"/>
      <c r="R160" s="2213"/>
      <c r="S160" s="2219"/>
      <c r="T160" s="2213"/>
    </row>
    <row r="161" spans="1:20">
      <c r="A161" s="2217">
        <f t="shared" si="18"/>
        <v>-0.71303904000297003</v>
      </c>
      <c r="B161" s="2217">
        <f t="shared" si="14"/>
        <v>4745.6926255999988</v>
      </c>
      <c r="C161" s="2217">
        <f t="shared" si="16"/>
        <v>2.8613407999991978</v>
      </c>
      <c r="D161" s="2212">
        <v>174</v>
      </c>
      <c r="E161" s="2219"/>
      <c r="F161" s="2213"/>
      <c r="G161" s="2219"/>
      <c r="H161" s="2213"/>
      <c r="I161" s="2213"/>
      <c r="J161" s="2213"/>
      <c r="K161" s="2213"/>
      <c r="L161" s="263"/>
      <c r="M161" s="2217">
        <f t="shared" si="19"/>
        <v>-11.071573211000723</v>
      </c>
      <c r="N161" s="2217">
        <f t="shared" si="15"/>
        <v>2059.3158328</v>
      </c>
      <c r="O161" s="2217">
        <f t="shared" si="17"/>
        <v>9.4782899999700021E-2</v>
      </c>
      <c r="P161" s="2212">
        <v>174</v>
      </c>
      <c r="Q161" s="2219"/>
      <c r="R161" s="2213"/>
      <c r="S161" s="2219"/>
      <c r="T161" s="2213"/>
    </row>
    <row r="162" spans="1:20">
      <c r="A162" s="2217">
        <f t="shared" si="18"/>
        <v>-0.54456767999690925</v>
      </c>
      <c r="B162" s="2217">
        <f t="shared" si="14"/>
        <v>4742.8312847999996</v>
      </c>
      <c r="C162" s="2217">
        <f t="shared" si="16"/>
        <v>2.9068736000008357</v>
      </c>
      <c r="D162" s="2212">
        <v>173</v>
      </c>
      <c r="E162" s="2219"/>
      <c r="F162" s="2213"/>
      <c r="G162" s="2219"/>
      <c r="H162" s="2213"/>
      <c r="I162" s="2213"/>
      <c r="J162" s="2213"/>
      <c r="K162" s="2213"/>
      <c r="L162" s="263"/>
      <c r="M162" s="2217">
        <f t="shared" si="19"/>
        <v>-10.958589036999447</v>
      </c>
      <c r="N162" s="2217">
        <f t="shared" si="15"/>
        <v>2059.2210499000003</v>
      </c>
      <c r="O162" s="2217">
        <f t="shared" si="17"/>
        <v>0.14166430000022956</v>
      </c>
      <c r="P162" s="2212">
        <v>173</v>
      </c>
      <c r="Q162" s="2219"/>
      <c r="R162" s="2213"/>
      <c r="S162" s="2219"/>
      <c r="T162" s="2213"/>
    </row>
    <row r="163" spans="1:20">
      <c r="A163" s="2217">
        <f t="shared" si="18"/>
        <v>-0.37400064000085109</v>
      </c>
      <c r="B163" s="2217">
        <f t="shared" ref="B163:B226" si="20">B$27+(B$26*D163)-(B$25*(D163^2))+(B$24*(D163^3))</f>
        <v>4739.9244111999988</v>
      </c>
      <c r="C163" s="2217">
        <f t="shared" si="16"/>
        <v>2.9529727999997704</v>
      </c>
      <c r="D163" s="2212">
        <v>172</v>
      </c>
      <c r="E163" s="2219"/>
      <c r="F163" s="2213"/>
      <c r="G163" s="2219"/>
      <c r="H163" s="2213"/>
      <c r="I163" s="2213"/>
      <c r="J163" s="2213"/>
      <c r="K163" s="2213"/>
      <c r="L163" s="263"/>
      <c r="M163" s="2217">
        <f t="shared" si="19"/>
        <v>-10.844813900999785</v>
      </c>
      <c r="N163" s="2217">
        <f t="shared" ref="N163:N226" si="21">N$27+(N$26*P163)-(N$25*(P163^2))+(N$24*(P163^3))</f>
        <v>2059.0793856</v>
      </c>
      <c r="O163" s="2217">
        <f t="shared" si="17"/>
        <v>0.18887390000008963</v>
      </c>
      <c r="P163" s="2212">
        <v>172</v>
      </c>
      <c r="Q163" s="2219"/>
      <c r="R163" s="2213"/>
      <c r="S163" s="2219"/>
      <c r="T163" s="2213"/>
    </row>
    <row r="164" spans="1:20">
      <c r="A164" s="2217">
        <f t="shared" si="18"/>
        <v>-0.20133792000470052</v>
      </c>
      <c r="B164" s="2217">
        <f t="shared" si="20"/>
        <v>4736.971438399999</v>
      </c>
      <c r="C164" s="2217">
        <f t="shared" ref="C164:C227" si="22">B164-B165</f>
        <v>2.9996383999987302</v>
      </c>
      <c r="D164" s="2212">
        <v>171</v>
      </c>
      <c r="E164" s="2219"/>
      <c r="F164" s="2213"/>
      <c r="G164" s="2219"/>
      <c r="H164" s="2213"/>
      <c r="I164" s="2213"/>
      <c r="J164" s="2213"/>
      <c r="K164" s="2213"/>
      <c r="L164" s="263"/>
      <c r="M164" s="2217">
        <f t="shared" si="19"/>
        <v>-10.730247803000639</v>
      </c>
      <c r="N164" s="2217">
        <f t="shared" si="21"/>
        <v>2058.8905116999999</v>
      </c>
      <c r="O164" s="2217">
        <f t="shared" ref="O164:O227" si="23">N164-N165</f>
        <v>0.23641169999973499</v>
      </c>
      <c r="P164" s="2212">
        <v>171</v>
      </c>
      <c r="Q164" s="2219"/>
      <c r="R164" s="2213"/>
      <c r="S164" s="2219"/>
      <c r="T164" s="2213"/>
    </row>
    <row r="165" spans="1:20">
      <c r="A165" s="2217">
        <f t="shared" ref="A165:A228" si="24">(C165*(B$7-B$9))-B$8</f>
        <v>-2.6579519994994527E-2</v>
      </c>
      <c r="B165" s="2217">
        <f t="shared" si="20"/>
        <v>4733.9718000000003</v>
      </c>
      <c r="C165" s="2217">
        <f t="shared" si="22"/>
        <v>3.0468704000013531</v>
      </c>
      <c r="D165" s="2212">
        <v>170</v>
      </c>
      <c r="E165" s="2219"/>
      <c r="F165" s="2213"/>
      <c r="G165" s="2219"/>
      <c r="H165" s="2213"/>
      <c r="I165" s="2213"/>
      <c r="J165" s="2213"/>
      <c r="K165" s="2213"/>
      <c r="L165" s="263"/>
      <c r="M165" s="2217">
        <f t="shared" ref="M165:M228" si="25">(O165*(N$7-N$9))-N$8</f>
        <v>-10.614890742999819</v>
      </c>
      <c r="N165" s="2217">
        <f t="shared" si="21"/>
        <v>2058.6541000000002</v>
      </c>
      <c r="O165" s="2217">
        <f t="shared" si="23"/>
        <v>0.28427770000007513</v>
      </c>
      <c r="P165" s="2212">
        <v>170</v>
      </c>
      <c r="Q165" s="2219"/>
      <c r="R165" s="2213"/>
      <c r="S165" s="2219"/>
      <c r="T165" s="2213"/>
    </row>
    <row r="166" spans="1:20">
      <c r="A166" s="2217">
        <f t="shared" si="24"/>
        <v>0.15027455999797823</v>
      </c>
      <c r="B166" s="2217">
        <f t="shared" si="20"/>
        <v>4730.9249295999989</v>
      </c>
      <c r="C166" s="2217">
        <f t="shared" si="22"/>
        <v>3.0946687999994538</v>
      </c>
      <c r="D166" s="2212">
        <v>169</v>
      </c>
      <c r="E166" s="2219"/>
      <c r="F166" s="2213"/>
      <c r="G166" s="2219"/>
      <c r="H166" s="2213"/>
      <c r="I166" s="2213"/>
      <c r="J166" s="2213"/>
      <c r="K166" s="2213"/>
      <c r="L166" s="263"/>
      <c r="M166" s="2217">
        <f t="shared" si="25"/>
        <v>-10.498742720999518</v>
      </c>
      <c r="N166" s="2217">
        <f t="shared" si="21"/>
        <v>2058.3698223000001</v>
      </c>
      <c r="O166" s="2217">
        <f t="shared" si="23"/>
        <v>0.33247190000020055</v>
      </c>
      <c r="P166" s="2212">
        <v>169</v>
      </c>
      <c r="Q166" s="2219"/>
      <c r="R166" s="2213"/>
      <c r="S166" s="2219"/>
      <c r="T166" s="2213"/>
    </row>
    <row r="167" spans="1:20">
      <c r="A167" s="2217">
        <f t="shared" si="24"/>
        <v>0.32922432000113844</v>
      </c>
      <c r="B167" s="2217">
        <f t="shared" si="20"/>
        <v>4727.8302607999995</v>
      </c>
      <c r="C167" s="2217">
        <f t="shared" si="22"/>
        <v>3.1430336000003081</v>
      </c>
      <c r="D167" s="2212">
        <v>168</v>
      </c>
      <c r="E167" s="2219"/>
      <c r="F167" s="2213"/>
      <c r="G167" s="2219"/>
      <c r="H167" s="2213"/>
      <c r="I167" s="2213"/>
      <c r="J167" s="2213"/>
      <c r="K167" s="2213"/>
      <c r="L167" s="263"/>
      <c r="M167" s="2217">
        <f t="shared" si="25"/>
        <v>-10.381803737000828</v>
      </c>
      <c r="N167" s="2217">
        <f t="shared" si="21"/>
        <v>2058.0373503999999</v>
      </c>
      <c r="O167" s="2217">
        <f t="shared" si="23"/>
        <v>0.3809942999996565</v>
      </c>
      <c r="P167" s="2212">
        <v>168</v>
      </c>
      <c r="Q167" s="2219"/>
      <c r="R167" s="2213"/>
      <c r="S167" s="2219"/>
      <c r="T167" s="2213"/>
    </row>
    <row r="168" spans="1:20">
      <c r="A168" s="2217">
        <f t="shared" si="24"/>
        <v>0.51026975999766222</v>
      </c>
      <c r="B168" s="2217">
        <f t="shared" si="20"/>
        <v>4724.6872271999991</v>
      </c>
      <c r="C168" s="2217">
        <f t="shared" si="22"/>
        <v>3.1919647999993686</v>
      </c>
      <c r="D168" s="2212">
        <v>167</v>
      </c>
      <c r="E168" s="2219"/>
      <c r="F168" s="2213"/>
      <c r="G168" s="2219"/>
      <c r="H168" s="2213"/>
      <c r="I168" s="2213"/>
      <c r="J168" s="2213"/>
      <c r="K168" s="2213"/>
      <c r="L168" s="263"/>
      <c r="M168" s="2217">
        <f t="shared" si="25"/>
        <v>-10.264073791000465</v>
      </c>
      <c r="N168" s="2217">
        <f t="shared" si="21"/>
        <v>2057.6563561000003</v>
      </c>
      <c r="O168" s="2217">
        <f t="shared" si="23"/>
        <v>0.42984489999980724</v>
      </c>
      <c r="P168" s="2212">
        <v>167</v>
      </c>
      <c r="Q168" s="2219"/>
      <c r="R168" s="2213"/>
      <c r="S168" s="2219"/>
      <c r="T168" s="2213"/>
    </row>
    <row r="169" spans="1:20">
      <c r="A169" s="2217">
        <f t="shared" si="24"/>
        <v>0.69341088000100903</v>
      </c>
      <c r="B169" s="2217">
        <f t="shared" si="20"/>
        <v>4721.4952623999998</v>
      </c>
      <c r="C169" s="2217">
        <f t="shared" si="22"/>
        <v>3.2414624000002732</v>
      </c>
      <c r="D169" s="2212">
        <v>166</v>
      </c>
      <c r="E169" s="2219"/>
      <c r="F169" s="2213"/>
      <c r="G169" s="2219"/>
      <c r="H169" s="2213"/>
      <c r="I169" s="2213"/>
      <c r="J169" s="2213"/>
      <c r="K169" s="2213"/>
      <c r="L169" s="263"/>
      <c r="M169" s="2217">
        <f t="shared" si="25"/>
        <v>-10.145552882998427</v>
      </c>
      <c r="N169" s="2217">
        <f t="shared" si="21"/>
        <v>2057.2265112000005</v>
      </c>
      <c r="O169" s="2217">
        <f t="shared" si="23"/>
        <v>0.47902370000065275</v>
      </c>
      <c r="P169" s="2212">
        <v>166</v>
      </c>
      <c r="Q169" s="2219"/>
      <c r="R169" s="2213"/>
      <c r="S169" s="2219"/>
      <c r="T169" s="2213"/>
    </row>
    <row r="170" spans="1:20">
      <c r="A170" s="2217">
        <f t="shared" si="24"/>
        <v>0.87864767999771942</v>
      </c>
      <c r="B170" s="2217">
        <f t="shared" si="20"/>
        <v>4718.2537999999995</v>
      </c>
      <c r="C170" s="2217">
        <f t="shared" si="22"/>
        <v>3.291526399999384</v>
      </c>
      <c r="D170" s="2212">
        <v>165</v>
      </c>
      <c r="E170" s="2219"/>
      <c r="F170" s="2213"/>
      <c r="G170" s="2219"/>
      <c r="H170" s="2213"/>
      <c r="I170" s="2213"/>
      <c r="J170" s="2213"/>
      <c r="K170" s="2213"/>
      <c r="L170" s="263"/>
      <c r="M170" s="2217">
        <f t="shared" si="25"/>
        <v>-10.026241013000195</v>
      </c>
      <c r="N170" s="2217">
        <f t="shared" si="21"/>
        <v>2056.7474874999998</v>
      </c>
      <c r="O170" s="2217">
        <f t="shared" si="23"/>
        <v>0.52853069999991931</v>
      </c>
      <c r="P170" s="2212">
        <v>165</v>
      </c>
      <c r="Q170" s="2219"/>
      <c r="R170" s="2213"/>
      <c r="S170" s="2219"/>
      <c r="T170" s="2213"/>
    </row>
    <row r="171" spans="1:20">
      <c r="A171" s="2217">
        <f t="shared" si="24"/>
        <v>1.0659801600012528</v>
      </c>
      <c r="B171" s="2217">
        <f t="shared" si="20"/>
        <v>4714.9622736000001</v>
      </c>
      <c r="C171" s="2217">
        <f t="shared" si="22"/>
        <v>3.342156800000339</v>
      </c>
      <c r="D171" s="2212">
        <v>164</v>
      </c>
      <c r="E171" s="2219"/>
      <c r="F171" s="2213"/>
      <c r="G171" s="2219"/>
      <c r="H171" s="2213"/>
      <c r="I171" s="2213"/>
      <c r="J171" s="2213"/>
      <c r="K171" s="2213"/>
      <c r="L171" s="263"/>
      <c r="M171" s="2217">
        <f t="shared" si="25"/>
        <v>-9.9061381810002889</v>
      </c>
      <c r="N171" s="2217">
        <f t="shared" si="21"/>
        <v>2056.2189567999999</v>
      </c>
      <c r="O171" s="2217">
        <f t="shared" si="23"/>
        <v>0.57836589999988064</v>
      </c>
      <c r="P171" s="2212">
        <v>164</v>
      </c>
      <c r="Q171" s="2219"/>
      <c r="R171" s="2213"/>
      <c r="S171" s="2219"/>
      <c r="T171" s="2213"/>
    </row>
    <row r="172" spans="1:20">
      <c r="A172" s="2217">
        <f t="shared" si="24"/>
        <v>1.2554083200015143</v>
      </c>
      <c r="B172" s="2217">
        <f t="shared" si="20"/>
        <v>4711.6201167999998</v>
      </c>
      <c r="C172" s="2217">
        <f t="shared" si="22"/>
        <v>3.3933536000004096</v>
      </c>
      <c r="D172" s="2212">
        <v>163</v>
      </c>
      <c r="E172" s="2219"/>
      <c r="F172" s="2213"/>
      <c r="G172" s="2219"/>
      <c r="H172" s="2213"/>
      <c r="I172" s="2213"/>
      <c r="J172" s="2213"/>
      <c r="K172" s="2213"/>
      <c r="L172" s="263"/>
      <c r="M172" s="2217">
        <f t="shared" si="25"/>
        <v>-9.7852443870008994</v>
      </c>
      <c r="N172" s="2217">
        <f t="shared" si="21"/>
        <v>2055.6405909</v>
      </c>
      <c r="O172" s="2217">
        <f t="shared" si="23"/>
        <v>0.62852929999962726</v>
      </c>
      <c r="P172" s="2212">
        <v>163</v>
      </c>
      <c r="Q172" s="2219"/>
      <c r="R172" s="2213"/>
      <c r="S172" s="2219"/>
      <c r="T172" s="2213"/>
    </row>
    <row r="173" spans="1:20">
      <c r="A173" s="2217">
        <f t="shared" si="24"/>
        <v>1.4469321599985037</v>
      </c>
      <c r="B173" s="2217">
        <f t="shared" si="20"/>
        <v>4708.2267631999994</v>
      </c>
      <c r="C173" s="2217">
        <f t="shared" si="22"/>
        <v>3.445116799999596</v>
      </c>
      <c r="D173" s="2212">
        <v>162</v>
      </c>
      <c r="E173" s="2219"/>
      <c r="F173" s="2213"/>
      <c r="G173" s="2219"/>
      <c r="H173" s="2213"/>
      <c r="I173" s="2213"/>
      <c r="J173" s="2213"/>
      <c r="K173" s="2213"/>
      <c r="L173" s="263"/>
      <c r="M173" s="2217">
        <f t="shared" si="25"/>
        <v>-9.6635596309987388</v>
      </c>
      <c r="N173" s="2217">
        <f t="shared" si="21"/>
        <v>2055.0120616000004</v>
      </c>
      <c r="O173" s="2217">
        <f t="shared" si="23"/>
        <v>0.6790209000005234</v>
      </c>
      <c r="P173" s="2212">
        <v>162</v>
      </c>
      <c r="Q173" s="2219"/>
      <c r="R173" s="2213"/>
      <c r="S173" s="2219"/>
      <c r="T173" s="2213"/>
    </row>
    <row r="174" spans="1:20">
      <c r="A174" s="2217">
        <f t="shared" si="24"/>
        <v>1.6405516800023161</v>
      </c>
      <c r="B174" s="2217">
        <f t="shared" si="20"/>
        <v>4704.7816463999998</v>
      </c>
      <c r="C174" s="2217">
        <f t="shared" si="22"/>
        <v>3.4974464000006265</v>
      </c>
      <c r="D174" s="2212">
        <v>161</v>
      </c>
      <c r="E174" s="2219"/>
      <c r="F174" s="2213"/>
      <c r="G174" s="2219"/>
      <c r="H174" s="2213"/>
      <c r="I174" s="2213"/>
      <c r="J174" s="2213"/>
      <c r="K174" s="2213"/>
      <c r="L174" s="263"/>
      <c r="M174" s="2217">
        <f t="shared" si="25"/>
        <v>-9.5410839130003851</v>
      </c>
      <c r="N174" s="2217">
        <f t="shared" si="21"/>
        <v>2054.3330406999999</v>
      </c>
      <c r="O174" s="2217">
        <f t="shared" si="23"/>
        <v>0.72984069999984058</v>
      </c>
      <c r="P174" s="2212">
        <v>161</v>
      </c>
      <c r="Q174" s="2219"/>
      <c r="R174" s="2213"/>
      <c r="S174" s="2219"/>
      <c r="T174" s="2213"/>
    </row>
    <row r="175" spans="1:20">
      <c r="A175" s="2217">
        <f t="shared" si="24"/>
        <v>1.8362668799994921</v>
      </c>
      <c r="B175" s="2217">
        <f t="shared" si="20"/>
        <v>4701.2841999999991</v>
      </c>
      <c r="C175" s="2217">
        <f t="shared" si="22"/>
        <v>3.5503423999998631</v>
      </c>
      <c r="D175" s="2212">
        <v>160</v>
      </c>
      <c r="E175" s="2219"/>
      <c r="F175" s="2213"/>
      <c r="G175" s="2219"/>
      <c r="H175" s="2213"/>
      <c r="I175" s="2213"/>
      <c r="J175" s="2213"/>
      <c r="K175" s="2213"/>
      <c r="L175" s="263"/>
      <c r="M175" s="2217">
        <f t="shared" si="25"/>
        <v>-9.4178172330003562</v>
      </c>
      <c r="N175" s="2217">
        <f t="shared" si="21"/>
        <v>2053.6032</v>
      </c>
      <c r="O175" s="2217">
        <f t="shared" si="23"/>
        <v>0.78098869999985254</v>
      </c>
      <c r="P175" s="2212">
        <v>160</v>
      </c>
      <c r="Q175" s="2219"/>
      <c r="R175" s="2213"/>
      <c r="S175" s="2219"/>
      <c r="T175" s="2213"/>
    </row>
    <row r="176" spans="1:20">
      <c r="A176" s="2217">
        <f t="shared" si="24"/>
        <v>2.034077760000125</v>
      </c>
      <c r="B176" s="2217">
        <f t="shared" si="20"/>
        <v>4697.7338575999993</v>
      </c>
      <c r="C176" s="2217">
        <f t="shared" si="22"/>
        <v>3.6038048000000344</v>
      </c>
      <c r="D176" s="2212">
        <v>159</v>
      </c>
      <c r="E176" s="2219"/>
      <c r="F176" s="2213"/>
      <c r="G176" s="2219"/>
      <c r="H176" s="2213"/>
      <c r="I176" s="2213"/>
      <c r="J176" s="2213"/>
      <c r="K176" s="2213"/>
      <c r="L176" s="263"/>
      <c r="M176" s="2217">
        <f t="shared" si="25"/>
        <v>-9.2937595909997484</v>
      </c>
      <c r="N176" s="2217">
        <f t="shared" si="21"/>
        <v>2052.8222113000002</v>
      </c>
      <c r="O176" s="2217">
        <f t="shared" si="23"/>
        <v>0.83246490000010454</v>
      </c>
      <c r="P176" s="2212">
        <v>159</v>
      </c>
      <c r="Q176" s="2219"/>
      <c r="R176" s="2213"/>
      <c r="S176" s="2219"/>
      <c r="T176" s="2213"/>
    </row>
    <row r="177" spans="1:20">
      <c r="A177" s="2217">
        <f t="shared" si="24"/>
        <v>2.2339843199974876</v>
      </c>
      <c r="B177" s="2217">
        <f t="shared" si="20"/>
        <v>4694.1300527999992</v>
      </c>
      <c r="C177" s="2217">
        <f t="shared" si="22"/>
        <v>3.6578335999993215</v>
      </c>
      <c r="D177" s="2212">
        <v>158</v>
      </c>
      <c r="E177" s="2219"/>
      <c r="F177" s="2213"/>
      <c r="G177" s="2219"/>
      <c r="H177" s="2213"/>
      <c r="I177" s="2213"/>
      <c r="J177" s="2213"/>
      <c r="K177" s="2213"/>
      <c r="L177" s="263"/>
      <c r="M177" s="2217">
        <f t="shared" si="25"/>
        <v>-9.1689109869996592</v>
      </c>
      <c r="N177" s="2217">
        <f t="shared" si="21"/>
        <v>2051.9897464000001</v>
      </c>
      <c r="O177" s="2217">
        <f t="shared" si="23"/>
        <v>0.88426930000014181</v>
      </c>
      <c r="P177" s="2212">
        <v>158</v>
      </c>
      <c r="Q177" s="2219"/>
      <c r="R177" s="2213"/>
      <c r="S177" s="2219"/>
      <c r="T177" s="2213"/>
    </row>
    <row r="178" spans="1:20">
      <c r="A178" s="2217">
        <f t="shared" si="24"/>
        <v>2.4359865600016732</v>
      </c>
      <c r="B178" s="2217">
        <f t="shared" si="20"/>
        <v>4690.4722191999999</v>
      </c>
      <c r="C178" s="2217">
        <f t="shared" si="22"/>
        <v>3.7124288000004526</v>
      </c>
      <c r="D178" s="2212">
        <v>157</v>
      </c>
      <c r="E178" s="2219"/>
      <c r="F178" s="2213"/>
      <c r="G178" s="2219"/>
      <c r="H178" s="2213"/>
      <c r="I178" s="2213"/>
      <c r="J178" s="2213"/>
      <c r="K178" s="2213"/>
      <c r="L178" s="263"/>
      <c r="M178" s="2217">
        <f t="shared" si="25"/>
        <v>-9.0432714210000871</v>
      </c>
      <c r="N178" s="2217">
        <f t="shared" si="21"/>
        <v>2051.1054770999999</v>
      </c>
      <c r="O178" s="2217">
        <f t="shared" si="23"/>
        <v>0.93640189999996437</v>
      </c>
      <c r="P178" s="2212">
        <v>157</v>
      </c>
      <c r="Q178" s="2219"/>
      <c r="R178" s="2213"/>
      <c r="S178" s="2219"/>
      <c r="T178" s="2213"/>
    </row>
    <row r="179" spans="1:20">
      <c r="A179" s="2217">
        <f t="shared" si="24"/>
        <v>2.6400844799992207</v>
      </c>
      <c r="B179" s="2217">
        <f t="shared" si="20"/>
        <v>4686.7597903999995</v>
      </c>
      <c r="C179" s="2217">
        <f t="shared" si="22"/>
        <v>3.76759039999979</v>
      </c>
      <c r="D179" s="2212">
        <v>156</v>
      </c>
      <c r="E179" s="2219"/>
      <c r="F179" s="2213"/>
      <c r="G179" s="2219"/>
      <c r="H179" s="2213"/>
      <c r="I179" s="2213"/>
      <c r="J179" s="2213"/>
      <c r="K179" s="2213"/>
      <c r="L179" s="263"/>
      <c r="M179" s="2217">
        <f t="shared" si="25"/>
        <v>-8.9168408929999359</v>
      </c>
      <c r="N179" s="2217">
        <f t="shared" si="21"/>
        <v>2050.1690752</v>
      </c>
      <c r="O179" s="2217">
        <f t="shared" si="23"/>
        <v>0.98886270000002696</v>
      </c>
      <c r="P179" s="2212">
        <v>156</v>
      </c>
      <c r="Q179" s="2219"/>
      <c r="R179" s="2213"/>
      <c r="S179" s="2219"/>
      <c r="T179" s="2213"/>
    </row>
    <row r="180" spans="1:20">
      <c r="A180" s="2217">
        <f t="shared" si="24"/>
        <v>2.8462780800002268</v>
      </c>
      <c r="B180" s="2217">
        <f t="shared" si="20"/>
        <v>4682.9921999999997</v>
      </c>
      <c r="C180" s="2217">
        <f t="shared" si="22"/>
        <v>3.823318400000062</v>
      </c>
      <c r="D180" s="2212">
        <v>155</v>
      </c>
      <c r="E180" s="2219"/>
      <c r="F180" s="2213"/>
      <c r="G180" s="2219"/>
      <c r="H180" s="2213"/>
      <c r="I180" s="2213"/>
      <c r="J180" s="2213"/>
      <c r="K180" s="2213"/>
      <c r="L180" s="263"/>
      <c r="M180" s="2217">
        <f t="shared" si="25"/>
        <v>-8.7896194030013977</v>
      </c>
      <c r="N180" s="2217">
        <f t="shared" si="21"/>
        <v>2049.1802124999999</v>
      </c>
      <c r="O180" s="2217">
        <f t="shared" si="23"/>
        <v>1.0416516999994201</v>
      </c>
      <c r="P180" s="2212">
        <v>155</v>
      </c>
      <c r="Q180" s="2219"/>
      <c r="R180" s="2213"/>
      <c r="S180" s="2219"/>
      <c r="T180" s="2213"/>
    </row>
    <row r="181" spans="1:20">
      <c r="A181" s="2217">
        <f t="shared" si="24"/>
        <v>3.054567360001327</v>
      </c>
      <c r="B181" s="2217">
        <f t="shared" si="20"/>
        <v>4679.1688815999996</v>
      </c>
      <c r="C181" s="2217">
        <f t="shared" si="22"/>
        <v>3.8796128000003591</v>
      </c>
      <c r="D181" s="2212">
        <v>154</v>
      </c>
      <c r="E181" s="2219"/>
      <c r="F181" s="2213"/>
      <c r="G181" s="2219"/>
      <c r="H181" s="2213"/>
      <c r="I181" s="2213"/>
      <c r="J181" s="2213"/>
      <c r="K181" s="2213"/>
      <c r="L181" s="263"/>
      <c r="M181" s="2217">
        <f t="shared" si="25"/>
        <v>-8.6616069509989941</v>
      </c>
      <c r="N181" s="2217">
        <f t="shared" si="21"/>
        <v>2048.1385608000005</v>
      </c>
      <c r="O181" s="2217">
        <f t="shared" si="23"/>
        <v>1.0947689000004175</v>
      </c>
      <c r="P181" s="2212">
        <v>154</v>
      </c>
      <c r="Q181" s="2219"/>
      <c r="R181" s="2213"/>
      <c r="S181" s="2219"/>
      <c r="T181" s="2213"/>
    </row>
    <row r="182" spans="1:20">
      <c r="A182" s="2217">
        <f t="shared" si="24"/>
        <v>3.2649523199991553</v>
      </c>
      <c r="B182" s="2217">
        <f t="shared" si="20"/>
        <v>4675.2892687999993</v>
      </c>
      <c r="C182" s="2217">
        <f t="shared" si="22"/>
        <v>3.936473599999772</v>
      </c>
      <c r="D182" s="2212">
        <v>153</v>
      </c>
      <c r="E182" s="2219"/>
      <c r="F182" s="2213"/>
      <c r="G182" s="2219"/>
      <c r="H182" s="2213"/>
      <c r="I182" s="2213"/>
      <c r="J182" s="2213"/>
      <c r="K182" s="2213"/>
      <c r="L182" s="263"/>
      <c r="M182" s="2217">
        <f t="shared" si="25"/>
        <v>-8.5328035369998485</v>
      </c>
      <c r="N182" s="2217">
        <f t="shared" si="21"/>
        <v>2047.0437919000001</v>
      </c>
      <c r="O182" s="2217">
        <f t="shared" si="23"/>
        <v>1.1482143000000633</v>
      </c>
      <c r="P182" s="2212">
        <v>153</v>
      </c>
      <c r="Q182" s="2219"/>
      <c r="R182" s="2213"/>
      <c r="S182" s="2219"/>
      <c r="T182" s="2213"/>
    </row>
    <row r="183" spans="1:20">
      <c r="A183" s="2217">
        <f t="shared" si="24"/>
        <v>3.4774329600004403</v>
      </c>
      <c r="B183" s="2217">
        <f t="shared" si="20"/>
        <v>4671.3527951999995</v>
      </c>
      <c r="C183" s="2217">
        <f t="shared" si="22"/>
        <v>3.9939008000001195</v>
      </c>
      <c r="D183" s="2212">
        <v>152</v>
      </c>
      <c r="E183" s="2219"/>
      <c r="F183" s="2213"/>
      <c r="G183" s="2219"/>
      <c r="H183" s="2213"/>
      <c r="I183" s="2213"/>
      <c r="J183" s="2213"/>
      <c r="K183" s="2213"/>
      <c r="L183" s="263"/>
      <c r="M183" s="2217">
        <f t="shared" si="25"/>
        <v>-8.4032091610006709</v>
      </c>
      <c r="N183" s="2217">
        <f t="shared" si="21"/>
        <v>2045.8955776</v>
      </c>
      <c r="O183" s="2217">
        <f t="shared" si="23"/>
        <v>1.2019878999997218</v>
      </c>
      <c r="P183" s="2212">
        <v>152</v>
      </c>
      <c r="Q183" s="2219"/>
      <c r="R183" s="2213"/>
      <c r="S183" s="2219"/>
      <c r="T183" s="2213"/>
    </row>
    <row r="184" spans="1:20">
      <c r="A184" s="2217">
        <f t="shared" si="24"/>
        <v>3.6920092799984534</v>
      </c>
      <c r="B184" s="2217">
        <f t="shared" si="20"/>
        <v>4667.3588943999994</v>
      </c>
      <c r="C184" s="2217">
        <f t="shared" si="22"/>
        <v>4.0518943999995827</v>
      </c>
      <c r="D184" s="2212">
        <v>151</v>
      </c>
      <c r="E184" s="2219"/>
      <c r="F184" s="2213"/>
      <c r="G184" s="2219"/>
      <c r="H184" s="2213"/>
      <c r="I184" s="2213"/>
      <c r="J184" s="2213"/>
      <c r="K184" s="2213"/>
      <c r="L184" s="263"/>
      <c r="M184" s="2217">
        <f t="shared" si="25"/>
        <v>-8.2728238229992712</v>
      </c>
      <c r="N184" s="2217">
        <f t="shared" si="21"/>
        <v>2044.6935897000003</v>
      </c>
      <c r="O184" s="2217">
        <f t="shared" si="23"/>
        <v>1.2560897000003024</v>
      </c>
      <c r="P184" s="2212">
        <v>151</v>
      </c>
      <c r="Q184" s="2219"/>
      <c r="R184" s="2213"/>
      <c r="S184" s="2219"/>
      <c r="T184" s="2213"/>
    </row>
    <row r="185" spans="1:20">
      <c r="A185" s="2217">
        <f t="shared" si="24"/>
        <v>3.9086812799999269</v>
      </c>
      <c r="B185" s="2217">
        <f t="shared" si="20"/>
        <v>4663.3069999999998</v>
      </c>
      <c r="C185" s="2217">
        <f t="shared" si="22"/>
        <v>4.1104543999999805</v>
      </c>
      <c r="D185" s="2212">
        <v>150</v>
      </c>
      <c r="E185" s="2219"/>
      <c r="F185" s="2213"/>
      <c r="G185" s="2219"/>
      <c r="H185" s="2213"/>
      <c r="I185" s="2213"/>
      <c r="J185" s="2213"/>
      <c r="K185" s="2213"/>
      <c r="L185" s="263"/>
      <c r="M185" s="2217">
        <f t="shared" si="25"/>
        <v>-8.1416475230000334</v>
      </c>
      <c r="N185" s="2217">
        <f t="shared" si="21"/>
        <v>2043.4375</v>
      </c>
      <c r="O185" s="2217">
        <f t="shared" si="23"/>
        <v>1.3105196999999862</v>
      </c>
      <c r="P185" s="2212">
        <v>150</v>
      </c>
      <c r="Q185" s="2219"/>
      <c r="R185" s="2213"/>
      <c r="S185" s="2219"/>
      <c r="T185" s="2213"/>
    </row>
    <row r="186" spans="1:20">
      <c r="A186" s="2217">
        <f t="shared" si="24"/>
        <v>4.127448960001491</v>
      </c>
      <c r="B186" s="2217">
        <f t="shared" si="20"/>
        <v>4659.1965455999998</v>
      </c>
      <c r="C186" s="2217">
        <f t="shared" si="22"/>
        <v>4.1695808000004035</v>
      </c>
      <c r="D186" s="2212">
        <v>149</v>
      </c>
      <c r="E186" s="2219"/>
      <c r="F186" s="2213"/>
      <c r="G186" s="2219"/>
      <c r="H186" s="2213"/>
      <c r="I186" s="2213"/>
      <c r="J186" s="2213"/>
      <c r="K186" s="2213"/>
      <c r="L186" s="263"/>
      <c r="M186" s="2217">
        <f t="shared" si="25"/>
        <v>-8.0096802610007654</v>
      </c>
      <c r="N186" s="2217">
        <f t="shared" si="21"/>
        <v>2042.1269803</v>
      </c>
      <c r="O186" s="2217">
        <f t="shared" si="23"/>
        <v>1.3652778999996826</v>
      </c>
      <c r="P186" s="2212">
        <v>149</v>
      </c>
      <c r="Q186" s="2219"/>
      <c r="R186" s="2213"/>
      <c r="S186" s="2219"/>
      <c r="T186" s="2213"/>
    </row>
    <row r="187" spans="1:20">
      <c r="A187" s="2217">
        <f t="shared" si="24"/>
        <v>4.3483123199964187</v>
      </c>
      <c r="B187" s="2217">
        <f t="shared" si="20"/>
        <v>4655.0269647999994</v>
      </c>
      <c r="C187" s="2217">
        <f t="shared" si="22"/>
        <v>4.2292735999990327</v>
      </c>
      <c r="D187" s="2212">
        <v>148</v>
      </c>
      <c r="E187" s="2219"/>
      <c r="F187" s="2213"/>
      <c r="G187" s="2219"/>
      <c r="H187" s="2213"/>
      <c r="I187" s="2213"/>
      <c r="J187" s="2213"/>
      <c r="K187" s="2213"/>
      <c r="L187" s="263"/>
      <c r="M187" s="2217">
        <f t="shared" si="25"/>
        <v>-7.8769220369987263</v>
      </c>
      <c r="N187" s="2217">
        <f t="shared" si="21"/>
        <v>2040.7617024000003</v>
      </c>
      <c r="O187" s="2217">
        <f t="shared" si="23"/>
        <v>1.4203643000005286</v>
      </c>
      <c r="P187" s="2212">
        <v>148</v>
      </c>
      <c r="Q187" s="2219"/>
      <c r="R187" s="2213"/>
      <c r="S187" s="2219"/>
      <c r="T187" s="2213"/>
    </row>
    <row r="188" spans="1:20">
      <c r="A188" s="2217">
        <f t="shared" si="24"/>
        <v>4.5712713600049018</v>
      </c>
      <c r="B188" s="2217">
        <f t="shared" si="20"/>
        <v>4650.7976912000004</v>
      </c>
      <c r="C188" s="2217">
        <f t="shared" si="22"/>
        <v>4.2895328000013251</v>
      </c>
      <c r="D188" s="2212">
        <v>147</v>
      </c>
      <c r="E188" s="2219"/>
      <c r="F188" s="2213"/>
      <c r="G188" s="2219"/>
      <c r="H188" s="2213"/>
      <c r="I188" s="2213"/>
      <c r="J188" s="2213"/>
      <c r="K188" s="2213"/>
      <c r="L188" s="263"/>
      <c r="M188" s="2217">
        <f t="shared" si="25"/>
        <v>-7.7433728510004931</v>
      </c>
      <c r="N188" s="2217">
        <f t="shared" si="21"/>
        <v>2039.3413380999998</v>
      </c>
      <c r="O188" s="2217">
        <f t="shared" si="23"/>
        <v>1.4757788999997956</v>
      </c>
      <c r="P188" s="2212">
        <v>147</v>
      </c>
      <c r="Q188" s="2219"/>
      <c r="R188" s="2213"/>
      <c r="S188" s="2219"/>
      <c r="T188" s="2213"/>
    </row>
    <row r="189" spans="1:20">
      <c r="A189" s="2217">
        <f t="shared" si="24"/>
        <v>4.7963260799932854</v>
      </c>
      <c r="B189" s="2217">
        <f t="shared" si="20"/>
        <v>4646.508158399999</v>
      </c>
      <c r="C189" s="2217">
        <f t="shared" si="22"/>
        <v>4.3503583999981856</v>
      </c>
      <c r="D189" s="2212">
        <v>146</v>
      </c>
      <c r="E189" s="2219"/>
      <c r="F189" s="2213"/>
      <c r="G189" s="2219"/>
      <c r="H189" s="2213"/>
      <c r="I189" s="2213"/>
      <c r="J189" s="2213"/>
      <c r="K189" s="2213"/>
      <c r="L189" s="263"/>
      <c r="M189" s="2217">
        <f t="shared" si="25"/>
        <v>-7.6090327030005849</v>
      </c>
      <c r="N189" s="2217">
        <f t="shared" si="21"/>
        <v>2037.8655592</v>
      </c>
      <c r="O189" s="2217">
        <f t="shared" si="23"/>
        <v>1.5315216999997574</v>
      </c>
      <c r="P189" s="2212">
        <v>146</v>
      </c>
      <c r="Q189" s="2219"/>
      <c r="R189" s="2213"/>
      <c r="S189" s="2219"/>
      <c r="T189" s="2213"/>
    </row>
    <row r="190" spans="1:20">
      <c r="A190" s="2217">
        <f t="shared" si="24"/>
        <v>5.0234764800053178</v>
      </c>
      <c r="B190" s="2217">
        <f t="shared" si="20"/>
        <v>4642.1578000000009</v>
      </c>
      <c r="C190" s="2217">
        <f t="shared" si="22"/>
        <v>4.4117504000014378</v>
      </c>
      <c r="D190" s="2212">
        <v>145</v>
      </c>
      <c r="E190" s="2219"/>
      <c r="F190" s="2213"/>
      <c r="G190" s="2219"/>
      <c r="H190" s="2213"/>
      <c r="I190" s="2213"/>
      <c r="J190" s="2213"/>
      <c r="K190" s="2213"/>
      <c r="L190" s="263"/>
      <c r="M190" s="2217">
        <f t="shared" si="25"/>
        <v>-7.4739015929995514</v>
      </c>
      <c r="N190" s="2217">
        <f t="shared" si="21"/>
        <v>2036.3340375000002</v>
      </c>
      <c r="O190" s="2217">
        <f t="shared" si="23"/>
        <v>1.5875927000001866</v>
      </c>
      <c r="P190" s="2212">
        <v>145</v>
      </c>
      <c r="Q190" s="2219"/>
      <c r="R190" s="2213"/>
      <c r="S190" s="2219"/>
      <c r="T190" s="2213"/>
    </row>
    <row r="191" spans="1:20">
      <c r="A191" s="2217">
        <f t="shared" si="24"/>
        <v>5.2527225600006169</v>
      </c>
      <c r="B191" s="2217">
        <f t="shared" si="20"/>
        <v>4637.7460495999994</v>
      </c>
      <c r="C191" s="2217">
        <f t="shared" si="22"/>
        <v>4.4737088000001677</v>
      </c>
      <c r="D191" s="2212">
        <v>144</v>
      </c>
      <c r="E191" s="2219"/>
      <c r="F191" s="2213"/>
      <c r="G191" s="2219"/>
      <c r="H191" s="2213"/>
      <c r="I191" s="2213"/>
      <c r="J191" s="2213"/>
      <c r="K191" s="2213"/>
      <c r="L191" s="263"/>
      <c r="M191" s="2217">
        <f t="shared" si="25"/>
        <v>-7.33797952100013</v>
      </c>
      <c r="N191" s="2217">
        <f t="shared" si="21"/>
        <v>2034.7464448000001</v>
      </c>
      <c r="O191" s="2217">
        <f t="shared" si="23"/>
        <v>1.6439918999999463</v>
      </c>
      <c r="P191" s="2212">
        <v>144</v>
      </c>
      <c r="Q191" s="2219"/>
      <c r="R191" s="2213"/>
      <c r="S191" s="2219"/>
      <c r="T191" s="2213"/>
    </row>
    <row r="192" spans="1:20">
      <c r="A192" s="2217">
        <f t="shared" si="24"/>
        <v>5.4840643199993764</v>
      </c>
      <c r="B192" s="2217">
        <f t="shared" si="20"/>
        <v>4633.2723407999993</v>
      </c>
      <c r="C192" s="2217">
        <f t="shared" si="22"/>
        <v>4.5362335999998322</v>
      </c>
      <c r="D192" s="2212">
        <v>143</v>
      </c>
      <c r="E192" s="2219"/>
      <c r="F192" s="2213"/>
      <c r="G192" s="2219"/>
      <c r="H192" s="2213"/>
      <c r="I192" s="2213"/>
      <c r="J192" s="2213"/>
      <c r="K192" s="2213"/>
      <c r="L192" s="263"/>
      <c r="M192" s="2217">
        <f t="shared" si="25"/>
        <v>-7.2012664870001304</v>
      </c>
      <c r="N192" s="2217">
        <f t="shared" si="21"/>
        <v>2033.1024529000001</v>
      </c>
      <c r="O192" s="2217">
        <f t="shared" si="23"/>
        <v>1.7007192999999461</v>
      </c>
      <c r="P192" s="2212">
        <v>143</v>
      </c>
      <c r="Q192" s="2219"/>
      <c r="R192" s="2213"/>
      <c r="S192" s="2219"/>
      <c r="T192" s="2213"/>
    </row>
    <row r="193" spans="1:20">
      <c r="A193" s="2217">
        <f t="shared" si="24"/>
        <v>5.7175017600015927</v>
      </c>
      <c r="B193" s="2217">
        <f t="shared" si="20"/>
        <v>4628.7361071999994</v>
      </c>
      <c r="C193" s="2217">
        <f t="shared" si="22"/>
        <v>4.5993248000004314</v>
      </c>
      <c r="D193" s="2212">
        <v>142</v>
      </c>
      <c r="E193" s="2219"/>
      <c r="F193" s="2213"/>
      <c r="G193" s="2219"/>
      <c r="H193" s="2213"/>
      <c r="I193" s="2213"/>
      <c r="J193" s="2213"/>
      <c r="K193" s="2213"/>
      <c r="L193" s="263"/>
      <c r="M193" s="2217">
        <f t="shared" si="25"/>
        <v>-7.0637624909990047</v>
      </c>
      <c r="N193" s="2217">
        <f t="shared" si="21"/>
        <v>2031.4017336000002</v>
      </c>
      <c r="O193" s="2217">
        <f t="shared" si="23"/>
        <v>1.7577749000004133</v>
      </c>
      <c r="P193" s="2212">
        <v>142</v>
      </c>
      <c r="Q193" s="2219"/>
      <c r="R193" s="2213"/>
      <c r="S193" s="2219"/>
      <c r="T193" s="2213"/>
    </row>
    <row r="194" spans="1:20">
      <c r="A194" s="2217">
        <f t="shared" si="24"/>
        <v>5.9530348799971726</v>
      </c>
      <c r="B194" s="2217">
        <f t="shared" si="20"/>
        <v>4624.136782399999</v>
      </c>
      <c r="C194" s="2217">
        <f t="shared" si="22"/>
        <v>4.6629823999992368</v>
      </c>
      <c r="D194" s="2212">
        <v>141</v>
      </c>
      <c r="E194" s="2219"/>
      <c r="F194" s="2213"/>
      <c r="G194" s="2219"/>
      <c r="H194" s="2213"/>
      <c r="I194" s="2213"/>
      <c r="J194" s="2213"/>
      <c r="K194" s="2213"/>
      <c r="L194" s="263"/>
      <c r="M194" s="2217">
        <f t="shared" si="25"/>
        <v>-6.9254675330016839</v>
      </c>
      <c r="N194" s="2217">
        <f t="shared" si="21"/>
        <v>2029.6439586999998</v>
      </c>
      <c r="O194" s="2217">
        <f t="shared" si="23"/>
        <v>1.8151586999993015</v>
      </c>
      <c r="P194" s="2212">
        <v>141</v>
      </c>
      <c r="Q194" s="2219"/>
      <c r="R194" s="2213"/>
      <c r="S194" s="2219"/>
      <c r="T194" s="2213"/>
    </row>
    <row r="195" spans="1:20">
      <c r="A195" s="2217">
        <f t="shared" si="24"/>
        <v>6.1906636799995773</v>
      </c>
      <c r="B195" s="2217">
        <f t="shared" si="20"/>
        <v>4619.4737999999998</v>
      </c>
      <c r="C195" s="2217">
        <f t="shared" si="22"/>
        <v>4.7272063999998863</v>
      </c>
      <c r="D195" s="2212">
        <v>140</v>
      </c>
      <c r="E195" s="2219"/>
      <c r="F195" s="2213"/>
      <c r="G195" s="2219"/>
      <c r="H195" s="2213"/>
      <c r="I195" s="2213"/>
      <c r="J195" s="2213"/>
      <c r="K195" s="2213"/>
      <c r="L195" s="263"/>
      <c r="M195" s="2217">
        <f t="shared" si="25"/>
        <v>-6.786381612998853</v>
      </c>
      <c r="N195" s="2217">
        <f t="shared" si="21"/>
        <v>2027.8288000000005</v>
      </c>
      <c r="O195" s="2217">
        <f t="shared" si="23"/>
        <v>1.8728707000004761</v>
      </c>
      <c r="P195" s="2212">
        <v>140</v>
      </c>
      <c r="Q195" s="2219"/>
      <c r="R195" s="2213"/>
      <c r="S195" s="2219"/>
      <c r="T195" s="2213"/>
    </row>
    <row r="196" spans="1:20">
      <c r="A196" s="2217">
        <f t="shared" si="24"/>
        <v>6.4303881599953421</v>
      </c>
      <c r="B196" s="2217">
        <f t="shared" si="20"/>
        <v>4614.7465935999999</v>
      </c>
      <c r="C196" s="2217">
        <f t="shared" si="22"/>
        <v>4.7919967999987421</v>
      </c>
      <c r="D196" s="2212">
        <v>139</v>
      </c>
      <c r="E196" s="2219"/>
      <c r="F196" s="2213"/>
      <c r="G196" s="2219"/>
      <c r="H196" s="2213"/>
      <c r="I196" s="2213"/>
      <c r="J196" s="2213"/>
      <c r="K196" s="2213"/>
      <c r="L196" s="263"/>
      <c r="M196" s="2217">
        <f t="shared" si="25"/>
        <v>-6.646504731000376</v>
      </c>
      <c r="N196" s="2217">
        <f t="shared" si="21"/>
        <v>2025.9559293</v>
      </c>
      <c r="O196" s="2217">
        <f t="shared" si="23"/>
        <v>1.9309108999998443</v>
      </c>
      <c r="P196" s="2212">
        <v>139</v>
      </c>
      <c r="Q196" s="2219"/>
      <c r="R196" s="2213"/>
      <c r="S196" s="2219"/>
      <c r="T196" s="2213"/>
    </row>
    <row r="197" spans="1:20">
      <c r="A197" s="2217">
        <f t="shared" si="24"/>
        <v>6.672208320004664</v>
      </c>
      <c r="B197" s="2217">
        <f t="shared" si="20"/>
        <v>4609.9545968000011</v>
      </c>
      <c r="C197" s="2217">
        <f t="shared" si="22"/>
        <v>4.8573536000012609</v>
      </c>
      <c r="D197" s="2212">
        <v>138</v>
      </c>
      <c r="E197" s="2219"/>
      <c r="F197" s="2213"/>
      <c r="G197" s="2219"/>
      <c r="H197" s="2213"/>
      <c r="I197" s="2213"/>
      <c r="J197" s="2213"/>
      <c r="K197" s="2213"/>
      <c r="L197" s="263"/>
      <c r="M197" s="2217">
        <f t="shared" si="25"/>
        <v>-6.5058368870002239</v>
      </c>
      <c r="N197" s="2217">
        <f t="shared" si="21"/>
        <v>2024.0250184000001</v>
      </c>
      <c r="O197" s="2217">
        <f t="shared" si="23"/>
        <v>1.9892792999999074</v>
      </c>
      <c r="P197" s="2212">
        <v>138</v>
      </c>
      <c r="Q197" s="2219"/>
      <c r="R197" s="2213"/>
      <c r="S197" s="2219"/>
      <c r="T197" s="2213"/>
    </row>
    <row r="198" spans="1:20">
      <c r="A198" s="2217">
        <f t="shared" si="24"/>
        <v>6.9161241600006171</v>
      </c>
      <c r="B198" s="2217">
        <f t="shared" si="20"/>
        <v>4605.0972431999999</v>
      </c>
      <c r="C198" s="2217">
        <f t="shared" si="22"/>
        <v>4.923276800000167</v>
      </c>
      <c r="D198" s="2212">
        <v>137</v>
      </c>
      <c r="E198" s="2219"/>
      <c r="F198" s="2213"/>
      <c r="G198" s="2219"/>
      <c r="H198" s="2213"/>
      <c r="I198" s="2213"/>
      <c r="J198" s="2213"/>
      <c r="K198" s="2213"/>
      <c r="L198" s="263"/>
      <c r="M198" s="2217">
        <f t="shared" si="25"/>
        <v>-6.3643780809994936</v>
      </c>
      <c r="N198" s="2217">
        <f t="shared" si="21"/>
        <v>2022.0357391000002</v>
      </c>
      <c r="O198" s="2217">
        <f t="shared" si="23"/>
        <v>2.0479759000002105</v>
      </c>
      <c r="P198" s="2212">
        <v>137</v>
      </c>
      <c r="Q198" s="2219"/>
      <c r="R198" s="2213"/>
      <c r="S198" s="2219"/>
      <c r="T198" s="2213"/>
    </row>
    <row r="199" spans="1:20">
      <c r="A199" s="2217">
        <f t="shared" si="24"/>
        <v>7.1621356800000271</v>
      </c>
      <c r="B199" s="2217">
        <f t="shared" si="20"/>
        <v>4600.1739663999997</v>
      </c>
      <c r="C199" s="2217">
        <f t="shared" si="22"/>
        <v>4.9897664000000077</v>
      </c>
      <c r="D199" s="2212">
        <v>136</v>
      </c>
      <c r="E199" s="2219"/>
      <c r="F199" s="2213"/>
      <c r="G199" s="2219"/>
      <c r="H199" s="2213"/>
      <c r="I199" s="2213"/>
      <c r="J199" s="2213"/>
      <c r="K199" s="2213"/>
      <c r="L199" s="263"/>
      <c r="M199" s="2217">
        <f t="shared" si="25"/>
        <v>-6.2221283129998284</v>
      </c>
      <c r="N199" s="2217">
        <f t="shared" si="21"/>
        <v>2019.9877632</v>
      </c>
      <c r="O199" s="2217">
        <f t="shared" si="23"/>
        <v>2.1070007000000714</v>
      </c>
      <c r="P199" s="2212">
        <v>136</v>
      </c>
      <c r="Q199" s="2219"/>
      <c r="R199" s="2213"/>
      <c r="S199" s="2219"/>
      <c r="T199" s="2213"/>
    </row>
    <row r="200" spans="1:20">
      <c r="A200" s="2217">
        <f t="shared" si="24"/>
        <v>7.4102428799995295</v>
      </c>
      <c r="B200" s="2217">
        <f t="shared" si="20"/>
        <v>4595.1841999999997</v>
      </c>
      <c r="C200" s="2217">
        <f t="shared" si="22"/>
        <v>5.0568223999998736</v>
      </c>
      <c r="D200" s="2212">
        <v>135</v>
      </c>
      <c r="E200" s="2219"/>
      <c r="F200" s="2213"/>
      <c r="G200" s="2219"/>
      <c r="H200" s="2213"/>
      <c r="I200" s="2213"/>
      <c r="J200" s="2213"/>
      <c r="K200" s="2213"/>
      <c r="L200" s="263"/>
      <c r="M200" s="2217">
        <f t="shared" si="25"/>
        <v>-6.079087583000681</v>
      </c>
      <c r="N200" s="2217">
        <f t="shared" si="21"/>
        <v>2017.8807624999999</v>
      </c>
      <c r="O200" s="2217">
        <f t="shared" si="23"/>
        <v>2.1663536999997177</v>
      </c>
      <c r="P200" s="2212">
        <v>135</v>
      </c>
      <c r="Q200" s="2219"/>
      <c r="R200" s="2213"/>
      <c r="S200" s="2219"/>
      <c r="T200" s="2213"/>
    </row>
    <row r="201" spans="1:20">
      <c r="A201" s="2217">
        <f t="shared" si="24"/>
        <v>7.6604457599991278</v>
      </c>
      <c r="B201" s="2217">
        <f t="shared" si="20"/>
        <v>4590.1273775999998</v>
      </c>
      <c r="C201" s="2217">
        <f t="shared" si="22"/>
        <v>5.1244447999997647</v>
      </c>
      <c r="D201" s="2212">
        <v>134</v>
      </c>
      <c r="E201" s="2219"/>
      <c r="F201" s="2213"/>
      <c r="G201" s="2219"/>
      <c r="H201" s="2213"/>
      <c r="I201" s="2213"/>
      <c r="J201" s="2213"/>
      <c r="K201" s="2213"/>
      <c r="L201" s="263"/>
      <c r="M201" s="2217">
        <f t="shared" si="25"/>
        <v>-5.9352558909993105</v>
      </c>
      <c r="N201" s="2217">
        <f t="shared" si="21"/>
        <v>2015.7144088000002</v>
      </c>
      <c r="O201" s="2217">
        <f t="shared" si="23"/>
        <v>2.2260349000002861</v>
      </c>
      <c r="P201" s="2212">
        <v>134</v>
      </c>
      <c r="Q201" s="2219"/>
      <c r="R201" s="2213"/>
      <c r="S201" s="2219"/>
      <c r="T201" s="2213"/>
    </row>
    <row r="202" spans="1:20">
      <c r="A202" s="2217">
        <f t="shared" si="24"/>
        <v>7.912744320002183</v>
      </c>
      <c r="B202" s="2217">
        <f t="shared" si="20"/>
        <v>4585.0029328000001</v>
      </c>
      <c r="C202" s="2217">
        <f t="shared" si="22"/>
        <v>5.1926336000005904</v>
      </c>
      <c r="D202" s="2212">
        <v>133</v>
      </c>
      <c r="E202" s="2219"/>
      <c r="F202" s="2213"/>
      <c r="G202" s="2219"/>
      <c r="H202" s="2213"/>
      <c r="I202" s="2213"/>
      <c r="J202" s="2213"/>
      <c r="K202" s="2213"/>
      <c r="L202" s="263"/>
      <c r="M202" s="2217">
        <f t="shared" si="25"/>
        <v>-5.7906332370001019</v>
      </c>
      <c r="N202" s="2217">
        <f t="shared" si="21"/>
        <v>2013.4883738999999</v>
      </c>
      <c r="O202" s="2217">
        <f t="shared" si="23"/>
        <v>2.2860442999999577</v>
      </c>
      <c r="P202" s="2212">
        <v>133</v>
      </c>
      <c r="Q202" s="2219"/>
      <c r="R202" s="2213"/>
      <c r="S202" s="2219"/>
      <c r="T202" s="2213"/>
    </row>
    <row r="203" spans="1:20">
      <c r="A203" s="2217">
        <f t="shared" si="24"/>
        <v>8.1671385599952337</v>
      </c>
      <c r="B203" s="2217">
        <f t="shared" si="20"/>
        <v>4579.8102991999995</v>
      </c>
      <c r="C203" s="2217">
        <f t="shared" si="22"/>
        <v>5.2613887999987128</v>
      </c>
      <c r="D203" s="2212">
        <v>132</v>
      </c>
      <c r="E203" s="2219"/>
      <c r="F203" s="2213"/>
      <c r="G203" s="2219"/>
      <c r="H203" s="2213"/>
      <c r="I203" s="2213"/>
      <c r="J203" s="2213"/>
      <c r="K203" s="2213"/>
      <c r="L203" s="263"/>
      <c r="M203" s="2217">
        <f t="shared" si="25"/>
        <v>-5.6452196209997672</v>
      </c>
      <c r="N203" s="2217">
        <f t="shared" si="21"/>
        <v>2011.2023296</v>
      </c>
      <c r="O203" s="2217">
        <f t="shared" si="23"/>
        <v>2.3463819000000967</v>
      </c>
      <c r="P203" s="2212">
        <v>132</v>
      </c>
      <c r="Q203" s="2219"/>
      <c r="R203" s="2213"/>
      <c r="S203" s="2219"/>
      <c r="T203" s="2213"/>
    </row>
    <row r="204" spans="1:20">
      <c r="A204" s="2217">
        <f t="shared" si="24"/>
        <v>8.4236284800052061</v>
      </c>
      <c r="B204" s="2217">
        <f t="shared" si="20"/>
        <v>4574.5489104000008</v>
      </c>
      <c r="C204" s="2217">
        <f t="shared" si="22"/>
        <v>5.3307104000014078</v>
      </c>
      <c r="D204" s="2212">
        <v>131</v>
      </c>
      <c r="E204" s="2219"/>
      <c r="F204" s="2213"/>
      <c r="G204" s="2219"/>
      <c r="H204" s="2213"/>
      <c r="I204" s="2213"/>
      <c r="J204" s="2213"/>
      <c r="K204" s="2213"/>
      <c r="L204" s="263"/>
      <c r="M204" s="2217">
        <f t="shared" si="25"/>
        <v>-5.4990150429994014</v>
      </c>
      <c r="N204" s="2217">
        <f t="shared" si="21"/>
        <v>2008.8559476999999</v>
      </c>
      <c r="O204" s="2217">
        <f t="shared" si="23"/>
        <v>2.4070477000002484</v>
      </c>
      <c r="P204" s="2212">
        <v>131</v>
      </c>
      <c r="Q204" s="2219"/>
      <c r="R204" s="2213"/>
      <c r="S204" s="2219"/>
      <c r="T204" s="2213"/>
    </row>
    <row r="205" spans="1:20">
      <c r="A205" s="2217">
        <f t="shared" si="24"/>
        <v>8.6822140799984453</v>
      </c>
      <c r="B205" s="2217">
        <f t="shared" si="20"/>
        <v>4569.2181999999993</v>
      </c>
      <c r="C205" s="2217">
        <f t="shared" si="22"/>
        <v>5.4005983999995806</v>
      </c>
      <c r="D205" s="2212">
        <v>130</v>
      </c>
      <c r="E205" s="2219"/>
      <c r="F205" s="2213"/>
      <c r="G205" s="2219"/>
      <c r="H205" s="2213"/>
      <c r="I205" s="2213"/>
      <c r="J205" s="2213"/>
      <c r="K205" s="2213"/>
      <c r="L205" s="263"/>
      <c r="M205" s="2217">
        <f t="shared" si="25"/>
        <v>-5.3520195030022935</v>
      </c>
      <c r="N205" s="2217">
        <f t="shared" si="21"/>
        <v>2006.4488999999996</v>
      </c>
      <c r="O205" s="2217">
        <f t="shared" si="23"/>
        <v>2.4680416999990484</v>
      </c>
      <c r="P205" s="2212">
        <v>130</v>
      </c>
      <c r="Q205" s="2219"/>
      <c r="R205" s="2213"/>
      <c r="S205" s="2219"/>
      <c r="T205" s="2213"/>
    </row>
    <row r="206" spans="1:20">
      <c r="A206" s="2217">
        <f t="shared" si="24"/>
        <v>8.9428953599985093</v>
      </c>
      <c r="B206" s="2217">
        <f t="shared" si="20"/>
        <v>4563.8176015999998</v>
      </c>
      <c r="C206" s="2217">
        <f t="shared" si="22"/>
        <v>5.4710527999995975</v>
      </c>
      <c r="D206" s="2212">
        <v>129</v>
      </c>
      <c r="E206" s="2219"/>
      <c r="F206" s="2213"/>
      <c r="G206" s="2219"/>
      <c r="H206" s="2213"/>
      <c r="I206" s="2213"/>
      <c r="J206" s="2213"/>
      <c r="K206" s="2213"/>
      <c r="L206" s="263"/>
      <c r="M206" s="2217">
        <f t="shared" si="25"/>
        <v>-5.2042330009985793</v>
      </c>
      <c r="N206" s="2217">
        <f t="shared" si="21"/>
        <v>2003.9808583000006</v>
      </c>
      <c r="O206" s="2217">
        <f t="shared" si="23"/>
        <v>2.5293639000005896</v>
      </c>
      <c r="P206" s="2212">
        <v>129</v>
      </c>
      <c r="Q206" s="2219"/>
      <c r="R206" s="2213"/>
      <c r="S206" s="2219"/>
      <c r="T206" s="2213"/>
    </row>
    <row r="207" spans="1:20">
      <c r="A207" s="2217">
        <f t="shared" si="24"/>
        <v>9.2056723200020301</v>
      </c>
      <c r="B207" s="2217">
        <f t="shared" si="20"/>
        <v>4558.3465488000002</v>
      </c>
      <c r="C207" s="2217">
        <f t="shared" si="22"/>
        <v>5.542073600000549</v>
      </c>
      <c r="D207" s="2212">
        <v>128</v>
      </c>
      <c r="E207" s="2219"/>
      <c r="F207" s="2213"/>
      <c r="G207" s="2219"/>
      <c r="H207" s="2213"/>
      <c r="I207" s="2213"/>
      <c r="J207" s="2213"/>
      <c r="K207" s="2213"/>
      <c r="L207" s="263"/>
      <c r="M207" s="2217">
        <f t="shared" si="25"/>
        <v>-5.0556555369997662</v>
      </c>
      <c r="N207" s="2217">
        <f t="shared" si="21"/>
        <v>2001.4514944</v>
      </c>
      <c r="O207" s="2217">
        <f t="shared" si="23"/>
        <v>2.5910143000000971</v>
      </c>
      <c r="P207" s="2212">
        <v>128</v>
      </c>
      <c r="Q207" s="2219"/>
      <c r="R207" s="2213"/>
      <c r="S207" s="2219"/>
      <c r="T207" s="2213"/>
    </row>
    <row r="208" spans="1:20">
      <c r="A208" s="2217">
        <f t="shared" si="24"/>
        <v>9.4705449599989144</v>
      </c>
      <c r="B208" s="2217">
        <f t="shared" si="20"/>
        <v>4552.8044751999996</v>
      </c>
      <c r="C208" s="2217">
        <f t="shared" si="22"/>
        <v>5.6136607999997068</v>
      </c>
      <c r="D208" s="2212">
        <v>127</v>
      </c>
      <c r="E208" s="2219"/>
      <c r="F208" s="2213"/>
      <c r="G208" s="2219"/>
      <c r="H208" s="2213"/>
      <c r="I208" s="2213"/>
      <c r="J208" s="2213"/>
      <c r="K208" s="2213"/>
      <c r="L208" s="263"/>
      <c r="M208" s="2217">
        <f t="shared" si="25"/>
        <v>-4.906287111001471</v>
      </c>
      <c r="N208" s="2217">
        <f t="shared" si="21"/>
        <v>1998.8604800999999</v>
      </c>
      <c r="O208" s="2217">
        <f t="shared" si="23"/>
        <v>2.6529928999993899</v>
      </c>
      <c r="P208" s="2212">
        <v>127</v>
      </c>
      <c r="Q208" s="2219"/>
      <c r="R208" s="2213"/>
      <c r="S208" s="2219"/>
      <c r="T208" s="2213"/>
    </row>
    <row r="209" spans="1:20">
      <c r="A209" s="2217">
        <f t="shared" si="24"/>
        <v>9.7375132800026201</v>
      </c>
      <c r="B209" s="2217">
        <f t="shared" si="20"/>
        <v>4547.1908143999999</v>
      </c>
      <c r="C209" s="2217">
        <f t="shared" si="22"/>
        <v>5.6858144000007087</v>
      </c>
      <c r="D209" s="2212">
        <v>126</v>
      </c>
      <c r="E209" s="2219"/>
      <c r="F209" s="2213"/>
      <c r="G209" s="2219"/>
      <c r="H209" s="2213"/>
      <c r="I209" s="2213"/>
      <c r="J209" s="2213"/>
      <c r="K209" s="2213"/>
      <c r="L209" s="263"/>
      <c r="M209" s="2217">
        <f t="shared" si="25"/>
        <v>-4.7561277229987606</v>
      </c>
      <c r="N209" s="2217">
        <f t="shared" si="21"/>
        <v>1996.2074872000005</v>
      </c>
      <c r="O209" s="2217">
        <f t="shared" si="23"/>
        <v>2.7152997000005143</v>
      </c>
      <c r="P209" s="2212">
        <v>126</v>
      </c>
      <c r="Q209" s="2219"/>
      <c r="R209" s="2213"/>
      <c r="S209" s="2219"/>
      <c r="T209" s="2213"/>
    </row>
    <row r="210" spans="1:20">
      <c r="A210" s="2217">
        <f t="shared" si="24"/>
        <v>10.006577279996325</v>
      </c>
      <c r="B210" s="2217">
        <f t="shared" si="20"/>
        <v>4541.5049999999992</v>
      </c>
      <c r="C210" s="2217">
        <f t="shared" si="22"/>
        <v>5.7585343999990073</v>
      </c>
      <c r="D210" s="2212">
        <v>125</v>
      </c>
      <c r="E210" s="2219"/>
      <c r="F210" s="2213"/>
      <c r="G210" s="2219"/>
      <c r="H210" s="2213"/>
      <c r="I210" s="2213"/>
      <c r="J210" s="2213"/>
      <c r="K210" s="2213"/>
      <c r="L210" s="263"/>
      <c r="M210" s="2217">
        <f t="shared" si="25"/>
        <v>-4.6051773730004042</v>
      </c>
      <c r="N210" s="2217">
        <f t="shared" si="21"/>
        <v>1993.4921875</v>
      </c>
      <c r="O210" s="2217">
        <f t="shared" si="23"/>
        <v>2.7779346999998324</v>
      </c>
      <c r="P210" s="2212">
        <v>125</v>
      </c>
      <c r="Q210" s="2219"/>
      <c r="R210" s="2213"/>
      <c r="S210" s="2219"/>
      <c r="T210" s="2213"/>
    </row>
    <row r="211" spans="1:20">
      <c r="A211" s="2217">
        <f t="shared" si="24"/>
        <v>10.277736960003583</v>
      </c>
      <c r="B211" s="2217">
        <f t="shared" si="20"/>
        <v>4535.7464656000002</v>
      </c>
      <c r="C211" s="2217">
        <f t="shared" si="22"/>
        <v>5.831820800000969</v>
      </c>
      <c r="D211" s="2212">
        <v>124</v>
      </c>
      <c r="E211" s="2219"/>
      <c r="F211" s="2213"/>
      <c r="G211" s="2219"/>
      <c r="H211" s="2213"/>
      <c r="I211" s="2213"/>
      <c r="J211" s="2213"/>
      <c r="K211" s="2213"/>
      <c r="L211" s="263"/>
      <c r="M211" s="2217">
        <f t="shared" si="25"/>
        <v>-4.4534360610003727</v>
      </c>
      <c r="N211" s="2217">
        <f t="shared" si="21"/>
        <v>1990.7142528000002</v>
      </c>
      <c r="O211" s="2217">
        <f t="shared" si="23"/>
        <v>2.8408978999998453</v>
      </c>
      <c r="P211" s="2212">
        <v>124</v>
      </c>
      <c r="Q211" s="2219"/>
      <c r="R211" s="2213"/>
      <c r="S211" s="2219"/>
      <c r="T211" s="2213"/>
    </row>
    <row r="212" spans="1:20">
      <c r="A212" s="2217">
        <f t="shared" si="24"/>
        <v>10.550992320000841</v>
      </c>
      <c r="B212" s="2217">
        <f t="shared" si="20"/>
        <v>4529.9146447999992</v>
      </c>
      <c r="C212" s="2217">
        <f t="shared" si="22"/>
        <v>5.9056736000002275</v>
      </c>
      <c r="D212" s="2212">
        <v>123</v>
      </c>
      <c r="E212" s="2219"/>
      <c r="F212" s="2213"/>
      <c r="G212" s="2219"/>
      <c r="H212" s="2213"/>
      <c r="I212" s="2213"/>
      <c r="J212" s="2213"/>
      <c r="K212" s="2213"/>
      <c r="L212" s="263"/>
      <c r="M212" s="2217">
        <f t="shared" si="25"/>
        <v>-4.3009037869992159</v>
      </c>
      <c r="N212" s="2217">
        <f t="shared" si="21"/>
        <v>1987.8733549000003</v>
      </c>
      <c r="O212" s="2217">
        <f t="shared" si="23"/>
        <v>2.9041893000003256</v>
      </c>
      <c r="P212" s="2212">
        <v>123</v>
      </c>
      <c r="Q212" s="2219"/>
      <c r="R212" s="2213"/>
      <c r="S212" s="2219"/>
      <c r="T212" s="2213"/>
    </row>
    <row r="213" spans="1:20">
      <c r="A213" s="2217">
        <f t="shared" si="24"/>
        <v>10.826343359998187</v>
      </c>
      <c r="B213" s="2217">
        <f t="shared" si="20"/>
        <v>4524.008971199999</v>
      </c>
      <c r="C213" s="2217">
        <f t="shared" si="22"/>
        <v>5.980092799999511</v>
      </c>
      <c r="D213" s="2212">
        <v>122</v>
      </c>
      <c r="E213" s="2219"/>
      <c r="F213" s="2213"/>
      <c r="G213" s="2219"/>
      <c r="H213" s="2213"/>
      <c r="I213" s="2213"/>
      <c r="J213" s="2213"/>
      <c r="K213" s="2213"/>
      <c r="L213" s="263"/>
      <c r="M213" s="2217">
        <f t="shared" si="25"/>
        <v>-4.1475805510002193</v>
      </c>
      <c r="N213" s="2217">
        <f t="shared" si="21"/>
        <v>1984.9691656</v>
      </c>
      <c r="O213" s="2217">
        <f t="shared" si="23"/>
        <v>2.967808899999909</v>
      </c>
      <c r="P213" s="2212">
        <v>122</v>
      </c>
      <c r="Q213" s="2219"/>
      <c r="R213" s="2213"/>
      <c r="S213" s="2219"/>
      <c r="T213" s="2213"/>
    </row>
    <row r="214" spans="1:20">
      <c r="A214" s="2217">
        <f t="shared" si="24"/>
        <v>11.103790079998998</v>
      </c>
      <c r="B214" s="2217">
        <f t="shared" si="20"/>
        <v>4518.0288783999995</v>
      </c>
      <c r="C214" s="2217">
        <f t="shared" si="22"/>
        <v>6.0550783999997293</v>
      </c>
      <c r="D214" s="2212">
        <v>121</v>
      </c>
      <c r="E214" s="2219"/>
      <c r="F214" s="2213"/>
      <c r="G214" s="2219"/>
      <c r="H214" s="2213"/>
      <c r="I214" s="2213"/>
      <c r="J214" s="2213"/>
      <c r="K214" s="2213"/>
      <c r="L214" s="263"/>
      <c r="M214" s="2217">
        <f t="shared" si="25"/>
        <v>-3.9934663530006453</v>
      </c>
      <c r="N214" s="2217">
        <f t="shared" si="21"/>
        <v>1982.0013567000001</v>
      </c>
      <c r="O214" s="2217">
        <f t="shared" si="23"/>
        <v>3.0317566999997325</v>
      </c>
      <c r="P214" s="2212">
        <v>121</v>
      </c>
      <c r="Q214" s="2219"/>
      <c r="R214" s="2213"/>
      <c r="S214" s="2219"/>
      <c r="T214" s="2213"/>
    </row>
    <row r="215" spans="1:20">
      <c r="A215" s="2217">
        <f t="shared" si="24"/>
        <v>11.383332479999897</v>
      </c>
      <c r="B215" s="2217">
        <f t="shared" si="20"/>
        <v>4511.9737999999998</v>
      </c>
      <c r="C215" s="2217">
        <f t="shared" si="22"/>
        <v>6.1306303999999727</v>
      </c>
      <c r="D215" s="2212">
        <v>120</v>
      </c>
      <c r="E215" s="2219"/>
      <c r="F215" s="2213"/>
      <c r="G215" s="2219"/>
      <c r="H215" s="2213"/>
      <c r="I215" s="2213"/>
      <c r="J215" s="2213"/>
      <c r="K215" s="2213"/>
      <c r="L215" s="263"/>
      <c r="M215" s="2217">
        <f t="shared" si="25"/>
        <v>-3.8385611929988483</v>
      </c>
      <c r="N215" s="2217">
        <f t="shared" si="21"/>
        <v>1978.9696000000004</v>
      </c>
      <c r="O215" s="2217">
        <f t="shared" si="23"/>
        <v>3.0960327000004781</v>
      </c>
      <c r="P215" s="2212">
        <v>120</v>
      </c>
      <c r="Q215" s="2219"/>
      <c r="R215" s="2213"/>
      <c r="S215" s="2219"/>
      <c r="T215" s="2213"/>
    </row>
    <row r="216" spans="1:20">
      <c r="A216" s="2217">
        <f t="shared" si="24"/>
        <v>11.664970560000892</v>
      </c>
      <c r="B216" s="2217">
        <f t="shared" si="20"/>
        <v>4505.8431695999998</v>
      </c>
      <c r="C216" s="2217">
        <f t="shared" si="22"/>
        <v>6.2067488000002413</v>
      </c>
      <c r="D216" s="2212">
        <v>119</v>
      </c>
      <c r="E216" s="2219"/>
      <c r="F216" s="2213"/>
      <c r="G216" s="2219"/>
      <c r="H216" s="2213"/>
      <c r="I216" s="2213"/>
      <c r="J216" s="2213"/>
      <c r="K216" s="2213"/>
      <c r="L216" s="263"/>
      <c r="M216" s="2217">
        <f t="shared" si="25"/>
        <v>-3.6828650710003084</v>
      </c>
      <c r="N216" s="2217">
        <f t="shared" si="21"/>
        <v>1975.8735672999999</v>
      </c>
      <c r="O216" s="2217">
        <f t="shared" si="23"/>
        <v>3.1606368999998722</v>
      </c>
      <c r="P216" s="2212">
        <v>119</v>
      </c>
      <c r="Q216" s="2219"/>
      <c r="R216" s="2213"/>
      <c r="S216" s="2219"/>
      <c r="T216" s="2213"/>
    </row>
    <row r="217" spans="1:20">
      <c r="A217" s="2217">
        <f t="shared" si="24"/>
        <v>11.948704319998612</v>
      </c>
      <c r="B217" s="2217">
        <f t="shared" si="20"/>
        <v>4499.6364207999995</v>
      </c>
      <c r="C217" s="2217">
        <f t="shared" si="22"/>
        <v>6.2834335999996256</v>
      </c>
      <c r="D217" s="2212">
        <v>118</v>
      </c>
      <c r="E217" s="2219"/>
      <c r="F217" s="2213"/>
      <c r="G217" s="2219"/>
      <c r="H217" s="2213"/>
      <c r="I217" s="2213"/>
      <c r="J217" s="2213"/>
      <c r="K217" s="2213"/>
      <c r="L217" s="263"/>
      <c r="M217" s="2217">
        <f t="shared" si="25"/>
        <v>-3.5263779870006422</v>
      </c>
      <c r="N217" s="2217">
        <f t="shared" si="21"/>
        <v>1972.7129304</v>
      </c>
      <c r="O217" s="2217">
        <f t="shared" si="23"/>
        <v>3.2255692999997336</v>
      </c>
      <c r="P217" s="2212">
        <v>118</v>
      </c>
      <c r="Q217" s="2219"/>
      <c r="R217" s="2213"/>
      <c r="S217" s="2219"/>
      <c r="T217" s="2213"/>
    </row>
    <row r="218" spans="1:20">
      <c r="A218" s="2217">
        <f t="shared" si="24"/>
        <v>12.234533760003156</v>
      </c>
      <c r="B218" s="2217">
        <f t="shared" si="20"/>
        <v>4493.3529871999999</v>
      </c>
      <c r="C218" s="2217">
        <f t="shared" si="22"/>
        <v>6.360684800000854</v>
      </c>
      <c r="D218" s="2212">
        <v>117</v>
      </c>
      <c r="E218" s="2219"/>
      <c r="F218" s="2213"/>
      <c r="G218" s="2219"/>
      <c r="H218" s="2213"/>
      <c r="I218" s="2213"/>
      <c r="J218" s="2213"/>
      <c r="K218" s="2213"/>
      <c r="L218" s="263"/>
      <c r="M218" s="2217">
        <f t="shared" si="25"/>
        <v>-3.3690999409987539</v>
      </c>
      <c r="N218" s="2217">
        <f t="shared" si="21"/>
        <v>1969.4873611000003</v>
      </c>
      <c r="O218" s="2217">
        <f t="shared" si="23"/>
        <v>3.2908299000005172</v>
      </c>
      <c r="P218" s="2212">
        <v>117</v>
      </c>
      <c r="Q218" s="2219"/>
      <c r="R218" s="2213"/>
      <c r="S218" s="2219"/>
      <c r="T218" s="2213"/>
    </row>
    <row r="219" spans="1:20">
      <c r="A219" s="2217">
        <f t="shared" si="24"/>
        <v>12.522458879994335</v>
      </c>
      <c r="B219" s="2217">
        <f t="shared" si="20"/>
        <v>4486.9923023999991</v>
      </c>
      <c r="C219" s="2217">
        <f t="shared" si="22"/>
        <v>6.4385023999984696</v>
      </c>
      <c r="D219" s="2212">
        <v>116</v>
      </c>
      <c r="E219" s="2219"/>
      <c r="F219" s="2213"/>
      <c r="G219" s="2219"/>
      <c r="H219" s="2213"/>
      <c r="I219" s="2213"/>
      <c r="J219" s="2213"/>
      <c r="K219" s="2213"/>
      <c r="L219" s="263"/>
      <c r="M219" s="2217">
        <f t="shared" si="25"/>
        <v>-3.2110309330012186</v>
      </c>
      <c r="N219" s="2217">
        <f t="shared" si="21"/>
        <v>1966.1965311999998</v>
      </c>
      <c r="O219" s="2217">
        <f t="shared" si="23"/>
        <v>3.3564186999994945</v>
      </c>
      <c r="P219" s="2212">
        <v>116</v>
      </c>
      <c r="Q219" s="2219"/>
      <c r="R219" s="2213"/>
      <c r="S219" s="2219"/>
      <c r="T219" s="2213"/>
    </row>
    <row r="220" spans="1:20">
      <c r="A220" s="2217">
        <f t="shared" si="24"/>
        <v>12.812479680002433</v>
      </c>
      <c r="B220" s="2217">
        <f t="shared" si="20"/>
        <v>4480.5538000000006</v>
      </c>
      <c r="C220" s="2217">
        <f t="shared" si="22"/>
        <v>6.5168864000006579</v>
      </c>
      <c r="D220" s="2212">
        <v>115</v>
      </c>
      <c r="E220" s="2219"/>
      <c r="F220" s="2213"/>
      <c r="G220" s="2219"/>
      <c r="H220" s="2213"/>
      <c r="I220" s="2213"/>
      <c r="J220" s="2213"/>
      <c r="K220" s="2213"/>
      <c r="L220" s="263"/>
      <c r="M220" s="2217">
        <f t="shared" si="25"/>
        <v>-3.0521709629992682</v>
      </c>
      <c r="N220" s="2217">
        <f t="shared" si="21"/>
        <v>1962.8401125000003</v>
      </c>
      <c r="O220" s="2217">
        <f t="shared" si="23"/>
        <v>3.4223357000003034</v>
      </c>
      <c r="P220" s="2212">
        <v>115</v>
      </c>
      <c r="Q220" s="2219"/>
      <c r="R220" s="2213"/>
      <c r="S220" s="2219"/>
      <c r="T220" s="2213"/>
    </row>
    <row r="221" spans="1:20">
      <c r="A221" s="2217">
        <f t="shared" si="24"/>
        <v>13.104596160000526</v>
      </c>
      <c r="B221" s="2217">
        <f t="shared" si="20"/>
        <v>4474.0369135999999</v>
      </c>
      <c r="C221" s="2217">
        <f t="shared" si="22"/>
        <v>6.5958368000001428</v>
      </c>
      <c r="D221" s="2212">
        <v>114</v>
      </c>
      <c r="E221" s="2219"/>
      <c r="F221" s="2213"/>
      <c r="G221" s="2219"/>
      <c r="H221" s="2213"/>
      <c r="I221" s="2213"/>
      <c r="J221" s="2213"/>
      <c r="K221" s="2213"/>
      <c r="L221" s="263"/>
      <c r="M221" s="2217">
        <f t="shared" si="25"/>
        <v>-2.8925200310005774</v>
      </c>
      <c r="N221" s="2217">
        <f t="shared" si="21"/>
        <v>1959.4177768</v>
      </c>
      <c r="O221" s="2217">
        <f t="shared" si="23"/>
        <v>3.4885808999997607</v>
      </c>
      <c r="P221" s="2212">
        <v>114</v>
      </c>
      <c r="Q221" s="2219"/>
      <c r="R221" s="2213"/>
      <c r="S221" s="2219"/>
      <c r="T221" s="2213"/>
    </row>
    <row r="222" spans="1:20">
      <c r="A222" s="2217">
        <f t="shared" si="24"/>
        <v>13.398808319998714</v>
      </c>
      <c r="B222" s="2217">
        <f t="shared" si="20"/>
        <v>4467.4410767999998</v>
      </c>
      <c r="C222" s="2217">
        <f t="shared" si="22"/>
        <v>6.6753535999996529</v>
      </c>
      <c r="D222" s="2212">
        <v>113</v>
      </c>
      <c r="E222" s="2219"/>
      <c r="F222" s="2213"/>
      <c r="G222" s="2219"/>
      <c r="H222" s="2213"/>
      <c r="I222" s="2213"/>
      <c r="J222" s="2213"/>
      <c r="K222" s="2213"/>
      <c r="L222" s="263"/>
      <c r="M222" s="2217">
        <f t="shared" si="25"/>
        <v>-2.7320781370002098</v>
      </c>
      <c r="N222" s="2217">
        <f t="shared" si="21"/>
        <v>1955.9291959000002</v>
      </c>
      <c r="O222" s="2217">
        <f t="shared" si="23"/>
        <v>3.5551542999999128</v>
      </c>
      <c r="P222" s="2212">
        <v>113</v>
      </c>
      <c r="Q222" s="2219"/>
      <c r="R222" s="2213"/>
      <c r="S222" s="2219"/>
      <c r="T222" s="2213"/>
    </row>
    <row r="223" spans="1:20">
      <c r="A223" s="2217">
        <f t="shared" si="24"/>
        <v>13.695116160003725</v>
      </c>
      <c r="B223" s="2217">
        <f t="shared" si="20"/>
        <v>4460.7657232000001</v>
      </c>
      <c r="C223" s="2217">
        <f t="shared" si="22"/>
        <v>6.7554368000010072</v>
      </c>
      <c r="D223" s="2212">
        <v>112</v>
      </c>
      <c r="E223" s="2219"/>
      <c r="F223" s="2213"/>
      <c r="G223" s="2219"/>
      <c r="H223" s="2213"/>
      <c r="I223" s="2213"/>
      <c r="J223" s="2213"/>
      <c r="K223" s="2213"/>
      <c r="L223" s="263"/>
      <c r="M223" s="2217">
        <f t="shared" si="25"/>
        <v>-2.570845280999265</v>
      </c>
      <c r="N223" s="2217">
        <f t="shared" si="21"/>
        <v>1952.3740416000003</v>
      </c>
      <c r="O223" s="2217">
        <f t="shared" si="23"/>
        <v>3.622055900000305</v>
      </c>
      <c r="P223" s="2212">
        <v>112</v>
      </c>
      <c r="Q223" s="2219"/>
      <c r="R223" s="2213"/>
      <c r="S223" s="2219"/>
      <c r="T223" s="2213"/>
    </row>
    <row r="224" spans="1:20">
      <c r="A224" s="2217">
        <f t="shared" si="24"/>
        <v>13.993519679998734</v>
      </c>
      <c r="B224" s="2217">
        <f t="shared" si="20"/>
        <v>4454.0102863999991</v>
      </c>
      <c r="C224" s="2217">
        <f t="shared" si="22"/>
        <v>6.8360863999996582</v>
      </c>
      <c r="D224" s="2212">
        <v>111</v>
      </c>
      <c r="E224" s="2219"/>
      <c r="F224" s="2213"/>
      <c r="G224" s="2219"/>
      <c r="H224" s="2213"/>
      <c r="I224" s="2213"/>
      <c r="J224" s="2213"/>
      <c r="K224" s="2213"/>
      <c r="L224" s="263"/>
      <c r="M224" s="2217">
        <f t="shared" si="25"/>
        <v>-2.4088214629999332</v>
      </c>
      <c r="N224" s="2217">
        <f t="shared" si="21"/>
        <v>1948.7519857</v>
      </c>
      <c r="O224" s="2217">
        <f t="shared" si="23"/>
        <v>3.6892857000000276</v>
      </c>
      <c r="P224" s="2212">
        <v>111</v>
      </c>
      <c r="Q224" s="2219"/>
      <c r="R224" s="2213"/>
      <c r="S224" s="2219"/>
      <c r="T224" s="2213"/>
    </row>
    <row r="225" spans="1:20">
      <c r="A225" s="2217">
        <f t="shared" si="24"/>
        <v>14.294018880000564</v>
      </c>
      <c r="B225" s="2217">
        <f t="shared" si="20"/>
        <v>4447.1741999999995</v>
      </c>
      <c r="C225" s="2217">
        <f t="shared" si="22"/>
        <v>6.9173024000001533</v>
      </c>
      <c r="D225" s="2212">
        <v>110</v>
      </c>
      <c r="E225" s="2219"/>
      <c r="F225" s="2213"/>
      <c r="G225" s="2219"/>
      <c r="H225" s="2213"/>
      <c r="I225" s="2213"/>
      <c r="J225" s="2213"/>
      <c r="K225" s="2213"/>
      <c r="L225" s="263"/>
      <c r="M225" s="2217">
        <f t="shared" si="25"/>
        <v>-2.2460066830005712</v>
      </c>
      <c r="N225" s="2217">
        <f t="shared" si="21"/>
        <v>1945.0626999999999</v>
      </c>
      <c r="O225" s="2217">
        <f t="shared" si="23"/>
        <v>3.756843699999763</v>
      </c>
      <c r="P225" s="2212">
        <v>110</v>
      </c>
      <c r="Q225" s="2219"/>
      <c r="R225" s="2213"/>
      <c r="S225" s="2219"/>
      <c r="T225" s="2213"/>
    </row>
    <row r="226" spans="1:20">
      <c r="A226" s="2217">
        <f t="shared" si="24"/>
        <v>14.596613759995758</v>
      </c>
      <c r="B226" s="2217">
        <f t="shared" si="20"/>
        <v>4440.2568975999993</v>
      </c>
      <c r="C226" s="2217">
        <f t="shared" si="22"/>
        <v>6.9990847999988546</v>
      </c>
      <c r="D226" s="2212">
        <v>109</v>
      </c>
      <c r="E226" s="2219"/>
      <c r="F226" s="2213"/>
      <c r="G226" s="2219"/>
      <c r="H226" s="2213"/>
      <c r="I226" s="2213"/>
      <c r="J226" s="2213"/>
      <c r="K226" s="2213"/>
      <c r="L226" s="263"/>
      <c r="M226" s="2217">
        <f t="shared" si="25"/>
        <v>-2.0824009409995341</v>
      </c>
      <c r="N226" s="2217">
        <f t="shared" si="21"/>
        <v>1941.3058563000002</v>
      </c>
      <c r="O226" s="2217">
        <f t="shared" si="23"/>
        <v>3.8247299000001931</v>
      </c>
      <c r="P226" s="2212">
        <v>109</v>
      </c>
      <c r="Q226" s="2219"/>
      <c r="R226" s="2213"/>
      <c r="S226" s="2219"/>
      <c r="T226" s="2213"/>
    </row>
    <row r="227" spans="1:20">
      <c r="A227" s="2217">
        <f t="shared" si="24"/>
        <v>14.901304320004506</v>
      </c>
      <c r="B227" s="2217">
        <f t="shared" ref="B227:B290" si="26">B$27+(B$26*D227)-(B$25*(D227^2))+(B$24*(D227^3))</f>
        <v>4433.2578128000005</v>
      </c>
      <c r="C227" s="2217">
        <f t="shared" si="22"/>
        <v>7.081433600001219</v>
      </c>
      <c r="D227" s="2212">
        <v>108</v>
      </c>
      <c r="E227" s="2219"/>
      <c r="F227" s="2213"/>
      <c r="G227" s="2219"/>
      <c r="H227" s="2213"/>
      <c r="I227" s="2213"/>
      <c r="J227" s="2213"/>
      <c r="K227" s="2213"/>
      <c r="L227" s="263"/>
      <c r="M227" s="2217">
        <f t="shared" si="25"/>
        <v>-1.9180042370001118</v>
      </c>
      <c r="N227" s="2217">
        <f t="shared" ref="N227:N290" si="27">N$27+(N$26*P227)-(N$25*(P227^2))+(N$24*(P227^3))</f>
        <v>1937.4811264</v>
      </c>
      <c r="O227" s="2217">
        <f t="shared" si="23"/>
        <v>3.8929442999999537</v>
      </c>
      <c r="P227" s="2212">
        <v>108</v>
      </c>
      <c r="Q227" s="2219"/>
      <c r="R227" s="2213"/>
      <c r="S227" s="2219"/>
      <c r="T227" s="2213"/>
    </row>
    <row r="228" spans="1:20">
      <c r="A228" s="2217">
        <f t="shared" si="24"/>
        <v>15.208090559999889</v>
      </c>
      <c r="B228" s="2217">
        <f t="shared" si="26"/>
        <v>4426.1763791999992</v>
      </c>
      <c r="C228" s="2217">
        <f t="shared" ref="C228:C291" si="28">B228-B229</f>
        <v>7.1643487999999707</v>
      </c>
      <c r="D228" s="2212">
        <v>107</v>
      </c>
      <c r="E228" s="2219"/>
      <c r="F228" s="2213"/>
      <c r="G228" s="2219"/>
      <c r="H228" s="2213"/>
      <c r="I228" s="2213"/>
      <c r="J228" s="2213"/>
      <c r="K228" s="2213"/>
      <c r="L228" s="263"/>
      <c r="M228" s="2217">
        <f t="shared" si="25"/>
        <v>-1.7528165710006576</v>
      </c>
      <c r="N228" s="2217">
        <f t="shared" si="27"/>
        <v>1933.5881821</v>
      </c>
      <c r="O228" s="2217">
        <f t="shared" ref="O228:O291" si="29">N228-N229</f>
        <v>3.961486899999727</v>
      </c>
      <c r="P228" s="2212">
        <v>107</v>
      </c>
      <c r="Q228" s="2219"/>
      <c r="R228" s="2213"/>
      <c r="S228" s="2219"/>
      <c r="T228" s="2213"/>
    </row>
    <row r="229" spans="1:20">
      <c r="A229" s="2217">
        <f t="shared" ref="A229:A292" si="30">(C229*(B$7-B$9))-B$8</f>
        <v>15.516972479998728</v>
      </c>
      <c r="B229" s="2217">
        <f t="shared" si="26"/>
        <v>4419.0120303999993</v>
      </c>
      <c r="C229" s="2217">
        <f t="shared" si="28"/>
        <v>7.2478303999996569</v>
      </c>
      <c r="D229" s="2212">
        <v>106</v>
      </c>
      <c r="E229" s="2219"/>
      <c r="F229" s="2213"/>
      <c r="G229" s="2219"/>
      <c r="H229" s="2213"/>
      <c r="I229" s="2213"/>
      <c r="J229" s="2213"/>
      <c r="K229" s="2213"/>
      <c r="L229" s="263"/>
      <c r="M229" s="2217">
        <f t="shared" ref="M229:M292" si="31">(O229*(N$7-N$9))-N$8</f>
        <v>-1.5868379429989812</v>
      </c>
      <c r="N229" s="2217">
        <f t="shared" si="27"/>
        <v>1929.6266952000003</v>
      </c>
      <c r="O229" s="2217">
        <f t="shared" si="29"/>
        <v>4.0303577000004225</v>
      </c>
      <c r="P229" s="2212">
        <v>106</v>
      </c>
      <c r="Q229" s="2219"/>
      <c r="R229" s="2213"/>
      <c r="S229" s="2219"/>
      <c r="T229" s="2213"/>
    </row>
    <row r="230" spans="1:20">
      <c r="A230" s="2217">
        <f t="shared" si="30"/>
        <v>15.82795007999766</v>
      </c>
      <c r="B230" s="2217">
        <f t="shared" si="26"/>
        <v>4411.7641999999996</v>
      </c>
      <c r="C230" s="2217">
        <f t="shared" si="28"/>
        <v>7.3318783999993684</v>
      </c>
      <c r="D230" s="2212">
        <v>105</v>
      </c>
      <c r="E230" s="2219"/>
      <c r="F230" s="2213"/>
      <c r="G230" s="2219"/>
      <c r="H230" s="2213"/>
      <c r="I230" s="2213"/>
      <c r="J230" s="2213"/>
      <c r="K230" s="2213"/>
      <c r="L230" s="263"/>
      <c r="M230" s="2217">
        <f t="shared" si="31"/>
        <v>-1.4200683530000155</v>
      </c>
      <c r="N230" s="2217">
        <f t="shared" si="27"/>
        <v>1925.5963374999999</v>
      </c>
      <c r="O230" s="2217">
        <f t="shared" si="29"/>
        <v>4.0995566999999937</v>
      </c>
      <c r="P230" s="2212">
        <v>105</v>
      </c>
      <c r="Q230" s="2219"/>
      <c r="R230" s="2213"/>
      <c r="S230" s="2219"/>
      <c r="T230" s="2213"/>
    </row>
    <row r="231" spans="1:20">
      <c r="A231" s="2217">
        <f t="shared" si="30"/>
        <v>16.141023360000052</v>
      </c>
      <c r="B231" s="2217">
        <f t="shared" si="26"/>
        <v>4404.4323216000003</v>
      </c>
      <c r="C231" s="2217">
        <f t="shared" si="28"/>
        <v>7.4164928000000145</v>
      </c>
      <c r="D231" s="2212">
        <v>104</v>
      </c>
      <c r="E231" s="2219"/>
      <c r="F231" s="2213"/>
      <c r="G231" s="2219"/>
      <c r="H231" s="2213"/>
      <c r="I231" s="2213"/>
      <c r="J231" s="2213"/>
      <c r="K231" s="2213"/>
      <c r="L231" s="263"/>
      <c r="M231" s="2217">
        <f t="shared" si="31"/>
        <v>-1.2525078010004709</v>
      </c>
      <c r="N231" s="2217">
        <f t="shared" si="27"/>
        <v>1921.4967807999999</v>
      </c>
      <c r="O231" s="2217">
        <f t="shared" si="29"/>
        <v>4.169083899999805</v>
      </c>
      <c r="P231" s="2212">
        <v>104</v>
      </c>
      <c r="Q231" s="2219"/>
      <c r="R231" s="2213"/>
      <c r="S231" s="2219"/>
      <c r="T231" s="2213"/>
    </row>
    <row r="232" spans="1:20">
      <c r="A232" s="2217">
        <f t="shared" si="30"/>
        <v>16.456192320005901</v>
      </c>
      <c r="B232" s="2217">
        <f t="shared" si="26"/>
        <v>4397.0158288000002</v>
      </c>
      <c r="C232" s="2217">
        <f t="shared" si="28"/>
        <v>7.5016736000015953</v>
      </c>
      <c r="D232" s="2212">
        <v>103</v>
      </c>
      <c r="E232" s="2219"/>
      <c r="F232" s="2213"/>
      <c r="G232" s="2219"/>
      <c r="H232" s="2213"/>
      <c r="I232" s="2213"/>
      <c r="J232" s="2213"/>
      <c r="K232" s="2213"/>
      <c r="L232" s="263"/>
      <c r="M232" s="2217">
        <f t="shared" si="31"/>
        <v>-1.0841562869987023</v>
      </c>
      <c r="N232" s="2217">
        <f t="shared" si="27"/>
        <v>1917.3276969000001</v>
      </c>
      <c r="O232" s="2217">
        <f t="shared" si="29"/>
        <v>4.2389393000005384</v>
      </c>
      <c r="P232" s="2212">
        <v>103</v>
      </c>
      <c r="Q232" s="2219"/>
      <c r="R232" s="2213"/>
      <c r="S232" s="2219"/>
      <c r="T232" s="2213"/>
    </row>
    <row r="233" spans="1:20">
      <c r="A233" s="2217">
        <f t="shared" si="30"/>
        <v>16.773456959995016</v>
      </c>
      <c r="B233" s="2217">
        <f t="shared" si="26"/>
        <v>4389.5141551999986</v>
      </c>
      <c r="C233" s="2217">
        <f t="shared" si="28"/>
        <v>7.5874207999986538</v>
      </c>
      <c r="D233" s="2212">
        <v>102</v>
      </c>
      <c r="E233" s="2219"/>
      <c r="F233" s="2213"/>
      <c r="G233" s="2219"/>
      <c r="H233" s="2213"/>
      <c r="I233" s="2213"/>
      <c r="J233" s="2213"/>
      <c r="K233" s="2213"/>
      <c r="L233" s="263"/>
      <c r="M233" s="2217">
        <f t="shared" si="31"/>
        <v>-0.91501381100183643</v>
      </c>
      <c r="N233" s="2217">
        <f t="shared" si="27"/>
        <v>1913.0887575999996</v>
      </c>
      <c r="O233" s="2217">
        <f t="shared" si="29"/>
        <v>4.3091228999992381</v>
      </c>
      <c r="P233" s="2212">
        <v>102</v>
      </c>
      <c r="Q233" s="2219"/>
      <c r="R233" s="2213"/>
      <c r="S233" s="2219"/>
      <c r="T233" s="2213"/>
    </row>
    <row r="234" spans="1:20">
      <c r="A234" s="2217">
        <f t="shared" si="30"/>
        <v>17.092817280004418</v>
      </c>
      <c r="B234" s="2217">
        <f t="shared" si="26"/>
        <v>4381.9267344</v>
      </c>
      <c r="C234" s="2217">
        <f t="shared" si="28"/>
        <v>7.6737344000011944</v>
      </c>
      <c r="D234" s="2212">
        <v>101</v>
      </c>
      <c r="E234" s="2219"/>
      <c r="F234" s="2213"/>
      <c r="G234" s="2219"/>
      <c r="H234" s="2213"/>
      <c r="I234" s="2213"/>
      <c r="J234" s="2213"/>
      <c r="K234" s="2213"/>
      <c r="L234" s="263"/>
      <c r="M234" s="2217">
        <f t="shared" si="31"/>
        <v>-0.74508037299946039</v>
      </c>
      <c r="N234" s="2217">
        <f t="shared" si="27"/>
        <v>1908.7796347000003</v>
      </c>
      <c r="O234" s="2217">
        <f t="shared" si="29"/>
        <v>4.3796347000002243</v>
      </c>
      <c r="P234" s="2212">
        <v>101</v>
      </c>
      <c r="Q234" s="2219"/>
      <c r="R234" s="2213"/>
      <c r="S234" s="2219"/>
      <c r="T234" s="2213"/>
    </row>
    <row r="235" spans="1:20">
      <c r="A235" s="2217">
        <f t="shared" si="30"/>
        <v>17.414273279997083</v>
      </c>
      <c r="B235" s="2217">
        <f t="shared" si="26"/>
        <v>4374.2529999999988</v>
      </c>
      <c r="C235" s="2217">
        <f t="shared" si="28"/>
        <v>7.7606143999992128</v>
      </c>
      <c r="D235" s="2212">
        <v>100</v>
      </c>
      <c r="E235" s="2219"/>
      <c r="F235" s="2213"/>
      <c r="G235" s="2219"/>
      <c r="H235" s="2213"/>
      <c r="I235" s="2213"/>
      <c r="J235" s="2213"/>
      <c r="K235" s="2213"/>
      <c r="L235" s="263"/>
      <c r="M235" s="2217">
        <f t="shared" si="31"/>
        <v>-0.57435597299979158</v>
      </c>
      <c r="N235" s="2217">
        <f t="shared" si="27"/>
        <v>1904.4</v>
      </c>
      <c r="O235" s="2217">
        <f t="shared" si="29"/>
        <v>4.4504747000000862</v>
      </c>
      <c r="P235" s="2212">
        <v>100</v>
      </c>
      <c r="Q235" s="2219"/>
      <c r="R235" s="2213"/>
      <c r="S235" s="2219"/>
      <c r="T235" s="2213"/>
    </row>
    <row r="236" spans="1:20">
      <c r="A236" s="2217">
        <f t="shared" si="30"/>
        <v>17.737824959999941</v>
      </c>
      <c r="B236" s="2217">
        <f t="shared" si="26"/>
        <v>4366.4923855999996</v>
      </c>
      <c r="C236" s="2217">
        <f t="shared" si="28"/>
        <v>7.8480607999999847</v>
      </c>
      <c r="D236" s="2212">
        <v>99</v>
      </c>
      <c r="E236" s="2219"/>
      <c r="F236" s="2213"/>
      <c r="G236" s="2219"/>
      <c r="H236" s="2213"/>
      <c r="I236" s="2213"/>
      <c r="J236" s="2213"/>
      <c r="K236" s="2213"/>
      <c r="L236" s="263"/>
      <c r="M236" s="2217">
        <f t="shared" si="31"/>
        <v>-0.40284061100064328</v>
      </c>
      <c r="N236" s="2217">
        <f t="shared" si="27"/>
        <v>1899.9495253</v>
      </c>
      <c r="O236" s="2217">
        <f t="shared" si="29"/>
        <v>4.5216428999997333</v>
      </c>
      <c r="P236" s="2212">
        <v>99</v>
      </c>
      <c r="Q236" s="2219"/>
      <c r="R236" s="2213"/>
      <c r="S236" s="2219"/>
      <c r="T236" s="2213"/>
    </row>
    <row r="237" spans="1:20">
      <c r="A237" s="2217">
        <f t="shared" si="30"/>
        <v>18.063472319999526</v>
      </c>
      <c r="B237" s="2217">
        <f t="shared" si="26"/>
        <v>4358.6443247999996</v>
      </c>
      <c r="C237" s="2217">
        <f t="shared" si="28"/>
        <v>7.9360735999998724</v>
      </c>
      <c r="D237" s="2212">
        <v>98</v>
      </c>
      <c r="E237" s="2219"/>
      <c r="F237" s="2213"/>
      <c r="G237" s="2219"/>
      <c r="H237" s="2213"/>
      <c r="I237" s="2213"/>
      <c r="J237" s="2213"/>
      <c r="K237" s="2213"/>
      <c r="L237" s="263"/>
      <c r="M237" s="2217">
        <f t="shared" si="31"/>
        <v>-0.23053428699872214</v>
      </c>
      <c r="N237" s="2217">
        <f t="shared" si="27"/>
        <v>1895.4278824000003</v>
      </c>
      <c r="O237" s="2217">
        <f t="shared" si="29"/>
        <v>4.5931393000005301</v>
      </c>
      <c r="P237" s="2212">
        <v>98</v>
      </c>
      <c r="Q237" s="2219"/>
      <c r="R237" s="2213"/>
      <c r="S237" s="2219"/>
      <c r="T237" s="2213"/>
    </row>
    <row r="238" spans="1:20">
      <c r="A238" s="2217">
        <f t="shared" si="30"/>
        <v>18.391215359999201</v>
      </c>
      <c r="B238" s="2217">
        <f t="shared" si="26"/>
        <v>4350.7082511999997</v>
      </c>
      <c r="C238" s="2217">
        <f t="shared" si="28"/>
        <v>8.0246527999997852</v>
      </c>
      <c r="D238" s="2212">
        <v>97</v>
      </c>
      <c r="E238" s="2219"/>
      <c r="F238" s="2213"/>
      <c r="G238" s="2219"/>
      <c r="H238" s="2213"/>
      <c r="I238" s="2213"/>
      <c r="J238" s="2213"/>
      <c r="K238" s="2213"/>
      <c r="L238" s="263"/>
      <c r="M238" s="2217">
        <f t="shared" si="31"/>
        <v>-5.7437001001156673E-2</v>
      </c>
      <c r="N238" s="2217">
        <f t="shared" si="27"/>
        <v>1890.8347430999997</v>
      </c>
      <c r="O238" s="2217">
        <f t="shared" si="29"/>
        <v>4.6649638999995204</v>
      </c>
      <c r="P238" s="2212">
        <v>97</v>
      </c>
      <c r="Q238" s="2219"/>
      <c r="R238" s="2213"/>
      <c r="S238" s="2219"/>
      <c r="T238" s="2213"/>
    </row>
    <row r="239" spans="1:20">
      <c r="A239" s="2217">
        <f t="shared" si="30"/>
        <v>18.72105408000234</v>
      </c>
      <c r="B239" s="2217">
        <f t="shared" si="26"/>
        <v>4342.6835983999999</v>
      </c>
      <c r="C239" s="2217">
        <f t="shared" si="28"/>
        <v>8.1137984000006327</v>
      </c>
      <c r="D239" s="2212">
        <v>96</v>
      </c>
      <c r="E239" s="2219"/>
      <c r="F239" s="2213"/>
      <c r="G239" s="2219"/>
      <c r="H239" s="2213"/>
      <c r="I239" s="2213"/>
      <c r="J239" s="2213"/>
      <c r="K239" s="2213"/>
      <c r="L239" s="263"/>
      <c r="M239" s="2217">
        <f t="shared" si="31"/>
        <v>0.11645124700027765</v>
      </c>
      <c r="N239" s="2217">
        <f t="shared" si="27"/>
        <v>1886.1697792000002</v>
      </c>
      <c r="O239" s="2217">
        <f t="shared" si="29"/>
        <v>4.7371167000001151</v>
      </c>
      <c r="P239" s="2212">
        <v>96</v>
      </c>
      <c r="Q239" s="2219"/>
      <c r="R239" s="2213"/>
      <c r="S239" s="2219"/>
      <c r="T239" s="2213"/>
    </row>
    <row r="240" spans="1:20">
      <c r="A240" s="2217">
        <f t="shared" si="30"/>
        <v>19.05298847999547</v>
      </c>
      <c r="B240" s="2217">
        <f t="shared" si="26"/>
        <v>4334.5697999999993</v>
      </c>
      <c r="C240" s="2217">
        <f t="shared" si="28"/>
        <v>8.2035103999987768</v>
      </c>
      <c r="D240" s="2212">
        <v>95</v>
      </c>
      <c r="E240" s="2219"/>
      <c r="F240" s="2213"/>
      <c r="G240" s="2219"/>
      <c r="H240" s="2213"/>
      <c r="I240" s="2213"/>
      <c r="J240" s="2213"/>
      <c r="K240" s="2213"/>
      <c r="L240" s="263"/>
      <c r="M240" s="2217">
        <f t="shared" si="31"/>
        <v>0.29113045700064433</v>
      </c>
      <c r="N240" s="2217">
        <f t="shared" si="27"/>
        <v>1881.4326625000001</v>
      </c>
      <c r="O240" s="2217">
        <f t="shared" si="29"/>
        <v>4.8095977000002677</v>
      </c>
      <c r="P240" s="2212">
        <v>95</v>
      </c>
      <c r="Q240" s="2219"/>
      <c r="R240" s="2213"/>
      <c r="S240" s="2219"/>
      <c r="T240" s="2213"/>
    </row>
    <row r="241" spans="1:20">
      <c r="A241" s="2217">
        <f t="shared" si="30"/>
        <v>19.387018560005522</v>
      </c>
      <c r="B241" s="2217">
        <f t="shared" si="26"/>
        <v>4326.3662896000005</v>
      </c>
      <c r="C241" s="2217">
        <f t="shared" si="28"/>
        <v>8.2937888000014937</v>
      </c>
      <c r="D241" s="2212">
        <v>94</v>
      </c>
      <c r="E241" s="2219"/>
      <c r="F241" s="2213"/>
      <c r="G241" s="2219"/>
      <c r="H241" s="2213"/>
      <c r="I241" s="2213"/>
      <c r="J241" s="2213"/>
      <c r="K241" s="2213"/>
      <c r="L241" s="263"/>
      <c r="M241" s="2217">
        <f t="shared" si="31"/>
        <v>0.4666006289993998</v>
      </c>
      <c r="N241" s="2217">
        <f t="shared" si="27"/>
        <v>1876.6230647999998</v>
      </c>
      <c r="O241" s="2217">
        <f t="shared" si="29"/>
        <v>4.8824068999997507</v>
      </c>
      <c r="P241" s="2212">
        <v>94</v>
      </c>
      <c r="Q241" s="2219"/>
      <c r="R241" s="2213"/>
      <c r="S241" s="2219"/>
      <c r="T241" s="2213"/>
    </row>
    <row r="242" spans="1:20">
      <c r="A242" s="2217">
        <f t="shared" si="30"/>
        <v>19.723144319998845</v>
      </c>
      <c r="B242" s="2217">
        <f t="shared" si="26"/>
        <v>4318.072500799999</v>
      </c>
      <c r="C242" s="2217">
        <f t="shared" si="28"/>
        <v>8.3846335999996882</v>
      </c>
      <c r="D242" s="2212">
        <v>93</v>
      </c>
      <c r="E242" s="2219"/>
      <c r="F242" s="2213"/>
      <c r="G242" s="2219"/>
      <c r="H242" s="2213"/>
      <c r="I242" s="2213"/>
      <c r="J242" s="2213"/>
      <c r="K242" s="2213"/>
      <c r="L242" s="263"/>
      <c r="M242" s="2217">
        <f t="shared" si="31"/>
        <v>0.64286176299982856</v>
      </c>
      <c r="N242" s="2217">
        <f t="shared" si="27"/>
        <v>1871.7406579000001</v>
      </c>
      <c r="O242" s="2217">
        <f t="shared" si="29"/>
        <v>4.9555442999999286</v>
      </c>
      <c r="P242" s="2212">
        <v>93</v>
      </c>
      <c r="Q242" s="2219"/>
      <c r="R242" s="2213"/>
      <c r="S242" s="2219"/>
      <c r="T242" s="2213"/>
    </row>
    <row r="243" spans="1:20">
      <c r="A243" s="2217">
        <f t="shared" si="30"/>
        <v>20.061365759998985</v>
      </c>
      <c r="B243" s="2217">
        <f t="shared" si="26"/>
        <v>4309.6878671999993</v>
      </c>
      <c r="C243" s="2217">
        <f t="shared" si="28"/>
        <v>8.4760447999997268</v>
      </c>
      <c r="D243" s="2212">
        <v>92</v>
      </c>
      <c r="E243" s="2219"/>
      <c r="F243" s="2213"/>
      <c r="G243" s="2219"/>
      <c r="H243" s="2213"/>
      <c r="I243" s="2213"/>
      <c r="J243" s="2213"/>
      <c r="K243" s="2213"/>
      <c r="L243" s="263"/>
      <c r="M243" s="2217">
        <f t="shared" si="31"/>
        <v>0.81991385900083458</v>
      </c>
      <c r="N243" s="2217">
        <f t="shared" si="27"/>
        <v>1866.7851136000002</v>
      </c>
      <c r="O243" s="2217">
        <f t="shared" si="29"/>
        <v>5.0290099000003465</v>
      </c>
      <c r="P243" s="2212">
        <v>92</v>
      </c>
      <c r="Q243" s="2219"/>
      <c r="R243" s="2213"/>
      <c r="S243" s="2219"/>
      <c r="T243" s="2213"/>
    </row>
    <row r="244" spans="1:20">
      <c r="A244" s="2217">
        <f t="shared" si="30"/>
        <v>20.401682879999221</v>
      </c>
      <c r="B244" s="2217">
        <f t="shared" si="26"/>
        <v>4301.2118223999996</v>
      </c>
      <c r="C244" s="2217">
        <f t="shared" si="28"/>
        <v>8.5680223999997907</v>
      </c>
      <c r="D244" s="2212">
        <v>91</v>
      </c>
      <c r="E244" s="2219"/>
      <c r="F244" s="2213"/>
      <c r="G244" s="2219"/>
      <c r="H244" s="2213"/>
      <c r="I244" s="2213"/>
      <c r="J244" s="2213"/>
      <c r="K244" s="2213"/>
      <c r="L244" s="263"/>
      <c r="M244" s="2217">
        <f t="shared" si="31"/>
        <v>0.99775691699913338</v>
      </c>
      <c r="N244" s="2217">
        <f t="shared" si="27"/>
        <v>1861.7561036999998</v>
      </c>
      <c r="O244" s="2217">
        <f t="shared" si="29"/>
        <v>5.1028036999996402</v>
      </c>
      <c r="P244" s="2212">
        <v>91</v>
      </c>
      <c r="Q244" s="2219"/>
      <c r="R244" s="2213"/>
      <c r="S244" s="2219"/>
      <c r="T244" s="2213"/>
    </row>
    <row r="245" spans="1:20">
      <c r="A245" s="2217">
        <f t="shared" si="30"/>
        <v>20.74409567999955</v>
      </c>
      <c r="B245" s="2217">
        <f t="shared" si="26"/>
        <v>4292.6437999999998</v>
      </c>
      <c r="C245" s="2217">
        <f t="shared" si="28"/>
        <v>8.6605663999998796</v>
      </c>
      <c r="D245" s="2212">
        <v>90</v>
      </c>
      <c r="E245" s="2219"/>
      <c r="F245" s="2213"/>
      <c r="G245" s="2219"/>
      <c r="H245" s="2213"/>
      <c r="I245" s="2213"/>
      <c r="J245" s="2213"/>
      <c r="K245" s="2213"/>
      <c r="L245" s="263"/>
      <c r="M245" s="2217">
        <f t="shared" si="31"/>
        <v>1.1763909370007486</v>
      </c>
      <c r="N245" s="2217">
        <f t="shared" si="27"/>
        <v>1856.6533000000002</v>
      </c>
      <c r="O245" s="2217">
        <f t="shared" si="29"/>
        <v>5.1769257000003108</v>
      </c>
      <c r="P245" s="2212">
        <v>90</v>
      </c>
      <c r="Q245" s="2219"/>
      <c r="R245" s="2213"/>
      <c r="S245" s="2219"/>
      <c r="T245" s="2213"/>
    </row>
    <row r="246" spans="1:20">
      <c r="A246" s="2217">
        <f t="shared" si="30"/>
        <v>21.08860415999661</v>
      </c>
      <c r="B246" s="2217">
        <f t="shared" si="26"/>
        <v>4283.9832335999999</v>
      </c>
      <c r="C246" s="2217">
        <f t="shared" si="28"/>
        <v>8.7536767999990843</v>
      </c>
      <c r="D246" s="2212">
        <v>89</v>
      </c>
      <c r="E246" s="2219"/>
      <c r="F246" s="2213"/>
      <c r="G246" s="2219"/>
      <c r="H246" s="2213"/>
      <c r="I246" s="2213"/>
      <c r="J246" s="2213"/>
      <c r="K246" s="2213"/>
      <c r="L246" s="263"/>
      <c r="M246" s="2217">
        <f t="shared" si="31"/>
        <v>1.3558159189996566</v>
      </c>
      <c r="N246" s="2217">
        <f t="shared" si="27"/>
        <v>1851.4763742999999</v>
      </c>
      <c r="O246" s="2217">
        <f t="shared" si="29"/>
        <v>5.2513758999998572</v>
      </c>
      <c r="P246" s="2212">
        <v>89</v>
      </c>
      <c r="Q246" s="2219"/>
      <c r="R246" s="2213"/>
      <c r="S246" s="2219"/>
      <c r="T246" s="2213"/>
    </row>
    <row r="247" spans="1:20">
      <c r="A247" s="2217">
        <f t="shared" si="30"/>
        <v>21.435208320000488</v>
      </c>
      <c r="B247" s="2217">
        <f t="shared" si="26"/>
        <v>4275.2295568000009</v>
      </c>
      <c r="C247" s="2217">
        <f t="shared" si="28"/>
        <v>8.8473536000001332</v>
      </c>
      <c r="D247" s="2212">
        <v>88</v>
      </c>
      <c r="E247" s="2219"/>
      <c r="F247" s="2213"/>
      <c r="G247" s="2219"/>
      <c r="H247" s="2213"/>
      <c r="I247" s="2213"/>
      <c r="J247" s="2213"/>
      <c r="K247" s="2213"/>
      <c r="L247" s="263"/>
      <c r="M247" s="2217">
        <f t="shared" si="31"/>
        <v>1.5360318629991419</v>
      </c>
      <c r="N247" s="2217">
        <f t="shared" si="27"/>
        <v>1846.2249984</v>
      </c>
      <c r="O247" s="2217">
        <f t="shared" si="29"/>
        <v>5.3261542999996436</v>
      </c>
      <c r="P247" s="2212">
        <v>88</v>
      </c>
      <c r="Q247" s="2219"/>
      <c r="R247" s="2213"/>
      <c r="S247" s="2219"/>
      <c r="T247" s="2213"/>
    </row>
    <row r="248" spans="1:20">
      <c r="A248" s="2217">
        <f t="shared" si="30"/>
        <v>21.783908160004462</v>
      </c>
      <c r="B248" s="2217">
        <f t="shared" si="26"/>
        <v>4266.3822032000007</v>
      </c>
      <c r="C248" s="2217">
        <f t="shared" si="28"/>
        <v>8.9415968000012072</v>
      </c>
      <c r="D248" s="2212">
        <v>87</v>
      </c>
      <c r="E248" s="2219"/>
      <c r="F248" s="2213"/>
      <c r="G248" s="2219"/>
      <c r="H248" s="2213"/>
      <c r="I248" s="2213"/>
      <c r="J248" s="2213"/>
      <c r="K248" s="2213"/>
      <c r="L248" s="263"/>
      <c r="M248" s="2217">
        <f t="shared" si="31"/>
        <v>1.7170387690008493</v>
      </c>
      <c r="N248" s="2217">
        <f t="shared" si="27"/>
        <v>1840.8988441000004</v>
      </c>
      <c r="O248" s="2217">
        <f t="shared" si="29"/>
        <v>5.4012609000003522</v>
      </c>
      <c r="P248" s="2212">
        <v>87</v>
      </c>
      <c r="Q248" s="2219"/>
      <c r="R248" s="2213"/>
      <c r="S248" s="2219"/>
      <c r="T248" s="2213"/>
    </row>
    <row r="249" spans="1:20">
      <c r="A249" s="2217">
        <f t="shared" si="30"/>
        <v>22.134703680001802</v>
      </c>
      <c r="B249" s="2217">
        <f t="shared" si="26"/>
        <v>4257.4406063999995</v>
      </c>
      <c r="C249" s="2217">
        <f t="shared" si="28"/>
        <v>9.0364064000004873</v>
      </c>
      <c r="D249" s="2212">
        <v>86</v>
      </c>
      <c r="E249" s="2219"/>
      <c r="F249" s="2213"/>
      <c r="G249" s="2219"/>
      <c r="H249" s="2213"/>
      <c r="I249" s="2213"/>
      <c r="J249" s="2213"/>
      <c r="K249" s="2213"/>
      <c r="L249" s="263"/>
      <c r="M249" s="2217">
        <f t="shared" si="31"/>
        <v>1.8988366369998477</v>
      </c>
      <c r="N249" s="2217">
        <f t="shared" si="27"/>
        <v>1835.4975832</v>
      </c>
      <c r="O249" s="2217">
        <f t="shared" si="29"/>
        <v>5.4766956999999366</v>
      </c>
      <c r="P249" s="2212">
        <v>86</v>
      </c>
      <c r="Q249" s="2219"/>
      <c r="R249" s="2213"/>
      <c r="S249" s="2219"/>
      <c r="T249" s="2213"/>
    </row>
    <row r="250" spans="1:20">
      <c r="A250" s="2217">
        <f t="shared" si="30"/>
        <v>22.487594879999232</v>
      </c>
      <c r="B250" s="2217">
        <f t="shared" si="26"/>
        <v>4248.404199999999</v>
      </c>
      <c r="C250" s="2217">
        <f t="shared" si="28"/>
        <v>9.1317823999997927</v>
      </c>
      <c r="D250" s="2212">
        <v>85</v>
      </c>
      <c r="E250" s="2219"/>
      <c r="F250" s="2213"/>
      <c r="G250" s="2219"/>
      <c r="H250" s="2213"/>
      <c r="I250" s="2213"/>
      <c r="J250" s="2213"/>
      <c r="K250" s="2213"/>
      <c r="L250" s="263"/>
      <c r="M250" s="2217">
        <f t="shared" si="31"/>
        <v>2.0814254669999723</v>
      </c>
      <c r="N250" s="2217">
        <f t="shared" si="27"/>
        <v>1830.0208875000001</v>
      </c>
      <c r="O250" s="2217">
        <f t="shared" si="29"/>
        <v>5.5524586999999883</v>
      </c>
      <c r="P250" s="2212">
        <v>85</v>
      </c>
      <c r="Q250" s="2219"/>
      <c r="R250" s="2213"/>
      <c r="S250" s="2219"/>
      <c r="T250" s="2213"/>
    </row>
    <row r="251" spans="1:20">
      <c r="A251" s="2217">
        <f t="shared" si="30"/>
        <v>22.842581760000119</v>
      </c>
      <c r="B251" s="2217">
        <f t="shared" si="26"/>
        <v>4239.2724175999992</v>
      </c>
      <c r="C251" s="2217">
        <f t="shared" si="28"/>
        <v>9.2277248000000327</v>
      </c>
      <c r="D251" s="2212">
        <v>84</v>
      </c>
      <c r="E251" s="2219"/>
      <c r="F251" s="2213"/>
      <c r="G251" s="2219"/>
      <c r="H251" s="2213"/>
      <c r="I251" s="2213"/>
      <c r="J251" s="2213"/>
      <c r="K251" s="2213"/>
      <c r="L251" s="263"/>
      <c r="M251" s="2217">
        <f t="shared" si="31"/>
        <v>2.2648052590001271</v>
      </c>
      <c r="N251" s="2217">
        <f t="shared" si="27"/>
        <v>1824.4684288000001</v>
      </c>
      <c r="O251" s="2217">
        <f t="shared" si="29"/>
        <v>5.6285499000000527</v>
      </c>
      <c r="P251" s="2212">
        <v>84</v>
      </c>
      <c r="Q251" s="2219"/>
      <c r="R251" s="2213"/>
      <c r="S251" s="2219"/>
      <c r="T251" s="2213"/>
    </row>
    <row r="252" spans="1:20">
      <c r="A252" s="2217">
        <f t="shared" si="30"/>
        <v>23.199664319997733</v>
      </c>
      <c r="B252" s="2217">
        <f t="shared" si="26"/>
        <v>4230.0446927999992</v>
      </c>
      <c r="C252" s="2217">
        <f t="shared" si="28"/>
        <v>9.3242335999993884</v>
      </c>
      <c r="D252" s="2212">
        <v>83</v>
      </c>
      <c r="E252" s="2219"/>
      <c r="F252" s="2213"/>
      <c r="G252" s="2219"/>
      <c r="H252" s="2213"/>
      <c r="I252" s="2213"/>
      <c r="J252" s="2213"/>
      <c r="K252" s="2213"/>
      <c r="L252" s="263"/>
      <c r="M252" s="2217">
        <f t="shared" si="31"/>
        <v>2.4489760130003138</v>
      </c>
      <c r="N252" s="2217">
        <f t="shared" si="27"/>
        <v>1818.8398789</v>
      </c>
      <c r="O252" s="2217">
        <f t="shared" si="29"/>
        <v>5.7049693000001298</v>
      </c>
      <c r="P252" s="2212">
        <v>83</v>
      </c>
      <c r="Q252" s="2219"/>
      <c r="R252" s="2213"/>
      <c r="S252" s="2219"/>
      <c r="T252" s="2213"/>
    </row>
    <row r="253" spans="1:20">
      <c r="A253" s="2217">
        <f t="shared" si="30"/>
        <v>23.558842559998805</v>
      </c>
      <c r="B253" s="2217">
        <f t="shared" si="26"/>
        <v>4220.7204591999998</v>
      </c>
      <c r="C253" s="2217">
        <f t="shared" si="28"/>
        <v>9.4213087999996787</v>
      </c>
      <c r="D253" s="2212">
        <v>82</v>
      </c>
      <c r="E253" s="2219"/>
      <c r="F253" s="2213"/>
      <c r="G253" s="2219"/>
      <c r="H253" s="2213"/>
      <c r="I253" s="2213"/>
      <c r="J253" s="2213"/>
      <c r="K253" s="2213"/>
      <c r="L253" s="263"/>
      <c r="M253" s="2217">
        <f t="shared" si="31"/>
        <v>2.6339377289994328</v>
      </c>
      <c r="N253" s="2217">
        <f t="shared" si="27"/>
        <v>1813.1349095999999</v>
      </c>
      <c r="O253" s="2217">
        <f t="shared" si="29"/>
        <v>5.7817168999997648</v>
      </c>
      <c r="P253" s="2212">
        <v>82</v>
      </c>
      <c r="Q253" s="2219"/>
      <c r="R253" s="2213"/>
      <c r="S253" s="2219"/>
      <c r="T253" s="2213"/>
    </row>
    <row r="254" spans="1:20">
      <c r="A254" s="2217">
        <f t="shared" si="30"/>
        <v>23.920116479999972</v>
      </c>
      <c r="B254" s="2217">
        <f t="shared" si="26"/>
        <v>4211.2991504000001</v>
      </c>
      <c r="C254" s="2217">
        <f t="shared" si="28"/>
        <v>9.5189503999999943</v>
      </c>
      <c r="D254" s="2212">
        <v>81</v>
      </c>
      <c r="E254" s="2219"/>
      <c r="F254" s="2213"/>
      <c r="G254" s="2219"/>
      <c r="H254" s="2213"/>
      <c r="I254" s="2213"/>
      <c r="J254" s="2213"/>
      <c r="K254" s="2213"/>
      <c r="L254" s="263"/>
      <c r="M254" s="2217">
        <f t="shared" si="31"/>
        <v>2.8196904070007758</v>
      </c>
      <c r="N254" s="2217">
        <f t="shared" si="27"/>
        <v>1807.3531927000001</v>
      </c>
      <c r="O254" s="2217">
        <f t="shared" si="29"/>
        <v>5.8587927000003219</v>
      </c>
      <c r="P254" s="2212">
        <v>81</v>
      </c>
      <c r="Q254" s="2219"/>
      <c r="R254" s="2213"/>
      <c r="S254" s="2219"/>
      <c r="T254" s="2213"/>
    </row>
    <row r="255" spans="1:20">
      <c r="A255" s="2217">
        <f t="shared" si="30"/>
        <v>24.283486080001236</v>
      </c>
      <c r="B255" s="2217">
        <f t="shared" si="26"/>
        <v>4201.7802000000001</v>
      </c>
      <c r="C255" s="2217">
        <f t="shared" si="28"/>
        <v>9.617158400000335</v>
      </c>
      <c r="D255" s="2212">
        <v>80</v>
      </c>
      <c r="E255" s="2219"/>
      <c r="F255" s="2213"/>
      <c r="G255" s="2219"/>
      <c r="H255" s="2213"/>
      <c r="I255" s="2213"/>
      <c r="J255" s="2213"/>
      <c r="K255" s="2213"/>
      <c r="L255" s="263"/>
      <c r="M255" s="2217">
        <f t="shared" si="31"/>
        <v>3.0062340469994098</v>
      </c>
      <c r="N255" s="2217">
        <f t="shared" si="27"/>
        <v>1801.4943999999998</v>
      </c>
      <c r="O255" s="2217">
        <f t="shared" si="29"/>
        <v>5.9361966999997549</v>
      </c>
      <c r="P255" s="2212">
        <v>80</v>
      </c>
      <c r="Q255" s="2219"/>
      <c r="R255" s="2213"/>
      <c r="S255" s="2219"/>
      <c r="T255" s="2213"/>
    </row>
    <row r="256" spans="1:20">
      <c r="A256" s="2217">
        <f t="shared" si="30"/>
        <v>24.648951360002588</v>
      </c>
      <c r="B256" s="2217">
        <f t="shared" si="26"/>
        <v>4192.1630415999998</v>
      </c>
      <c r="C256" s="2217">
        <f t="shared" si="28"/>
        <v>9.7159328000007008</v>
      </c>
      <c r="D256" s="2212">
        <v>79</v>
      </c>
      <c r="E256" s="2219"/>
      <c r="F256" s="2213"/>
      <c r="G256" s="2219"/>
      <c r="H256" s="2213"/>
      <c r="I256" s="2213"/>
      <c r="J256" s="2213"/>
      <c r="K256" s="2213"/>
      <c r="L256" s="263"/>
      <c r="M256" s="2217">
        <f t="shared" si="31"/>
        <v>3.1935686490002659</v>
      </c>
      <c r="N256" s="2217">
        <f t="shared" si="27"/>
        <v>1795.5582033000001</v>
      </c>
      <c r="O256" s="2217">
        <f t="shared" si="29"/>
        <v>6.0139289000001099</v>
      </c>
      <c r="P256" s="2212">
        <v>79</v>
      </c>
      <c r="Q256" s="2219"/>
      <c r="R256" s="2213"/>
      <c r="S256" s="2219"/>
      <c r="T256" s="2213"/>
    </row>
    <row r="257" spans="1:20">
      <c r="A257" s="2217">
        <f t="shared" si="30"/>
        <v>25.016512319997307</v>
      </c>
      <c r="B257" s="2217">
        <f t="shared" si="26"/>
        <v>4182.4471087999991</v>
      </c>
      <c r="C257" s="2217">
        <f t="shared" si="28"/>
        <v>9.8152735999992728</v>
      </c>
      <c r="D257" s="2212">
        <v>78</v>
      </c>
      <c r="E257" s="2219"/>
      <c r="F257" s="2213"/>
      <c r="G257" s="2219"/>
      <c r="H257" s="2213"/>
      <c r="I257" s="2213"/>
      <c r="J257" s="2213"/>
      <c r="K257" s="2213"/>
      <c r="L257" s="263"/>
      <c r="M257" s="2217">
        <f t="shared" si="31"/>
        <v>3.3816942129995073</v>
      </c>
      <c r="N257" s="2217">
        <f t="shared" si="27"/>
        <v>1789.5442743999999</v>
      </c>
      <c r="O257" s="2217">
        <f t="shared" si="29"/>
        <v>6.0919892999997955</v>
      </c>
      <c r="P257" s="2212">
        <v>78</v>
      </c>
      <c r="Q257" s="2219"/>
      <c r="R257" s="2213"/>
      <c r="S257" s="2219"/>
      <c r="T257" s="2213"/>
    </row>
    <row r="258" spans="1:20">
      <c r="A258" s="2217">
        <f t="shared" si="30"/>
        <v>25.386168960002212</v>
      </c>
      <c r="B258" s="2217">
        <f t="shared" si="26"/>
        <v>4172.6318351999998</v>
      </c>
      <c r="C258" s="2217">
        <f t="shared" si="28"/>
        <v>9.9151808000005985</v>
      </c>
      <c r="D258" s="2212">
        <v>77</v>
      </c>
      <c r="E258" s="2219"/>
      <c r="F258" s="2213"/>
      <c r="G258" s="2219"/>
      <c r="H258" s="2213"/>
      <c r="I258" s="2213"/>
      <c r="J258" s="2213"/>
      <c r="K258" s="2213"/>
      <c r="L258" s="263"/>
      <c r="M258" s="2217">
        <f t="shared" si="31"/>
        <v>3.5706107389998767</v>
      </c>
      <c r="N258" s="2217">
        <f t="shared" si="27"/>
        <v>1783.4522851000002</v>
      </c>
      <c r="O258" s="2217">
        <f t="shared" si="29"/>
        <v>6.1703778999999486</v>
      </c>
      <c r="P258" s="2212">
        <v>77</v>
      </c>
      <c r="Q258" s="2219"/>
      <c r="R258" s="2213"/>
      <c r="S258" s="2219"/>
      <c r="T258" s="2213"/>
    </row>
    <row r="259" spans="1:20">
      <c r="A259" s="2217">
        <f t="shared" si="30"/>
        <v>25.757921279997117</v>
      </c>
      <c r="B259" s="2217">
        <f t="shared" si="26"/>
        <v>4162.7166543999992</v>
      </c>
      <c r="C259" s="2217">
        <f t="shared" si="28"/>
        <v>10.015654399999221</v>
      </c>
      <c r="D259" s="2212">
        <v>76</v>
      </c>
      <c r="E259" s="2219"/>
      <c r="F259" s="2213"/>
      <c r="G259" s="2219"/>
      <c r="H259" s="2213"/>
      <c r="I259" s="2213"/>
      <c r="J259" s="2213"/>
      <c r="K259" s="2213"/>
      <c r="L259" s="263"/>
      <c r="M259" s="2217">
        <f t="shared" si="31"/>
        <v>3.7603182270008233</v>
      </c>
      <c r="N259" s="2217">
        <f t="shared" si="27"/>
        <v>1777.2819072000002</v>
      </c>
      <c r="O259" s="2217">
        <f t="shared" si="29"/>
        <v>6.2490947000003416</v>
      </c>
      <c r="P259" s="2212">
        <v>76</v>
      </c>
      <c r="Q259" s="2219"/>
      <c r="R259" s="2213"/>
      <c r="S259" s="2219"/>
      <c r="T259" s="2213"/>
    </row>
    <row r="260" spans="1:20">
      <c r="A260" s="2217">
        <f t="shared" si="30"/>
        <v>26.131769280002207</v>
      </c>
      <c r="B260" s="2217">
        <f t="shared" si="26"/>
        <v>4152.701</v>
      </c>
      <c r="C260" s="2217">
        <f t="shared" si="28"/>
        <v>10.116694400000597</v>
      </c>
      <c r="D260" s="2212">
        <v>75</v>
      </c>
      <c r="E260" s="2219"/>
      <c r="F260" s="2213"/>
      <c r="G260" s="2219"/>
      <c r="H260" s="2213"/>
      <c r="I260" s="2213"/>
      <c r="J260" s="2213"/>
      <c r="K260" s="2213"/>
      <c r="L260" s="263"/>
      <c r="M260" s="2217">
        <f t="shared" si="31"/>
        <v>3.9508166769990609</v>
      </c>
      <c r="N260" s="2217">
        <f t="shared" si="27"/>
        <v>1771.0328124999999</v>
      </c>
      <c r="O260" s="2217">
        <f t="shared" si="29"/>
        <v>6.3281396999996105</v>
      </c>
      <c r="P260" s="2212">
        <v>75</v>
      </c>
      <c r="Q260" s="2219"/>
      <c r="R260" s="2213"/>
      <c r="S260" s="2219"/>
      <c r="T260" s="2213"/>
    </row>
    <row r="261" spans="1:20">
      <c r="A261" s="2217">
        <f t="shared" si="30"/>
        <v>26.507712959997296</v>
      </c>
      <c r="B261" s="2217">
        <f t="shared" si="26"/>
        <v>4142.5843055999994</v>
      </c>
      <c r="C261" s="2217">
        <f t="shared" si="28"/>
        <v>10.21830079999927</v>
      </c>
      <c r="D261" s="2212">
        <v>74</v>
      </c>
      <c r="E261" s="2219"/>
      <c r="F261" s="2213"/>
      <c r="G261" s="2219"/>
      <c r="H261" s="2213"/>
      <c r="I261" s="2213"/>
      <c r="J261" s="2213"/>
      <c r="K261" s="2213"/>
      <c r="L261" s="263"/>
      <c r="M261" s="2217">
        <f t="shared" si="31"/>
        <v>4.1421060890006185</v>
      </c>
      <c r="N261" s="2217">
        <f t="shared" si="27"/>
        <v>1764.7046728000003</v>
      </c>
      <c r="O261" s="2217">
        <f t="shared" si="29"/>
        <v>6.4075129000002562</v>
      </c>
      <c r="P261" s="2212">
        <v>74</v>
      </c>
      <c r="Q261" s="2219"/>
      <c r="R261" s="2213"/>
      <c r="S261" s="2219"/>
      <c r="T261" s="2213"/>
    </row>
    <row r="262" spans="1:20">
      <c r="A262" s="2217">
        <f t="shared" si="30"/>
        <v>26.88575232000257</v>
      </c>
      <c r="B262" s="2217">
        <f t="shared" si="26"/>
        <v>4132.3660048000002</v>
      </c>
      <c r="C262" s="2217">
        <f t="shared" si="28"/>
        <v>10.320473600000696</v>
      </c>
      <c r="D262" s="2212">
        <v>73</v>
      </c>
      <c r="E262" s="2219"/>
      <c r="F262" s="2213"/>
      <c r="G262" s="2219"/>
      <c r="H262" s="2213"/>
      <c r="I262" s="2213"/>
      <c r="J262" s="2213"/>
      <c r="K262" s="2213"/>
      <c r="L262" s="263"/>
      <c r="M262" s="2217">
        <f t="shared" si="31"/>
        <v>4.3341864630000124</v>
      </c>
      <c r="N262" s="2217">
        <f t="shared" si="27"/>
        <v>1758.2971599</v>
      </c>
      <c r="O262" s="2217">
        <f t="shared" si="29"/>
        <v>6.4872143000000051</v>
      </c>
      <c r="P262" s="2212">
        <v>73</v>
      </c>
      <c r="Q262" s="2219"/>
      <c r="R262" s="2213"/>
      <c r="S262" s="2219"/>
      <c r="T262" s="2213"/>
    </row>
    <row r="263" spans="1:20">
      <c r="A263" s="2217">
        <f t="shared" si="30"/>
        <v>27.265887359994483</v>
      </c>
      <c r="B263" s="2217">
        <f t="shared" si="26"/>
        <v>4122.0455311999995</v>
      </c>
      <c r="C263" s="2217">
        <f t="shared" si="28"/>
        <v>10.42321279999851</v>
      </c>
      <c r="D263" s="2212">
        <v>72</v>
      </c>
      <c r="E263" s="2219"/>
      <c r="F263" s="2213"/>
      <c r="G263" s="2219"/>
      <c r="H263" s="2213"/>
      <c r="I263" s="2213"/>
      <c r="J263" s="2213"/>
      <c r="K263" s="2213"/>
      <c r="L263" s="263"/>
      <c r="M263" s="2217">
        <f t="shared" si="31"/>
        <v>4.5270577989999854</v>
      </c>
      <c r="N263" s="2217">
        <f t="shared" si="27"/>
        <v>1751.8099456</v>
      </c>
      <c r="O263" s="2217">
        <f t="shared" si="29"/>
        <v>6.567243899999994</v>
      </c>
      <c r="P263" s="2212">
        <v>72</v>
      </c>
      <c r="Q263" s="2219"/>
      <c r="R263" s="2213"/>
      <c r="S263" s="2219"/>
      <c r="T263" s="2213"/>
    </row>
    <row r="264" spans="1:20">
      <c r="A264" s="2217">
        <f t="shared" si="30"/>
        <v>27.648118080003311</v>
      </c>
      <c r="B264" s="2217">
        <f t="shared" si="26"/>
        <v>4111.6223184000009</v>
      </c>
      <c r="C264" s="2217">
        <f t="shared" si="28"/>
        <v>10.526518400000896</v>
      </c>
      <c r="D264" s="2212">
        <v>71</v>
      </c>
      <c r="E264" s="2219"/>
      <c r="F264" s="2213"/>
      <c r="G264" s="2219"/>
      <c r="H264" s="2213"/>
      <c r="I264" s="2213"/>
      <c r="J264" s="2213"/>
      <c r="K264" s="2213"/>
      <c r="L264" s="263"/>
      <c r="M264" s="2217">
        <f t="shared" si="31"/>
        <v>4.7207200969999903</v>
      </c>
      <c r="N264" s="2217">
        <f t="shared" si="27"/>
        <v>1745.2427017</v>
      </c>
      <c r="O264" s="2217">
        <f t="shared" si="29"/>
        <v>6.6476016999999956</v>
      </c>
      <c r="P264" s="2212">
        <v>71</v>
      </c>
      <c r="Q264" s="2219"/>
      <c r="R264" s="2213"/>
      <c r="S264" s="2219"/>
      <c r="T264" s="2213"/>
    </row>
    <row r="265" spans="1:20">
      <c r="A265" s="2217">
        <f t="shared" si="30"/>
        <v>28.032444480000454</v>
      </c>
      <c r="B265" s="2217">
        <f t="shared" si="26"/>
        <v>4101.0958000000001</v>
      </c>
      <c r="C265" s="2217">
        <f t="shared" si="28"/>
        <v>10.630390400000124</v>
      </c>
      <c r="D265" s="2212">
        <v>70</v>
      </c>
      <c r="E265" s="2219"/>
      <c r="F265" s="2213"/>
      <c r="G265" s="2219"/>
      <c r="H265" s="2213"/>
      <c r="I265" s="2213"/>
      <c r="J265" s="2213"/>
      <c r="K265" s="2213"/>
      <c r="L265" s="263"/>
      <c r="M265" s="2217">
        <f t="shared" si="31"/>
        <v>4.9151733569994747</v>
      </c>
      <c r="N265" s="2217">
        <f t="shared" si="27"/>
        <v>1738.5951</v>
      </c>
      <c r="O265" s="2217">
        <f t="shared" si="29"/>
        <v>6.7282876999997825</v>
      </c>
      <c r="P265" s="2212">
        <v>70</v>
      </c>
      <c r="Q265" s="2219"/>
      <c r="R265" s="2213"/>
      <c r="S265" s="2219"/>
      <c r="T265" s="2213"/>
    </row>
    <row r="266" spans="1:20">
      <c r="A266" s="2217">
        <f t="shared" si="30"/>
        <v>28.41886656000106</v>
      </c>
      <c r="B266" s="2217">
        <f t="shared" si="26"/>
        <v>4090.4654095999999</v>
      </c>
      <c r="C266" s="2217">
        <f t="shared" si="28"/>
        <v>10.734828800000287</v>
      </c>
      <c r="D266" s="2212">
        <v>69</v>
      </c>
      <c r="E266" s="2219"/>
      <c r="F266" s="2213"/>
      <c r="G266" s="2219"/>
      <c r="H266" s="2213"/>
      <c r="I266" s="2213"/>
      <c r="J266" s="2213"/>
      <c r="K266" s="2213"/>
      <c r="L266" s="263"/>
      <c r="M266" s="2217">
        <f t="shared" si="31"/>
        <v>5.1104175790006359</v>
      </c>
      <c r="N266" s="2217">
        <f t="shared" si="27"/>
        <v>1731.8668123000002</v>
      </c>
      <c r="O266" s="2217">
        <f t="shared" si="29"/>
        <v>6.8093019000002641</v>
      </c>
      <c r="P266" s="2212">
        <v>69</v>
      </c>
      <c r="Q266" s="2219"/>
      <c r="R266" s="2213"/>
      <c r="S266" s="2219"/>
      <c r="T266" s="2213"/>
    </row>
    <row r="267" spans="1:20">
      <c r="A267" s="2217">
        <f t="shared" si="30"/>
        <v>28.807384319998388</v>
      </c>
      <c r="B267" s="2217">
        <f t="shared" si="26"/>
        <v>4079.7305807999996</v>
      </c>
      <c r="C267" s="2217">
        <f t="shared" si="28"/>
        <v>10.839833599999565</v>
      </c>
      <c r="D267" s="2212">
        <v>68</v>
      </c>
      <c r="E267" s="2219"/>
      <c r="F267" s="2213"/>
      <c r="G267" s="2219"/>
      <c r="H267" s="2213"/>
      <c r="I267" s="2213"/>
      <c r="J267" s="2213"/>
      <c r="K267" s="2213"/>
      <c r="L267" s="263"/>
      <c r="M267" s="2217">
        <f t="shared" si="31"/>
        <v>5.306452762999637</v>
      </c>
      <c r="N267" s="2217">
        <f t="shared" si="27"/>
        <v>1725.0575104</v>
      </c>
      <c r="O267" s="2217">
        <f t="shared" si="29"/>
        <v>6.890644299999849</v>
      </c>
      <c r="P267" s="2212">
        <v>68</v>
      </c>
      <c r="Q267" s="2219"/>
      <c r="R267" s="2213"/>
      <c r="S267" s="2219"/>
      <c r="T267" s="2213"/>
    </row>
    <row r="268" spans="1:20">
      <c r="A268" s="2217">
        <f t="shared" si="30"/>
        <v>29.197997760000856</v>
      </c>
      <c r="B268" s="2217">
        <f t="shared" si="26"/>
        <v>4068.8907472000001</v>
      </c>
      <c r="C268" s="2217">
        <f t="shared" si="28"/>
        <v>10.945404800000233</v>
      </c>
      <c r="D268" s="2212">
        <v>67</v>
      </c>
      <c r="E268" s="2219"/>
      <c r="F268" s="2213"/>
      <c r="G268" s="2219"/>
      <c r="H268" s="2213"/>
      <c r="I268" s="2213"/>
      <c r="J268" s="2213"/>
      <c r="K268" s="2213"/>
      <c r="L268" s="263"/>
      <c r="M268" s="2217">
        <f t="shared" si="31"/>
        <v>5.5032789090003114</v>
      </c>
      <c r="N268" s="2217">
        <f t="shared" si="27"/>
        <v>1718.1668661000001</v>
      </c>
      <c r="O268" s="2217">
        <f t="shared" si="29"/>
        <v>6.9723149000001285</v>
      </c>
      <c r="P268" s="2212">
        <v>67</v>
      </c>
      <c r="Q268" s="2219"/>
      <c r="R268" s="2213"/>
      <c r="S268" s="2219"/>
      <c r="T268" s="2213"/>
    </row>
    <row r="269" spans="1:20">
      <c r="A269" s="2217">
        <f t="shared" si="30"/>
        <v>29.590706880000059</v>
      </c>
      <c r="B269" s="2217">
        <f t="shared" si="26"/>
        <v>4057.9453423999998</v>
      </c>
      <c r="C269" s="2217">
        <f t="shared" si="28"/>
        <v>11.051542400000017</v>
      </c>
      <c r="D269" s="2212">
        <v>66</v>
      </c>
      <c r="E269" s="2219"/>
      <c r="F269" s="2213"/>
      <c r="G269" s="2219"/>
      <c r="H269" s="2213"/>
      <c r="I269" s="2213"/>
      <c r="J269" s="2213"/>
      <c r="K269" s="2213"/>
      <c r="L269" s="263"/>
      <c r="M269" s="2217">
        <f t="shared" si="31"/>
        <v>5.7008960169999199</v>
      </c>
      <c r="N269" s="2217">
        <f t="shared" si="27"/>
        <v>1711.1945512</v>
      </c>
      <c r="O269" s="2217">
        <f t="shared" si="29"/>
        <v>7.054313699999966</v>
      </c>
      <c r="P269" s="2212">
        <v>66</v>
      </c>
      <c r="Q269" s="2219"/>
      <c r="R269" s="2213"/>
      <c r="S269" s="2219"/>
      <c r="T269" s="2213"/>
    </row>
    <row r="270" spans="1:20">
      <c r="A270" s="2217">
        <f t="shared" si="30"/>
        <v>29.985511679999352</v>
      </c>
      <c r="B270" s="2217">
        <f t="shared" si="26"/>
        <v>4046.8937999999998</v>
      </c>
      <c r="C270" s="2217">
        <f t="shared" si="28"/>
        <v>11.158246399999825</v>
      </c>
      <c r="D270" s="2212">
        <v>65</v>
      </c>
      <c r="E270" s="2219"/>
      <c r="F270" s="2213"/>
      <c r="G270" s="2219"/>
      <c r="H270" s="2213"/>
      <c r="I270" s="2213"/>
      <c r="J270" s="2213"/>
      <c r="K270" s="2213"/>
      <c r="L270" s="263"/>
      <c r="M270" s="2217">
        <f t="shared" si="31"/>
        <v>5.8993040869995568</v>
      </c>
      <c r="N270" s="2217">
        <f t="shared" si="27"/>
        <v>1704.1402375</v>
      </c>
      <c r="O270" s="2217">
        <f t="shared" si="29"/>
        <v>7.1366406999998162</v>
      </c>
      <c r="P270" s="2212">
        <v>65</v>
      </c>
      <c r="Q270" s="2219"/>
      <c r="R270" s="2213"/>
      <c r="S270" s="2219"/>
      <c r="T270" s="2213"/>
    </row>
    <row r="271" spans="1:20">
      <c r="A271" s="2217">
        <f t="shared" si="30"/>
        <v>30.382412160002101</v>
      </c>
      <c r="B271" s="2217">
        <f t="shared" si="26"/>
        <v>4035.7355536</v>
      </c>
      <c r="C271" s="2217">
        <f t="shared" si="28"/>
        <v>11.265516800000569</v>
      </c>
      <c r="D271" s="2212">
        <v>64</v>
      </c>
      <c r="E271" s="2219"/>
      <c r="F271" s="2213"/>
      <c r="G271" s="2219"/>
      <c r="H271" s="2213"/>
      <c r="I271" s="2213"/>
      <c r="J271" s="2213"/>
      <c r="K271" s="2213"/>
      <c r="L271" s="263"/>
      <c r="M271" s="2217">
        <f t="shared" si="31"/>
        <v>6.0985031189997763</v>
      </c>
      <c r="N271" s="2217">
        <f t="shared" si="27"/>
        <v>1697.0035968000002</v>
      </c>
      <c r="O271" s="2217">
        <f t="shared" si="29"/>
        <v>7.2192958999999064</v>
      </c>
      <c r="P271" s="2212">
        <v>64</v>
      </c>
      <c r="Q271" s="2219"/>
      <c r="R271" s="2213"/>
      <c r="S271" s="2219"/>
      <c r="T271" s="2213"/>
    </row>
    <row r="272" spans="1:20">
      <c r="A272" s="2217">
        <f t="shared" si="30"/>
        <v>30.781408319999894</v>
      </c>
      <c r="B272" s="2217">
        <f t="shared" si="26"/>
        <v>4024.4700367999994</v>
      </c>
      <c r="C272" s="2217">
        <f t="shared" si="28"/>
        <v>11.373353599999973</v>
      </c>
      <c r="D272" s="2212">
        <v>63</v>
      </c>
      <c r="E272" s="2219"/>
      <c r="F272" s="2213"/>
      <c r="G272" s="2219"/>
      <c r="H272" s="2213"/>
      <c r="I272" s="2213"/>
      <c r="J272" s="2213"/>
      <c r="K272" s="2213"/>
      <c r="L272" s="263"/>
      <c r="M272" s="2217">
        <f t="shared" si="31"/>
        <v>6.2984931130005712</v>
      </c>
      <c r="N272" s="2217">
        <f t="shared" si="27"/>
        <v>1689.7843009000003</v>
      </c>
      <c r="O272" s="2217">
        <f t="shared" si="29"/>
        <v>7.3022793000002366</v>
      </c>
      <c r="P272" s="2212">
        <v>63</v>
      </c>
      <c r="Q272" s="2219"/>
      <c r="R272" s="2213"/>
      <c r="S272" s="2219"/>
      <c r="T272" s="2213"/>
    </row>
    <row r="273" spans="1:20">
      <c r="A273" s="2217">
        <f t="shared" si="30"/>
        <v>31.182500159997783</v>
      </c>
      <c r="B273" s="2217">
        <f t="shared" si="26"/>
        <v>4013.0966831999995</v>
      </c>
      <c r="C273" s="2217">
        <f t="shared" si="28"/>
        <v>11.481756799999403</v>
      </c>
      <c r="D273" s="2212">
        <v>62</v>
      </c>
      <c r="E273" s="2219"/>
      <c r="F273" s="2213"/>
      <c r="G273" s="2219"/>
      <c r="H273" s="2213"/>
      <c r="I273" s="2213"/>
      <c r="J273" s="2213"/>
      <c r="K273" s="2213"/>
      <c r="L273" s="263"/>
      <c r="M273" s="2217">
        <f t="shared" si="31"/>
        <v>6.4992740690003004</v>
      </c>
      <c r="N273" s="2217">
        <f t="shared" si="27"/>
        <v>1682.4820216000001</v>
      </c>
      <c r="O273" s="2217">
        <f t="shared" si="29"/>
        <v>7.3855909000001247</v>
      </c>
      <c r="P273" s="2212">
        <v>62</v>
      </c>
      <c r="Q273" s="2219"/>
      <c r="R273" s="2213"/>
      <c r="S273" s="2219"/>
      <c r="T273" s="2213"/>
    </row>
    <row r="274" spans="1:20">
      <c r="A274" s="2217">
        <f t="shared" si="30"/>
        <v>31.585687680000813</v>
      </c>
      <c r="B274" s="2217">
        <f t="shared" si="26"/>
        <v>4001.6149264000001</v>
      </c>
      <c r="C274" s="2217">
        <f t="shared" si="28"/>
        <v>11.590726400000221</v>
      </c>
      <c r="D274" s="2212">
        <v>61</v>
      </c>
      <c r="E274" s="2219"/>
      <c r="F274" s="2213"/>
      <c r="G274" s="2219"/>
      <c r="H274" s="2213"/>
      <c r="I274" s="2213"/>
      <c r="J274" s="2213"/>
      <c r="K274" s="2213"/>
      <c r="L274" s="263"/>
      <c r="M274" s="2217">
        <f t="shared" si="31"/>
        <v>6.7008459869995143</v>
      </c>
      <c r="N274" s="2217">
        <f t="shared" si="27"/>
        <v>1675.0964306999999</v>
      </c>
      <c r="O274" s="2217">
        <f t="shared" si="29"/>
        <v>7.4692306999997982</v>
      </c>
      <c r="P274" s="2212">
        <v>61</v>
      </c>
      <c r="Q274" s="2219"/>
      <c r="R274" s="2213"/>
      <c r="S274" s="2219"/>
      <c r="T274" s="2213"/>
    </row>
    <row r="275" spans="1:20">
      <c r="A275" s="2217">
        <f t="shared" si="30"/>
        <v>31.990970880000571</v>
      </c>
      <c r="B275" s="2217">
        <f t="shared" si="26"/>
        <v>3990.0241999999998</v>
      </c>
      <c r="C275" s="2217">
        <f t="shared" si="28"/>
        <v>11.700262400000156</v>
      </c>
      <c r="D275" s="2212">
        <v>60</v>
      </c>
      <c r="E275" s="2219"/>
      <c r="F275" s="2213"/>
      <c r="G275" s="2219"/>
      <c r="H275" s="2213"/>
      <c r="I275" s="2213"/>
      <c r="J275" s="2213"/>
      <c r="K275" s="2213"/>
      <c r="L275" s="263"/>
      <c r="M275" s="2217">
        <f t="shared" si="31"/>
        <v>6.9032088670004015</v>
      </c>
      <c r="N275" s="2217">
        <f t="shared" si="27"/>
        <v>1667.6272000000001</v>
      </c>
      <c r="O275" s="2217">
        <f t="shared" si="29"/>
        <v>7.5531987000001664</v>
      </c>
      <c r="P275" s="2212">
        <v>60</v>
      </c>
      <c r="Q275" s="2219"/>
      <c r="R275" s="2213"/>
      <c r="S275" s="2219"/>
      <c r="T275" s="2213"/>
    </row>
    <row r="276" spans="1:20">
      <c r="A276" s="2217">
        <f t="shared" si="30"/>
        <v>32.39834975999706</v>
      </c>
      <c r="B276" s="2217">
        <f t="shared" si="26"/>
        <v>3978.3239375999997</v>
      </c>
      <c r="C276" s="2217">
        <f t="shared" si="28"/>
        <v>11.810364799999206</v>
      </c>
      <c r="D276" s="2212">
        <v>59</v>
      </c>
      <c r="E276" s="2219"/>
      <c r="F276" s="2213"/>
      <c r="G276" s="2219"/>
      <c r="H276" s="2213"/>
      <c r="I276" s="2213"/>
      <c r="J276" s="2213"/>
      <c r="K276" s="2213"/>
      <c r="L276" s="263"/>
      <c r="M276" s="2217">
        <f t="shared" si="31"/>
        <v>7.1063627090002228</v>
      </c>
      <c r="N276" s="2217">
        <f t="shared" si="27"/>
        <v>1660.0740013</v>
      </c>
      <c r="O276" s="2217">
        <f t="shared" si="29"/>
        <v>7.6374949000000925</v>
      </c>
      <c r="P276" s="2212">
        <v>59</v>
      </c>
      <c r="Q276" s="2219"/>
      <c r="R276" s="2213"/>
      <c r="S276" s="2219"/>
      <c r="T276" s="2213"/>
    </row>
    <row r="277" spans="1:20">
      <c r="A277" s="2217">
        <f t="shared" si="30"/>
        <v>32.807824320000364</v>
      </c>
      <c r="B277" s="2217">
        <f t="shared" si="26"/>
        <v>3966.5135728000005</v>
      </c>
      <c r="C277" s="2217">
        <f t="shared" si="28"/>
        <v>11.921033600000101</v>
      </c>
      <c r="D277" s="2212">
        <v>58</v>
      </c>
      <c r="E277" s="2219"/>
      <c r="F277" s="2213"/>
      <c r="G277" s="2219"/>
      <c r="H277" s="2213"/>
      <c r="I277" s="2213"/>
      <c r="J277" s="2213"/>
      <c r="K277" s="2213"/>
      <c r="L277" s="263"/>
      <c r="M277" s="2217">
        <f t="shared" si="31"/>
        <v>7.310307512999529</v>
      </c>
      <c r="N277" s="2217">
        <f t="shared" si="27"/>
        <v>1652.4365063999999</v>
      </c>
      <c r="O277" s="2217">
        <f t="shared" si="29"/>
        <v>7.7221192999998038</v>
      </c>
      <c r="P277" s="2212">
        <v>58</v>
      </c>
      <c r="Q277" s="2219"/>
      <c r="R277" s="2213"/>
      <c r="S277" s="2219"/>
      <c r="T277" s="2213"/>
    </row>
    <row r="278" spans="1:20">
      <c r="A278" s="2217">
        <f t="shared" si="30"/>
        <v>33.219394560003778</v>
      </c>
      <c r="B278" s="2217">
        <f t="shared" si="26"/>
        <v>3954.5925392000004</v>
      </c>
      <c r="C278" s="2217">
        <f t="shared" si="28"/>
        <v>12.03226880000102</v>
      </c>
      <c r="D278" s="2212">
        <v>57</v>
      </c>
      <c r="E278" s="2219"/>
      <c r="F278" s="2213"/>
      <c r="G278" s="2219"/>
      <c r="H278" s="2213"/>
      <c r="I278" s="2213"/>
      <c r="J278" s="2213"/>
      <c r="K278" s="2213"/>
      <c r="L278" s="263"/>
      <c r="M278" s="2217">
        <f t="shared" si="31"/>
        <v>7.5150432789999577</v>
      </c>
      <c r="N278" s="2217">
        <f t="shared" si="27"/>
        <v>1644.7143871000001</v>
      </c>
      <c r="O278" s="2217">
        <f t="shared" si="29"/>
        <v>7.8070718999999826</v>
      </c>
      <c r="P278" s="2212">
        <v>57</v>
      </c>
      <c r="Q278" s="2219"/>
      <c r="R278" s="2213"/>
      <c r="S278" s="2219"/>
      <c r="T278" s="2213"/>
    </row>
    <row r="279" spans="1:20">
      <c r="A279" s="2217">
        <f t="shared" si="30"/>
        <v>33.633060479998861</v>
      </c>
      <c r="B279" s="2217">
        <f t="shared" si="26"/>
        <v>3942.5602703999994</v>
      </c>
      <c r="C279" s="2217">
        <f t="shared" si="28"/>
        <v>12.144070399999691</v>
      </c>
      <c r="D279" s="2212">
        <v>56</v>
      </c>
      <c r="E279" s="2219"/>
      <c r="F279" s="2213"/>
      <c r="G279" s="2219"/>
      <c r="H279" s="2213"/>
      <c r="I279" s="2213"/>
      <c r="J279" s="2213"/>
      <c r="K279" s="2213"/>
      <c r="L279" s="263"/>
      <c r="M279" s="2217">
        <f t="shared" si="31"/>
        <v>7.7205700069998713</v>
      </c>
      <c r="N279" s="2217">
        <f t="shared" si="27"/>
        <v>1636.9073152000001</v>
      </c>
      <c r="O279" s="2217">
        <f t="shared" si="29"/>
        <v>7.8923526999999467</v>
      </c>
      <c r="P279" s="2212">
        <v>56</v>
      </c>
      <c r="Q279" s="2219"/>
      <c r="R279" s="2213"/>
      <c r="S279" s="2219"/>
      <c r="T279" s="2213"/>
    </row>
    <row r="280" spans="1:20">
      <c r="A280" s="2217">
        <f t="shared" si="30"/>
        <v>34.048822080000761</v>
      </c>
      <c r="B280" s="2217">
        <f t="shared" si="26"/>
        <v>3930.4161999999997</v>
      </c>
      <c r="C280" s="2217">
        <f t="shared" si="28"/>
        <v>12.256438400000206</v>
      </c>
      <c r="D280" s="2212">
        <v>55</v>
      </c>
      <c r="E280" s="2219"/>
      <c r="F280" s="2213"/>
      <c r="G280" s="2219"/>
      <c r="H280" s="2213"/>
      <c r="I280" s="2213"/>
      <c r="J280" s="2213"/>
      <c r="K280" s="2213"/>
      <c r="L280" s="263"/>
      <c r="M280" s="2217">
        <f t="shared" si="31"/>
        <v>7.9268876970003639</v>
      </c>
      <c r="N280" s="2217">
        <f t="shared" si="27"/>
        <v>1629.0149625000001</v>
      </c>
      <c r="O280" s="2217">
        <f t="shared" si="29"/>
        <v>7.9779617000001508</v>
      </c>
      <c r="P280" s="2212">
        <v>55</v>
      </c>
      <c r="Q280" s="2219"/>
      <c r="R280" s="2213"/>
      <c r="S280" s="2219"/>
      <c r="T280" s="2213"/>
    </row>
    <row r="281" spans="1:20">
      <c r="A281" s="2217">
        <f t="shared" si="30"/>
        <v>34.466679359999389</v>
      </c>
      <c r="B281" s="2217">
        <f t="shared" si="26"/>
        <v>3918.1597615999995</v>
      </c>
      <c r="C281" s="2217">
        <f t="shared" si="28"/>
        <v>12.369372799999837</v>
      </c>
      <c r="D281" s="2212">
        <v>54</v>
      </c>
      <c r="E281" s="2219"/>
      <c r="F281" s="2213"/>
      <c r="G281" s="2219"/>
      <c r="H281" s="2213"/>
      <c r="I281" s="2213"/>
      <c r="J281" s="2213"/>
      <c r="K281" s="2213"/>
      <c r="L281" s="263"/>
      <c r="M281" s="2217">
        <f t="shared" si="31"/>
        <v>8.1339963489997906</v>
      </c>
      <c r="N281" s="2217">
        <f t="shared" si="27"/>
        <v>1621.0370008</v>
      </c>
      <c r="O281" s="2217">
        <f t="shared" si="29"/>
        <v>8.0638988999999128</v>
      </c>
      <c r="P281" s="2212">
        <v>54</v>
      </c>
      <c r="Q281" s="2219"/>
      <c r="R281" s="2213"/>
      <c r="S281" s="2219"/>
      <c r="T281" s="2213"/>
    </row>
    <row r="282" spans="1:20">
      <c r="A282" s="2217">
        <f t="shared" si="30"/>
        <v>34.886632319999805</v>
      </c>
      <c r="B282" s="2217">
        <f t="shared" si="26"/>
        <v>3905.7903887999996</v>
      </c>
      <c r="C282" s="2217">
        <f t="shared" si="28"/>
        <v>12.482873599999948</v>
      </c>
      <c r="D282" s="2212">
        <v>53</v>
      </c>
      <c r="E282" s="2219"/>
      <c r="F282" s="2213"/>
      <c r="G282" s="2219"/>
      <c r="H282" s="2213"/>
      <c r="I282" s="2213"/>
      <c r="J282" s="2213"/>
      <c r="K282" s="2213"/>
      <c r="L282" s="263"/>
      <c r="M282" s="2217">
        <f t="shared" si="31"/>
        <v>8.3418959630003435</v>
      </c>
      <c r="N282" s="2217">
        <f t="shared" si="27"/>
        <v>1612.9731019000001</v>
      </c>
      <c r="O282" s="2217">
        <f t="shared" si="29"/>
        <v>8.1501643000001422</v>
      </c>
      <c r="P282" s="2212">
        <v>53</v>
      </c>
      <c r="Q282" s="2219"/>
      <c r="R282" s="2213"/>
      <c r="S282" s="2219"/>
      <c r="T282" s="2213"/>
    </row>
    <row r="283" spans="1:20">
      <c r="A283" s="2217">
        <f t="shared" si="30"/>
        <v>35.308680959998625</v>
      </c>
      <c r="B283" s="2217">
        <f t="shared" si="26"/>
        <v>3893.3075151999997</v>
      </c>
      <c r="C283" s="2217">
        <f t="shared" si="28"/>
        <v>12.596940799999629</v>
      </c>
      <c r="D283" s="2212">
        <v>52</v>
      </c>
      <c r="E283" s="2219"/>
      <c r="F283" s="2213"/>
      <c r="G283" s="2219"/>
      <c r="H283" s="2213"/>
      <c r="I283" s="2213"/>
      <c r="J283" s="2213"/>
      <c r="K283" s="2213"/>
      <c r="L283" s="263"/>
      <c r="M283" s="2217">
        <f t="shared" si="31"/>
        <v>8.5505865389998306</v>
      </c>
      <c r="N283" s="2217">
        <f t="shared" si="27"/>
        <v>1604.8229375999999</v>
      </c>
      <c r="O283" s="2217">
        <f t="shared" si="29"/>
        <v>8.2367578999999296</v>
      </c>
      <c r="P283" s="2212">
        <v>52</v>
      </c>
      <c r="Q283" s="2219"/>
      <c r="R283" s="2213"/>
      <c r="S283" s="2219"/>
      <c r="T283" s="2213"/>
    </row>
    <row r="284" spans="1:20">
      <c r="A284" s="2217">
        <f t="shared" si="30"/>
        <v>35.73282528000091</v>
      </c>
      <c r="B284" s="2217">
        <f t="shared" si="26"/>
        <v>3880.7105744</v>
      </c>
      <c r="C284" s="2217">
        <f t="shared" si="28"/>
        <v>12.711574400000245</v>
      </c>
      <c r="D284" s="2212">
        <v>51</v>
      </c>
      <c r="E284" s="2219"/>
      <c r="F284" s="2213"/>
      <c r="G284" s="2219"/>
      <c r="H284" s="2213"/>
      <c r="I284" s="2213"/>
      <c r="J284" s="2213"/>
      <c r="K284" s="2213"/>
      <c r="L284" s="263"/>
      <c r="M284" s="2217">
        <f t="shared" si="31"/>
        <v>8.7600680769998966</v>
      </c>
      <c r="N284" s="2217">
        <f t="shared" si="27"/>
        <v>1596.5861797</v>
      </c>
      <c r="O284" s="2217">
        <f t="shared" si="29"/>
        <v>8.3236796999999569</v>
      </c>
      <c r="P284" s="2212">
        <v>51</v>
      </c>
      <c r="Q284" s="2219"/>
      <c r="R284" s="2213"/>
      <c r="S284" s="2219"/>
      <c r="T284" s="2213"/>
    </row>
    <row r="285" spans="1:20">
      <c r="A285" s="2217">
        <f t="shared" si="30"/>
        <v>36.159065279999908</v>
      </c>
      <c r="B285" s="2217">
        <f t="shared" si="26"/>
        <v>3867.9989999999998</v>
      </c>
      <c r="C285" s="2217">
        <f t="shared" si="28"/>
        <v>12.826774399999977</v>
      </c>
      <c r="D285" s="2212">
        <v>50</v>
      </c>
      <c r="E285" s="2219"/>
      <c r="F285" s="2213"/>
      <c r="G285" s="2219"/>
      <c r="H285" s="2213"/>
      <c r="I285" s="2213"/>
      <c r="J285" s="2213"/>
      <c r="K285" s="2213"/>
      <c r="L285" s="263"/>
      <c r="M285" s="2217">
        <f t="shared" si="31"/>
        <v>8.970340576999444</v>
      </c>
      <c r="N285" s="2217">
        <f t="shared" si="27"/>
        <v>1588.2625</v>
      </c>
      <c r="O285" s="2217">
        <f t="shared" si="29"/>
        <v>8.4109296999997696</v>
      </c>
      <c r="P285" s="2212">
        <v>50</v>
      </c>
      <c r="Q285" s="2219"/>
      <c r="R285" s="2213"/>
      <c r="S285" s="2219"/>
      <c r="T285" s="2213"/>
    </row>
    <row r="286" spans="1:20">
      <c r="A286" s="2217">
        <f t="shared" si="30"/>
        <v>36.587400959999016</v>
      </c>
      <c r="B286" s="2217">
        <f t="shared" si="26"/>
        <v>3855.1722255999998</v>
      </c>
      <c r="C286" s="2217">
        <f t="shared" si="28"/>
        <v>12.942540799999733</v>
      </c>
      <c r="D286" s="2212">
        <v>49</v>
      </c>
      <c r="E286" s="2219"/>
      <c r="F286" s="2213"/>
      <c r="G286" s="2219"/>
      <c r="H286" s="2213"/>
      <c r="I286" s="2213"/>
      <c r="J286" s="2213"/>
      <c r="K286" s="2213"/>
      <c r="L286" s="263"/>
      <c r="M286" s="2217">
        <f t="shared" si="31"/>
        <v>9.1814040390006681</v>
      </c>
      <c r="N286" s="2217">
        <f t="shared" si="27"/>
        <v>1579.8515703000003</v>
      </c>
      <c r="O286" s="2217">
        <f t="shared" si="29"/>
        <v>8.498507900000277</v>
      </c>
      <c r="P286" s="2212">
        <v>49</v>
      </c>
      <c r="Q286" s="2219"/>
      <c r="R286" s="2213"/>
      <c r="S286" s="2219"/>
      <c r="T286" s="2213"/>
    </row>
    <row r="287" spans="1:20">
      <c r="A287" s="2217">
        <f t="shared" si="30"/>
        <v>37.017832320001574</v>
      </c>
      <c r="B287" s="2217">
        <f t="shared" si="26"/>
        <v>3842.2296848000001</v>
      </c>
      <c r="C287" s="2217">
        <f t="shared" si="28"/>
        <v>13.058873600000425</v>
      </c>
      <c r="D287" s="2212">
        <v>48</v>
      </c>
      <c r="E287" s="2219"/>
      <c r="F287" s="2213"/>
      <c r="G287" s="2219"/>
      <c r="H287" s="2213"/>
      <c r="I287" s="2213"/>
      <c r="J287" s="2213"/>
      <c r="K287" s="2213"/>
      <c r="L287" s="263"/>
      <c r="M287" s="2217">
        <f t="shared" si="31"/>
        <v>9.3932584629997287</v>
      </c>
      <c r="N287" s="2217">
        <f t="shared" si="27"/>
        <v>1571.3530624</v>
      </c>
      <c r="O287" s="2217">
        <f t="shared" si="29"/>
        <v>8.5864142999998876</v>
      </c>
      <c r="P287" s="2212">
        <v>48</v>
      </c>
      <c r="Q287" s="2219"/>
      <c r="R287" s="2213"/>
      <c r="S287" s="2219"/>
      <c r="T287" s="2213"/>
    </row>
    <row r="288" spans="1:20">
      <c r="A288" s="2217">
        <f t="shared" si="30"/>
        <v>37.45035936000086</v>
      </c>
      <c r="B288" s="2217">
        <f t="shared" si="26"/>
        <v>3829.1708111999997</v>
      </c>
      <c r="C288" s="2217">
        <f t="shared" si="28"/>
        <v>13.175772800000232</v>
      </c>
      <c r="D288" s="2212">
        <v>47</v>
      </c>
      <c r="E288" s="2219"/>
      <c r="F288" s="2213"/>
      <c r="G288" s="2219"/>
      <c r="H288" s="2213"/>
      <c r="I288" s="2213"/>
      <c r="J288" s="2213"/>
      <c r="K288" s="2213"/>
      <c r="L288" s="263"/>
      <c r="M288" s="2217">
        <f t="shared" si="31"/>
        <v>9.6059038489999189</v>
      </c>
      <c r="N288" s="2217">
        <f t="shared" si="27"/>
        <v>1562.7666481000001</v>
      </c>
      <c r="O288" s="2217">
        <f t="shared" si="29"/>
        <v>8.6746488999999656</v>
      </c>
      <c r="P288" s="2212">
        <v>47</v>
      </c>
      <c r="Q288" s="2219"/>
      <c r="R288" s="2213"/>
      <c r="S288" s="2219"/>
      <c r="T288" s="2213"/>
    </row>
    <row r="289" spans="1:20">
      <c r="A289" s="2217">
        <f t="shared" si="30"/>
        <v>37.884982079998551</v>
      </c>
      <c r="B289" s="2217">
        <f t="shared" si="26"/>
        <v>3815.9950383999994</v>
      </c>
      <c r="C289" s="2217">
        <f t="shared" si="28"/>
        <v>13.293238399999609</v>
      </c>
      <c r="D289" s="2212">
        <v>46</v>
      </c>
      <c r="E289" s="2219"/>
      <c r="F289" s="2213"/>
      <c r="G289" s="2219"/>
      <c r="H289" s="2213"/>
      <c r="I289" s="2213"/>
      <c r="J289" s="2213"/>
      <c r="K289" s="2213"/>
      <c r="L289" s="263"/>
      <c r="M289" s="2217">
        <f t="shared" si="31"/>
        <v>9.8193401970001375</v>
      </c>
      <c r="N289" s="2217">
        <f t="shared" si="27"/>
        <v>1554.0919992000001</v>
      </c>
      <c r="O289" s="2217">
        <f t="shared" si="29"/>
        <v>8.7632117000000562</v>
      </c>
      <c r="P289" s="2212">
        <v>46</v>
      </c>
      <c r="Q289" s="2219"/>
      <c r="R289" s="2213"/>
      <c r="S289" s="2219"/>
      <c r="T289" s="2213"/>
    </row>
    <row r="290" spans="1:20">
      <c r="A290" s="2217">
        <f t="shared" si="30"/>
        <v>38.321700479999706</v>
      </c>
      <c r="B290" s="2217">
        <f t="shared" si="26"/>
        <v>3802.7017999999998</v>
      </c>
      <c r="C290" s="2217">
        <f t="shared" si="28"/>
        <v>13.411270399999921</v>
      </c>
      <c r="D290" s="2212">
        <v>45</v>
      </c>
      <c r="E290" s="2219"/>
      <c r="F290" s="2213"/>
      <c r="G290" s="2219"/>
      <c r="H290" s="2213"/>
      <c r="I290" s="2213"/>
      <c r="J290" s="2213"/>
      <c r="K290" s="2213"/>
      <c r="L290" s="263"/>
      <c r="M290" s="2217">
        <f t="shared" si="31"/>
        <v>10.033567506999837</v>
      </c>
      <c r="N290" s="2217">
        <f t="shared" si="27"/>
        <v>1545.3287875000001</v>
      </c>
      <c r="O290" s="2217">
        <f t="shared" si="29"/>
        <v>8.8521026999999322</v>
      </c>
      <c r="P290" s="2212">
        <v>45</v>
      </c>
      <c r="Q290" s="2219"/>
      <c r="R290" s="2213"/>
      <c r="S290" s="2219"/>
      <c r="T290" s="2213"/>
    </row>
    <row r="291" spans="1:20">
      <c r="A291" s="2217">
        <f t="shared" si="30"/>
        <v>38.760514559999265</v>
      </c>
      <c r="B291" s="2217">
        <f t="shared" ref="B291:B335" si="32">B$27+(B$26*D291)-(B$25*(D291^2))+(B$24*(D291^3))</f>
        <v>3789.2905295999999</v>
      </c>
      <c r="C291" s="2217">
        <f t="shared" si="28"/>
        <v>13.529868799999804</v>
      </c>
      <c r="D291" s="2212">
        <v>44</v>
      </c>
      <c r="E291" s="2219"/>
      <c r="F291" s="2213"/>
      <c r="G291" s="2219"/>
      <c r="H291" s="2213"/>
      <c r="I291" s="2213"/>
      <c r="J291" s="2213"/>
      <c r="K291" s="2213"/>
      <c r="L291" s="263"/>
      <c r="M291" s="2217">
        <f t="shared" si="31"/>
        <v>10.248585779000116</v>
      </c>
      <c r="N291" s="2217">
        <f t="shared" ref="N291:N335" si="33">N$27+(N$26*P291)-(N$25*(P291^2))+(N$24*(P291^3))</f>
        <v>1536.4766848000002</v>
      </c>
      <c r="O291" s="2217">
        <f t="shared" si="29"/>
        <v>8.9413219000000481</v>
      </c>
      <c r="P291" s="2212">
        <v>44</v>
      </c>
      <c r="Q291" s="2219"/>
      <c r="R291" s="2213"/>
      <c r="S291" s="2219"/>
      <c r="T291" s="2213"/>
    </row>
    <row r="292" spans="1:20">
      <c r="A292" s="2217">
        <f t="shared" si="30"/>
        <v>39.201424320000612</v>
      </c>
      <c r="B292" s="2217">
        <f t="shared" si="32"/>
        <v>3775.7606608000001</v>
      </c>
      <c r="C292" s="2217">
        <f t="shared" ref="C292:C333" si="34">B292-B293</f>
        <v>13.649033600000166</v>
      </c>
      <c r="D292" s="2212">
        <v>43</v>
      </c>
      <c r="E292" s="2219"/>
      <c r="F292" s="2213"/>
      <c r="G292" s="2219"/>
      <c r="H292" s="2213"/>
      <c r="I292" s="2213"/>
      <c r="J292" s="2213"/>
      <c r="K292" s="2213"/>
      <c r="L292" s="263"/>
      <c r="M292" s="2217">
        <f t="shared" si="31"/>
        <v>10.46439501299988</v>
      </c>
      <c r="N292" s="2217">
        <f t="shared" si="33"/>
        <v>1527.5353629000001</v>
      </c>
      <c r="O292" s="2217">
        <f t="shared" ref="O292:O333" si="35">N292-N293</f>
        <v>9.0308692999999494</v>
      </c>
      <c r="P292" s="2212">
        <v>43</v>
      </c>
      <c r="Q292" s="2219"/>
      <c r="R292" s="2213"/>
      <c r="S292" s="2219"/>
      <c r="T292" s="2213"/>
    </row>
    <row r="293" spans="1:20">
      <c r="A293" s="2217">
        <f t="shared" ref="A293:A335" si="36">(C293*(B$7-B$9))-B$8</f>
        <v>39.644429760000364</v>
      </c>
      <c r="B293" s="2217">
        <f t="shared" si="32"/>
        <v>3762.1116271999999</v>
      </c>
      <c r="C293" s="2217">
        <f t="shared" si="34"/>
        <v>13.768764800000099</v>
      </c>
      <c r="D293" s="2212">
        <v>42</v>
      </c>
      <c r="E293" s="2219"/>
      <c r="F293" s="2213"/>
      <c r="G293" s="2219"/>
      <c r="H293" s="2213"/>
      <c r="I293" s="2213"/>
      <c r="J293" s="2213"/>
      <c r="K293" s="2213"/>
      <c r="L293" s="263"/>
      <c r="M293" s="2217">
        <f t="shared" ref="M293:M335" si="37">(O293*(N$7-N$9))-N$8</f>
        <v>10.680995209000766</v>
      </c>
      <c r="N293" s="2217">
        <f t="shared" si="33"/>
        <v>1518.5044936000002</v>
      </c>
      <c r="O293" s="2217">
        <f t="shared" si="35"/>
        <v>9.120744900000318</v>
      </c>
      <c r="P293" s="2212">
        <v>42</v>
      </c>
      <c r="Q293" s="2219"/>
      <c r="R293" s="2213"/>
      <c r="S293" s="2219"/>
      <c r="T293" s="2213"/>
    </row>
    <row r="294" spans="1:20">
      <c r="A294" s="2217">
        <f t="shared" si="36"/>
        <v>40.089530880000211</v>
      </c>
      <c r="B294" s="2217">
        <f t="shared" si="32"/>
        <v>3748.3428623999998</v>
      </c>
      <c r="C294" s="2217">
        <f t="shared" si="34"/>
        <v>13.889062400000057</v>
      </c>
      <c r="D294" s="2212">
        <v>41</v>
      </c>
      <c r="E294" s="2219"/>
      <c r="F294" s="2213"/>
      <c r="G294" s="2219"/>
      <c r="H294" s="2213"/>
      <c r="I294" s="2213"/>
      <c r="J294" s="2213"/>
      <c r="K294" s="2213"/>
      <c r="L294" s="263"/>
      <c r="M294" s="2217">
        <f t="shared" si="37"/>
        <v>10.898386366999492</v>
      </c>
      <c r="N294" s="2217">
        <f t="shared" si="33"/>
        <v>1509.3837486999998</v>
      </c>
      <c r="O294" s="2217">
        <f t="shared" si="35"/>
        <v>9.2109486999997898</v>
      </c>
      <c r="P294" s="2212">
        <v>41</v>
      </c>
      <c r="Q294" s="2219"/>
      <c r="R294" s="2213"/>
      <c r="S294" s="2219"/>
      <c r="T294" s="2213"/>
    </row>
    <row r="295" spans="1:20">
      <c r="A295" s="2217">
        <f t="shared" si="36"/>
        <v>40.536727680000141</v>
      </c>
      <c r="B295" s="2217">
        <f t="shared" si="32"/>
        <v>3734.4537999999998</v>
      </c>
      <c r="C295" s="2217">
        <f t="shared" si="34"/>
        <v>14.00992640000004</v>
      </c>
      <c r="D295" s="2212">
        <v>40</v>
      </c>
      <c r="E295" s="2219"/>
      <c r="F295" s="2213"/>
      <c r="G295" s="2219"/>
      <c r="H295" s="2213"/>
      <c r="I295" s="2213"/>
      <c r="J295" s="2213"/>
      <c r="K295" s="2213"/>
      <c r="L295" s="263"/>
      <c r="M295" s="2217">
        <f t="shared" si="37"/>
        <v>11.116568486999896</v>
      </c>
      <c r="N295" s="2217">
        <f t="shared" si="33"/>
        <v>1500.1728000000001</v>
      </c>
      <c r="O295" s="2217">
        <f t="shared" si="35"/>
        <v>9.3014806999999564</v>
      </c>
      <c r="P295" s="2212">
        <v>40</v>
      </c>
      <c r="Q295" s="2219"/>
      <c r="R295" s="2213"/>
      <c r="S295" s="2219"/>
      <c r="T295" s="2213"/>
    </row>
    <row r="296" spans="1:20">
      <c r="A296" s="2217">
        <f t="shared" si="36"/>
        <v>40.98602016000018</v>
      </c>
      <c r="B296" s="2217">
        <f t="shared" si="32"/>
        <v>3720.4438735999997</v>
      </c>
      <c r="C296" s="2217">
        <f t="shared" si="34"/>
        <v>14.131356800000049</v>
      </c>
      <c r="D296" s="2212">
        <v>39</v>
      </c>
      <c r="E296" s="2219"/>
      <c r="F296" s="2213"/>
      <c r="G296" s="2219"/>
      <c r="H296" s="2213"/>
      <c r="I296" s="2213"/>
      <c r="J296" s="2213"/>
      <c r="K296" s="2213"/>
      <c r="L296" s="263"/>
      <c r="M296" s="2217">
        <f t="shared" si="37"/>
        <v>11.33554156899978</v>
      </c>
      <c r="N296" s="2217">
        <f t="shared" si="33"/>
        <v>1490.8713193000001</v>
      </c>
      <c r="O296" s="2217">
        <f t="shared" si="35"/>
        <v>9.3923408999999083</v>
      </c>
      <c r="P296" s="2212">
        <v>39</v>
      </c>
      <c r="Q296" s="2219"/>
      <c r="R296" s="2213"/>
      <c r="S296" s="2219"/>
      <c r="T296" s="2213"/>
    </row>
    <row r="297" spans="1:20">
      <c r="A297" s="2217">
        <f t="shared" si="36"/>
        <v>41.43740831999861</v>
      </c>
      <c r="B297" s="2217">
        <f t="shared" si="32"/>
        <v>3706.3125167999997</v>
      </c>
      <c r="C297" s="2217">
        <f t="shared" si="34"/>
        <v>14.253353599999627</v>
      </c>
      <c r="D297" s="2212">
        <v>38</v>
      </c>
      <c r="E297" s="2219"/>
      <c r="F297" s="2213"/>
      <c r="G297" s="2219"/>
      <c r="H297" s="2213"/>
      <c r="I297" s="2213"/>
      <c r="J297" s="2213"/>
      <c r="K297" s="2213"/>
      <c r="L297" s="263"/>
      <c r="M297" s="2217">
        <f t="shared" si="37"/>
        <v>11.555305613000243</v>
      </c>
      <c r="N297" s="2217">
        <f t="shared" si="33"/>
        <v>1481.4789784000002</v>
      </c>
      <c r="O297" s="2217">
        <f t="shared" si="35"/>
        <v>9.4835293000001002</v>
      </c>
      <c r="P297" s="2212">
        <v>38</v>
      </c>
      <c r="Q297" s="2219"/>
      <c r="R297" s="2213"/>
      <c r="S297" s="2219"/>
      <c r="T297" s="2213"/>
    </row>
    <row r="298" spans="1:20">
      <c r="A298" s="2217">
        <f t="shared" si="36"/>
        <v>41.890892159998828</v>
      </c>
      <c r="B298" s="2217">
        <f t="shared" si="32"/>
        <v>3692.0591632000001</v>
      </c>
      <c r="C298" s="2217">
        <f t="shared" si="34"/>
        <v>14.375916799999686</v>
      </c>
      <c r="D298" s="2212">
        <v>37</v>
      </c>
      <c r="E298" s="2219"/>
      <c r="F298" s="2213"/>
      <c r="G298" s="2219"/>
      <c r="H298" s="2213"/>
      <c r="I298" s="2213"/>
      <c r="J298" s="2213"/>
      <c r="K298" s="2213"/>
      <c r="L298" s="263"/>
      <c r="M298" s="2217">
        <f t="shared" si="37"/>
        <v>11.775860619000188</v>
      </c>
      <c r="N298" s="2217">
        <f t="shared" si="33"/>
        <v>1471.9954491000001</v>
      </c>
      <c r="O298" s="2217">
        <f t="shared" si="35"/>
        <v>9.5750459000000774</v>
      </c>
      <c r="P298" s="2212">
        <v>37</v>
      </c>
      <c r="Q298" s="2219"/>
      <c r="R298" s="2213"/>
      <c r="S298" s="2219"/>
      <c r="T298" s="2213"/>
    </row>
    <row r="299" spans="1:20">
      <c r="A299" s="2217">
        <f t="shared" si="36"/>
        <v>42.346471680002509</v>
      </c>
      <c r="B299" s="2217">
        <f t="shared" si="32"/>
        <v>3677.6832464000004</v>
      </c>
      <c r="C299" s="2217">
        <f t="shared" si="34"/>
        <v>14.49904640000068</v>
      </c>
      <c r="D299" s="2212">
        <v>36</v>
      </c>
      <c r="E299" s="2219"/>
      <c r="F299" s="2213"/>
      <c r="G299" s="2219"/>
      <c r="H299" s="2213"/>
      <c r="I299" s="2213"/>
      <c r="J299" s="2213"/>
      <c r="K299" s="2213"/>
      <c r="L299" s="263"/>
      <c r="M299" s="2217">
        <f t="shared" si="37"/>
        <v>11.997206586999614</v>
      </c>
      <c r="N299" s="2217">
        <f t="shared" si="33"/>
        <v>1462.4204032</v>
      </c>
      <c r="O299" s="2217">
        <f t="shared" si="35"/>
        <v>9.6668906999998399</v>
      </c>
      <c r="P299" s="2212">
        <v>36</v>
      </c>
      <c r="Q299" s="2219"/>
      <c r="R299" s="2213"/>
      <c r="S299" s="2219"/>
      <c r="T299" s="2213"/>
    </row>
    <row r="300" spans="1:20">
      <c r="A300" s="2217">
        <f t="shared" si="36"/>
        <v>42.80414687999955</v>
      </c>
      <c r="B300" s="2217">
        <f t="shared" si="32"/>
        <v>3663.1841999999997</v>
      </c>
      <c r="C300" s="2217">
        <f t="shared" si="34"/>
        <v>14.622742399999879</v>
      </c>
      <c r="D300" s="2212">
        <v>35</v>
      </c>
      <c r="E300" s="2219"/>
      <c r="F300" s="2213"/>
      <c r="G300" s="2219"/>
      <c r="H300" s="2213"/>
      <c r="I300" s="2213"/>
      <c r="J300" s="2213"/>
      <c r="K300" s="2213"/>
      <c r="L300" s="263"/>
      <c r="M300" s="2217">
        <f t="shared" si="37"/>
        <v>12.219343517000169</v>
      </c>
      <c r="N300" s="2217">
        <f t="shared" si="33"/>
        <v>1452.7535125000002</v>
      </c>
      <c r="O300" s="2217">
        <f t="shared" si="35"/>
        <v>9.7590637000000697</v>
      </c>
      <c r="P300" s="2212">
        <v>35</v>
      </c>
      <c r="Q300" s="2219"/>
      <c r="R300" s="2213"/>
      <c r="S300" s="2219"/>
      <c r="T300" s="2213"/>
    </row>
    <row r="301" spans="1:20">
      <c r="A301" s="2217">
        <f t="shared" si="36"/>
        <v>43.263917760000041</v>
      </c>
      <c r="B301" s="2217">
        <f t="shared" si="32"/>
        <v>3648.5614575999998</v>
      </c>
      <c r="C301" s="2217">
        <f t="shared" si="34"/>
        <v>14.747004800000013</v>
      </c>
      <c r="D301" s="2212">
        <v>34</v>
      </c>
      <c r="E301" s="2219"/>
      <c r="F301" s="2213"/>
      <c r="G301" s="2219"/>
      <c r="H301" s="2213"/>
      <c r="I301" s="2213"/>
      <c r="J301" s="2213"/>
      <c r="K301" s="2213"/>
      <c r="L301" s="263"/>
      <c r="M301" s="2217">
        <f t="shared" si="37"/>
        <v>12.442271409000753</v>
      </c>
      <c r="N301" s="2217">
        <f t="shared" si="33"/>
        <v>1442.9944488000001</v>
      </c>
      <c r="O301" s="2217">
        <f t="shared" si="35"/>
        <v>9.8515649000003123</v>
      </c>
      <c r="P301" s="2212">
        <v>34</v>
      </c>
      <c r="Q301" s="2219"/>
      <c r="R301" s="2213"/>
      <c r="S301" s="2219"/>
      <c r="T301" s="2213"/>
    </row>
    <row r="302" spans="1:20">
      <c r="A302" s="2217">
        <f t="shared" si="36"/>
        <v>43.725784320000628</v>
      </c>
      <c r="B302" s="2217">
        <f t="shared" si="32"/>
        <v>3633.8144527999998</v>
      </c>
      <c r="C302" s="2217">
        <f t="shared" si="34"/>
        <v>14.871833600000173</v>
      </c>
      <c r="D302" s="2212">
        <v>33</v>
      </c>
      <c r="E302" s="2219"/>
      <c r="F302" s="2213"/>
      <c r="G302" s="2219"/>
      <c r="H302" s="2213"/>
      <c r="I302" s="2213"/>
      <c r="J302" s="2213"/>
      <c r="K302" s="2213"/>
      <c r="L302" s="263"/>
      <c r="M302" s="2217">
        <f t="shared" si="37"/>
        <v>12.665990262999724</v>
      </c>
      <c r="N302" s="2217">
        <f t="shared" si="33"/>
        <v>1433.1428838999998</v>
      </c>
      <c r="O302" s="2217">
        <f t="shared" si="35"/>
        <v>9.9443942999998853</v>
      </c>
      <c r="P302" s="2212">
        <v>33</v>
      </c>
      <c r="Q302" s="2219"/>
      <c r="R302" s="2213"/>
      <c r="S302" s="2219"/>
      <c r="T302" s="2213"/>
    </row>
    <row r="303" spans="1:20">
      <c r="A303" s="2217">
        <f t="shared" si="36"/>
        <v>44.189746559997957</v>
      </c>
      <c r="B303" s="2217">
        <f t="shared" si="32"/>
        <v>3618.9426191999996</v>
      </c>
      <c r="C303" s="2217">
        <f t="shared" si="34"/>
        <v>14.997228799999448</v>
      </c>
      <c r="D303" s="2212">
        <v>32</v>
      </c>
      <c r="E303" s="2219"/>
      <c r="F303" s="2213"/>
      <c r="G303" s="2219"/>
      <c r="H303" s="2213"/>
      <c r="I303" s="2213"/>
      <c r="J303" s="2213"/>
      <c r="K303" s="2213"/>
      <c r="L303" s="263"/>
      <c r="M303" s="2217">
        <f t="shared" si="37"/>
        <v>12.890500078999274</v>
      </c>
      <c r="N303" s="2217">
        <f t="shared" si="33"/>
        <v>1423.1984895999999</v>
      </c>
      <c r="O303" s="2217">
        <f t="shared" si="35"/>
        <v>10.037551899999698</v>
      </c>
      <c r="P303" s="2212">
        <v>32</v>
      </c>
      <c r="Q303" s="2219"/>
      <c r="R303" s="2213"/>
      <c r="S303" s="2219"/>
      <c r="T303" s="2213"/>
    </row>
    <row r="304" spans="1:20">
      <c r="A304" s="2217">
        <f t="shared" si="36"/>
        <v>44.655804480000413</v>
      </c>
      <c r="B304" s="2217">
        <f t="shared" si="32"/>
        <v>3603.9453904000002</v>
      </c>
      <c r="C304" s="2217">
        <f t="shared" si="34"/>
        <v>15.123190400000112</v>
      </c>
      <c r="D304" s="2212">
        <v>31</v>
      </c>
      <c r="E304" s="2219"/>
      <c r="F304" s="2213"/>
      <c r="G304" s="2219"/>
      <c r="H304" s="2213"/>
      <c r="I304" s="2213"/>
      <c r="J304" s="2213"/>
      <c r="K304" s="2213"/>
      <c r="L304" s="263"/>
      <c r="M304" s="2217">
        <f t="shared" si="37"/>
        <v>13.115800857000497</v>
      </c>
      <c r="N304" s="2217">
        <f t="shared" si="33"/>
        <v>1413.1609377000002</v>
      </c>
      <c r="O304" s="2217">
        <f t="shared" si="35"/>
        <v>10.131037700000206</v>
      </c>
      <c r="P304" s="2212">
        <v>31</v>
      </c>
      <c r="Q304" s="2219"/>
      <c r="R304" s="2213"/>
      <c r="S304" s="2219"/>
      <c r="T304" s="2213"/>
    </row>
    <row r="305" spans="1:20">
      <c r="A305" s="2217">
        <f t="shared" si="36"/>
        <v>45.123958079999596</v>
      </c>
      <c r="B305" s="2217">
        <f t="shared" si="32"/>
        <v>3588.8222000000001</v>
      </c>
      <c r="C305" s="2217">
        <f t="shared" si="34"/>
        <v>15.249718399999892</v>
      </c>
      <c r="D305" s="2212">
        <v>30</v>
      </c>
      <c r="E305" s="2219"/>
      <c r="F305" s="2213"/>
      <c r="G305" s="2219"/>
      <c r="H305" s="2213"/>
      <c r="I305" s="2213"/>
      <c r="J305" s="2213"/>
      <c r="K305" s="2213"/>
      <c r="L305" s="263"/>
      <c r="M305" s="2217">
        <f t="shared" si="37"/>
        <v>13.341892597000108</v>
      </c>
      <c r="N305" s="2217">
        <f t="shared" si="33"/>
        <v>1403.0299</v>
      </c>
      <c r="O305" s="2217">
        <f t="shared" si="35"/>
        <v>10.224851700000045</v>
      </c>
      <c r="P305" s="2212">
        <v>30</v>
      </c>
      <c r="Q305" s="2219"/>
      <c r="R305" s="2213"/>
      <c r="S305" s="2219"/>
      <c r="T305" s="2213"/>
    </row>
    <row r="306" spans="1:20">
      <c r="A306" s="2217">
        <f t="shared" si="36"/>
        <v>45.594207360000553</v>
      </c>
      <c r="B306" s="2217">
        <f t="shared" si="32"/>
        <v>3573.5724816000002</v>
      </c>
      <c r="C306" s="2217">
        <f t="shared" si="34"/>
        <v>15.376812800000152</v>
      </c>
      <c r="D306" s="2212">
        <v>29</v>
      </c>
      <c r="E306" s="2219"/>
      <c r="F306" s="2213"/>
      <c r="G306" s="2219"/>
      <c r="H306" s="2213"/>
      <c r="I306" s="2213"/>
      <c r="J306" s="2213"/>
      <c r="K306" s="2213"/>
      <c r="L306" s="263"/>
      <c r="M306" s="2217">
        <f t="shared" si="37"/>
        <v>13.56877529899975</v>
      </c>
      <c r="N306" s="2217">
        <f t="shared" si="33"/>
        <v>1392.8050483</v>
      </c>
      <c r="O306" s="2217">
        <f t="shared" si="35"/>
        <v>10.318993899999896</v>
      </c>
      <c r="P306" s="2212">
        <v>29</v>
      </c>
      <c r="Q306" s="2219"/>
      <c r="R306" s="2213"/>
      <c r="S306" s="2219"/>
      <c r="T306" s="2213"/>
    </row>
    <row r="307" spans="1:20">
      <c r="A307" s="2217">
        <f t="shared" si="36"/>
        <v>46.06655232000162</v>
      </c>
      <c r="B307" s="2217">
        <f t="shared" si="32"/>
        <v>3558.1956688</v>
      </c>
      <c r="C307" s="2217">
        <f t="shared" si="34"/>
        <v>15.504473600000438</v>
      </c>
      <c r="D307" s="2212">
        <v>28</v>
      </c>
      <c r="E307" s="2219"/>
      <c r="F307" s="2213"/>
      <c r="G307" s="2219"/>
      <c r="H307" s="2213"/>
      <c r="I307" s="2213"/>
      <c r="J307" s="2213"/>
      <c r="K307" s="2213"/>
      <c r="L307" s="263"/>
      <c r="M307" s="2217">
        <f t="shared" si="37"/>
        <v>13.796448962999968</v>
      </c>
      <c r="N307" s="2217">
        <f t="shared" si="33"/>
        <v>1382.4860544000001</v>
      </c>
      <c r="O307" s="2217">
        <f t="shared" si="35"/>
        <v>10.413464299999987</v>
      </c>
      <c r="P307" s="2212">
        <v>28</v>
      </c>
      <c r="Q307" s="2219"/>
      <c r="R307" s="2213"/>
      <c r="S307" s="2219"/>
      <c r="T307" s="2213"/>
    </row>
    <row r="308" spans="1:20">
      <c r="A308" s="2217">
        <f t="shared" si="36"/>
        <v>46.540992959997709</v>
      </c>
      <c r="B308" s="2217">
        <f t="shared" si="32"/>
        <v>3542.6911951999996</v>
      </c>
      <c r="C308" s="2217">
        <f t="shared" si="34"/>
        <v>15.632700799999384</v>
      </c>
      <c r="D308" s="2212">
        <v>27</v>
      </c>
      <c r="E308" s="2219"/>
      <c r="F308" s="2213"/>
      <c r="G308" s="2219"/>
      <c r="H308" s="2213"/>
      <c r="I308" s="2213"/>
      <c r="J308" s="2213"/>
      <c r="K308" s="2213"/>
      <c r="L308" s="263"/>
      <c r="M308" s="2217">
        <f t="shared" si="37"/>
        <v>14.024913589000768</v>
      </c>
      <c r="N308" s="2217">
        <f t="shared" si="33"/>
        <v>1372.0725901000001</v>
      </c>
      <c r="O308" s="2217">
        <f t="shared" si="35"/>
        <v>10.508262900000318</v>
      </c>
      <c r="P308" s="2212">
        <v>27</v>
      </c>
      <c r="Q308" s="2219"/>
      <c r="R308" s="2213"/>
      <c r="S308" s="2219"/>
      <c r="T308" s="2213"/>
    </row>
    <row r="309" spans="1:20">
      <c r="A309" s="2217">
        <f t="shared" si="36"/>
        <v>47.017529280000645</v>
      </c>
      <c r="B309" s="2217">
        <f t="shared" si="32"/>
        <v>3527.0584944000002</v>
      </c>
      <c r="C309" s="2217">
        <f t="shared" si="34"/>
        <v>15.761494400000174</v>
      </c>
      <c r="D309" s="2212">
        <v>26</v>
      </c>
      <c r="E309" s="2219"/>
      <c r="F309" s="2213"/>
      <c r="G309" s="2219"/>
      <c r="H309" s="2213"/>
      <c r="I309" s="2213"/>
      <c r="J309" s="2213"/>
      <c r="K309" s="2213"/>
      <c r="L309" s="263"/>
      <c r="M309" s="2217">
        <f t="shared" si="37"/>
        <v>14.254169176999405</v>
      </c>
      <c r="N309" s="2217">
        <f t="shared" si="33"/>
        <v>1361.5643271999998</v>
      </c>
      <c r="O309" s="2217">
        <f t="shared" si="35"/>
        <v>10.603389699999752</v>
      </c>
      <c r="P309" s="2212">
        <v>26</v>
      </c>
      <c r="Q309" s="2219"/>
      <c r="R309" s="2213"/>
      <c r="S309" s="2219"/>
      <c r="T309" s="2213"/>
    </row>
    <row r="310" spans="1:20">
      <c r="A310" s="2217">
        <f t="shared" si="36"/>
        <v>47.496161280001971</v>
      </c>
      <c r="B310" s="2217">
        <f t="shared" si="32"/>
        <v>3511.297</v>
      </c>
      <c r="C310" s="2217">
        <f t="shared" si="34"/>
        <v>15.890854400000535</v>
      </c>
      <c r="D310" s="2212">
        <v>25</v>
      </c>
      <c r="E310" s="2219"/>
      <c r="F310" s="2213"/>
      <c r="G310" s="2219"/>
      <c r="H310" s="2213"/>
      <c r="I310" s="2213"/>
      <c r="J310" s="2213"/>
      <c r="K310" s="2213"/>
      <c r="L310" s="263"/>
      <c r="M310" s="2217">
        <f t="shared" si="37"/>
        <v>14.484215726999714</v>
      </c>
      <c r="N310" s="2217">
        <f t="shared" si="33"/>
        <v>1350.9609375</v>
      </c>
      <c r="O310" s="2217">
        <f t="shared" si="35"/>
        <v>10.698844699999881</v>
      </c>
      <c r="P310" s="2212">
        <v>25</v>
      </c>
      <c r="Q310" s="2219"/>
      <c r="R310" s="2213"/>
      <c r="S310" s="2219"/>
      <c r="T310" s="2213"/>
    </row>
    <row r="311" spans="1:20">
      <c r="A311" s="2217">
        <f t="shared" si="36"/>
        <v>47.976888960000039</v>
      </c>
      <c r="B311" s="2217">
        <f t="shared" si="32"/>
        <v>3495.4061455999995</v>
      </c>
      <c r="C311" s="2217">
        <f t="shared" si="34"/>
        <v>16.020780800000011</v>
      </c>
      <c r="D311" s="2212">
        <v>24</v>
      </c>
      <c r="E311" s="2219"/>
      <c r="F311" s="2213"/>
      <c r="G311" s="2219"/>
      <c r="H311" s="2213"/>
      <c r="I311" s="2213"/>
      <c r="J311" s="2213"/>
      <c r="K311" s="2213"/>
      <c r="L311" s="263"/>
      <c r="M311" s="2217">
        <f t="shared" si="37"/>
        <v>14.715053239000056</v>
      </c>
      <c r="N311" s="2217">
        <f t="shared" si="33"/>
        <v>1340.2620928000001</v>
      </c>
      <c r="O311" s="2217">
        <f t="shared" si="35"/>
        <v>10.794627900000023</v>
      </c>
      <c r="P311" s="2212">
        <v>24</v>
      </c>
      <c r="Q311" s="2219"/>
      <c r="R311" s="2213"/>
      <c r="S311" s="2219"/>
      <c r="T311" s="2213"/>
    </row>
    <row r="312" spans="1:20">
      <c r="A312" s="2217">
        <f t="shared" si="36"/>
        <v>48.459712319998189</v>
      </c>
      <c r="B312" s="2217">
        <f t="shared" si="32"/>
        <v>3479.3853647999995</v>
      </c>
      <c r="C312" s="2217">
        <f t="shared" si="34"/>
        <v>16.151273599999513</v>
      </c>
      <c r="D312" s="2212">
        <v>23</v>
      </c>
      <c r="E312" s="2219"/>
      <c r="F312" s="2213"/>
      <c r="G312" s="2219"/>
      <c r="H312" s="2213"/>
      <c r="I312" s="2213"/>
      <c r="J312" s="2213"/>
      <c r="K312" s="2213"/>
      <c r="L312" s="263"/>
      <c r="M312" s="2217">
        <f t="shared" si="37"/>
        <v>14.94668171300043</v>
      </c>
      <c r="N312" s="2217">
        <f t="shared" si="33"/>
        <v>1329.4674649000001</v>
      </c>
      <c r="O312" s="2217">
        <f t="shared" si="35"/>
        <v>10.890739300000178</v>
      </c>
      <c r="P312" s="2212">
        <v>23</v>
      </c>
      <c r="Q312" s="2219"/>
      <c r="R312" s="2213"/>
      <c r="S312" s="2219"/>
      <c r="T312" s="2213"/>
    </row>
    <row r="313" spans="1:20">
      <c r="A313" s="2217">
        <f t="shared" si="36"/>
        <v>48.944631359998127</v>
      </c>
      <c r="B313" s="2217">
        <f t="shared" si="32"/>
        <v>3463.2340912</v>
      </c>
      <c r="C313" s="2217">
        <f t="shared" si="34"/>
        <v>16.282332799999494</v>
      </c>
      <c r="D313" s="2212">
        <v>22</v>
      </c>
      <c r="E313" s="2219"/>
      <c r="F313" s="2213"/>
      <c r="G313" s="2219"/>
      <c r="H313" s="2213"/>
      <c r="I313" s="2213"/>
      <c r="J313" s="2213"/>
      <c r="K313" s="2213"/>
      <c r="L313" s="263"/>
      <c r="M313" s="2217">
        <f t="shared" si="37"/>
        <v>15.179101148999187</v>
      </c>
      <c r="N313" s="2217">
        <f t="shared" si="33"/>
        <v>1318.5767255999999</v>
      </c>
      <c r="O313" s="2217">
        <f t="shared" si="35"/>
        <v>10.987178899999662</v>
      </c>
      <c r="P313" s="2212">
        <v>22</v>
      </c>
      <c r="Q313" s="2219"/>
      <c r="R313" s="2213"/>
      <c r="S313" s="2219"/>
      <c r="T313" s="2213"/>
    </row>
    <row r="314" spans="1:20">
      <c r="A314" s="2217">
        <f t="shared" si="36"/>
        <v>49.43164608000319</v>
      </c>
      <c r="B314" s="2217">
        <f t="shared" si="32"/>
        <v>3446.9517584000005</v>
      </c>
      <c r="C314" s="2217">
        <f t="shared" si="34"/>
        <v>16.413958400000865</v>
      </c>
      <c r="D314" s="2212">
        <v>21</v>
      </c>
      <c r="E314" s="2219"/>
      <c r="F314" s="2213"/>
      <c r="G314" s="2219"/>
      <c r="H314" s="2213"/>
      <c r="I314" s="2213"/>
      <c r="J314" s="2213"/>
      <c r="K314" s="2213"/>
      <c r="L314" s="263"/>
      <c r="M314" s="2217">
        <f t="shared" si="37"/>
        <v>15.412311547000716</v>
      </c>
      <c r="N314" s="2217">
        <f t="shared" si="33"/>
        <v>1307.5895467000003</v>
      </c>
      <c r="O314" s="2217">
        <f t="shared" si="35"/>
        <v>11.083946700000297</v>
      </c>
      <c r="P314" s="2212">
        <v>21</v>
      </c>
      <c r="Q314" s="2219"/>
      <c r="R314" s="2213"/>
      <c r="S314" s="2219"/>
      <c r="T314" s="2213"/>
    </row>
    <row r="315" spans="1:20">
      <c r="A315" s="2217">
        <f t="shared" si="36"/>
        <v>49.920756479999952</v>
      </c>
      <c r="B315" s="2217">
        <f t="shared" si="32"/>
        <v>3430.5377999999996</v>
      </c>
      <c r="C315" s="2217">
        <f t="shared" si="34"/>
        <v>16.546150399999988</v>
      </c>
      <c r="D315" s="2212">
        <v>20</v>
      </c>
      <c r="E315" s="2219"/>
      <c r="F315" s="2213"/>
      <c r="G315" s="2219"/>
      <c r="H315" s="2213"/>
      <c r="I315" s="2213"/>
      <c r="J315" s="2213"/>
      <c r="K315" s="2213"/>
      <c r="L315" s="263"/>
      <c r="M315" s="2217">
        <f t="shared" si="37"/>
        <v>15.646312906999537</v>
      </c>
      <c r="N315" s="2217">
        <f t="shared" si="33"/>
        <v>1296.5056</v>
      </c>
      <c r="O315" s="2217">
        <f t="shared" si="35"/>
        <v>11.181042699999807</v>
      </c>
      <c r="P315" s="2212">
        <v>20</v>
      </c>
      <c r="Q315" s="2219"/>
      <c r="R315" s="2213"/>
      <c r="S315" s="2219"/>
      <c r="T315" s="2213"/>
    </row>
    <row r="316" spans="1:20">
      <c r="A316" s="2217">
        <f t="shared" si="36"/>
        <v>50.411962559998472</v>
      </c>
      <c r="B316" s="2217">
        <f t="shared" si="32"/>
        <v>3413.9916495999996</v>
      </c>
      <c r="C316" s="2217">
        <f t="shared" si="34"/>
        <v>16.67890879999959</v>
      </c>
      <c r="D316" s="2212">
        <v>19</v>
      </c>
      <c r="E316" s="2219"/>
      <c r="F316" s="2213"/>
      <c r="G316" s="2219"/>
      <c r="H316" s="2213"/>
      <c r="I316" s="2213"/>
      <c r="J316" s="2213"/>
      <c r="K316" s="2213"/>
      <c r="L316" s="263"/>
      <c r="M316" s="2217">
        <f t="shared" si="37"/>
        <v>15.881105229000578</v>
      </c>
      <c r="N316" s="2217">
        <f t="shared" si="33"/>
        <v>1285.3245573000002</v>
      </c>
      <c r="O316" s="2217">
        <f t="shared" si="35"/>
        <v>11.27846690000024</v>
      </c>
      <c r="P316" s="2212">
        <v>19</v>
      </c>
      <c r="Q316" s="2219"/>
      <c r="R316" s="2213"/>
      <c r="S316" s="2219"/>
      <c r="T316" s="2213"/>
    </row>
    <row r="317" spans="1:20">
      <c r="A317" s="2217">
        <f t="shared" si="36"/>
        <v>50.905264320002146</v>
      </c>
      <c r="B317" s="2217">
        <f t="shared" si="32"/>
        <v>3397.3127408</v>
      </c>
      <c r="C317" s="2217">
        <f t="shared" si="34"/>
        <v>16.812233600000582</v>
      </c>
      <c r="D317" s="2212">
        <v>18</v>
      </c>
      <c r="E317" s="2219"/>
      <c r="F317" s="2213"/>
      <c r="G317" s="2219"/>
      <c r="H317" s="2213"/>
      <c r="I317" s="2213"/>
      <c r="J317" s="2213"/>
      <c r="K317" s="2213"/>
      <c r="L317" s="263"/>
      <c r="M317" s="2217">
        <f t="shared" si="37"/>
        <v>16.11668851299946</v>
      </c>
      <c r="N317" s="2217">
        <f t="shared" si="33"/>
        <v>1274.0460903999999</v>
      </c>
      <c r="O317" s="2217">
        <f t="shared" si="35"/>
        <v>11.376219299999775</v>
      </c>
      <c r="P317" s="2212">
        <v>18</v>
      </c>
      <c r="Q317" s="2219"/>
      <c r="R317" s="2213"/>
      <c r="S317" s="2219"/>
      <c r="T317" s="2213"/>
    </row>
    <row r="318" spans="1:20">
      <c r="A318" s="2217">
        <f t="shared" si="36"/>
        <v>51.40066175999749</v>
      </c>
      <c r="B318" s="2217">
        <f t="shared" si="32"/>
        <v>3380.5005071999994</v>
      </c>
      <c r="C318" s="2217">
        <f t="shared" si="34"/>
        <v>16.946124799999325</v>
      </c>
      <c r="D318" s="2212">
        <v>17</v>
      </c>
      <c r="E318" s="2219"/>
      <c r="F318" s="2213"/>
      <c r="G318" s="2219"/>
      <c r="H318" s="2213"/>
      <c r="I318" s="2213"/>
      <c r="J318" s="2213"/>
      <c r="K318" s="2213"/>
      <c r="L318" s="263"/>
      <c r="M318" s="2217">
        <f t="shared" si="37"/>
        <v>16.353062759000014</v>
      </c>
      <c r="N318" s="2217">
        <f t="shared" si="33"/>
        <v>1262.6698711000001</v>
      </c>
      <c r="O318" s="2217">
        <f t="shared" si="35"/>
        <v>11.474299900000005</v>
      </c>
      <c r="P318" s="2212">
        <v>17</v>
      </c>
      <c r="Q318" s="2219"/>
      <c r="R318" s="2213"/>
      <c r="S318" s="2219"/>
      <c r="T318" s="2213"/>
    </row>
    <row r="319" spans="1:20">
      <c r="A319" s="2217">
        <f t="shared" si="36"/>
        <v>51.898154880001357</v>
      </c>
      <c r="B319" s="2217">
        <f t="shared" si="32"/>
        <v>3363.5543824000001</v>
      </c>
      <c r="C319" s="2217">
        <f t="shared" si="34"/>
        <v>17.080582400000367</v>
      </c>
      <c r="D319" s="2212">
        <v>16</v>
      </c>
      <c r="E319" s="2219"/>
      <c r="F319" s="2213"/>
      <c r="G319" s="2219"/>
      <c r="H319" s="2213"/>
      <c r="I319" s="2213"/>
      <c r="J319" s="2213"/>
      <c r="K319" s="2213"/>
      <c r="L319" s="263"/>
      <c r="M319" s="2217">
        <f t="shared" si="37"/>
        <v>16.590227967000601</v>
      </c>
      <c r="N319" s="2217">
        <f t="shared" si="33"/>
        <v>1251.1955712000001</v>
      </c>
      <c r="O319" s="2217">
        <f t="shared" si="35"/>
        <v>11.572708700000248</v>
      </c>
      <c r="P319" s="2212">
        <v>16</v>
      </c>
      <c r="Q319" s="2219"/>
      <c r="R319" s="2213"/>
      <c r="S319" s="2219"/>
      <c r="T319" s="2213"/>
    </row>
    <row r="320" spans="1:20">
      <c r="A320" s="2217">
        <f t="shared" si="36"/>
        <v>52.397743680000247</v>
      </c>
      <c r="B320" s="2217">
        <f t="shared" si="32"/>
        <v>3346.4737999999998</v>
      </c>
      <c r="C320" s="2217">
        <f t="shared" si="34"/>
        <v>17.21560640000007</v>
      </c>
      <c r="D320" s="2212">
        <v>15</v>
      </c>
      <c r="E320" s="2219"/>
      <c r="F320" s="2213"/>
      <c r="G320" s="2219"/>
      <c r="H320" s="2213"/>
      <c r="I320" s="2213"/>
      <c r="J320" s="2213"/>
      <c r="K320" s="2213"/>
      <c r="L320" s="263"/>
      <c r="M320" s="2217">
        <f t="shared" si="37"/>
        <v>16.828184136999571</v>
      </c>
      <c r="N320" s="2217">
        <f t="shared" si="33"/>
        <v>1239.6228624999999</v>
      </c>
      <c r="O320" s="2217">
        <f t="shared" si="35"/>
        <v>11.671445699999822</v>
      </c>
      <c r="P320" s="2212">
        <v>15</v>
      </c>
      <c r="Q320" s="2219"/>
      <c r="R320" s="2213"/>
      <c r="S320" s="2219"/>
      <c r="T320" s="2213"/>
    </row>
    <row r="321" spans="1:20">
      <c r="A321" s="2217">
        <f t="shared" si="36"/>
        <v>52.899428160000937</v>
      </c>
      <c r="B321" s="2217">
        <f t="shared" si="32"/>
        <v>3329.2581935999997</v>
      </c>
      <c r="C321" s="2217">
        <f t="shared" si="34"/>
        <v>17.351196800000253</v>
      </c>
      <c r="D321" s="2212">
        <v>14</v>
      </c>
      <c r="E321" s="2219"/>
      <c r="F321" s="2213"/>
      <c r="G321" s="2219"/>
      <c r="H321" s="2213"/>
      <c r="I321" s="2213"/>
      <c r="J321" s="2213"/>
      <c r="K321" s="2213"/>
      <c r="L321" s="263"/>
      <c r="M321" s="2217">
        <f t="shared" si="37"/>
        <v>17.066931269000218</v>
      </c>
      <c r="N321" s="2217">
        <f t="shared" si="33"/>
        <v>1227.9514168000001</v>
      </c>
      <c r="O321" s="2217">
        <f t="shared" si="35"/>
        <v>11.77051090000009</v>
      </c>
      <c r="P321" s="2212">
        <v>14</v>
      </c>
      <c r="Q321" s="2219"/>
      <c r="R321" s="2213"/>
      <c r="S321" s="2219"/>
      <c r="T321" s="2213"/>
    </row>
    <row r="322" spans="1:20">
      <c r="A322" s="2217">
        <f t="shared" si="36"/>
        <v>53.403208319998342</v>
      </c>
      <c r="B322" s="2217">
        <f t="shared" si="32"/>
        <v>3311.9069967999994</v>
      </c>
      <c r="C322" s="2217">
        <f t="shared" si="34"/>
        <v>17.487353599999551</v>
      </c>
      <c r="D322" s="2212">
        <v>13</v>
      </c>
      <c r="E322" s="2219"/>
      <c r="F322" s="2213"/>
      <c r="G322" s="2219"/>
      <c r="H322" s="2213"/>
      <c r="I322" s="2213"/>
      <c r="J322" s="2213"/>
      <c r="K322" s="2213"/>
      <c r="L322" s="263"/>
      <c r="M322" s="2217">
        <f t="shared" si="37"/>
        <v>17.306469362999799</v>
      </c>
      <c r="N322" s="2217">
        <f t="shared" si="33"/>
        <v>1216.1809059</v>
      </c>
      <c r="O322" s="2217">
        <f t="shared" si="35"/>
        <v>11.869904299999916</v>
      </c>
      <c r="P322" s="2212">
        <v>13</v>
      </c>
      <c r="Q322" s="2219"/>
      <c r="R322" s="2213"/>
      <c r="S322" s="2219"/>
      <c r="T322" s="2213"/>
    </row>
    <row r="323" spans="1:20">
      <c r="A323" s="2217">
        <f t="shared" si="36"/>
        <v>53.909084160000887</v>
      </c>
      <c r="B323" s="2217">
        <f t="shared" si="32"/>
        <v>3294.4196431999999</v>
      </c>
      <c r="C323" s="2217">
        <f t="shared" si="34"/>
        <v>17.624076800000239</v>
      </c>
      <c r="D323" s="2212">
        <v>12</v>
      </c>
      <c r="E323" s="2219"/>
      <c r="F323" s="2213"/>
      <c r="G323" s="2219"/>
      <c r="H323" s="2213"/>
      <c r="I323" s="2213"/>
      <c r="J323" s="2213"/>
      <c r="K323" s="2213"/>
      <c r="L323" s="263"/>
      <c r="M323" s="2217">
        <f t="shared" si="37"/>
        <v>17.546798419000506</v>
      </c>
      <c r="N323" s="2217">
        <f t="shared" si="33"/>
        <v>1204.3110016000001</v>
      </c>
      <c r="O323" s="2217">
        <f t="shared" si="35"/>
        <v>11.96962590000021</v>
      </c>
      <c r="P323" s="2212">
        <v>12</v>
      </c>
      <c r="Q323" s="2219"/>
      <c r="R323" s="2213"/>
      <c r="S323" s="2219"/>
      <c r="T323" s="2213"/>
    </row>
    <row r="324" spans="1:20">
      <c r="A324" s="2217">
        <f t="shared" si="36"/>
        <v>54.417055679998469</v>
      </c>
      <c r="B324" s="2217">
        <f t="shared" si="32"/>
        <v>3276.7955663999996</v>
      </c>
      <c r="C324" s="2217">
        <f t="shared" si="34"/>
        <v>17.761366399999588</v>
      </c>
      <c r="D324" s="2212">
        <v>11</v>
      </c>
      <c r="E324" s="2219"/>
      <c r="F324" s="2213"/>
      <c r="G324" s="2219"/>
      <c r="H324" s="2213"/>
      <c r="I324" s="2213"/>
      <c r="J324" s="2213"/>
      <c r="K324" s="2213"/>
      <c r="L324" s="263"/>
      <c r="M324" s="2217">
        <f t="shared" si="37"/>
        <v>17.7879184369996</v>
      </c>
      <c r="N324" s="2217">
        <f t="shared" si="33"/>
        <v>1192.3413756999998</v>
      </c>
      <c r="O324" s="2217">
        <f t="shared" si="35"/>
        <v>12.069675699999834</v>
      </c>
      <c r="P324" s="2212">
        <v>11</v>
      </c>
      <c r="Q324" s="2219"/>
      <c r="R324" s="2213"/>
      <c r="S324" s="2219"/>
      <c r="T324" s="2213"/>
    </row>
    <row r="325" spans="1:20">
      <c r="A325" s="2217">
        <f t="shared" si="36"/>
        <v>54.927122880001207</v>
      </c>
      <c r="B325" s="2217">
        <f t="shared" si="32"/>
        <v>3259.0342000000001</v>
      </c>
      <c r="C325" s="2217">
        <f t="shared" si="34"/>
        <v>17.899222400000326</v>
      </c>
      <c r="D325" s="2212">
        <v>10</v>
      </c>
      <c r="E325" s="2219"/>
      <c r="F325" s="2213"/>
      <c r="G325" s="2219"/>
      <c r="H325" s="2213"/>
      <c r="I325" s="2213"/>
      <c r="J325" s="2213"/>
      <c r="K325" s="2213"/>
      <c r="L325" s="263"/>
      <c r="M325" s="2217">
        <f t="shared" si="37"/>
        <v>18.029829416999821</v>
      </c>
      <c r="N325" s="2217">
        <f t="shared" si="33"/>
        <v>1180.2717</v>
      </c>
      <c r="O325" s="2217">
        <f t="shared" si="35"/>
        <v>12.170053699999926</v>
      </c>
      <c r="P325" s="2212">
        <v>10</v>
      </c>
      <c r="Q325" s="2219"/>
      <c r="R325" s="2213"/>
      <c r="S325" s="2219"/>
      <c r="T325" s="2213"/>
    </row>
    <row r="326" spans="1:20">
      <c r="A326" s="2217">
        <f t="shared" si="36"/>
        <v>55.439285759998981</v>
      </c>
      <c r="B326" s="2217">
        <f t="shared" si="32"/>
        <v>3241.1349775999997</v>
      </c>
      <c r="C326" s="2217">
        <f t="shared" si="34"/>
        <v>18.037644799999725</v>
      </c>
      <c r="D326" s="2212">
        <v>9</v>
      </c>
      <c r="E326" s="2219"/>
      <c r="F326" s="2213"/>
      <c r="G326" s="2219"/>
      <c r="H326" s="2213"/>
      <c r="I326" s="2213"/>
      <c r="J326" s="2213"/>
      <c r="K326" s="2213"/>
      <c r="L326" s="263"/>
      <c r="M326" s="2217">
        <f t="shared" si="37"/>
        <v>18.272531359000073</v>
      </c>
      <c r="N326" s="2217">
        <f t="shared" si="33"/>
        <v>1168.1016463000001</v>
      </c>
      <c r="O326" s="2217">
        <f t="shared" si="35"/>
        <v>12.27075990000003</v>
      </c>
      <c r="P326" s="2212">
        <v>9</v>
      </c>
      <c r="Q326" s="2219"/>
      <c r="R326" s="2213"/>
      <c r="S326" s="2219"/>
      <c r="T326" s="2213"/>
    </row>
    <row r="327" spans="1:20">
      <c r="A327" s="2217">
        <f t="shared" si="36"/>
        <v>55.953544320000219</v>
      </c>
      <c r="B327" s="2217">
        <f t="shared" si="32"/>
        <v>3223.0973328</v>
      </c>
      <c r="C327" s="2217">
        <f t="shared" si="34"/>
        <v>18.176633600000059</v>
      </c>
      <c r="D327" s="2212">
        <v>8</v>
      </c>
      <c r="E327" s="2219"/>
      <c r="F327" s="2213"/>
      <c r="G327" s="2219"/>
      <c r="H327" s="2213"/>
      <c r="I327" s="2213"/>
      <c r="J327" s="2213"/>
      <c r="K327" s="2213"/>
      <c r="L327" s="263"/>
      <c r="M327" s="2217">
        <f t="shared" si="37"/>
        <v>18.516024262999807</v>
      </c>
      <c r="N327" s="2217">
        <f t="shared" si="33"/>
        <v>1155.8308864000001</v>
      </c>
      <c r="O327" s="2217">
        <f t="shared" si="35"/>
        <v>12.37179429999992</v>
      </c>
      <c r="P327" s="2212">
        <v>8</v>
      </c>
      <c r="Q327" s="2219"/>
      <c r="R327" s="2213"/>
      <c r="S327" s="2219"/>
      <c r="T327" s="2213"/>
    </row>
    <row r="328" spans="1:20">
      <c r="A328" s="2217">
        <f t="shared" si="36"/>
        <v>56.469898559999862</v>
      </c>
      <c r="B328" s="2217">
        <f t="shared" si="32"/>
        <v>3204.9206991999999</v>
      </c>
      <c r="C328" s="2217">
        <f t="shared" si="34"/>
        <v>18.316188799999964</v>
      </c>
      <c r="D328" s="2212">
        <v>7</v>
      </c>
      <c r="E328" s="2219"/>
      <c r="F328" s="2213"/>
      <c r="G328" s="2219"/>
      <c r="H328" s="2213"/>
      <c r="I328" s="2213"/>
      <c r="J328" s="2213"/>
      <c r="K328" s="2213"/>
      <c r="L328" s="263"/>
      <c r="M328" s="2217">
        <f t="shared" si="37"/>
        <v>18.760308129000666</v>
      </c>
      <c r="N328" s="2217">
        <f t="shared" si="33"/>
        <v>1143.4590921000001</v>
      </c>
      <c r="O328" s="2217">
        <f t="shared" si="35"/>
        <v>12.473156900000276</v>
      </c>
      <c r="P328" s="2212">
        <v>7</v>
      </c>
      <c r="Q328" s="2219"/>
      <c r="R328" s="2213"/>
      <c r="S328" s="2219"/>
      <c r="T328" s="2213"/>
    </row>
    <row r="329" spans="1:20">
      <c r="A329" s="2217">
        <f t="shared" si="36"/>
        <v>56.988348479999601</v>
      </c>
      <c r="B329" s="2217">
        <f t="shared" si="32"/>
        <v>3186.6045104</v>
      </c>
      <c r="C329" s="2217">
        <f t="shared" si="34"/>
        <v>18.456310399999893</v>
      </c>
      <c r="D329" s="2212">
        <v>6</v>
      </c>
      <c r="E329" s="2219"/>
      <c r="F329" s="2213"/>
      <c r="G329" s="2219"/>
      <c r="H329" s="2213"/>
      <c r="I329" s="2213"/>
      <c r="J329" s="2213"/>
      <c r="K329" s="2213"/>
      <c r="L329" s="263"/>
      <c r="M329" s="2217">
        <f t="shared" si="37"/>
        <v>19.005382956999366</v>
      </c>
      <c r="N329" s="2217">
        <f t="shared" si="33"/>
        <v>1130.9859351999999</v>
      </c>
      <c r="O329" s="2217">
        <f t="shared" si="35"/>
        <v>12.574847699999737</v>
      </c>
      <c r="P329" s="2212">
        <v>6</v>
      </c>
      <c r="Q329" s="2219"/>
      <c r="R329" s="2213"/>
      <c r="S329" s="2219"/>
      <c r="T329" s="2213"/>
    </row>
    <row r="330" spans="1:20">
      <c r="A330" s="2217">
        <f t="shared" si="36"/>
        <v>57.508894080001113</v>
      </c>
      <c r="B330" s="2217">
        <f t="shared" si="32"/>
        <v>3168.1482000000001</v>
      </c>
      <c r="C330" s="2217">
        <f t="shared" si="34"/>
        <v>18.596998400000302</v>
      </c>
      <c r="D330" s="2212">
        <v>5</v>
      </c>
      <c r="E330" s="2219"/>
      <c r="F330" s="2213"/>
      <c r="G330" s="2219"/>
      <c r="H330" s="2213"/>
      <c r="I330" s="2213"/>
      <c r="J330" s="2213"/>
      <c r="K330" s="2213"/>
      <c r="L330" s="263"/>
      <c r="M330" s="2217">
        <f t="shared" si="37"/>
        <v>19.251248747000286</v>
      </c>
      <c r="N330" s="2217">
        <f t="shared" si="33"/>
        <v>1118.4110875000001</v>
      </c>
      <c r="O330" s="2217">
        <f t="shared" si="35"/>
        <v>12.676866700000119</v>
      </c>
      <c r="P330" s="2212">
        <v>5</v>
      </c>
      <c r="Q330" s="2219"/>
      <c r="R330" s="2213"/>
      <c r="S330" s="2219"/>
      <c r="T330" s="2213"/>
    </row>
    <row r="331" spans="1:20">
      <c r="A331" s="2217">
        <f t="shared" si="36"/>
        <v>58.031535359999353</v>
      </c>
      <c r="B331" s="2217">
        <f t="shared" si="32"/>
        <v>3149.5512015999998</v>
      </c>
      <c r="C331" s="2217">
        <f t="shared" si="34"/>
        <v>18.738252799999827</v>
      </c>
      <c r="D331" s="2212">
        <v>4</v>
      </c>
      <c r="E331" s="2219"/>
      <c r="F331" s="2213"/>
      <c r="G331" s="2219"/>
      <c r="H331" s="2213"/>
      <c r="I331" s="2213"/>
      <c r="J331" s="2213"/>
      <c r="K331" s="2213"/>
      <c r="L331" s="263"/>
      <c r="M331" s="2217">
        <f t="shared" si="37"/>
        <v>19.497905499000144</v>
      </c>
      <c r="N331" s="2217">
        <f t="shared" si="33"/>
        <v>1105.7342208</v>
      </c>
      <c r="O331" s="2217">
        <f t="shared" si="35"/>
        <v>12.779213900000059</v>
      </c>
      <c r="P331" s="2212">
        <v>4</v>
      </c>
      <c r="Q331" s="2219"/>
      <c r="R331" s="2213"/>
      <c r="S331" s="2219"/>
      <c r="T331" s="2213"/>
    </row>
    <row r="332" spans="1:20">
      <c r="A332" s="2217">
        <f t="shared" si="36"/>
        <v>58.55627231999938</v>
      </c>
      <c r="B332" s="2217">
        <f t="shared" si="32"/>
        <v>3130.8129488</v>
      </c>
      <c r="C332" s="2217">
        <f t="shared" si="34"/>
        <v>18.880073599999832</v>
      </c>
      <c r="D332" s="2212">
        <v>3</v>
      </c>
      <c r="E332" s="2219"/>
      <c r="F332" s="2213"/>
      <c r="G332" s="2219"/>
      <c r="H332" s="2213"/>
      <c r="I332" s="2213"/>
      <c r="J332" s="2213"/>
      <c r="K332" s="2213"/>
      <c r="L332" s="263"/>
      <c r="M332" s="2217">
        <f t="shared" si="37"/>
        <v>19.74535321300003</v>
      </c>
      <c r="N332" s="2217">
        <f t="shared" si="33"/>
        <v>1092.9550068999999</v>
      </c>
      <c r="O332" s="2217">
        <f t="shared" si="35"/>
        <v>12.881889300000012</v>
      </c>
      <c r="P332" s="2212">
        <v>3</v>
      </c>
      <c r="Q332" s="2219"/>
      <c r="R332" s="2213"/>
      <c r="S332" s="2219"/>
      <c r="T332" s="2213"/>
    </row>
    <row r="333" spans="1:20">
      <c r="A333" s="2217">
        <f t="shared" si="36"/>
        <v>59.083104960001165</v>
      </c>
      <c r="B333" s="2217">
        <f t="shared" si="32"/>
        <v>3111.9328752000001</v>
      </c>
      <c r="C333" s="2217">
        <f t="shared" si="34"/>
        <v>19.022460800000317</v>
      </c>
      <c r="D333" s="2212">
        <v>2</v>
      </c>
      <c r="E333" s="2219"/>
      <c r="F333" s="2213"/>
      <c r="G333" s="2219"/>
      <c r="H333" s="2213"/>
      <c r="I333" s="2213"/>
      <c r="J333" s="2213"/>
      <c r="K333" s="2213"/>
      <c r="L333" s="263"/>
      <c r="M333" s="2217">
        <f t="shared" si="37"/>
        <v>19.993591888999944</v>
      </c>
      <c r="N333" s="2217">
        <f t="shared" si="33"/>
        <v>1080.0731175999999</v>
      </c>
      <c r="O333" s="2217">
        <f t="shared" si="35"/>
        <v>12.984892899999977</v>
      </c>
      <c r="P333" s="2212">
        <v>2</v>
      </c>
      <c r="Q333" s="2219"/>
      <c r="R333" s="2213"/>
      <c r="S333" s="2219"/>
      <c r="T333" s="2213"/>
    </row>
    <row r="334" spans="1:20">
      <c r="A334" s="2217">
        <f t="shared" si="36"/>
        <v>59.612033279999693</v>
      </c>
      <c r="B334" s="2217">
        <f t="shared" si="32"/>
        <v>3092.9104143999998</v>
      </c>
      <c r="C334" s="2217">
        <f>B334-B335</f>
        <v>19.165414399999918</v>
      </c>
      <c r="D334" s="2212">
        <v>1</v>
      </c>
      <c r="E334" s="2219"/>
      <c r="F334" s="2213"/>
      <c r="G334" s="2219"/>
      <c r="H334" s="2213"/>
      <c r="I334" s="2213"/>
      <c r="J334" s="2213"/>
      <c r="K334" s="2213"/>
      <c r="L334" s="263"/>
      <c r="M334" s="2217">
        <f t="shared" si="37"/>
        <v>20.242621526999894</v>
      </c>
      <c r="N334" s="2217">
        <f t="shared" si="33"/>
        <v>1067.0882247</v>
      </c>
      <c r="O334" s="2217">
        <f>N334-N335</f>
        <v>13.088224699999955</v>
      </c>
      <c r="P334" s="2212">
        <v>1</v>
      </c>
      <c r="Q334" s="2219"/>
      <c r="R334" s="2213"/>
      <c r="S334" s="2219"/>
      <c r="T334" s="2213"/>
    </row>
    <row r="335" spans="1:20">
      <c r="A335" s="2217">
        <f t="shared" si="36"/>
        <v>177.39999999999998</v>
      </c>
      <c r="B335" s="2217">
        <f t="shared" si="32"/>
        <v>3073.7449999999999</v>
      </c>
      <c r="C335" s="2217">
        <v>51</v>
      </c>
      <c r="D335" s="2212">
        <v>0</v>
      </c>
      <c r="E335" s="2219"/>
      <c r="F335" s="2213"/>
      <c r="G335" s="2219"/>
      <c r="H335" s="2213"/>
      <c r="I335" s="2213"/>
      <c r="J335" s="2213"/>
      <c r="K335" s="2213"/>
      <c r="L335" s="263"/>
      <c r="M335" s="2217">
        <f t="shared" si="37"/>
        <v>111.61000000000001</v>
      </c>
      <c r="N335" s="2217">
        <f t="shared" si="33"/>
        <v>1054</v>
      </c>
      <c r="O335" s="2217">
        <v>51</v>
      </c>
      <c r="P335" s="2212">
        <v>0</v>
      </c>
      <c r="Q335" s="2219"/>
      <c r="R335" s="2213"/>
      <c r="S335" s="2219"/>
      <c r="T335" s="2213"/>
    </row>
  </sheetData>
  <protectedRanges>
    <protectedRange sqref="B13 B16 N13 N16 B24:B27 B30 N24:N27 N30" name="Område1_1"/>
  </protectedRanges>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25"/>
  <dimension ref="A1:Y343"/>
  <sheetViews>
    <sheetView topLeftCell="I1" zoomScale="80" zoomScaleNormal="80" workbookViewId="0">
      <selection activeCell="I19" sqref="I19"/>
    </sheetView>
  </sheetViews>
  <sheetFormatPr defaultRowHeight="12.75"/>
  <cols>
    <col min="1" max="1" width="22.7109375" customWidth="1"/>
    <col min="2" max="2" width="11.7109375" customWidth="1"/>
    <col min="3" max="3" width="12.28515625" bestFit="1" customWidth="1"/>
    <col min="5" max="5" width="11.28515625" customWidth="1"/>
    <col min="6" max="6" width="9.42578125" customWidth="1"/>
    <col min="13" max="13" width="24.28515625" customWidth="1"/>
    <col min="14" max="14" width="11.7109375" customWidth="1"/>
    <col min="15" max="15" width="12.28515625" bestFit="1" customWidth="1"/>
    <col min="17" max="17" width="10.28515625" customWidth="1"/>
    <col min="18" max="18" width="12.7109375" customWidth="1"/>
  </cols>
  <sheetData>
    <row r="1" spans="1:24">
      <c r="A1" s="263"/>
      <c r="B1" s="263"/>
      <c r="C1" s="263"/>
      <c r="D1" s="263"/>
      <c r="E1" s="263"/>
      <c r="F1" s="263"/>
      <c r="G1" s="263"/>
      <c r="H1" s="263"/>
      <c r="I1" s="263"/>
      <c r="J1" s="263"/>
      <c r="K1" s="263"/>
      <c r="L1" s="263"/>
      <c r="M1" s="263"/>
      <c r="N1" s="263"/>
      <c r="O1" s="263"/>
      <c r="P1" s="263"/>
      <c r="Q1" s="263"/>
      <c r="R1" s="263"/>
      <c r="S1" s="263"/>
      <c r="T1" s="263"/>
      <c r="U1" s="263"/>
      <c r="V1" s="263"/>
      <c r="W1" s="263"/>
      <c r="X1" s="263"/>
    </row>
    <row r="2" spans="1:24" ht="15">
      <c r="A2" s="263"/>
      <c r="B2" s="263"/>
      <c r="C2" s="2235" t="s">
        <v>1206</v>
      </c>
      <c r="D2" s="371"/>
      <c r="E2" s="2236">
        <f>Giva_S!F31</f>
        <v>220.24312</v>
      </c>
      <c r="F2" s="263"/>
      <c r="G2" s="263"/>
      <c r="H2" s="263"/>
      <c r="I2" s="263"/>
      <c r="J2" s="263"/>
      <c r="K2" s="263"/>
      <c r="L2" s="263"/>
      <c r="M2" s="263"/>
      <c r="N2" s="263"/>
      <c r="O2" s="263"/>
      <c r="P2" s="263"/>
      <c r="Q2" s="263"/>
      <c r="R2" s="263"/>
      <c r="S2" s="263"/>
      <c r="T2" s="263"/>
      <c r="U2" s="263"/>
      <c r="V2" s="263"/>
      <c r="W2" s="263"/>
      <c r="X2" s="263"/>
    </row>
    <row r="3" spans="1:24" ht="15">
      <c r="A3" s="263"/>
      <c r="B3" s="263"/>
      <c r="C3" s="263"/>
      <c r="D3" s="263"/>
      <c r="E3" s="2237"/>
      <c r="F3" s="263"/>
      <c r="G3" s="263"/>
      <c r="H3" s="263"/>
      <c r="I3" s="263"/>
      <c r="J3" s="263"/>
      <c r="K3" s="263"/>
      <c r="L3" s="263"/>
      <c r="M3" s="263"/>
      <c r="N3" s="263"/>
      <c r="O3" s="263"/>
      <c r="P3" s="263"/>
      <c r="Q3" s="2235" t="s">
        <v>1206</v>
      </c>
      <c r="R3" s="371"/>
      <c r="S3" s="2236">
        <f>Giva_S!F33</f>
        <v>241.5643</v>
      </c>
      <c r="T3" s="263"/>
      <c r="U3" s="263"/>
      <c r="V3" s="263"/>
      <c r="W3" s="263"/>
      <c r="X3" s="263"/>
    </row>
    <row r="4" spans="1:24" ht="25.5">
      <c r="A4" s="2182" t="s">
        <v>1207</v>
      </c>
      <c r="B4" s="263"/>
      <c r="C4" s="263"/>
      <c r="D4" s="263"/>
      <c r="E4" s="2238"/>
      <c r="F4" s="263"/>
      <c r="G4" s="263"/>
      <c r="H4" s="263"/>
      <c r="I4" s="263"/>
      <c r="J4" s="263"/>
      <c r="K4" s="263"/>
      <c r="L4" s="263"/>
      <c r="M4" s="2182" t="s">
        <v>1208</v>
      </c>
      <c r="N4" s="263"/>
      <c r="O4" s="263"/>
      <c r="P4" s="263"/>
      <c r="Q4" s="263"/>
      <c r="R4" s="263"/>
      <c r="S4" s="263"/>
      <c r="T4" s="263"/>
      <c r="U4" s="263"/>
      <c r="V4" s="263"/>
      <c r="W4" s="263"/>
      <c r="X4" s="263"/>
    </row>
    <row r="5" spans="1:24">
      <c r="A5" s="2183"/>
      <c r="B5" s="267"/>
      <c r="C5" s="267"/>
      <c r="D5" s="267"/>
      <c r="E5" s="263"/>
      <c r="F5" s="263"/>
      <c r="G5" s="263"/>
      <c r="H5" s="263"/>
      <c r="I5" s="263"/>
      <c r="J5" s="263"/>
      <c r="K5" s="263"/>
      <c r="L5" s="263"/>
      <c r="M5" s="2184"/>
      <c r="N5" s="267"/>
      <c r="O5" s="267"/>
      <c r="P5" s="267"/>
      <c r="Q5" s="263"/>
      <c r="R5" s="263"/>
      <c r="S5" s="263"/>
      <c r="T5" s="263"/>
      <c r="U5" s="263"/>
      <c r="V5" s="263"/>
      <c r="W5" s="263"/>
      <c r="X5" s="263"/>
    </row>
    <row r="6" spans="1:24">
      <c r="A6" s="2185"/>
      <c r="B6" s="1469"/>
      <c r="C6" s="2186"/>
      <c r="D6" s="319"/>
      <c r="E6" s="320"/>
      <c r="F6" s="320"/>
      <c r="G6" s="320"/>
      <c r="H6" s="2187"/>
      <c r="I6" s="267"/>
      <c r="J6" s="267"/>
      <c r="K6" s="267"/>
      <c r="L6" s="263"/>
      <c r="M6" s="2185"/>
      <c r="N6" s="1469"/>
      <c r="O6" s="2186"/>
      <c r="P6" s="320"/>
      <c r="Q6" s="320"/>
      <c r="R6" s="320"/>
      <c r="S6" s="320"/>
      <c r="T6" s="2187"/>
      <c r="U6" s="267"/>
      <c r="V6" s="267"/>
      <c r="W6" s="267"/>
      <c r="X6" s="267"/>
    </row>
    <row r="7" spans="1:24">
      <c r="A7" s="2188"/>
      <c r="B7" s="357"/>
      <c r="C7" s="2189"/>
      <c r="D7" s="323"/>
      <c r="E7" s="308"/>
      <c r="F7" s="326"/>
      <c r="G7" s="326"/>
      <c r="H7" s="2190"/>
      <c r="I7" s="267"/>
      <c r="J7" s="267"/>
      <c r="K7" s="267"/>
      <c r="L7" s="263"/>
      <c r="M7" s="2188"/>
      <c r="N7" s="357"/>
      <c r="O7" s="2189"/>
      <c r="P7" s="326"/>
      <c r="Q7" s="308"/>
      <c r="R7" s="308"/>
      <c r="S7" s="308"/>
      <c r="T7" s="2190"/>
      <c r="U7" s="267"/>
      <c r="V7" s="267"/>
      <c r="W7" s="267"/>
      <c r="X7" s="267"/>
    </row>
    <row r="8" spans="1:24" ht="15">
      <c r="A8" s="2188" t="s">
        <v>1123</v>
      </c>
      <c r="B8" s="2191">
        <f>'"Kvävesimulator"'!U46</f>
        <v>1.25</v>
      </c>
      <c r="C8" s="2189" t="s">
        <v>1107</v>
      </c>
      <c r="D8" s="323"/>
      <c r="E8" s="2239" t="s">
        <v>1209</v>
      </c>
      <c r="F8" s="305">
        <v>0</v>
      </c>
      <c r="G8" s="308" t="s">
        <v>1210</v>
      </c>
      <c r="H8" s="2190"/>
      <c r="I8" s="267"/>
      <c r="J8" s="267"/>
      <c r="K8" s="267"/>
      <c r="L8" s="263"/>
      <c r="M8" s="2188" t="s">
        <v>1123</v>
      </c>
      <c r="N8" s="2191">
        <f>'"Kvävesimulator"'!U48</f>
        <v>1.25</v>
      </c>
      <c r="O8" s="2189" t="s">
        <v>1107</v>
      </c>
      <c r="P8" s="326"/>
      <c r="Q8" s="2239" t="s">
        <v>1209</v>
      </c>
      <c r="R8" s="305">
        <v>0</v>
      </c>
      <c r="S8" s="308" t="s">
        <v>1210</v>
      </c>
      <c r="T8" s="2190"/>
      <c r="U8" s="267"/>
      <c r="V8" s="267"/>
      <c r="W8" s="267"/>
      <c r="X8" s="267"/>
    </row>
    <row r="9" spans="1:24" ht="15">
      <c r="A9" s="2188" t="s">
        <v>1125</v>
      </c>
      <c r="B9" s="2191">
        <f>'"Kvävesimulator"'!S8</f>
        <v>11.3</v>
      </c>
      <c r="C9" s="2189" t="s">
        <v>103</v>
      </c>
      <c r="D9" s="323"/>
      <c r="E9" s="2240"/>
      <c r="F9" s="2241"/>
      <c r="G9" s="308"/>
      <c r="H9" s="2190"/>
      <c r="I9" s="267"/>
      <c r="J9" s="267"/>
      <c r="K9" s="267"/>
      <c r="L9" s="263"/>
      <c r="M9" s="2188" t="s">
        <v>1125</v>
      </c>
      <c r="N9" s="2191">
        <f>'"Kvävesimulator"'!S8</f>
        <v>11.3</v>
      </c>
      <c r="O9" s="2189" t="s">
        <v>103</v>
      </c>
      <c r="P9" s="326"/>
      <c r="Q9" s="2240"/>
      <c r="R9" s="2240"/>
      <c r="S9" s="308"/>
      <c r="T9" s="2190"/>
      <c r="U9" s="267"/>
      <c r="V9" s="267"/>
      <c r="W9" s="267"/>
      <c r="X9" s="267"/>
    </row>
    <row r="10" spans="1:24">
      <c r="A10" s="2188" t="s">
        <v>1126</v>
      </c>
      <c r="B10" s="2191">
        <f>'"Kvävesimulator"'!W46</f>
        <v>0.5</v>
      </c>
      <c r="C10" s="2189" t="s">
        <v>1107</v>
      </c>
      <c r="D10" s="323"/>
      <c r="E10" s="308"/>
      <c r="F10" s="308"/>
      <c r="G10" s="308"/>
      <c r="H10" s="2190"/>
      <c r="I10" s="267"/>
      <c r="J10" s="267"/>
      <c r="K10" s="267"/>
      <c r="L10" s="263"/>
      <c r="M10" s="2188" t="s">
        <v>1126</v>
      </c>
      <c r="N10" s="2191">
        <f>'"Kvävesimulator"'!W48</f>
        <v>0.6</v>
      </c>
      <c r="O10" s="2189" t="s">
        <v>1107</v>
      </c>
      <c r="P10" s="326"/>
      <c r="Q10" s="308"/>
      <c r="R10" s="308"/>
      <c r="S10" s="308"/>
      <c r="T10" s="2190"/>
      <c r="U10" s="267"/>
      <c r="V10" s="267"/>
      <c r="W10" s="267"/>
      <c r="X10" s="267"/>
    </row>
    <row r="11" spans="1:24">
      <c r="A11" s="2188" t="s">
        <v>1127</v>
      </c>
      <c r="B11" s="2195">
        <f>B9/(B8-B10)</f>
        <v>15.066666666666668</v>
      </c>
      <c r="C11" s="2189"/>
      <c r="D11" s="323"/>
      <c r="E11" s="331" t="s">
        <v>1121</v>
      </c>
      <c r="F11" s="308"/>
      <c r="G11" s="2242"/>
      <c r="H11" s="2190"/>
      <c r="I11" s="267"/>
      <c r="J11" s="267"/>
      <c r="K11" s="267"/>
      <c r="L11" s="263"/>
      <c r="M11" s="2188" t="s">
        <v>1127</v>
      </c>
      <c r="N11" s="2195">
        <f>N9/(N8-N10)</f>
        <v>17.384615384615387</v>
      </c>
      <c r="O11" s="2189"/>
      <c r="P11" s="326"/>
      <c r="Q11" s="331" t="s">
        <v>1121</v>
      </c>
      <c r="R11" s="308"/>
      <c r="S11" s="308"/>
      <c r="T11" s="2190"/>
      <c r="U11" s="267"/>
      <c r="V11" s="267"/>
      <c r="W11" s="267"/>
      <c r="X11" s="267"/>
    </row>
    <row r="12" spans="1:24">
      <c r="A12" s="2188"/>
      <c r="B12" s="357"/>
      <c r="C12" s="2189"/>
      <c r="D12" s="323"/>
      <c r="E12" s="308" t="s">
        <v>1211</v>
      </c>
      <c r="F12" s="308"/>
      <c r="G12" s="308"/>
      <c r="H12" s="2190"/>
      <c r="I12" s="267"/>
      <c r="J12" s="267"/>
      <c r="K12" s="267"/>
      <c r="L12" s="263"/>
      <c r="M12" s="2188"/>
      <c r="N12" s="357"/>
      <c r="O12" s="2189"/>
      <c r="P12" s="326"/>
      <c r="Q12" s="308"/>
      <c r="R12" s="308"/>
      <c r="S12" s="308"/>
      <c r="T12" s="2190"/>
      <c r="U12" s="267"/>
      <c r="V12" s="267"/>
      <c r="W12" s="267"/>
      <c r="X12" s="267"/>
    </row>
    <row r="13" spans="1:24">
      <c r="A13" s="2188" t="s">
        <v>1128</v>
      </c>
      <c r="B13" s="2193">
        <f>VLOOKUP(B38,Vall_2,4)+B14</f>
        <v>194</v>
      </c>
      <c r="C13" s="2189" t="s">
        <v>1129</v>
      </c>
      <c r="D13" s="323"/>
      <c r="E13" s="2243"/>
      <c r="F13" s="2244" t="s">
        <v>1212</v>
      </c>
      <c r="G13" s="2244" t="s">
        <v>1213</v>
      </c>
      <c r="H13" s="2190"/>
      <c r="I13" s="267"/>
      <c r="J13" s="267"/>
      <c r="K13" s="267"/>
      <c r="L13" s="263"/>
      <c r="M13" s="2188" t="s">
        <v>1128</v>
      </c>
      <c r="N13" s="2193">
        <f>VLOOKUP(N38,Vall_1,4)+N14</f>
        <v>185</v>
      </c>
      <c r="O13" s="2189" t="s">
        <v>1129</v>
      </c>
      <c r="P13" s="326"/>
      <c r="Q13" s="2243"/>
      <c r="R13" s="2244" t="s">
        <v>1212</v>
      </c>
      <c r="S13" s="2244" t="s">
        <v>1213</v>
      </c>
      <c r="T13" s="2190"/>
      <c r="U13" s="267"/>
      <c r="V13" s="267"/>
      <c r="W13" s="267"/>
      <c r="X13" s="267"/>
    </row>
    <row r="14" spans="1:24">
      <c r="A14" s="2188" t="s">
        <v>149</v>
      </c>
      <c r="B14" s="2196">
        <v>18</v>
      </c>
      <c r="C14" s="2189" t="s">
        <v>317</v>
      </c>
      <c r="D14" s="323"/>
      <c r="E14" s="2245" t="s">
        <v>974</v>
      </c>
      <c r="F14" s="2245" t="s">
        <v>727</v>
      </c>
      <c r="G14" s="2246" t="s">
        <v>727</v>
      </c>
      <c r="H14" s="2190"/>
      <c r="I14" s="267"/>
      <c r="J14" s="267"/>
      <c r="K14" s="267"/>
      <c r="L14" s="263"/>
      <c r="M14" s="2188" t="s">
        <v>149</v>
      </c>
      <c r="N14" s="2196">
        <v>6</v>
      </c>
      <c r="O14" s="2189" t="s">
        <v>317</v>
      </c>
      <c r="P14" s="326"/>
      <c r="Q14" s="2245" t="s">
        <v>974</v>
      </c>
      <c r="R14" s="2245" t="s">
        <v>727</v>
      </c>
      <c r="S14" s="2246" t="s">
        <v>727</v>
      </c>
      <c r="T14" s="2190"/>
      <c r="U14" s="267"/>
      <c r="V14" s="267"/>
      <c r="W14" s="267"/>
      <c r="X14" s="267"/>
    </row>
    <row r="15" spans="1:24">
      <c r="A15" s="2188" t="s">
        <v>1130</v>
      </c>
      <c r="B15" s="2197">
        <f>B$33+(B$32*B13)-(B$31*(B13*B13))+(B$30*(B13*B13*B13))</f>
        <v>9653.16</v>
      </c>
      <c r="C15" s="2189" t="s">
        <v>317</v>
      </c>
      <c r="D15" s="323"/>
      <c r="E15" s="310">
        <v>3</v>
      </c>
      <c r="F15" s="2194">
        <f t="shared" ref="F15:F23" si="0">($B$13+(E15-$B$15*0.9/1000)*B$17)</f>
        <v>80.243120000000005</v>
      </c>
      <c r="G15" s="2194">
        <f>B$18*F15</f>
        <v>80.243120000000005</v>
      </c>
      <c r="H15" s="2190"/>
      <c r="I15" s="267"/>
      <c r="J15" s="267"/>
      <c r="K15" s="267"/>
      <c r="L15" s="263"/>
      <c r="M15" s="2188" t="s">
        <v>1130</v>
      </c>
      <c r="N15" s="2197">
        <f>N$33+(N$32*N13)-(N$31*(N13*N13))+(N$30*(N13*N13*N13))</f>
        <v>7968.65</v>
      </c>
      <c r="O15" s="2189" t="s">
        <v>317</v>
      </c>
      <c r="P15" s="326"/>
      <c r="Q15" s="310">
        <v>3</v>
      </c>
      <c r="R15" s="2194">
        <f t="shared" ref="R15:R23" si="1">($N$13+(Q15-$N$15*0.9/1000)*$N$17)</f>
        <v>101.5643</v>
      </c>
      <c r="S15" s="2194">
        <f>N$18*R15</f>
        <v>101.5643</v>
      </c>
      <c r="T15" s="2190"/>
      <c r="U15" s="267"/>
      <c r="V15" s="267"/>
      <c r="W15" s="267"/>
      <c r="X15" s="267"/>
    </row>
    <row r="16" spans="1:24">
      <c r="A16" s="2188"/>
      <c r="B16" s="357"/>
      <c r="C16" s="2189"/>
      <c r="D16" s="323"/>
      <c r="E16" s="310">
        <v>4</v>
      </c>
      <c r="F16" s="2194">
        <f t="shared" si="0"/>
        <v>100.24312</v>
      </c>
      <c r="G16" s="2194">
        <f t="shared" ref="G16:G23" si="2">B$18*F16</f>
        <v>100.24312</v>
      </c>
      <c r="H16" s="2190"/>
      <c r="I16" s="267"/>
      <c r="J16" s="267"/>
      <c r="K16" s="267"/>
      <c r="L16" s="263"/>
      <c r="M16" s="2188"/>
      <c r="N16" s="357"/>
      <c r="O16" s="2189"/>
      <c r="P16" s="326"/>
      <c r="Q16" s="310">
        <v>4</v>
      </c>
      <c r="R16" s="2194">
        <f t="shared" si="1"/>
        <v>121.5643</v>
      </c>
      <c r="S16" s="2194">
        <f t="shared" ref="S16:S23" si="3">N$18*R16</f>
        <v>121.5643</v>
      </c>
      <c r="T16" s="2190"/>
      <c r="U16" s="267"/>
      <c r="V16" s="267"/>
      <c r="W16" s="267"/>
      <c r="X16" s="267"/>
    </row>
    <row r="17" spans="1:24">
      <c r="A17" s="2188" t="s">
        <v>1214</v>
      </c>
      <c r="B17" s="2196">
        <v>20</v>
      </c>
      <c r="C17" s="2198" t="s">
        <v>1215</v>
      </c>
      <c r="D17" s="323"/>
      <c r="E17" s="310">
        <v>5</v>
      </c>
      <c r="F17" s="2194">
        <f t="shared" si="0"/>
        <v>120.24312</v>
      </c>
      <c r="G17" s="2194">
        <f t="shared" si="2"/>
        <v>120.24312</v>
      </c>
      <c r="H17" s="2190"/>
      <c r="I17" s="267"/>
      <c r="J17" s="267"/>
      <c r="K17" s="267"/>
      <c r="L17" s="263"/>
      <c r="M17" s="2188" t="s">
        <v>1214</v>
      </c>
      <c r="N17" s="2196">
        <v>20</v>
      </c>
      <c r="O17" s="2189" t="s">
        <v>1215</v>
      </c>
      <c r="P17" s="326"/>
      <c r="Q17" s="310">
        <v>5</v>
      </c>
      <c r="R17" s="2194">
        <f t="shared" si="1"/>
        <v>141.5643</v>
      </c>
      <c r="S17" s="2194">
        <f t="shared" si="3"/>
        <v>141.5643</v>
      </c>
      <c r="T17" s="2190"/>
      <c r="U17" s="267"/>
      <c r="V17" s="267"/>
      <c r="W17" s="267"/>
      <c r="X17" s="267"/>
    </row>
    <row r="18" spans="1:24">
      <c r="A18" s="2198" t="s">
        <v>1216</v>
      </c>
      <c r="B18" s="1922">
        <f>F32+(F31*F8)+(F30*(F8^2))</f>
        <v>1</v>
      </c>
      <c r="C18" s="2189" t="s">
        <v>1217</v>
      </c>
      <c r="D18" s="323"/>
      <c r="E18" s="310">
        <v>6</v>
      </c>
      <c r="F18" s="2194">
        <f t="shared" si="0"/>
        <v>140.24312</v>
      </c>
      <c r="G18" s="2194">
        <f t="shared" si="2"/>
        <v>140.24312</v>
      </c>
      <c r="H18" s="2190"/>
      <c r="I18" s="267"/>
      <c r="J18" s="267"/>
      <c r="K18" s="267"/>
      <c r="L18" s="263"/>
      <c r="M18" s="2188" t="s">
        <v>1216</v>
      </c>
      <c r="N18" s="1922">
        <f>R32+(R31*R8)+(R30*(R8^2))</f>
        <v>1</v>
      </c>
      <c r="O18" s="2189" t="s">
        <v>1217</v>
      </c>
      <c r="P18" s="326"/>
      <c r="Q18" s="310">
        <v>6</v>
      </c>
      <c r="R18" s="2194">
        <f t="shared" si="1"/>
        <v>161.5643</v>
      </c>
      <c r="S18" s="2194">
        <f t="shared" si="3"/>
        <v>161.5643</v>
      </c>
      <c r="T18" s="2190"/>
      <c r="U18" s="267"/>
      <c r="V18" s="267"/>
      <c r="W18" s="267"/>
      <c r="X18" s="267"/>
    </row>
    <row r="19" spans="1:24">
      <c r="A19" s="2198"/>
      <c r="B19" s="2198"/>
      <c r="C19" s="2198"/>
      <c r="D19" s="323"/>
      <c r="E19" s="310">
        <v>7</v>
      </c>
      <c r="F19" s="2194">
        <f t="shared" si="0"/>
        <v>160.24312</v>
      </c>
      <c r="G19" s="2194">
        <f t="shared" si="2"/>
        <v>160.24312</v>
      </c>
      <c r="H19" s="2190"/>
      <c r="I19" s="267"/>
      <c r="J19" s="267"/>
      <c r="K19" s="267"/>
      <c r="L19" s="263"/>
      <c r="M19" s="2188"/>
      <c r="N19" s="309"/>
      <c r="O19" s="2189"/>
      <c r="P19" s="326"/>
      <c r="Q19" s="310">
        <v>7</v>
      </c>
      <c r="R19" s="2194">
        <f t="shared" si="1"/>
        <v>181.5643</v>
      </c>
      <c r="S19" s="2194">
        <f t="shared" si="3"/>
        <v>181.5643</v>
      </c>
      <c r="T19" s="2190"/>
      <c r="U19" s="267"/>
      <c r="V19" s="267"/>
      <c r="W19" s="267"/>
      <c r="X19" s="267"/>
    </row>
    <row r="20" spans="1:24">
      <c r="A20" s="2188"/>
      <c r="B20" s="2198"/>
      <c r="C20" s="2189"/>
      <c r="D20" s="323"/>
      <c r="E20" s="310">
        <v>8</v>
      </c>
      <c r="F20" s="2194">
        <f t="shared" si="0"/>
        <v>180.24312</v>
      </c>
      <c r="G20" s="2194">
        <f t="shared" si="2"/>
        <v>180.24312</v>
      </c>
      <c r="H20" s="2190"/>
      <c r="I20" s="267"/>
      <c r="J20" s="267"/>
      <c r="K20" s="267"/>
      <c r="L20" s="263"/>
      <c r="M20" s="2188"/>
      <c r="N20" s="309"/>
      <c r="O20" s="2189"/>
      <c r="P20" s="326"/>
      <c r="Q20" s="310">
        <v>8</v>
      </c>
      <c r="R20" s="2194">
        <f t="shared" si="1"/>
        <v>201.5643</v>
      </c>
      <c r="S20" s="2194">
        <f t="shared" si="3"/>
        <v>201.5643</v>
      </c>
      <c r="T20" s="2190"/>
      <c r="U20" s="267"/>
      <c r="V20" s="267"/>
      <c r="W20" s="267"/>
      <c r="X20" s="267"/>
    </row>
    <row r="21" spans="1:24">
      <c r="A21" s="2198"/>
      <c r="B21" s="2198"/>
      <c r="C21" s="2189"/>
      <c r="D21" s="323"/>
      <c r="E21" s="310">
        <v>9</v>
      </c>
      <c r="F21" s="2194">
        <f t="shared" si="0"/>
        <v>200.24312</v>
      </c>
      <c r="G21" s="2194">
        <f t="shared" si="2"/>
        <v>200.24312</v>
      </c>
      <c r="H21" s="2190"/>
      <c r="I21" s="267"/>
      <c r="J21" s="267"/>
      <c r="K21" s="267"/>
      <c r="L21" s="263"/>
      <c r="M21" s="2188"/>
      <c r="N21" s="309"/>
      <c r="O21" s="2189"/>
      <c r="P21" s="326"/>
      <c r="Q21" s="310">
        <v>9</v>
      </c>
      <c r="R21" s="2194">
        <f t="shared" si="1"/>
        <v>221.5643</v>
      </c>
      <c r="S21" s="2194">
        <f t="shared" si="3"/>
        <v>221.5643</v>
      </c>
      <c r="T21" s="2190"/>
      <c r="U21" s="267"/>
      <c r="V21" s="267"/>
      <c r="W21" s="267"/>
      <c r="X21" s="267"/>
    </row>
    <row r="22" spans="1:24">
      <c r="A22" s="2198"/>
      <c r="B22" s="2198"/>
      <c r="C22" s="2189"/>
      <c r="D22" s="323"/>
      <c r="E22" s="310">
        <v>10</v>
      </c>
      <c r="F22" s="2194">
        <f t="shared" si="0"/>
        <v>220.24312</v>
      </c>
      <c r="G22" s="2194">
        <f t="shared" si="2"/>
        <v>220.24312</v>
      </c>
      <c r="H22" s="2190"/>
      <c r="I22" s="267"/>
      <c r="J22" s="267"/>
      <c r="K22" s="267"/>
      <c r="L22" s="263"/>
      <c r="M22" s="2188"/>
      <c r="N22" s="309"/>
      <c r="O22" s="2189"/>
      <c r="P22" s="326"/>
      <c r="Q22" s="310">
        <v>10</v>
      </c>
      <c r="R22" s="2194">
        <f t="shared" si="1"/>
        <v>241.5643</v>
      </c>
      <c r="S22" s="2194">
        <f t="shared" si="3"/>
        <v>241.5643</v>
      </c>
      <c r="T22" s="2190"/>
      <c r="U22" s="267"/>
      <c r="V22" s="267"/>
      <c r="W22" s="267"/>
      <c r="X22" s="267"/>
    </row>
    <row r="23" spans="1:24">
      <c r="A23" s="2198"/>
      <c r="B23" s="2198"/>
      <c r="C23" s="2189"/>
      <c r="D23" s="323"/>
      <c r="E23" s="310">
        <v>11</v>
      </c>
      <c r="F23" s="2194">
        <f t="shared" si="0"/>
        <v>240.24312</v>
      </c>
      <c r="G23" s="2194">
        <f t="shared" si="2"/>
        <v>240.24312</v>
      </c>
      <c r="H23" s="2190"/>
      <c r="I23" s="267"/>
      <c r="J23" s="267"/>
      <c r="K23" s="267"/>
      <c r="L23" s="263"/>
      <c r="M23" s="2188"/>
      <c r="N23" s="309"/>
      <c r="O23" s="2189"/>
      <c r="P23" s="326"/>
      <c r="Q23" s="310">
        <v>11</v>
      </c>
      <c r="R23" s="2194">
        <f t="shared" si="1"/>
        <v>261.5643</v>
      </c>
      <c r="S23" s="2194">
        <f t="shared" si="3"/>
        <v>261.5643</v>
      </c>
      <c r="T23" s="2190"/>
      <c r="U23" s="267"/>
      <c r="V23" s="267"/>
      <c r="W23" s="267"/>
      <c r="X23" s="267"/>
    </row>
    <row r="24" spans="1:24">
      <c r="A24" s="2188"/>
      <c r="B24" s="2198"/>
      <c r="C24" s="2189"/>
      <c r="D24" s="323"/>
      <c r="E24" s="339"/>
      <c r="F24" s="2242"/>
      <c r="G24" s="326"/>
      <c r="H24" s="2190"/>
      <c r="I24" s="267"/>
      <c r="J24" s="267"/>
      <c r="K24" s="267"/>
      <c r="L24" s="263"/>
      <c r="M24" s="2188"/>
      <c r="N24" s="309"/>
      <c r="O24" s="2189"/>
      <c r="P24" s="326"/>
      <c r="Q24" s="326"/>
      <c r="R24" s="326"/>
      <c r="S24" s="326"/>
      <c r="T24" s="2190"/>
      <c r="U24" s="267"/>
      <c r="V24" s="267"/>
      <c r="W24" s="267"/>
      <c r="X24" s="267"/>
    </row>
    <row r="25" spans="1:24">
      <c r="A25" s="2199"/>
      <c r="B25" s="2200"/>
      <c r="C25" s="2201"/>
      <c r="D25" s="327"/>
      <c r="E25" s="328"/>
      <c r="F25" s="328"/>
      <c r="G25" s="328"/>
      <c r="H25" s="2202"/>
      <c r="I25" s="267"/>
      <c r="J25" s="267"/>
      <c r="K25" s="267"/>
      <c r="L25" s="263"/>
      <c r="M25" s="2199"/>
      <c r="N25" s="2200"/>
      <c r="O25" s="2201"/>
      <c r="P25" s="328"/>
      <c r="Q25" s="328"/>
      <c r="R25" s="328"/>
      <c r="S25" s="328"/>
      <c r="T25" s="2202"/>
      <c r="U25" s="267"/>
      <c r="V25" s="267"/>
      <c r="W25" s="267"/>
      <c r="X25" s="267"/>
    </row>
    <row r="26" spans="1:24">
      <c r="A26" s="331" t="s">
        <v>1218</v>
      </c>
      <c r="B26" s="308"/>
      <c r="C26" s="2187"/>
      <c r="D26" s="2247" t="s">
        <v>1219</v>
      </c>
      <c r="E26" s="2248"/>
      <c r="F26" s="2248"/>
      <c r="G26" s="2248"/>
      <c r="H26" s="2249"/>
      <c r="I26" s="267"/>
      <c r="J26" s="267"/>
      <c r="K26" s="267"/>
      <c r="L26" s="263"/>
      <c r="M26" s="2250" t="s">
        <v>1218</v>
      </c>
      <c r="N26" s="320"/>
      <c r="O26" s="2187"/>
      <c r="P26" s="2247" t="s">
        <v>1219</v>
      </c>
      <c r="Q26" s="2248"/>
      <c r="R26" s="2248"/>
      <c r="S26" s="2248"/>
      <c r="T26" s="2249"/>
      <c r="U26" s="267"/>
      <c r="V26" s="267"/>
      <c r="W26" s="267"/>
      <c r="X26" s="267"/>
    </row>
    <row r="27" spans="1:24" ht="14.25">
      <c r="A27" s="2251" t="s">
        <v>1133</v>
      </c>
      <c r="B27" s="326" t="s">
        <v>1313</v>
      </c>
      <c r="C27" s="2190"/>
      <c r="D27" s="2252" t="s">
        <v>1220</v>
      </c>
      <c r="E27" s="2253" t="s">
        <v>1314</v>
      </c>
      <c r="F27" s="2253"/>
      <c r="G27" s="2253" t="s">
        <v>1221</v>
      </c>
      <c r="H27" s="2254"/>
      <c r="I27" s="267"/>
      <c r="J27" s="267"/>
      <c r="K27" s="267"/>
      <c r="L27" s="263"/>
      <c r="M27" s="2255" t="s">
        <v>1133</v>
      </c>
      <c r="N27" s="326" t="s">
        <v>1313</v>
      </c>
      <c r="O27" s="2190"/>
      <c r="P27" s="2252" t="s">
        <v>1220</v>
      </c>
      <c r="Q27" s="2253" t="s">
        <v>1314</v>
      </c>
      <c r="R27" s="2253"/>
      <c r="S27" s="2253" t="s">
        <v>1221</v>
      </c>
      <c r="T27" s="2254"/>
      <c r="U27" s="267"/>
      <c r="V27" s="267"/>
      <c r="W27" s="267"/>
      <c r="X27" s="267"/>
    </row>
    <row r="28" spans="1:24">
      <c r="A28" s="323"/>
      <c r="B28" s="326"/>
      <c r="C28" s="2190"/>
      <c r="D28" s="2252"/>
      <c r="E28" s="2253"/>
      <c r="F28" s="2253"/>
      <c r="G28" s="2253"/>
      <c r="H28" s="2254"/>
      <c r="I28" s="267"/>
      <c r="J28" s="267"/>
      <c r="K28" s="267"/>
      <c r="L28" s="263"/>
      <c r="M28" s="323"/>
      <c r="N28" s="326"/>
      <c r="O28" s="2190"/>
      <c r="P28" s="2252"/>
      <c r="Q28" s="2253"/>
      <c r="R28" s="2253"/>
      <c r="S28" s="2253"/>
      <c r="T28" s="2254"/>
      <c r="U28" s="267"/>
      <c r="V28" s="267"/>
      <c r="W28" s="267"/>
      <c r="X28" s="267"/>
    </row>
    <row r="29" spans="1:24">
      <c r="A29" s="323"/>
      <c r="B29" s="310" t="s">
        <v>1135</v>
      </c>
      <c r="C29" s="2204"/>
      <c r="D29" s="2252"/>
      <c r="E29" s="2253"/>
      <c r="F29" s="2253"/>
      <c r="G29" s="2253"/>
      <c r="H29" s="2254"/>
      <c r="I29" s="267"/>
      <c r="J29" s="267"/>
      <c r="K29" s="267"/>
      <c r="L29" s="263"/>
      <c r="M29" s="323"/>
      <c r="N29" s="310" t="s">
        <v>1135</v>
      </c>
      <c r="O29" s="2204"/>
      <c r="P29" s="2252"/>
      <c r="Q29" s="2253"/>
      <c r="R29" s="2253"/>
      <c r="S29" s="2253"/>
      <c r="T29" s="2254"/>
      <c r="U29" s="267"/>
      <c r="V29" s="267"/>
      <c r="W29" s="267"/>
      <c r="X29" s="267"/>
    </row>
    <row r="30" spans="1:24">
      <c r="A30" s="2205" t="s">
        <v>672</v>
      </c>
      <c r="B30" s="2196">
        <v>0</v>
      </c>
      <c r="C30" s="2207"/>
      <c r="D30" s="2252"/>
      <c r="E30" s="2256" t="s">
        <v>1138</v>
      </c>
      <c r="F30" s="2196">
        <v>-1E-4</v>
      </c>
      <c r="G30" s="2253"/>
      <c r="H30" s="2254"/>
      <c r="I30" s="267"/>
      <c r="J30" s="267"/>
      <c r="K30" s="267"/>
      <c r="L30" s="263"/>
      <c r="M30" s="2205" t="s">
        <v>672</v>
      </c>
      <c r="N30" s="2196">
        <v>0</v>
      </c>
      <c r="O30" s="2207"/>
      <c r="P30" s="2252"/>
      <c r="Q30" s="2256" t="s">
        <v>1138</v>
      </c>
      <c r="R30" s="2196">
        <v>-5.0000000000000002E-5</v>
      </c>
      <c r="S30" s="2253"/>
      <c r="T30" s="2254"/>
      <c r="U30" s="267"/>
      <c r="V30" s="267"/>
      <c r="W30" s="267"/>
      <c r="X30" s="267"/>
    </row>
    <row r="31" spans="1:24">
      <c r="A31" s="2205" t="s">
        <v>1138</v>
      </c>
      <c r="B31" s="2196">
        <v>0.09</v>
      </c>
      <c r="C31" s="2207"/>
      <c r="D31" s="2252"/>
      <c r="E31" s="2256" t="s">
        <v>1139</v>
      </c>
      <c r="F31" s="2196">
        <v>-1.35E-2</v>
      </c>
      <c r="G31" s="2253"/>
      <c r="H31" s="2254"/>
      <c r="I31" s="267"/>
      <c r="J31" s="267"/>
      <c r="K31" s="267"/>
      <c r="L31" s="263"/>
      <c r="M31" s="2205" t="s">
        <v>1138</v>
      </c>
      <c r="N31" s="2196">
        <v>4.5999999999999999E-2</v>
      </c>
      <c r="O31" s="2207"/>
      <c r="P31" s="2252"/>
      <c r="Q31" s="2256" t="s">
        <v>1139</v>
      </c>
      <c r="R31" s="2196">
        <v>-1.17E-2</v>
      </c>
      <c r="S31" s="2253"/>
      <c r="T31" s="2254"/>
      <c r="U31" s="267"/>
      <c r="V31" s="267"/>
      <c r="W31" s="267"/>
      <c r="X31" s="267"/>
    </row>
    <row r="32" spans="1:24">
      <c r="A32" s="2205" t="s">
        <v>1139</v>
      </c>
      <c r="B32" s="2196">
        <v>46.6</v>
      </c>
      <c r="C32" s="2207"/>
      <c r="D32" s="2252"/>
      <c r="E32" s="2256" t="s">
        <v>1140</v>
      </c>
      <c r="F32" s="2196">
        <v>1</v>
      </c>
      <c r="G32" s="2253"/>
      <c r="H32" s="2257"/>
      <c r="I32" s="2258"/>
      <c r="J32" s="2258"/>
      <c r="K32" s="2258"/>
      <c r="L32" s="263"/>
      <c r="M32" s="2205" t="s">
        <v>1139</v>
      </c>
      <c r="N32" s="2196">
        <v>33.799999999999997</v>
      </c>
      <c r="O32" s="2207"/>
      <c r="P32" s="2252"/>
      <c r="Q32" s="2256" t="s">
        <v>1140</v>
      </c>
      <c r="R32" s="2196">
        <v>1</v>
      </c>
      <c r="S32" s="2253"/>
      <c r="T32" s="2257"/>
      <c r="U32" s="2258"/>
      <c r="V32" s="2258"/>
      <c r="W32" s="2258"/>
      <c r="X32" s="2258"/>
    </row>
    <row r="33" spans="1:25">
      <c r="A33" s="2205" t="s">
        <v>1140</v>
      </c>
      <c r="B33" s="2196">
        <v>4000</v>
      </c>
      <c r="C33" s="2207"/>
      <c r="D33" s="2252"/>
      <c r="E33" s="2259"/>
      <c r="F33" s="2260"/>
      <c r="G33" s="2253"/>
      <c r="H33" s="2254"/>
      <c r="I33" s="267"/>
      <c r="J33" s="267"/>
      <c r="K33" s="267"/>
      <c r="L33" s="263"/>
      <c r="M33" s="2205" t="s">
        <v>1140</v>
      </c>
      <c r="N33" s="2196">
        <v>3290</v>
      </c>
      <c r="O33" s="2207"/>
      <c r="P33" s="2252"/>
      <c r="Q33" s="2259"/>
      <c r="R33" s="2260"/>
      <c r="S33" s="2253"/>
      <c r="T33" s="2254"/>
      <c r="U33" s="267"/>
      <c r="V33" s="267"/>
      <c r="W33" s="267"/>
      <c r="X33" s="267"/>
    </row>
    <row r="34" spans="1:25">
      <c r="A34" s="2205"/>
      <c r="B34" s="339"/>
      <c r="C34" s="2207"/>
      <c r="D34" s="2252"/>
      <c r="E34" s="2259"/>
      <c r="F34" s="2260"/>
      <c r="G34" s="2253"/>
      <c r="H34" s="2254"/>
      <c r="I34" s="267"/>
      <c r="J34" s="267"/>
      <c r="K34" s="267"/>
      <c r="L34" s="263"/>
      <c r="M34" s="2205"/>
      <c r="N34" s="339"/>
      <c r="O34" s="2207"/>
      <c r="P34" s="2252"/>
      <c r="Q34" s="2259"/>
      <c r="R34" s="2260"/>
      <c r="S34" s="2253"/>
      <c r="T34" s="2254"/>
      <c r="U34" s="267"/>
      <c r="V34" s="267"/>
      <c r="W34" s="267"/>
      <c r="X34" s="267"/>
    </row>
    <row r="35" spans="1:25">
      <c r="A35" s="2261" t="s">
        <v>1222</v>
      </c>
      <c r="B35" s="326"/>
      <c r="C35" s="2190"/>
      <c r="D35" s="2252"/>
      <c r="E35" s="2259"/>
      <c r="F35" s="2260"/>
      <c r="G35" s="2253"/>
      <c r="H35" s="2254"/>
      <c r="I35" s="267"/>
      <c r="J35" s="267"/>
      <c r="K35" s="267"/>
      <c r="L35" s="263"/>
      <c r="M35" s="2261" t="s">
        <v>1223</v>
      </c>
      <c r="N35" s="326"/>
      <c r="O35" s="2190"/>
      <c r="P35" s="2252"/>
      <c r="Q35" s="2259"/>
      <c r="R35" s="2260"/>
      <c r="S35" s="2253"/>
      <c r="T35" s="2254"/>
      <c r="U35" s="267"/>
      <c r="V35" s="267"/>
      <c r="W35" s="267"/>
      <c r="X35" s="267"/>
    </row>
    <row r="36" spans="1:25" ht="14.25">
      <c r="A36" s="327" t="s">
        <v>1315</v>
      </c>
      <c r="B36" s="347" t="s">
        <v>1224</v>
      </c>
      <c r="C36" s="2202"/>
      <c r="D36" s="2262"/>
      <c r="E36" s="2263"/>
      <c r="F36" s="2263"/>
      <c r="G36" s="2263"/>
      <c r="H36" s="2264"/>
      <c r="I36" s="267"/>
      <c r="J36" s="267"/>
      <c r="K36" s="267"/>
      <c r="L36" s="263"/>
      <c r="M36" s="327" t="s">
        <v>1316</v>
      </c>
      <c r="N36" s="347" t="s">
        <v>1224</v>
      </c>
      <c r="O36" s="2202"/>
      <c r="P36" s="2262"/>
      <c r="Q36" s="2263"/>
      <c r="R36" s="2263"/>
      <c r="S36" s="2263"/>
      <c r="T36" s="2264"/>
      <c r="U36" s="267"/>
      <c r="V36" s="267"/>
      <c r="W36" s="267"/>
      <c r="X36" s="267"/>
    </row>
    <row r="37" spans="1:25">
      <c r="A37" s="263"/>
      <c r="B37" s="263"/>
      <c r="C37" s="263"/>
      <c r="D37" s="263"/>
      <c r="E37" s="263"/>
      <c r="F37" s="263"/>
      <c r="G37" s="263"/>
      <c r="H37" s="263"/>
      <c r="I37" s="263"/>
      <c r="J37" s="263"/>
      <c r="K37" s="263"/>
      <c r="L37" s="263"/>
      <c r="M37" s="267"/>
      <c r="N37" s="267"/>
      <c r="O37" s="267"/>
      <c r="P37" s="263"/>
      <c r="Q37" s="263"/>
      <c r="R37" s="263"/>
      <c r="S37" s="263"/>
      <c r="T37" s="263"/>
      <c r="U37" s="263"/>
      <c r="V37" s="267"/>
      <c r="W37" s="263"/>
      <c r="X37" s="263"/>
    </row>
    <row r="38" spans="1:25">
      <c r="A38" s="2211" t="s">
        <v>1141</v>
      </c>
      <c r="B38" s="2196">
        <v>0</v>
      </c>
      <c r="C38" s="263" t="s">
        <v>1142</v>
      </c>
      <c r="D38" s="263"/>
      <c r="E38" s="263"/>
      <c r="F38" s="263"/>
      <c r="G38" s="263"/>
      <c r="H38" s="263"/>
      <c r="I38" s="263"/>
      <c r="J38" s="263"/>
      <c r="K38" s="263"/>
      <c r="L38" s="263"/>
      <c r="M38" s="2211" t="s">
        <v>1141</v>
      </c>
      <c r="N38" s="2196">
        <v>0</v>
      </c>
      <c r="O38" s="267" t="s">
        <v>1142</v>
      </c>
      <c r="P38" s="263"/>
      <c r="Q38" s="263"/>
      <c r="R38" s="263"/>
      <c r="S38" s="263"/>
      <c r="T38" s="263"/>
      <c r="U38" s="263"/>
      <c r="V38" s="267"/>
      <c r="W38" s="263"/>
      <c r="X38" s="263"/>
    </row>
    <row r="39" spans="1:25">
      <c r="A39" s="263"/>
      <c r="B39" s="263"/>
      <c r="C39" s="263"/>
      <c r="D39" s="263"/>
      <c r="E39" s="263"/>
      <c r="F39" s="267"/>
      <c r="G39" s="267"/>
      <c r="H39" s="267"/>
      <c r="I39" s="267"/>
      <c r="J39" s="267"/>
      <c r="K39" s="267"/>
      <c r="L39" s="267"/>
      <c r="M39" s="263"/>
      <c r="N39" s="263"/>
      <c r="O39" s="263"/>
      <c r="P39" s="263"/>
      <c r="Q39" s="263"/>
      <c r="R39" s="263"/>
      <c r="S39" s="263"/>
      <c r="T39" s="263"/>
      <c r="U39" s="263"/>
      <c r="V39" s="267"/>
      <c r="W39" s="263"/>
      <c r="X39" s="263"/>
    </row>
    <row r="40" spans="1:25">
      <c r="A40" s="263"/>
      <c r="B40" s="263"/>
      <c r="C40" s="263"/>
      <c r="D40" s="263"/>
      <c r="E40" s="263"/>
      <c r="F40" s="267"/>
      <c r="G40" s="267"/>
      <c r="H40" s="267"/>
      <c r="I40" s="267"/>
      <c r="J40" s="267"/>
      <c r="K40" s="267"/>
      <c r="L40" s="267"/>
      <c r="M40" s="263"/>
      <c r="N40" s="263"/>
      <c r="O40" s="263"/>
      <c r="P40" s="263"/>
      <c r="Q40" s="263"/>
      <c r="R40" s="263"/>
      <c r="S40" s="263"/>
      <c r="T40" s="263"/>
      <c r="U40" s="263"/>
      <c r="V40" s="263"/>
      <c r="W40" s="263"/>
      <c r="X40" s="263"/>
    </row>
    <row r="41" spans="1:25">
      <c r="A41" s="263"/>
      <c r="B41" s="263" t="s">
        <v>1143</v>
      </c>
      <c r="C41" s="263"/>
      <c r="D41" s="263"/>
      <c r="E41" s="263"/>
      <c r="F41" s="267"/>
      <c r="G41" s="267"/>
      <c r="H41" s="267"/>
      <c r="I41" s="267"/>
      <c r="J41" s="267"/>
      <c r="K41" s="267"/>
      <c r="L41" s="267"/>
      <c r="M41" s="263"/>
      <c r="N41" s="263" t="s">
        <v>1143</v>
      </c>
      <c r="O41" s="263"/>
      <c r="P41" s="263"/>
      <c r="Q41" s="263"/>
      <c r="R41" s="263"/>
      <c r="S41" s="263"/>
      <c r="T41" s="263"/>
      <c r="U41" s="263"/>
      <c r="V41" s="263"/>
      <c r="W41" s="263"/>
      <c r="X41" s="263"/>
    </row>
    <row r="42" spans="1:25">
      <c r="A42" s="2212" t="s">
        <v>135</v>
      </c>
      <c r="B42" s="2212" t="s">
        <v>139</v>
      </c>
      <c r="C42" s="2212" t="s">
        <v>1144</v>
      </c>
      <c r="D42" s="2212" t="s">
        <v>74</v>
      </c>
      <c r="E42" s="2213"/>
      <c r="F42" s="2265"/>
      <c r="G42" s="2265"/>
      <c r="H42" s="2265"/>
      <c r="I42" s="2265"/>
      <c r="J42" s="2214"/>
      <c r="K42" s="2265"/>
      <c r="L42" s="267"/>
      <c r="M42" s="2212" t="s">
        <v>135</v>
      </c>
      <c r="N42" s="2227" t="s">
        <v>139</v>
      </c>
      <c r="O42" s="2212" t="s">
        <v>1144</v>
      </c>
      <c r="P42" s="2212" t="s">
        <v>74</v>
      </c>
      <c r="Q42" s="2213"/>
      <c r="R42" s="2265"/>
      <c r="S42" s="2265"/>
      <c r="T42" s="2265"/>
      <c r="U42" s="2265"/>
      <c r="V42" s="2214"/>
      <c r="W42" s="2214"/>
      <c r="X42" s="2265"/>
      <c r="Y42" s="267"/>
    </row>
    <row r="43" spans="1:25">
      <c r="A43" s="2212">
        <v>-22</v>
      </c>
      <c r="B43" s="2217">
        <f>B$33+(B$32*D43)-(B$31*(D43^2))+(B$30*(D43^3))</f>
        <v>9880</v>
      </c>
      <c r="C43" s="2217">
        <f>C44</f>
        <v>-7.1300000000010186</v>
      </c>
      <c r="D43" s="2212">
        <v>300</v>
      </c>
      <c r="E43" s="2213"/>
      <c r="F43" s="2266"/>
      <c r="G43" s="2216"/>
      <c r="H43" s="2267"/>
      <c r="I43" s="2267"/>
      <c r="J43" s="2216"/>
      <c r="K43" s="2267"/>
      <c r="L43" s="2268"/>
      <c r="M43" s="2212">
        <v>-22</v>
      </c>
      <c r="N43" s="2269">
        <f t="shared" ref="N43:N106" si="4">N$33+(N$32*P43)-(N$31*(P43^2))+(N$30*(P43^3))</f>
        <v>9290</v>
      </c>
      <c r="O43" s="2217">
        <f>O44</f>
        <v>6.3379999999997381</v>
      </c>
      <c r="P43" s="2212">
        <v>300</v>
      </c>
      <c r="Q43" s="2213"/>
      <c r="R43" s="2266"/>
      <c r="S43" s="2216"/>
      <c r="T43" s="2267"/>
      <c r="U43" s="2267"/>
      <c r="V43" s="2216"/>
      <c r="W43" s="2216"/>
      <c r="X43" s="2267"/>
      <c r="Y43" s="2268"/>
    </row>
    <row r="44" spans="1:25">
      <c r="A44" s="2217">
        <f t="shared" ref="A44:A107" si="5">(C44*(B$8-B$10))-B$9</f>
        <v>-16.647500000000765</v>
      </c>
      <c r="B44" s="2217">
        <f t="shared" ref="B44:B107" si="6">B$33+(B$32*D44)-(B$31*(D44^2))+(B$30*(D44^3))</f>
        <v>9887.3100000000013</v>
      </c>
      <c r="C44" s="2217">
        <f t="shared" ref="C44:C107" si="7">B44-B45</f>
        <v>-7.1300000000010186</v>
      </c>
      <c r="D44" s="2212">
        <v>299</v>
      </c>
      <c r="E44" s="2219"/>
      <c r="F44" s="2265"/>
      <c r="G44" s="1923"/>
      <c r="H44" s="2267"/>
      <c r="I44" s="2267"/>
      <c r="J44" s="2267"/>
      <c r="K44" s="2267"/>
      <c r="L44" s="2268"/>
      <c r="M44" s="2217">
        <f t="shared" ref="M44:M107" si="8">(O44*(N$8-N$10))-N$9</f>
        <v>-7.1803000000001704</v>
      </c>
      <c r="N44" s="2269">
        <f t="shared" si="4"/>
        <v>9283.753999999999</v>
      </c>
      <c r="O44" s="2217">
        <f t="shared" ref="O44:O107" si="9">N44-N45</f>
        <v>6.3379999999997381</v>
      </c>
      <c r="P44" s="2212">
        <v>299</v>
      </c>
      <c r="Q44" s="2219"/>
      <c r="R44" s="2265"/>
      <c r="S44" s="1923"/>
      <c r="T44" s="2267"/>
      <c r="U44" s="2267"/>
      <c r="V44" s="2267"/>
      <c r="W44" s="2267"/>
      <c r="X44" s="2267"/>
      <c r="Y44" s="2268"/>
    </row>
    <row r="45" spans="1:25">
      <c r="A45" s="2217">
        <f t="shared" si="5"/>
        <v>-16.512499999999182</v>
      </c>
      <c r="B45" s="2217">
        <f t="shared" si="6"/>
        <v>9894.4400000000023</v>
      </c>
      <c r="C45" s="2217">
        <f t="shared" si="7"/>
        <v>-6.9499999999989086</v>
      </c>
      <c r="D45" s="2212">
        <v>298</v>
      </c>
      <c r="E45" s="2219"/>
      <c r="F45" s="2265"/>
      <c r="G45" s="1923"/>
      <c r="H45" s="2267"/>
      <c r="I45" s="2267"/>
      <c r="J45" s="2265"/>
      <c r="K45" s="2267"/>
      <c r="L45" s="2268"/>
      <c r="M45" s="2217">
        <f t="shared" si="8"/>
        <v>-7.1204999999998115</v>
      </c>
      <c r="N45" s="2269">
        <f t="shared" si="4"/>
        <v>9277.4159999999993</v>
      </c>
      <c r="O45" s="2217">
        <f t="shared" si="9"/>
        <v>6.430000000000291</v>
      </c>
      <c r="P45" s="2212">
        <v>298</v>
      </c>
      <c r="Q45" s="2219"/>
      <c r="R45" s="2265"/>
      <c r="S45" s="1923"/>
      <c r="T45" s="2267"/>
      <c r="U45" s="2267"/>
      <c r="V45" s="2265"/>
      <c r="W45" s="2265"/>
      <c r="X45" s="2267"/>
      <c r="Y45" s="2268"/>
    </row>
    <row r="46" spans="1:25">
      <c r="A46" s="2217">
        <f t="shared" si="5"/>
        <v>-16.377499999998964</v>
      </c>
      <c r="B46" s="2217">
        <f t="shared" si="6"/>
        <v>9901.3900000000012</v>
      </c>
      <c r="C46" s="2217">
        <f t="shared" si="7"/>
        <v>-6.7699999999986176</v>
      </c>
      <c r="D46" s="2212">
        <v>297</v>
      </c>
      <c r="E46" s="2219"/>
      <c r="F46" s="2265"/>
      <c r="G46" s="1924"/>
      <c r="H46" s="2265"/>
      <c r="I46" s="2265"/>
      <c r="J46" s="2270"/>
      <c r="K46" s="2265"/>
      <c r="L46" s="2268"/>
      <c r="M46" s="2217">
        <f t="shared" si="8"/>
        <v>-7.0607000000006339</v>
      </c>
      <c r="N46" s="2269">
        <f t="shared" si="4"/>
        <v>9270.985999999999</v>
      </c>
      <c r="O46" s="2217">
        <f t="shared" si="9"/>
        <v>6.521999999999025</v>
      </c>
      <c r="P46" s="2212">
        <v>297</v>
      </c>
      <c r="Q46" s="2219"/>
      <c r="R46" s="2265"/>
      <c r="S46" s="1924"/>
      <c r="T46" s="2265"/>
      <c r="U46" s="2265"/>
      <c r="V46" s="2270"/>
      <c r="W46" s="2216"/>
      <c r="X46" s="2265"/>
      <c r="Y46" s="2268"/>
    </row>
    <row r="47" spans="1:25">
      <c r="A47" s="2217">
        <f t="shared" si="5"/>
        <v>-16.24250000000011</v>
      </c>
      <c r="B47" s="2217">
        <f t="shared" si="6"/>
        <v>9908.16</v>
      </c>
      <c r="C47" s="2217">
        <f t="shared" si="7"/>
        <v>-6.5900000000001455</v>
      </c>
      <c r="D47" s="2212">
        <v>296</v>
      </c>
      <c r="E47" s="2219"/>
      <c r="F47" s="2265"/>
      <c r="G47" s="2216"/>
      <c r="H47" s="2265"/>
      <c r="I47" s="2265"/>
      <c r="J47" s="267"/>
      <c r="K47" s="2265"/>
      <c r="L47" s="2268"/>
      <c r="M47" s="2217">
        <f t="shared" si="8"/>
        <v>-7.000900000000275</v>
      </c>
      <c r="N47" s="2269">
        <f t="shared" si="4"/>
        <v>9264.4639999999999</v>
      </c>
      <c r="O47" s="2217">
        <f t="shared" si="9"/>
        <v>6.613999999999578</v>
      </c>
      <c r="P47" s="2212">
        <v>296</v>
      </c>
      <c r="Q47" s="2219"/>
      <c r="R47" s="2265"/>
      <c r="S47" s="2216"/>
      <c r="T47" s="2265"/>
      <c r="U47" s="2265"/>
      <c r="V47" s="267"/>
      <c r="W47" s="267"/>
      <c r="X47" s="2265"/>
      <c r="Y47" s="2268"/>
    </row>
    <row r="48" spans="1:25">
      <c r="A48" s="2217">
        <f t="shared" si="5"/>
        <v>-16.107500000001256</v>
      </c>
      <c r="B48" s="2217">
        <f t="shared" si="6"/>
        <v>9914.75</v>
      </c>
      <c r="C48" s="2217">
        <f t="shared" si="7"/>
        <v>-6.4100000000016735</v>
      </c>
      <c r="D48" s="2212">
        <v>295</v>
      </c>
      <c r="E48" s="2219"/>
      <c r="F48" s="2265"/>
      <c r="G48" s="267"/>
      <c r="H48" s="2216"/>
      <c r="I48" s="2265"/>
      <c r="J48" s="2265"/>
      <c r="K48" s="2265"/>
      <c r="L48" s="2268"/>
      <c r="M48" s="2217">
        <f t="shared" si="8"/>
        <v>-6.9410999999987331</v>
      </c>
      <c r="N48" s="2269">
        <f t="shared" si="4"/>
        <v>9257.85</v>
      </c>
      <c r="O48" s="2217">
        <f t="shared" si="9"/>
        <v>6.70600000000195</v>
      </c>
      <c r="P48" s="2212">
        <v>295</v>
      </c>
      <c r="Q48" s="2219"/>
      <c r="R48" s="2265"/>
      <c r="S48" s="267"/>
      <c r="T48" s="2216"/>
      <c r="U48" s="2265"/>
      <c r="V48" s="2265"/>
      <c r="W48" s="2265"/>
      <c r="X48" s="2265"/>
      <c r="Y48" s="2268"/>
    </row>
    <row r="49" spans="1:25">
      <c r="A49" s="2217">
        <f t="shared" si="5"/>
        <v>-15.972500000001038</v>
      </c>
      <c r="B49" s="2217">
        <f t="shared" si="6"/>
        <v>9921.1600000000017</v>
      </c>
      <c r="C49" s="2217">
        <f t="shared" si="7"/>
        <v>-6.2300000000013824</v>
      </c>
      <c r="D49" s="2212">
        <v>294</v>
      </c>
      <c r="E49" s="2219"/>
      <c r="F49" s="2265"/>
      <c r="G49" s="2216"/>
      <c r="H49" s="2265"/>
      <c r="I49" s="2265"/>
      <c r="J49" s="2265"/>
      <c r="K49" s="2265"/>
      <c r="L49" s="2268"/>
      <c r="M49" s="2217">
        <f t="shared" si="8"/>
        <v>-6.8813000000007385</v>
      </c>
      <c r="N49" s="2269">
        <f t="shared" si="4"/>
        <v>9251.1439999999984</v>
      </c>
      <c r="O49" s="2217">
        <f t="shared" si="9"/>
        <v>6.797999999998865</v>
      </c>
      <c r="P49" s="2212">
        <v>294</v>
      </c>
      <c r="Q49" s="2219"/>
      <c r="R49" s="2265"/>
      <c r="S49" s="2216"/>
      <c r="T49" s="2265"/>
      <c r="U49" s="2265"/>
      <c r="V49" s="2265"/>
      <c r="W49" s="2265"/>
      <c r="X49" s="2265"/>
      <c r="Y49" s="2268"/>
    </row>
    <row r="50" spans="1:25">
      <c r="A50" s="2217">
        <f t="shared" si="5"/>
        <v>-15.837499999999455</v>
      </c>
      <c r="B50" s="2217">
        <f t="shared" si="6"/>
        <v>9927.3900000000031</v>
      </c>
      <c r="C50" s="2217">
        <f t="shared" si="7"/>
        <v>-6.0499999999992724</v>
      </c>
      <c r="D50" s="2212">
        <v>293</v>
      </c>
      <c r="E50" s="2219"/>
      <c r="F50" s="2270"/>
      <c r="G50" s="2271"/>
      <c r="H50" s="2265"/>
      <c r="I50" s="2265"/>
      <c r="J50" s="2265"/>
      <c r="K50" s="1925"/>
      <c r="L50" s="2268"/>
      <c r="M50" s="2217">
        <f t="shared" si="8"/>
        <v>-6.8214999999991965</v>
      </c>
      <c r="N50" s="2269">
        <f t="shared" si="4"/>
        <v>9244.3459999999995</v>
      </c>
      <c r="O50" s="2217">
        <f t="shared" si="9"/>
        <v>6.8900000000012369</v>
      </c>
      <c r="P50" s="2212">
        <v>293</v>
      </c>
      <c r="Q50" s="2219"/>
      <c r="R50" s="2270"/>
      <c r="S50" s="2271"/>
      <c r="T50" s="2265"/>
      <c r="U50" s="2265"/>
      <c r="V50" s="2265"/>
      <c r="W50" s="2265"/>
      <c r="X50" s="1925"/>
      <c r="Y50" s="2268"/>
    </row>
    <row r="51" spans="1:25">
      <c r="A51" s="2217">
        <f t="shared" si="5"/>
        <v>-15.702499999996508</v>
      </c>
      <c r="B51" s="2217">
        <f t="shared" si="6"/>
        <v>9933.4400000000023</v>
      </c>
      <c r="C51" s="2217">
        <f t="shared" si="7"/>
        <v>-5.8699999999953434</v>
      </c>
      <c r="D51" s="2212">
        <v>292</v>
      </c>
      <c r="E51" s="2219"/>
      <c r="F51" s="2270"/>
      <c r="G51" s="2271"/>
      <c r="H51" s="2265"/>
      <c r="I51" s="2265"/>
      <c r="J51" s="2265"/>
      <c r="K51" s="1925"/>
      <c r="L51" s="2268"/>
      <c r="M51" s="2217">
        <f t="shared" si="8"/>
        <v>-6.7617000000000198</v>
      </c>
      <c r="N51" s="2269">
        <f t="shared" si="4"/>
        <v>9237.4559999999983</v>
      </c>
      <c r="O51" s="2217">
        <f t="shared" si="9"/>
        <v>6.9819999999999709</v>
      </c>
      <c r="P51" s="2212">
        <v>292</v>
      </c>
      <c r="Q51" s="2219"/>
      <c r="R51" s="2270"/>
      <c r="S51" s="2271"/>
      <c r="T51" s="2265"/>
      <c r="U51" s="2265"/>
      <c r="V51" s="2265"/>
      <c r="W51" s="2265"/>
      <c r="X51" s="1925"/>
      <c r="Y51" s="2268"/>
    </row>
    <row r="52" spans="1:25">
      <c r="A52" s="2217">
        <f t="shared" si="5"/>
        <v>-15.567500000001747</v>
      </c>
      <c r="B52" s="2217">
        <f t="shared" si="6"/>
        <v>9939.3099999999977</v>
      </c>
      <c r="C52" s="2217">
        <f t="shared" si="7"/>
        <v>-5.6900000000023283</v>
      </c>
      <c r="D52" s="2212">
        <v>291</v>
      </c>
      <c r="E52" s="2219"/>
      <c r="F52" s="2270"/>
      <c r="G52" s="2271"/>
      <c r="H52" s="2265"/>
      <c r="I52" s="2265"/>
      <c r="J52" s="2265"/>
      <c r="K52" s="1925"/>
      <c r="L52" s="2268"/>
      <c r="M52" s="2217">
        <f t="shared" si="8"/>
        <v>-6.7019000000008422</v>
      </c>
      <c r="N52" s="2269">
        <f t="shared" si="4"/>
        <v>9230.4739999999983</v>
      </c>
      <c r="O52" s="2217">
        <f t="shared" si="9"/>
        <v>7.0739999999987049</v>
      </c>
      <c r="P52" s="2212">
        <v>291</v>
      </c>
      <c r="Q52" s="2219"/>
      <c r="R52" s="2270"/>
      <c r="S52" s="2271"/>
      <c r="T52" s="2265"/>
      <c r="U52" s="2265"/>
      <c r="V52" s="2265"/>
      <c r="W52" s="2265"/>
      <c r="X52" s="1925"/>
      <c r="Y52" s="2268"/>
    </row>
    <row r="53" spans="1:25">
      <c r="A53" s="2217">
        <f t="shared" si="5"/>
        <v>-15.432500000001529</v>
      </c>
      <c r="B53" s="2217">
        <f t="shared" si="6"/>
        <v>9945</v>
      </c>
      <c r="C53" s="2217">
        <f t="shared" si="7"/>
        <v>-5.5100000000020373</v>
      </c>
      <c r="D53" s="2212">
        <v>290</v>
      </c>
      <c r="E53" s="2219"/>
      <c r="F53" s="2270"/>
      <c r="G53" s="2271"/>
      <c r="H53" s="2265"/>
      <c r="I53" s="2265"/>
      <c r="J53" s="2265"/>
      <c r="K53" s="1925"/>
      <c r="L53" s="2268"/>
      <c r="M53" s="2217">
        <f t="shared" si="8"/>
        <v>-6.6420999999993002</v>
      </c>
      <c r="N53" s="2269">
        <f t="shared" si="4"/>
        <v>9223.4</v>
      </c>
      <c r="O53" s="2217">
        <f t="shared" si="9"/>
        <v>7.1660000000010768</v>
      </c>
      <c r="P53" s="2212">
        <v>290</v>
      </c>
      <c r="Q53" s="2219"/>
      <c r="R53" s="2270"/>
      <c r="S53" s="2271"/>
      <c r="T53" s="2265"/>
      <c r="U53" s="2265"/>
      <c r="V53" s="2265"/>
      <c r="W53" s="2265"/>
      <c r="X53" s="1925"/>
      <c r="Y53" s="2268"/>
    </row>
    <row r="54" spans="1:25">
      <c r="A54" s="2217">
        <f t="shared" si="5"/>
        <v>-15.29750000000131</v>
      </c>
      <c r="B54" s="2217">
        <f t="shared" si="6"/>
        <v>9950.510000000002</v>
      </c>
      <c r="C54" s="2217">
        <f t="shared" si="7"/>
        <v>-5.3300000000017462</v>
      </c>
      <c r="D54" s="2212">
        <v>289</v>
      </c>
      <c r="E54" s="2219"/>
      <c r="F54" s="2270"/>
      <c r="G54" s="2271"/>
      <c r="H54" s="2265"/>
      <c r="I54" s="2265"/>
      <c r="J54" s="2265"/>
      <c r="K54" s="1925"/>
      <c r="L54" s="2268"/>
      <c r="M54" s="2217">
        <f t="shared" si="8"/>
        <v>-6.5823000000001235</v>
      </c>
      <c r="N54" s="2269">
        <f t="shared" si="4"/>
        <v>9216.2339999999986</v>
      </c>
      <c r="O54" s="2217">
        <f t="shared" si="9"/>
        <v>7.2579999999998108</v>
      </c>
      <c r="P54" s="2212">
        <v>289</v>
      </c>
      <c r="Q54" s="2219"/>
      <c r="R54" s="2270"/>
      <c r="S54" s="2271"/>
      <c r="T54" s="2265"/>
      <c r="U54" s="2265"/>
      <c r="V54" s="2265"/>
      <c r="W54" s="2265"/>
      <c r="X54" s="1925"/>
      <c r="Y54" s="2268"/>
    </row>
    <row r="55" spans="1:25">
      <c r="A55" s="2217">
        <f t="shared" si="5"/>
        <v>-15.162499999998364</v>
      </c>
      <c r="B55" s="2217">
        <f t="shared" si="6"/>
        <v>9955.8400000000038</v>
      </c>
      <c r="C55" s="2217">
        <f t="shared" si="7"/>
        <v>-5.1499999999978172</v>
      </c>
      <c r="D55" s="2212">
        <v>288</v>
      </c>
      <c r="E55" s="2219"/>
      <c r="F55" s="2270"/>
      <c r="G55" s="2271"/>
      <c r="H55" s="2265"/>
      <c r="I55" s="2265"/>
      <c r="J55" s="2265"/>
      <c r="K55" s="1925"/>
      <c r="L55" s="2268"/>
      <c r="M55" s="2217">
        <f t="shared" si="8"/>
        <v>-6.5224999999997637</v>
      </c>
      <c r="N55" s="2269">
        <f t="shared" si="4"/>
        <v>9208.9759999999987</v>
      </c>
      <c r="O55" s="2217">
        <f t="shared" si="9"/>
        <v>7.3500000000003638</v>
      </c>
      <c r="P55" s="2212">
        <v>288</v>
      </c>
      <c r="Q55" s="2219"/>
      <c r="R55" s="2270"/>
      <c r="S55" s="2271"/>
      <c r="T55" s="2265"/>
      <c r="U55" s="2265"/>
      <c r="V55" s="2265"/>
      <c r="W55" s="2265"/>
      <c r="X55" s="1925"/>
      <c r="Y55" s="2268"/>
    </row>
    <row r="56" spans="1:25">
      <c r="A56" s="2217">
        <f t="shared" si="5"/>
        <v>-15.027499999998145</v>
      </c>
      <c r="B56" s="2217">
        <f t="shared" si="6"/>
        <v>9960.9900000000016</v>
      </c>
      <c r="C56" s="2217">
        <f t="shared" si="7"/>
        <v>-4.9699999999975262</v>
      </c>
      <c r="D56" s="2212">
        <v>287</v>
      </c>
      <c r="E56" s="2219"/>
      <c r="F56" s="2270"/>
      <c r="G56" s="2216"/>
      <c r="H56" s="2265"/>
      <c r="I56" s="2265"/>
      <c r="J56" s="2265"/>
      <c r="K56" s="1923"/>
      <c r="L56" s="2268"/>
      <c r="M56" s="2217">
        <f t="shared" si="8"/>
        <v>-6.462700000000587</v>
      </c>
      <c r="N56" s="2269">
        <f t="shared" si="4"/>
        <v>9201.6259999999984</v>
      </c>
      <c r="O56" s="2217">
        <f t="shared" si="9"/>
        <v>7.4419999999990978</v>
      </c>
      <c r="P56" s="2212">
        <v>287</v>
      </c>
      <c r="Q56" s="2219"/>
      <c r="R56" s="2270"/>
      <c r="S56" s="2216"/>
      <c r="T56" s="2265"/>
      <c r="U56" s="2265"/>
      <c r="V56" s="2265"/>
      <c r="W56" s="2265"/>
      <c r="X56" s="1923"/>
      <c r="Y56" s="2268"/>
    </row>
    <row r="57" spans="1:25">
      <c r="A57" s="2217">
        <f t="shared" si="5"/>
        <v>-14.892500000000656</v>
      </c>
      <c r="B57" s="2217">
        <f t="shared" si="6"/>
        <v>9965.9599999999991</v>
      </c>
      <c r="C57" s="2217">
        <f t="shared" si="7"/>
        <v>-4.7900000000008731</v>
      </c>
      <c r="D57" s="2212">
        <v>286</v>
      </c>
      <c r="E57" s="2219"/>
      <c r="F57" s="2265"/>
      <c r="G57" s="2216"/>
      <c r="H57" s="2265"/>
      <c r="I57" s="2265"/>
      <c r="J57" s="2265"/>
      <c r="K57" s="2265"/>
      <c r="L57" s="267"/>
      <c r="M57" s="2217">
        <f t="shared" si="8"/>
        <v>-6.4029000000002272</v>
      </c>
      <c r="N57" s="2269">
        <f t="shared" si="4"/>
        <v>9194.1839999999993</v>
      </c>
      <c r="O57" s="2217">
        <f t="shared" si="9"/>
        <v>7.5339999999996508</v>
      </c>
      <c r="P57" s="2212">
        <v>286</v>
      </c>
      <c r="Q57" s="2219"/>
      <c r="R57" s="2213"/>
      <c r="S57" s="2219"/>
      <c r="T57" s="2213"/>
      <c r="U57" s="2213"/>
      <c r="V57" s="2213"/>
      <c r="W57" s="2213"/>
      <c r="X57" s="2213"/>
    </row>
    <row r="58" spans="1:25">
      <c r="A58" s="2217">
        <f t="shared" si="5"/>
        <v>-14.757500000000437</v>
      </c>
      <c r="B58" s="2217">
        <f t="shared" si="6"/>
        <v>9970.75</v>
      </c>
      <c r="C58" s="2217">
        <f t="shared" si="7"/>
        <v>-4.6100000000005821</v>
      </c>
      <c r="D58" s="2212">
        <v>285</v>
      </c>
      <c r="E58" s="2219"/>
      <c r="F58" s="2265"/>
      <c r="G58" s="2216"/>
      <c r="H58" s="2265"/>
      <c r="I58" s="2265"/>
      <c r="J58" s="2265"/>
      <c r="K58" s="2265"/>
      <c r="L58" s="267"/>
      <c r="M58" s="2217">
        <f t="shared" si="8"/>
        <v>-6.3430999999998683</v>
      </c>
      <c r="N58" s="2269">
        <f t="shared" si="4"/>
        <v>9186.65</v>
      </c>
      <c r="O58" s="2217">
        <f t="shared" si="9"/>
        <v>7.6260000000002037</v>
      </c>
      <c r="P58" s="2212">
        <v>285</v>
      </c>
      <c r="Q58" s="2219"/>
      <c r="R58" s="2213"/>
      <c r="S58" s="2219"/>
      <c r="T58" s="2213"/>
      <c r="U58" s="2213"/>
      <c r="V58" s="2213"/>
      <c r="W58" s="2213"/>
      <c r="X58" s="2213"/>
    </row>
    <row r="59" spans="1:25">
      <c r="A59" s="2217">
        <f t="shared" si="5"/>
        <v>-14.622500000002947</v>
      </c>
      <c r="B59" s="2217">
        <f t="shared" si="6"/>
        <v>9975.36</v>
      </c>
      <c r="C59" s="2217">
        <f t="shared" si="7"/>
        <v>-4.430000000003929</v>
      </c>
      <c r="D59" s="2212">
        <v>284</v>
      </c>
      <c r="E59" s="2219"/>
      <c r="F59" s="2265"/>
      <c r="G59" s="2216"/>
      <c r="H59" s="2265"/>
      <c r="I59" s="2265"/>
      <c r="J59" s="2265"/>
      <c r="K59" s="2265"/>
      <c r="L59" s="267"/>
      <c r="M59" s="2217">
        <f t="shared" si="8"/>
        <v>-6.2833000000006907</v>
      </c>
      <c r="N59" s="2269">
        <f t="shared" si="4"/>
        <v>9179.0239999999994</v>
      </c>
      <c r="O59" s="2217">
        <f t="shared" si="9"/>
        <v>7.7179999999989377</v>
      </c>
      <c r="P59" s="2212">
        <v>284</v>
      </c>
      <c r="Q59" s="2219"/>
      <c r="R59" s="2213"/>
      <c r="S59" s="2219"/>
      <c r="T59" s="2213"/>
      <c r="U59" s="2213"/>
      <c r="V59" s="2213"/>
      <c r="W59" s="2213"/>
      <c r="X59" s="2213"/>
    </row>
    <row r="60" spans="1:25">
      <c r="A60" s="2217">
        <f t="shared" si="5"/>
        <v>-14.487499999997272</v>
      </c>
      <c r="B60" s="2217">
        <f t="shared" si="6"/>
        <v>9979.7900000000045</v>
      </c>
      <c r="C60" s="2217">
        <f t="shared" si="7"/>
        <v>-4.249999999996362</v>
      </c>
      <c r="D60" s="2212">
        <v>283</v>
      </c>
      <c r="E60" s="2219"/>
      <c r="F60" s="2265"/>
      <c r="G60" s="2216"/>
      <c r="H60" s="2265"/>
      <c r="I60" s="2265"/>
      <c r="J60" s="2265"/>
      <c r="K60" s="2265"/>
      <c r="L60" s="267"/>
      <c r="M60" s="2217">
        <f t="shared" si="8"/>
        <v>-6.2234999999991496</v>
      </c>
      <c r="N60" s="2269">
        <f t="shared" si="4"/>
        <v>9171.3060000000005</v>
      </c>
      <c r="O60" s="2217">
        <f t="shared" si="9"/>
        <v>7.8100000000013097</v>
      </c>
      <c r="P60" s="2212">
        <v>283</v>
      </c>
      <c r="Q60" s="2219"/>
      <c r="R60" s="2213"/>
      <c r="S60" s="2219"/>
      <c r="T60" s="2213"/>
      <c r="U60" s="2213"/>
      <c r="V60" s="2213"/>
      <c r="W60" s="2213"/>
      <c r="X60" s="2213"/>
    </row>
    <row r="61" spans="1:25">
      <c r="A61" s="2217">
        <f t="shared" si="5"/>
        <v>-14.352499999998418</v>
      </c>
      <c r="B61" s="2217">
        <f t="shared" si="6"/>
        <v>9984.0400000000009</v>
      </c>
      <c r="C61" s="2217">
        <f t="shared" si="7"/>
        <v>-4.06999999999789</v>
      </c>
      <c r="D61" s="2212">
        <v>282</v>
      </c>
      <c r="E61" s="2219"/>
      <c r="F61" s="2265"/>
      <c r="G61" s="2216"/>
      <c r="H61" s="2265"/>
      <c r="I61" s="2265"/>
      <c r="J61" s="2265"/>
      <c r="K61" s="2265"/>
      <c r="L61" s="267"/>
      <c r="M61" s="2217">
        <f t="shared" si="8"/>
        <v>-6.163699999999972</v>
      </c>
      <c r="N61" s="2269">
        <f t="shared" si="4"/>
        <v>9163.4959999999992</v>
      </c>
      <c r="O61" s="2217">
        <f t="shared" si="9"/>
        <v>7.9020000000000437</v>
      </c>
      <c r="P61" s="2212">
        <v>282</v>
      </c>
      <c r="Q61" s="2219"/>
      <c r="R61" s="2213"/>
      <c r="S61" s="2219"/>
      <c r="T61" s="2213"/>
      <c r="U61" s="2213"/>
      <c r="V61" s="2213"/>
      <c r="W61" s="2213"/>
      <c r="X61" s="2213"/>
    </row>
    <row r="62" spans="1:25">
      <c r="A62" s="2217">
        <f t="shared" si="5"/>
        <v>-14.217500000000928</v>
      </c>
      <c r="B62" s="2217">
        <f t="shared" si="6"/>
        <v>9988.1099999999988</v>
      </c>
      <c r="C62" s="2217">
        <f t="shared" si="7"/>
        <v>-3.8900000000012369</v>
      </c>
      <c r="D62" s="2212">
        <v>281</v>
      </c>
      <c r="E62" s="2219"/>
      <c r="F62" s="2265"/>
      <c r="G62" s="2216"/>
      <c r="H62" s="2265"/>
      <c r="I62" s="2265"/>
      <c r="J62" s="2265"/>
      <c r="K62" s="2265"/>
      <c r="L62" s="267"/>
      <c r="M62" s="2217">
        <f t="shared" si="8"/>
        <v>-6.1039000000007952</v>
      </c>
      <c r="N62" s="2269">
        <f t="shared" si="4"/>
        <v>9155.5939999999991</v>
      </c>
      <c r="O62" s="2217">
        <f t="shared" si="9"/>
        <v>7.9939999999987776</v>
      </c>
      <c r="P62" s="2212">
        <v>281</v>
      </c>
      <c r="Q62" s="2219"/>
      <c r="R62" s="2213"/>
      <c r="S62" s="2219"/>
      <c r="T62" s="2213"/>
      <c r="U62" s="2213"/>
      <c r="V62" s="2213"/>
      <c r="W62" s="2213"/>
      <c r="X62" s="2213"/>
    </row>
    <row r="63" spans="1:25">
      <c r="A63" s="2217">
        <f t="shared" si="5"/>
        <v>-14.082500000002074</v>
      </c>
      <c r="B63" s="2217">
        <f t="shared" si="6"/>
        <v>9992</v>
      </c>
      <c r="C63" s="2217">
        <f t="shared" si="7"/>
        <v>-3.7100000000027649</v>
      </c>
      <c r="D63" s="2212">
        <v>280</v>
      </c>
      <c r="E63" s="2219"/>
      <c r="F63" s="2213"/>
      <c r="G63" s="2219"/>
      <c r="H63" s="2213"/>
      <c r="I63" s="2213"/>
      <c r="J63" s="2213"/>
      <c r="K63" s="2213"/>
      <c r="L63" s="263"/>
      <c r="M63" s="2272">
        <f t="shared" si="8"/>
        <v>-6.0440999999992533</v>
      </c>
      <c r="N63" s="2217">
        <f t="shared" si="4"/>
        <v>9147.6</v>
      </c>
      <c r="O63" s="2217">
        <f t="shared" si="9"/>
        <v>8.0860000000011496</v>
      </c>
      <c r="P63" s="2212">
        <v>280</v>
      </c>
      <c r="Q63" s="2219"/>
      <c r="R63" s="2213"/>
      <c r="S63" s="2219"/>
      <c r="T63" s="2213"/>
      <c r="U63" s="2213"/>
      <c r="V63" s="2213"/>
      <c r="W63" s="2213"/>
      <c r="X63" s="2213"/>
    </row>
    <row r="64" spans="1:25">
      <c r="A64" s="2217">
        <f t="shared" si="5"/>
        <v>-13.947500000000492</v>
      </c>
      <c r="B64" s="2217">
        <f t="shared" si="6"/>
        <v>9995.7100000000028</v>
      </c>
      <c r="C64" s="2217">
        <f t="shared" si="7"/>
        <v>-3.5300000000006548</v>
      </c>
      <c r="D64" s="2212">
        <v>279</v>
      </c>
      <c r="E64" s="2219"/>
      <c r="F64" s="2213"/>
      <c r="G64" s="2219"/>
      <c r="H64" s="2213"/>
      <c r="I64" s="2213"/>
      <c r="J64" s="2213"/>
      <c r="K64" s="2213"/>
      <c r="L64" s="263"/>
      <c r="M64" s="2217">
        <f t="shared" si="8"/>
        <v>-5.9843000000000766</v>
      </c>
      <c r="N64" s="2217">
        <f t="shared" si="4"/>
        <v>9139.5139999999992</v>
      </c>
      <c r="O64" s="2217">
        <f t="shared" si="9"/>
        <v>8.1779999999998836</v>
      </c>
      <c r="P64" s="2212">
        <v>279</v>
      </c>
      <c r="Q64" s="2219"/>
      <c r="R64" s="2213"/>
      <c r="S64" s="2219"/>
      <c r="T64" s="2213"/>
      <c r="U64" s="2213"/>
      <c r="V64" s="2213"/>
      <c r="W64" s="2213"/>
      <c r="X64" s="2213"/>
    </row>
    <row r="65" spans="1:24">
      <c r="A65" s="2217">
        <f t="shared" si="5"/>
        <v>-13.812499999997545</v>
      </c>
      <c r="B65" s="2217">
        <f t="shared" si="6"/>
        <v>9999.2400000000034</v>
      </c>
      <c r="C65" s="2217">
        <f t="shared" si="7"/>
        <v>-3.3499999999967258</v>
      </c>
      <c r="D65" s="2212">
        <v>278</v>
      </c>
      <c r="E65" s="2219"/>
      <c r="F65" s="2213"/>
      <c r="G65" s="2219"/>
      <c r="H65" s="2213"/>
      <c r="I65" s="2213"/>
      <c r="J65" s="2213"/>
      <c r="K65" s="2213"/>
      <c r="L65" s="263"/>
      <c r="M65" s="2217">
        <f t="shared" si="8"/>
        <v>-5.9244999999997168</v>
      </c>
      <c r="N65" s="2217">
        <f t="shared" si="4"/>
        <v>9131.3359999999993</v>
      </c>
      <c r="O65" s="2217">
        <f t="shared" si="9"/>
        <v>8.2700000000004366</v>
      </c>
      <c r="P65" s="2212">
        <v>278</v>
      </c>
      <c r="Q65" s="2219"/>
      <c r="R65" s="2213"/>
      <c r="S65" s="2219"/>
      <c r="T65" s="2213"/>
      <c r="U65" s="2213"/>
      <c r="V65" s="2213"/>
      <c r="W65" s="2213"/>
      <c r="X65" s="2213"/>
    </row>
    <row r="66" spans="1:24">
      <c r="A66" s="2217">
        <f t="shared" si="5"/>
        <v>-13.677499999998691</v>
      </c>
      <c r="B66" s="2217">
        <f t="shared" si="6"/>
        <v>10002.59</v>
      </c>
      <c r="C66" s="2217">
        <f t="shared" si="7"/>
        <v>-3.1699999999982538</v>
      </c>
      <c r="D66" s="2212">
        <v>277</v>
      </c>
      <c r="E66" s="2219"/>
      <c r="F66" s="2213"/>
      <c r="G66" s="2219"/>
      <c r="H66" s="2213"/>
      <c r="I66" s="2213"/>
      <c r="J66" s="2213"/>
      <c r="K66" s="2213"/>
      <c r="L66" s="263"/>
      <c r="M66" s="2217">
        <f t="shared" si="8"/>
        <v>-5.86470000000054</v>
      </c>
      <c r="N66" s="2217">
        <f t="shared" si="4"/>
        <v>9123.0659999999989</v>
      </c>
      <c r="O66" s="2217">
        <f t="shared" si="9"/>
        <v>8.3619999999991705</v>
      </c>
      <c r="P66" s="2212">
        <v>277</v>
      </c>
      <c r="Q66" s="2219"/>
      <c r="R66" s="2213"/>
      <c r="S66" s="2219"/>
      <c r="T66" s="2213"/>
      <c r="U66" s="2213"/>
      <c r="V66" s="2213"/>
      <c r="W66" s="2213"/>
      <c r="X66" s="2213"/>
    </row>
    <row r="67" spans="1:24">
      <c r="A67" s="2217">
        <f t="shared" si="5"/>
        <v>-13.542500000001201</v>
      </c>
      <c r="B67" s="2217">
        <f t="shared" si="6"/>
        <v>10005.759999999998</v>
      </c>
      <c r="C67" s="2217">
        <f t="shared" si="7"/>
        <v>-2.9900000000016007</v>
      </c>
      <c r="D67" s="2212">
        <v>276</v>
      </c>
      <c r="E67" s="2219"/>
      <c r="F67" s="2213"/>
      <c r="G67" s="2219"/>
      <c r="H67" s="2213"/>
      <c r="I67" s="2213"/>
      <c r="J67" s="2213"/>
      <c r="K67" s="2213"/>
      <c r="L67" s="263"/>
      <c r="M67" s="2217">
        <f t="shared" si="8"/>
        <v>-5.8049000000001802</v>
      </c>
      <c r="N67" s="2217">
        <f t="shared" si="4"/>
        <v>9114.7039999999997</v>
      </c>
      <c r="O67" s="2217">
        <f t="shared" si="9"/>
        <v>8.4539999999997235</v>
      </c>
      <c r="P67" s="2212">
        <v>276</v>
      </c>
      <c r="Q67" s="2219"/>
      <c r="R67" s="2213"/>
      <c r="S67" s="2219"/>
      <c r="T67" s="2213"/>
      <c r="U67" s="2213"/>
      <c r="V67" s="2213"/>
      <c r="W67" s="2213"/>
      <c r="X67" s="2213"/>
    </row>
    <row r="68" spans="1:24">
      <c r="A68" s="2217">
        <f t="shared" si="5"/>
        <v>-13.407500000000983</v>
      </c>
      <c r="B68" s="2217">
        <f t="shared" si="6"/>
        <v>10008.75</v>
      </c>
      <c r="C68" s="2217">
        <f t="shared" si="7"/>
        <v>-2.8100000000013097</v>
      </c>
      <c r="D68" s="2212">
        <v>275</v>
      </c>
      <c r="E68" s="2219"/>
      <c r="F68" s="2213"/>
      <c r="G68" s="2219"/>
      <c r="H68" s="2213"/>
      <c r="I68" s="2213"/>
      <c r="J68" s="2213"/>
      <c r="K68" s="2213"/>
      <c r="L68" s="263"/>
      <c r="M68" s="2217">
        <f t="shared" si="8"/>
        <v>-5.7450999999986383</v>
      </c>
      <c r="N68" s="2217">
        <f t="shared" si="4"/>
        <v>9106.25</v>
      </c>
      <c r="O68" s="2217">
        <f t="shared" si="9"/>
        <v>8.5460000000020955</v>
      </c>
      <c r="P68" s="2212">
        <v>275</v>
      </c>
      <c r="Q68" s="2219"/>
      <c r="R68" s="2213"/>
      <c r="S68" s="2219"/>
      <c r="T68" s="2213"/>
      <c r="U68" s="2213"/>
      <c r="V68" s="2213"/>
      <c r="W68" s="2213"/>
      <c r="X68" s="2213"/>
    </row>
    <row r="69" spans="1:24">
      <c r="A69" s="2217">
        <f t="shared" si="5"/>
        <v>-13.272500000000765</v>
      </c>
      <c r="B69" s="2217">
        <f t="shared" si="6"/>
        <v>10011.560000000001</v>
      </c>
      <c r="C69" s="2217">
        <f t="shared" si="7"/>
        <v>-2.6300000000010186</v>
      </c>
      <c r="D69" s="2212">
        <v>274</v>
      </c>
      <c r="E69" s="2219"/>
      <c r="F69" s="2213"/>
      <c r="G69" s="2219"/>
      <c r="H69" s="2213"/>
      <c r="I69" s="2213"/>
      <c r="J69" s="2213"/>
      <c r="K69" s="2213"/>
      <c r="L69" s="263"/>
      <c r="M69" s="2217">
        <f t="shared" si="8"/>
        <v>-5.6853000000006437</v>
      </c>
      <c r="N69" s="2217">
        <f t="shared" si="4"/>
        <v>9097.7039999999979</v>
      </c>
      <c r="O69" s="2217">
        <f t="shared" si="9"/>
        <v>8.6379999999990105</v>
      </c>
      <c r="P69" s="2212">
        <v>274</v>
      </c>
      <c r="Q69" s="2219"/>
      <c r="R69" s="2213"/>
      <c r="S69" s="2219"/>
      <c r="T69" s="2213"/>
      <c r="U69" s="2213"/>
      <c r="V69" s="2213"/>
      <c r="W69" s="2213"/>
      <c r="X69" s="2213"/>
    </row>
    <row r="70" spans="1:24">
      <c r="A70" s="2217">
        <f t="shared" si="5"/>
        <v>-13.137499999999182</v>
      </c>
      <c r="B70" s="2217">
        <f t="shared" si="6"/>
        <v>10014.190000000002</v>
      </c>
      <c r="C70" s="2217">
        <f t="shared" si="7"/>
        <v>-2.4499999999989086</v>
      </c>
      <c r="D70" s="2212">
        <v>273</v>
      </c>
      <c r="E70" s="2219"/>
      <c r="F70" s="2213"/>
      <c r="G70" s="2219"/>
      <c r="H70" s="2213"/>
      <c r="I70" s="2213"/>
      <c r="J70" s="2213"/>
      <c r="K70" s="2213"/>
      <c r="L70" s="263"/>
      <c r="M70" s="2217">
        <f t="shared" si="8"/>
        <v>-5.6255000000002839</v>
      </c>
      <c r="N70" s="2217">
        <f t="shared" si="4"/>
        <v>9089.0659999999989</v>
      </c>
      <c r="O70" s="2217">
        <f t="shared" si="9"/>
        <v>8.7299999999995634</v>
      </c>
      <c r="P70" s="2212">
        <v>273</v>
      </c>
      <c r="Q70" s="2219"/>
      <c r="R70" s="2213"/>
      <c r="S70" s="2219"/>
      <c r="T70" s="2213"/>
      <c r="U70" s="2213"/>
      <c r="V70" s="2213"/>
      <c r="W70" s="2213"/>
      <c r="X70" s="2213"/>
    </row>
    <row r="71" spans="1:24">
      <c r="A71" s="2217">
        <f t="shared" si="5"/>
        <v>-13.002499999998964</v>
      </c>
      <c r="B71" s="2217">
        <f t="shared" si="6"/>
        <v>10016.640000000001</v>
      </c>
      <c r="C71" s="2217">
        <f t="shared" si="7"/>
        <v>-2.2699999999986176</v>
      </c>
      <c r="D71" s="2212">
        <v>272</v>
      </c>
      <c r="E71" s="2219"/>
      <c r="F71" s="2213"/>
      <c r="G71" s="2219"/>
      <c r="H71" s="2213"/>
      <c r="I71" s="2213"/>
      <c r="J71" s="2213"/>
      <c r="K71" s="2213"/>
      <c r="L71" s="263"/>
      <c r="M71" s="2217">
        <f t="shared" si="8"/>
        <v>-5.565699999999925</v>
      </c>
      <c r="N71" s="2217">
        <f t="shared" si="4"/>
        <v>9080.3359999999993</v>
      </c>
      <c r="O71" s="2217">
        <f t="shared" si="9"/>
        <v>8.8220000000001164</v>
      </c>
      <c r="P71" s="2212">
        <v>272</v>
      </c>
      <c r="Q71" s="2219"/>
      <c r="R71" s="2213"/>
      <c r="S71" s="2219"/>
      <c r="T71" s="2213"/>
      <c r="U71" s="2213"/>
      <c r="V71" s="2213"/>
      <c r="W71" s="2213"/>
      <c r="X71" s="2213"/>
    </row>
    <row r="72" spans="1:24">
      <c r="A72" s="2217">
        <f t="shared" si="5"/>
        <v>-12.86750000000011</v>
      </c>
      <c r="B72" s="2217">
        <f t="shared" si="6"/>
        <v>10018.91</v>
      </c>
      <c r="C72" s="2217">
        <f t="shared" si="7"/>
        <v>-2.0900000000001455</v>
      </c>
      <c r="D72" s="2212">
        <v>271</v>
      </c>
      <c r="E72" s="2219"/>
      <c r="F72" s="2213"/>
      <c r="G72" s="2219"/>
      <c r="H72" s="2213"/>
      <c r="I72" s="2213"/>
      <c r="J72" s="2213"/>
      <c r="K72" s="2213"/>
      <c r="L72" s="263"/>
      <c r="M72" s="2217">
        <f t="shared" si="8"/>
        <v>-5.5059000000007474</v>
      </c>
      <c r="N72" s="2217">
        <f t="shared" si="4"/>
        <v>9071.5139999999992</v>
      </c>
      <c r="O72" s="2217">
        <f t="shared" si="9"/>
        <v>8.9139999999988504</v>
      </c>
      <c r="P72" s="2212">
        <v>271</v>
      </c>
      <c r="Q72" s="2219"/>
      <c r="R72" s="2213"/>
      <c r="S72" s="2219"/>
      <c r="T72" s="2213"/>
      <c r="U72" s="2213"/>
      <c r="V72" s="2213"/>
      <c r="W72" s="2213"/>
      <c r="X72" s="2213"/>
    </row>
    <row r="73" spans="1:24">
      <c r="A73" s="2217">
        <f t="shared" si="5"/>
        <v>-12.732500000001256</v>
      </c>
      <c r="B73" s="2217">
        <f t="shared" si="6"/>
        <v>10021</v>
      </c>
      <c r="C73" s="2217">
        <f t="shared" si="7"/>
        <v>-1.9100000000016735</v>
      </c>
      <c r="D73" s="2212">
        <v>270</v>
      </c>
      <c r="E73" s="2219"/>
      <c r="F73" s="2213"/>
      <c r="G73" s="2219"/>
      <c r="H73" s="2213"/>
      <c r="I73" s="2213"/>
      <c r="J73" s="2213"/>
      <c r="K73" s="2213"/>
      <c r="L73" s="263"/>
      <c r="M73" s="2217">
        <f t="shared" si="8"/>
        <v>-5.4460999999992064</v>
      </c>
      <c r="N73" s="2217">
        <f t="shared" si="4"/>
        <v>9062.6</v>
      </c>
      <c r="O73" s="2217">
        <f t="shared" si="9"/>
        <v>9.0060000000012224</v>
      </c>
      <c r="P73" s="2212">
        <v>270</v>
      </c>
      <c r="Q73" s="2219"/>
      <c r="R73" s="2213"/>
      <c r="S73" s="2219"/>
      <c r="T73" s="2213"/>
      <c r="U73" s="2213"/>
      <c r="V73" s="2213"/>
      <c r="W73" s="2213"/>
      <c r="X73" s="2213"/>
    </row>
    <row r="74" spans="1:24">
      <c r="A74" s="2217">
        <f t="shared" si="5"/>
        <v>-12.597500000001038</v>
      </c>
      <c r="B74" s="2217">
        <f t="shared" si="6"/>
        <v>10022.910000000002</v>
      </c>
      <c r="C74" s="2217">
        <f t="shared" si="7"/>
        <v>-1.7300000000013824</v>
      </c>
      <c r="D74" s="2212">
        <v>269</v>
      </c>
      <c r="E74" s="2219"/>
      <c r="F74" s="2213"/>
      <c r="G74" s="2219"/>
      <c r="H74" s="2213"/>
      <c r="I74" s="2213"/>
      <c r="J74" s="2213"/>
      <c r="K74" s="2213"/>
      <c r="L74" s="263"/>
      <c r="M74" s="2217">
        <f t="shared" si="8"/>
        <v>-5.3863000000000287</v>
      </c>
      <c r="N74" s="2217">
        <f t="shared" si="4"/>
        <v>9053.5939999999991</v>
      </c>
      <c r="O74" s="2217">
        <f t="shared" si="9"/>
        <v>9.0979999999999563</v>
      </c>
      <c r="P74" s="2212">
        <v>269</v>
      </c>
      <c r="Q74" s="2219"/>
      <c r="R74" s="2213"/>
      <c r="S74" s="2219"/>
      <c r="T74" s="2213"/>
      <c r="U74" s="2213"/>
      <c r="V74" s="2213"/>
      <c r="W74" s="2213"/>
      <c r="X74" s="2213"/>
    </row>
    <row r="75" spans="1:24">
      <c r="A75" s="2217">
        <f t="shared" si="5"/>
        <v>-12.462499999999455</v>
      </c>
      <c r="B75" s="2217">
        <f t="shared" si="6"/>
        <v>10024.640000000003</v>
      </c>
      <c r="C75" s="2217">
        <f t="shared" si="7"/>
        <v>-1.5499999999992724</v>
      </c>
      <c r="D75" s="2212">
        <v>268</v>
      </c>
      <c r="E75" s="2219"/>
      <c r="F75" s="2213"/>
      <c r="G75" s="2219"/>
      <c r="H75" s="2213"/>
      <c r="I75" s="2213"/>
      <c r="J75" s="2213"/>
      <c r="K75" s="2213"/>
      <c r="L75" s="263"/>
      <c r="M75" s="2217">
        <f t="shared" si="8"/>
        <v>-5.3264999999996698</v>
      </c>
      <c r="N75" s="2217">
        <f t="shared" si="4"/>
        <v>9044.4959999999992</v>
      </c>
      <c r="O75" s="2217">
        <f t="shared" si="9"/>
        <v>9.1900000000005093</v>
      </c>
      <c r="P75" s="2212">
        <v>268</v>
      </c>
      <c r="Q75" s="2219"/>
      <c r="R75" s="2213"/>
      <c r="S75" s="2219"/>
      <c r="T75" s="2213"/>
      <c r="U75" s="2213"/>
      <c r="V75" s="2213"/>
      <c r="W75" s="2213"/>
      <c r="X75" s="2213"/>
    </row>
    <row r="76" spans="1:24">
      <c r="A76" s="2217">
        <f t="shared" si="5"/>
        <v>-12.327499999996508</v>
      </c>
      <c r="B76" s="2217">
        <f t="shared" si="6"/>
        <v>10026.190000000002</v>
      </c>
      <c r="C76" s="2217">
        <f t="shared" si="7"/>
        <v>-1.3699999999953434</v>
      </c>
      <c r="D76" s="2212">
        <v>267</v>
      </c>
      <c r="E76" s="2219"/>
      <c r="F76" s="2213"/>
      <c r="G76" s="2219"/>
      <c r="H76" s="2213"/>
      <c r="I76" s="2213"/>
      <c r="J76" s="2213"/>
      <c r="K76" s="2213"/>
      <c r="L76" s="263"/>
      <c r="M76" s="2217">
        <f t="shared" si="8"/>
        <v>-5.2667000000004922</v>
      </c>
      <c r="N76" s="2217">
        <f t="shared" si="4"/>
        <v>9035.3059999999987</v>
      </c>
      <c r="O76" s="2217">
        <f t="shared" si="9"/>
        <v>9.2819999999992433</v>
      </c>
      <c r="P76" s="2212">
        <v>267</v>
      </c>
      <c r="Q76" s="2219"/>
      <c r="R76" s="2213"/>
      <c r="S76" s="2219"/>
      <c r="T76" s="2213"/>
      <c r="U76" s="2213"/>
      <c r="V76" s="2213"/>
      <c r="W76" s="2213"/>
      <c r="X76" s="2213"/>
    </row>
    <row r="77" spans="1:24">
      <c r="A77" s="2217">
        <f t="shared" si="5"/>
        <v>-12.192500000001747</v>
      </c>
      <c r="B77" s="2217">
        <f t="shared" si="6"/>
        <v>10027.559999999998</v>
      </c>
      <c r="C77" s="2217">
        <f t="shared" si="7"/>
        <v>-1.1900000000023283</v>
      </c>
      <c r="D77" s="2212">
        <v>266</v>
      </c>
      <c r="E77" s="2219"/>
      <c r="F77" s="2213"/>
      <c r="G77" s="2219"/>
      <c r="H77" s="2213"/>
      <c r="I77" s="2213"/>
      <c r="J77" s="2213"/>
      <c r="K77" s="2213"/>
      <c r="L77" s="263"/>
      <c r="M77" s="2217">
        <f t="shared" si="8"/>
        <v>-5.2069000000001333</v>
      </c>
      <c r="N77" s="2217">
        <f t="shared" si="4"/>
        <v>9026.0239999999994</v>
      </c>
      <c r="O77" s="2217">
        <f t="shared" si="9"/>
        <v>9.3739999999997963</v>
      </c>
      <c r="P77" s="2212">
        <v>266</v>
      </c>
      <c r="Q77" s="2219"/>
      <c r="R77" s="2213"/>
      <c r="S77" s="2219"/>
      <c r="T77" s="2213"/>
      <c r="U77" s="2213"/>
      <c r="V77" s="2213"/>
      <c r="W77" s="2213"/>
      <c r="X77" s="2213"/>
    </row>
    <row r="78" spans="1:24">
      <c r="A78" s="2217">
        <f t="shared" si="5"/>
        <v>-12.057500000000164</v>
      </c>
      <c r="B78" s="2217">
        <f t="shared" si="6"/>
        <v>10028.75</v>
      </c>
      <c r="C78" s="2217">
        <f t="shared" si="7"/>
        <v>-1.0100000000002183</v>
      </c>
      <c r="D78" s="2212">
        <v>265</v>
      </c>
      <c r="E78" s="2219"/>
      <c r="F78" s="2213"/>
      <c r="G78" s="2219"/>
      <c r="H78" s="2213"/>
      <c r="I78" s="2213"/>
      <c r="J78" s="2213"/>
      <c r="K78" s="2213"/>
      <c r="L78" s="263"/>
      <c r="M78" s="2217">
        <f t="shared" si="8"/>
        <v>-5.1470999999997735</v>
      </c>
      <c r="N78" s="2217">
        <f t="shared" si="4"/>
        <v>9016.65</v>
      </c>
      <c r="O78" s="2217">
        <f t="shared" si="9"/>
        <v>9.4660000000003492</v>
      </c>
      <c r="P78" s="2212">
        <v>265</v>
      </c>
      <c r="Q78" s="2219"/>
      <c r="R78" s="2213"/>
      <c r="S78" s="2219"/>
      <c r="T78" s="2213"/>
      <c r="U78" s="2213"/>
      <c r="V78" s="2213"/>
      <c r="W78" s="2213"/>
      <c r="X78" s="2213"/>
    </row>
    <row r="79" spans="1:24">
      <c r="A79" s="2217">
        <f t="shared" si="5"/>
        <v>-11.922499999999946</v>
      </c>
      <c r="B79" s="2217">
        <f t="shared" si="6"/>
        <v>10029.76</v>
      </c>
      <c r="C79" s="2217">
        <f t="shared" si="7"/>
        <v>-0.82999999999992724</v>
      </c>
      <c r="D79" s="2212">
        <v>264</v>
      </c>
      <c r="E79" s="2219"/>
      <c r="F79" s="2213"/>
      <c r="G79" s="2219"/>
      <c r="H79" s="2213"/>
      <c r="I79" s="2213"/>
      <c r="J79" s="2213"/>
      <c r="K79" s="2213"/>
      <c r="L79" s="263"/>
      <c r="M79" s="2217">
        <f t="shared" si="8"/>
        <v>-5.0873000000005968</v>
      </c>
      <c r="N79" s="2217">
        <f t="shared" si="4"/>
        <v>9007.1839999999993</v>
      </c>
      <c r="O79" s="2217">
        <f t="shared" si="9"/>
        <v>9.5579999999990832</v>
      </c>
      <c r="P79" s="2212">
        <v>264</v>
      </c>
      <c r="Q79" s="2219"/>
      <c r="R79" s="2213"/>
      <c r="S79" s="2219"/>
      <c r="T79" s="2213"/>
      <c r="U79" s="2213"/>
      <c r="V79" s="2213"/>
      <c r="W79" s="2213"/>
      <c r="X79" s="2213"/>
    </row>
    <row r="80" spans="1:24">
      <c r="A80" s="2217">
        <f t="shared" si="5"/>
        <v>-11.787500000001092</v>
      </c>
      <c r="B80" s="2217">
        <f t="shared" si="6"/>
        <v>10030.59</v>
      </c>
      <c r="C80" s="2217">
        <f t="shared" si="7"/>
        <v>-0.65000000000145519</v>
      </c>
      <c r="D80" s="2212">
        <v>263</v>
      </c>
      <c r="E80" s="2219"/>
      <c r="F80" s="2213"/>
      <c r="G80" s="2219"/>
      <c r="H80" s="2213"/>
      <c r="I80" s="2213"/>
      <c r="J80" s="2213"/>
      <c r="K80" s="2213"/>
      <c r="L80" s="263"/>
      <c r="M80" s="2217">
        <f t="shared" si="8"/>
        <v>-5.0274999999990548</v>
      </c>
      <c r="N80" s="2217">
        <f t="shared" si="4"/>
        <v>8997.6260000000002</v>
      </c>
      <c r="O80" s="2217">
        <f t="shared" si="9"/>
        <v>9.6500000000014552</v>
      </c>
      <c r="P80" s="2212">
        <v>263</v>
      </c>
      <c r="Q80" s="2219"/>
      <c r="R80" s="2213"/>
      <c r="S80" s="2219"/>
      <c r="T80" s="2213"/>
      <c r="U80" s="2213"/>
      <c r="V80" s="2213"/>
      <c r="W80" s="2213"/>
      <c r="X80" s="2213"/>
    </row>
    <row r="81" spans="1:24">
      <c r="A81" s="2217">
        <f t="shared" si="5"/>
        <v>-11.65249999999951</v>
      </c>
      <c r="B81" s="2217">
        <f t="shared" si="6"/>
        <v>10031.240000000002</v>
      </c>
      <c r="C81" s="2217">
        <f t="shared" si="7"/>
        <v>-0.46999999999934516</v>
      </c>
      <c r="D81" s="2212">
        <v>262</v>
      </c>
      <c r="E81" s="2219"/>
      <c r="F81" s="2213"/>
      <c r="G81" s="2219"/>
      <c r="H81" s="2213"/>
      <c r="I81" s="2213"/>
      <c r="J81" s="2213"/>
      <c r="K81" s="2213"/>
      <c r="L81" s="263"/>
      <c r="M81" s="2217">
        <f t="shared" si="8"/>
        <v>-4.9677000000010603</v>
      </c>
      <c r="N81" s="2217">
        <f t="shared" si="4"/>
        <v>8987.9759999999987</v>
      </c>
      <c r="O81" s="2217">
        <f t="shared" si="9"/>
        <v>9.7419999999983702</v>
      </c>
      <c r="P81" s="2212">
        <v>262</v>
      </c>
      <c r="Q81" s="2219"/>
      <c r="R81" s="2213"/>
      <c r="S81" s="2219"/>
      <c r="T81" s="2213"/>
      <c r="U81" s="2213"/>
      <c r="V81" s="2213"/>
      <c r="W81" s="2213"/>
      <c r="X81" s="2213"/>
    </row>
    <row r="82" spans="1:24">
      <c r="A82" s="2217">
        <f t="shared" si="5"/>
        <v>-11.517499999999291</v>
      </c>
      <c r="B82" s="2217">
        <f t="shared" si="6"/>
        <v>10031.710000000001</v>
      </c>
      <c r="C82" s="2217">
        <f t="shared" si="7"/>
        <v>-0.28999999999905413</v>
      </c>
      <c r="D82" s="2212">
        <v>261</v>
      </c>
      <c r="E82" s="2219"/>
      <c r="F82" s="2213"/>
      <c r="G82" s="2219"/>
      <c r="H82" s="2213"/>
      <c r="I82" s="2213"/>
      <c r="J82" s="2213"/>
      <c r="K82" s="2213"/>
      <c r="L82" s="263"/>
      <c r="M82" s="2217">
        <f t="shared" si="8"/>
        <v>-4.9078999999995183</v>
      </c>
      <c r="N82" s="2217">
        <f t="shared" si="4"/>
        <v>8978.2340000000004</v>
      </c>
      <c r="O82" s="2217">
        <f t="shared" si="9"/>
        <v>9.8340000000007421</v>
      </c>
      <c r="P82" s="2212">
        <v>261</v>
      </c>
      <c r="Q82" s="2219"/>
      <c r="R82" s="2213"/>
      <c r="S82" s="2219"/>
      <c r="T82" s="2213"/>
      <c r="U82" s="2213"/>
      <c r="V82" s="2213"/>
      <c r="W82" s="2213"/>
      <c r="X82" s="2213"/>
    </row>
    <row r="83" spans="1:24">
      <c r="A83" s="2217">
        <f t="shared" si="5"/>
        <v>-11.382500000000437</v>
      </c>
      <c r="B83" s="2217">
        <f t="shared" si="6"/>
        <v>10032</v>
      </c>
      <c r="C83" s="2217">
        <f t="shared" si="7"/>
        <v>-0.11000000000058208</v>
      </c>
      <c r="D83" s="2212">
        <v>260</v>
      </c>
      <c r="E83" s="2219"/>
      <c r="F83" s="2213"/>
      <c r="G83" s="2219"/>
      <c r="H83" s="2213"/>
      <c r="I83" s="2213"/>
      <c r="J83" s="2213"/>
      <c r="K83" s="2213"/>
      <c r="L83" s="263"/>
      <c r="M83" s="2217">
        <f t="shared" si="8"/>
        <v>-4.8480999999991585</v>
      </c>
      <c r="N83" s="2217">
        <f t="shared" si="4"/>
        <v>8968.4</v>
      </c>
      <c r="O83" s="2217">
        <f t="shared" si="9"/>
        <v>9.9260000000012951</v>
      </c>
      <c r="P83" s="2212">
        <v>260</v>
      </c>
      <c r="Q83" s="2219"/>
      <c r="R83" s="2213"/>
      <c r="S83" s="2219"/>
      <c r="T83" s="2213"/>
      <c r="U83" s="2213"/>
      <c r="V83" s="2213"/>
      <c r="W83" s="2213"/>
      <c r="X83" s="2213"/>
    </row>
    <row r="84" spans="1:24">
      <c r="A84" s="2217">
        <f t="shared" si="5"/>
        <v>-11.247500000000219</v>
      </c>
      <c r="B84" s="2217">
        <f t="shared" si="6"/>
        <v>10032.11</v>
      </c>
      <c r="C84" s="2217">
        <f t="shared" si="7"/>
        <v>6.9999999999708962E-2</v>
      </c>
      <c r="D84" s="2212">
        <v>259</v>
      </c>
      <c r="E84" s="2219"/>
      <c r="F84" s="2213"/>
      <c r="G84" s="2219"/>
      <c r="H84" s="2213"/>
      <c r="I84" s="2213"/>
      <c r="J84" s="2213"/>
      <c r="K84" s="2213"/>
      <c r="L84" s="263"/>
      <c r="M84" s="2217">
        <f t="shared" si="8"/>
        <v>-4.788300000001164</v>
      </c>
      <c r="N84" s="2217">
        <f t="shared" si="4"/>
        <v>8958.4739999999983</v>
      </c>
      <c r="O84" s="2217">
        <f t="shared" si="9"/>
        <v>10.01799999999821</v>
      </c>
      <c r="P84" s="2212">
        <v>259</v>
      </c>
      <c r="Q84" s="2219"/>
      <c r="R84" s="2213"/>
      <c r="S84" s="2219"/>
      <c r="T84" s="2213"/>
      <c r="U84" s="2213"/>
      <c r="V84" s="2213"/>
      <c r="W84" s="2213"/>
      <c r="X84" s="2213"/>
    </row>
    <row r="85" spans="1:24">
      <c r="A85" s="2217">
        <f t="shared" si="5"/>
        <v>-11.112500000000001</v>
      </c>
      <c r="B85" s="2217">
        <f t="shared" si="6"/>
        <v>10032.040000000001</v>
      </c>
      <c r="C85" s="2217">
        <f t="shared" si="7"/>
        <v>0.25</v>
      </c>
      <c r="D85" s="2212">
        <v>258</v>
      </c>
      <c r="E85" s="2219"/>
      <c r="F85" s="2213"/>
      <c r="G85" s="2219"/>
      <c r="H85" s="2213"/>
      <c r="I85" s="2213"/>
      <c r="J85" s="2213"/>
      <c r="K85" s="2213"/>
      <c r="L85" s="263"/>
      <c r="M85" s="2217">
        <f t="shared" si="8"/>
        <v>-4.7284999999984398</v>
      </c>
      <c r="N85" s="2217">
        <f t="shared" si="4"/>
        <v>8948.4560000000001</v>
      </c>
      <c r="O85" s="2217">
        <f t="shared" si="9"/>
        <v>10.110000000002401</v>
      </c>
      <c r="P85" s="2212">
        <v>258</v>
      </c>
      <c r="Q85" s="2219"/>
      <c r="R85" s="2213"/>
      <c r="S85" s="2219"/>
      <c r="T85" s="2213"/>
      <c r="U85" s="2213"/>
      <c r="V85" s="2213"/>
      <c r="W85" s="2213"/>
      <c r="X85" s="2213"/>
    </row>
    <row r="86" spans="1:24">
      <c r="A86" s="2217">
        <f t="shared" si="5"/>
        <v>-10.977499999999782</v>
      </c>
      <c r="B86" s="2217">
        <f t="shared" si="6"/>
        <v>10031.790000000001</v>
      </c>
      <c r="C86" s="2217">
        <f t="shared" si="7"/>
        <v>0.43000000000029104</v>
      </c>
      <c r="D86" s="2212">
        <v>257</v>
      </c>
      <c r="E86" s="2219"/>
      <c r="F86" s="2213"/>
      <c r="G86" s="2219"/>
      <c r="H86" s="2213"/>
      <c r="I86" s="2213"/>
      <c r="J86" s="2213"/>
      <c r="K86" s="2213"/>
      <c r="L86" s="263"/>
      <c r="M86" s="2217">
        <f t="shared" si="8"/>
        <v>-4.6687000000016274</v>
      </c>
      <c r="N86" s="2217">
        <f t="shared" si="4"/>
        <v>8938.3459999999977</v>
      </c>
      <c r="O86" s="2217">
        <f t="shared" si="9"/>
        <v>10.201999999997497</v>
      </c>
      <c r="P86" s="2212">
        <v>257</v>
      </c>
      <c r="Q86" s="2219"/>
      <c r="R86" s="2213"/>
      <c r="S86" s="2219"/>
      <c r="T86" s="2213"/>
      <c r="U86" s="2213"/>
      <c r="V86" s="2213"/>
      <c r="W86" s="2213"/>
      <c r="X86" s="2213"/>
    </row>
    <row r="87" spans="1:24">
      <c r="A87" s="2217">
        <f t="shared" si="5"/>
        <v>-10.842499999999564</v>
      </c>
      <c r="B87" s="2217">
        <f t="shared" si="6"/>
        <v>10031.36</v>
      </c>
      <c r="C87" s="2217">
        <f t="shared" si="7"/>
        <v>0.61000000000058208</v>
      </c>
      <c r="D87" s="2212">
        <v>256</v>
      </c>
      <c r="E87" s="2219"/>
      <c r="F87" s="2213"/>
      <c r="G87" s="2219"/>
      <c r="H87" s="2213"/>
      <c r="I87" s="2213"/>
      <c r="J87" s="2213"/>
      <c r="K87" s="2213"/>
      <c r="L87" s="263"/>
      <c r="M87" s="2217">
        <f t="shared" si="8"/>
        <v>-4.6089000000000855</v>
      </c>
      <c r="N87" s="2217">
        <f t="shared" si="4"/>
        <v>8928.1440000000002</v>
      </c>
      <c r="O87" s="2217">
        <f t="shared" si="9"/>
        <v>10.293999999999869</v>
      </c>
      <c r="P87" s="2212">
        <v>256</v>
      </c>
      <c r="Q87" s="2219"/>
      <c r="R87" s="2213"/>
      <c r="S87" s="2219"/>
      <c r="T87" s="2213"/>
      <c r="U87" s="2213"/>
      <c r="V87" s="2213"/>
      <c r="W87" s="2213"/>
      <c r="X87" s="2213"/>
    </row>
    <row r="88" spans="1:24">
      <c r="A88" s="2217">
        <f t="shared" si="5"/>
        <v>-10.707499999999346</v>
      </c>
      <c r="B88" s="2217">
        <f t="shared" si="6"/>
        <v>10030.75</v>
      </c>
      <c r="C88" s="2217">
        <f t="shared" si="7"/>
        <v>0.79000000000087311</v>
      </c>
      <c r="D88" s="2212">
        <v>255</v>
      </c>
      <c r="E88" s="2219"/>
      <c r="F88" s="2213"/>
      <c r="G88" s="2219"/>
      <c r="H88" s="2213"/>
      <c r="I88" s="2213"/>
      <c r="J88" s="2213"/>
      <c r="K88" s="2213"/>
      <c r="L88" s="263"/>
      <c r="M88" s="2217">
        <f t="shared" si="8"/>
        <v>-4.5490999999997266</v>
      </c>
      <c r="N88" s="2217">
        <f t="shared" si="4"/>
        <v>8917.85</v>
      </c>
      <c r="O88" s="2217">
        <f t="shared" si="9"/>
        <v>10.386000000000422</v>
      </c>
      <c r="P88" s="2212">
        <v>255</v>
      </c>
      <c r="Q88" s="2219"/>
      <c r="R88" s="2213"/>
      <c r="S88" s="2219"/>
      <c r="T88" s="2213"/>
      <c r="U88" s="2213"/>
      <c r="V88" s="2213"/>
      <c r="W88" s="2213"/>
      <c r="X88" s="2213"/>
    </row>
    <row r="89" spans="1:24">
      <c r="A89" s="2217">
        <f t="shared" si="5"/>
        <v>-10.572500000001856</v>
      </c>
      <c r="B89" s="2217">
        <f t="shared" si="6"/>
        <v>10029.959999999999</v>
      </c>
      <c r="C89" s="2217">
        <f t="shared" si="7"/>
        <v>0.96999999999752617</v>
      </c>
      <c r="D89" s="2212">
        <v>254</v>
      </c>
      <c r="E89" s="2219"/>
      <c r="F89" s="2213"/>
      <c r="G89" s="2219"/>
      <c r="H89" s="2213"/>
      <c r="I89" s="2213"/>
      <c r="J89" s="2213"/>
      <c r="K89" s="2213"/>
      <c r="L89" s="263"/>
      <c r="M89" s="2217">
        <f t="shared" si="8"/>
        <v>-4.489300000000549</v>
      </c>
      <c r="N89" s="2217">
        <f t="shared" si="4"/>
        <v>8907.4639999999999</v>
      </c>
      <c r="O89" s="2217">
        <f t="shared" si="9"/>
        <v>10.477999999999156</v>
      </c>
      <c r="P89" s="2212">
        <v>254</v>
      </c>
      <c r="Q89" s="2219"/>
      <c r="R89" s="2213"/>
      <c r="S89" s="2219"/>
      <c r="T89" s="2213"/>
      <c r="U89" s="2213"/>
      <c r="V89" s="2213"/>
      <c r="W89" s="2213"/>
      <c r="X89" s="2213"/>
    </row>
    <row r="90" spans="1:24">
      <c r="A90" s="2217">
        <f t="shared" si="5"/>
        <v>-10.437499999998909</v>
      </c>
      <c r="B90" s="2217">
        <f t="shared" si="6"/>
        <v>10028.990000000002</v>
      </c>
      <c r="C90" s="2217">
        <f t="shared" si="7"/>
        <v>1.1500000000014552</v>
      </c>
      <c r="D90" s="2212">
        <v>253</v>
      </c>
      <c r="E90" s="2219"/>
      <c r="F90" s="2213"/>
      <c r="G90" s="2219"/>
      <c r="H90" s="2213"/>
      <c r="I90" s="2213"/>
      <c r="J90" s="2213"/>
      <c r="K90" s="2213"/>
      <c r="L90" s="263"/>
      <c r="M90" s="2217">
        <f t="shared" si="8"/>
        <v>-4.429499999999007</v>
      </c>
      <c r="N90" s="2217">
        <f t="shared" si="4"/>
        <v>8896.9860000000008</v>
      </c>
      <c r="O90" s="2217">
        <f t="shared" si="9"/>
        <v>10.570000000001528</v>
      </c>
      <c r="P90" s="2212">
        <v>253</v>
      </c>
      <c r="Q90" s="2219"/>
      <c r="R90" s="2213"/>
      <c r="S90" s="2219"/>
      <c r="T90" s="2213"/>
      <c r="U90" s="2213"/>
      <c r="V90" s="2213"/>
      <c r="W90" s="2213"/>
      <c r="X90" s="2213"/>
    </row>
    <row r="91" spans="1:24">
      <c r="A91" s="2217">
        <f t="shared" si="5"/>
        <v>-10.302500000000055</v>
      </c>
      <c r="B91" s="2217">
        <f t="shared" si="6"/>
        <v>10027.84</v>
      </c>
      <c r="C91" s="2217">
        <f t="shared" si="7"/>
        <v>1.3299999999999272</v>
      </c>
      <c r="D91" s="2212">
        <v>252</v>
      </c>
      <c r="E91" s="2219"/>
      <c r="F91" s="2213"/>
      <c r="G91" s="2219"/>
      <c r="H91" s="2213"/>
      <c r="I91" s="2213"/>
      <c r="J91" s="2213"/>
      <c r="K91" s="2213"/>
      <c r="L91" s="263"/>
      <c r="M91" s="2217">
        <f t="shared" si="8"/>
        <v>-4.3696999999998303</v>
      </c>
      <c r="N91" s="2217">
        <f t="shared" si="4"/>
        <v>8886.4159999999993</v>
      </c>
      <c r="O91" s="2217">
        <f t="shared" si="9"/>
        <v>10.662000000000262</v>
      </c>
      <c r="P91" s="2212">
        <v>252</v>
      </c>
      <c r="Q91" s="2219"/>
      <c r="R91" s="2213"/>
      <c r="S91" s="2219"/>
      <c r="T91" s="2213"/>
      <c r="U91" s="2213"/>
      <c r="V91" s="2213"/>
      <c r="W91" s="2213"/>
      <c r="X91" s="2213"/>
    </row>
    <row r="92" spans="1:24">
      <c r="A92" s="2217">
        <f t="shared" si="5"/>
        <v>-10.167499999999837</v>
      </c>
      <c r="B92" s="2217">
        <f t="shared" si="6"/>
        <v>10026.51</v>
      </c>
      <c r="C92" s="2217">
        <f t="shared" si="7"/>
        <v>1.5100000000002183</v>
      </c>
      <c r="D92" s="2212">
        <v>251</v>
      </c>
      <c r="E92" s="2219"/>
      <c r="F92" s="2213"/>
      <c r="G92" s="2219"/>
      <c r="H92" s="2213"/>
      <c r="I92" s="2213"/>
      <c r="J92" s="2213"/>
      <c r="K92" s="2213"/>
      <c r="L92" s="263"/>
      <c r="M92" s="2217">
        <f t="shared" si="8"/>
        <v>-4.3099000000006535</v>
      </c>
      <c r="N92" s="2217">
        <f t="shared" si="4"/>
        <v>8875.753999999999</v>
      </c>
      <c r="O92" s="2217">
        <f t="shared" si="9"/>
        <v>10.753999999998996</v>
      </c>
      <c r="P92" s="2212">
        <v>251</v>
      </c>
      <c r="Q92" s="2219"/>
      <c r="R92" s="2213"/>
      <c r="S92" s="2219"/>
      <c r="T92" s="2213"/>
      <c r="U92" s="2213"/>
      <c r="V92" s="2213"/>
      <c r="W92" s="2213"/>
      <c r="X92" s="2213"/>
    </row>
    <row r="93" spans="1:24">
      <c r="A93" s="2217">
        <f t="shared" si="5"/>
        <v>-10.032499999999619</v>
      </c>
      <c r="B93" s="2217">
        <f t="shared" si="6"/>
        <v>10025</v>
      </c>
      <c r="C93" s="2217">
        <f t="shared" si="7"/>
        <v>1.6900000000005093</v>
      </c>
      <c r="D93" s="2212">
        <v>250</v>
      </c>
      <c r="E93" s="2219"/>
      <c r="F93" s="2213"/>
      <c r="G93" s="2219"/>
      <c r="H93" s="2213"/>
      <c r="I93" s="2213"/>
      <c r="J93" s="2213"/>
      <c r="K93" s="2213"/>
      <c r="L93" s="263"/>
      <c r="M93" s="2217">
        <f t="shared" si="8"/>
        <v>-4.2500999999991116</v>
      </c>
      <c r="N93" s="2217">
        <f t="shared" si="4"/>
        <v>8865</v>
      </c>
      <c r="O93" s="2217">
        <f t="shared" si="9"/>
        <v>10.846000000001368</v>
      </c>
      <c r="P93" s="2212">
        <v>250</v>
      </c>
      <c r="Q93" s="2219"/>
      <c r="R93" s="2213"/>
      <c r="S93" s="2219"/>
      <c r="T93" s="2213"/>
      <c r="U93" s="2213"/>
      <c r="V93" s="2213"/>
      <c r="W93" s="2213"/>
      <c r="X93" s="2213"/>
    </row>
    <row r="94" spans="1:24">
      <c r="A94" s="2217">
        <f t="shared" si="5"/>
        <v>-9.8975000000021289</v>
      </c>
      <c r="B94" s="2217">
        <f t="shared" si="6"/>
        <v>10023.31</v>
      </c>
      <c r="C94" s="2217">
        <f t="shared" si="7"/>
        <v>1.8699999999971624</v>
      </c>
      <c r="D94" s="2212">
        <v>249</v>
      </c>
      <c r="E94" s="2219"/>
      <c r="F94" s="2213"/>
      <c r="G94" s="2219"/>
      <c r="H94" s="2213"/>
      <c r="I94" s="2213"/>
      <c r="J94" s="2213"/>
      <c r="K94" s="2213"/>
      <c r="L94" s="263"/>
      <c r="M94" s="2217">
        <f t="shared" si="8"/>
        <v>-4.190300000001117</v>
      </c>
      <c r="N94" s="2217">
        <f t="shared" si="4"/>
        <v>8854.1539999999986</v>
      </c>
      <c r="O94" s="2217">
        <f t="shared" si="9"/>
        <v>10.937999999998283</v>
      </c>
      <c r="P94" s="2212">
        <v>249</v>
      </c>
      <c r="Q94" s="2219"/>
      <c r="R94" s="2213"/>
      <c r="S94" s="2219"/>
      <c r="T94" s="2213"/>
      <c r="U94" s="2213"/>
      <c r="V94" s="2213"/>
      <c r="W94" s="2213"/>
      <c r="X94" s="2213"/>
    </row>
    <row r="95" spans="1:24">
      <c r="A95" s="2217">
        <f t="shared" si="5"/>
        <v>-9.7624999999991822</v>
      </c>
      <c r="B95" s="2217">
        <f t="shared" si="6"/>
        <v>10021.440000000002</v>
      </c>
      <c r="C95" s="2217">
        <f t="shared" si="7"/>
        <v>2.0500000000010914</v>
      </c>
      <c r="D95" s="2212">
        <v>248</v>
      </c>
      <c r="E95" s="2219"/>
      <c r="F95" s="2213"/>
      <c r="G95" s="2219"/>
      <c r="H95" s="2213"/>
      <c r="I95" s="2213"/>
      <c r="J95" s="2213"/>
      <c r="K95" s="2213"/>
      <c r="L95" s="263"/>
      <c r="M95" s="2217">
        <f t="shared" si="8"/>
        <v>-4.1304999999983929</v>
      </c>
      <c r="N95" s="2217">
        <f t="shared" si="4"/>
        <v>8843.2160000000003</v>
      </c>
      <c r="O95" s="2217">
        <f t="shared" si="9"/>
        <v>11.030000000002474</v>
      </c>
      <c r="P95" s="2212">
        <v>248</v>
      </c>
      <c r="Q95" s="2219"/>
      <c r="R95" s="2213"/>
      <c r="S95" s="2219"/>
      <c r="T95" s="2213"/>
      <c r="U95" s="2213"/>
      <c r="V95" s="2213"/>
      <c r="W95" s="2213"/>
      <c r="X95" s="2213"/>
    </row>
    <row r="96" spans="1:24">
      <c r="A96" s="2217">
        <f t="shared" si="5"/>
        <v>-9.6274999999989639</v>
      </c>
      <c r="B96" s="2217">
        <f t="shared" si="6"/>
        <v>10019.390000000001</v>
      </c>
      <c r="C96" s="2217">
        <f t="shared" si="7"/>
        <v>2.2300000000013824</v>
      </c>
      <c r="D96" s="2212">
        <v>247</v>
      </c>
      <c r="E96" s="2219"/>
      <c r="F96" s="2213"/>
      <c r="G96" s="2219"/>
      <c r="H96" s="2213"/>
      <c r="I96" s="2213"/>
      <c r="J96" s="2213"/>
      <c r="K96" s="2213"/>
      <c r="L96" s="263"/>
      <c r="M96" s="2217">
        <f t="shared" si="8"/>
        <v>-4.0707000000003974</v>
      </c>
      <c r="N96" s="2217">
        <f t="shared" si="4"/>
        <v>8832.1859999999979</v>
      </c>
      <c r="O96" s="2217">
        <f t="shared" si="9"/>
        <v>11.121999999999389</v>
      </c>
      <c r="P96" s="2212">
        <v>247</v>
      </c>
      <c r="Q96" s="2219"/>
      <c r="R96" s="2213"/>
      <c r="S96" s="2219"/>
      <c r="T96" s="2213"/>
      <c r="U96" s="2213"/>
      <c r="V96" s="2213"/>
      <c r="W96" s="2213"/>
      <c r="X96" s="2213"/>
    </row>
    <row r="97" spans="1:24">
      <c r="A97" s="2217">
        <f t="shared" si="5"/>
        <v>-9.4925000000001098</v>
      </c>
      <c r="B97" s="2217">
        <f t="shared" si="6"/>
        <v>10017.16</v>
      </c>
      <c r="C97" s="2217">
        <f t="shared" si="7"/>
        <v>2.4099999999998545</v>
      </c>
      <c r="D97" s="2212">
        <v>246</v>
      </c>
      <c r="E97" s="2219"/>
      <c r="F97" s="2213"/>
      <c r="G97" s="2219"/>
      <c r="H97" s="2213"/>
      <c r="I97" s="2213"/>
      <c r="J97" s="2213"/>
      <c r="K97" s="2213"/>
      <c r="L97" s="263"/>
      <c r="M97" s="2217">
        <f t="shared" si="8"/>
        <v>-4.0109000000012207</v>
      </c>
      <c r="N97" s="2217">
        <f t="shared" si="4"/>
        <v>8821.0639999999985</v>
      </c>
      <c r="O97" s="2217">
        <f t="shared" si="9"/>
        <v>11.213999999998123</v>
      </c>
      <c r="P97" s="2212">
        <v>246</v>
      </c>
      <c r="Q97" s="2219"/>
      <c r="R97" s="2213"/>
      <c r="S97" s="2219"/>
      <c r="T97" s="2213"/>
      <c r="U97" s="2213"/>
      <c r="V97" s="2213"/>
      <c r="W97" s="2213"/>
      <c r="X97" s="2213"/>
    </row>
    <row r="98" spans="1:24">
      <c r="A98" s="2217">
        <f t="shared" si="5"/>
        <v>-9.3574999999998916</v>
      </c>
      <c r="B98" s="2217">
        <f t="shared" si="6"/>
        <v>10014.75</v>
      </c>
      <c r="C98" s="2217">
        <f t="shared" si="7"/>
        <v>2.5900000000001455</v>
      </c>
      <c r="D98" s="2212">
        <v>245</v>
      </c>
      <c r="E98" s="2219"/>
      <c r="F98" s="2213"/>
      <c r="G98" s="2219"/>
      <c r="H98" s="2213"/>
      <c r="I98" s="2213"/>
      <c r="J98" s="2213"/>
      <c r="K98" s="2213"/>
      <c r="L98" s="263"/>
      <c r="M98" s="2217">
        <f t="shared" si="8"/>
        <v>-3.9510999999984966</v>
      </c>
      <c r="N98" s="2217">
        <f t="shared" si="4"/>
        <v>8809.85</v>
      </c>
      <c r="O98" s="2217">
        <f t="shared" si="9"/>
        <v>11.306000000002314</v>
      </c>
      <c r="P98" s="2212">
        <v>245</v>
      </c>
      <c r="Q98" s="2219"/>
      <c r="R98" s="2213"/>
      <c r="S98" s="2219"/>
      <c r="T98" s="2213"/>
      <c r="U98" s="2213"/>
      <c r="V98" s="2213"/>
      <c r="W98" s="2213"/>
      <c r="X98" s="2213"/>
    </row>
    <row r="99" spans="1:24">
      <c r="A99" s="2217">
        <f t="shared" si="5"/>
        <v>-9.2225000000010375</v>
      </c>
      <c r="B99" s="2217">
        <f t="shared" si="6"/>
        <v>10012.16</v>
      </c>
      <c r="C99" s="2217">
        <f t="shared" si="7"/>
        <v>2.7699999999986176</v>
      </c>
      <c r="D99" s="2212">
        <v>244</v>
      </c>
      <c r="E99" s="2219"/>
      <c r="F99" s="2213"/>
      <c r="G99" s="2219"/>
      <c r="H99" s="2213"/>
      <c r="I99" s="2213"/>
      <c r="J99" s="2213"/>
      <c r="K99" s="2213"/>
      <c r="L99" s="263"/>
      <c r="M99" s="2217">
        <f t="shared" si="8"/>
        <v>-3.8913000000016842</v>
      </c>
      <c r="N99" s="2217">
        <f t="shared" si="4"/>
        <v>8798.5439999999981</v>
      </c>
      <c r="O99" s="2217">
        <f t="shared" si="9"/>
        <v>11.39799999999741</v>
      </c>
      <c r="P99" s="2212">
        <v>244</v>
      </c>
      <c r="Q99" s="2219"/>
      <c r="R99" s="2213"/>
      <c r="S99" s="2219"/>
      <c r="T99" s="2213"/>
      <c r="U99" s="2213"/>
      <c r="V99" s="2213"/>
      <c r="W99" s="2213"/>
      <c r="X99" s="2213"/>
    </row>
    <row r="100" spans="1:24">
      <c r="A100" s="2217">
        <f t="shared" si="5"/>
        <v>-9.087499999999455</v>
      </c>
      <c r="B100" s="2217">
        <f t="shared" si="6"/>
        <v>10009.390000000001</v>
      </c>
      <c r="C100" s="2217">
        <f t="shared" si="7"/>
        <v>2.9500000000007276</v>
      </c>
      <c r="D100" s="2212">
        <v>243</v>
      </c>
      <c r="E100" s="2219"/>
      <c r="F100" s="2213"/>
      <c r="G100" s="2219"/>
      <c r="H100" s="2213"/>
      <c r="I100" s="2213"/>
      <c r="J100" s="2213"/>
      <c r="K100" s="2213"/>
      <c r="L100" s="263"/>
      <c r="M100" s="2217">
        <f t="shared" si="8"/>
        <v>-3.8314999999989601</v>
      </c>
      <c r="N100" s="2217">
        <f t="shared" si="4"/>
        <v>8787.1460000000006</v>
      </c>
      <c r="O100" s="2217">
        <f t="shared" si="9"/>
        <v>11.490000000001601</v>
      </c>
      <c r="P100" s="2212">
        <v>243</v>
      </c>
      <c r="Q100" s="2219"/>
      <c r="R100" s="2213"/>
      <c r="S100" s="2219"/>
      <c r="T100" s="2213"/>
      <c r="U100" s="2213"/>
      <c r="V100" s="2213"/>
      <c r="W100" s="2213"/>
      <c r="X100" s="2213"/>
    </row>
    <row r="101" spans="1:24">
      <c r="A101" s="2217">
        <f t="shared" si="5"/>
        <v>-8.952500000000601</v>
      </c>
      <c r="B101" s="2217">
        <f t="shared" si="6"/>
        <v>10006.44</v>
      </c>
      <c r="C101" s="2217">
        <f t="shared" si="7"/>
        <v>3.1299999999991996</v>
      </c>
      <c r="D101" s="2212">
        <v>242</v>
      </c>
      <c r="E101" s="2219"/>
      <c r="F101" s="2213"/>
      <c r="G101" s="2219"/>
      <c r="H101" s="2213"/>
      <c r="I101" s="2213"/>
      <c r="J101" s="2213"/>
      <c r="K101" s="2213"/>
      <c r="L101" s="263"/>
      <c r="M101" s="2217">
        <f t="shared" si="8"/>
        <v>-3.7716999999997833</v>
      </c>
      <c r="N101" s="2217">
        <f t="shared" si="4"/>
        <v>8775.655999999999</v>
      </c>
      <c r="O101" s="2217">
        <f t="shared" si="9"/>
        <v>11.582000000000335</v>
      </c>
      <c r="P101" s="2212">
        <v>242</v>
      </c>
      <c r="Q101" s="2219"/>
      <c r="R101" s="2213"/>
      <c r="S101" s="2219"/>
      <c r="T101" s="2213"/>
      <c r="U101" s="2213"/>
      <c r="V101" s="2213"/>
      <c r="W101" s="2213"/>
      <c r="X101" s="2213"/>
    </row>
    <row r="102" spans="1:24">
      <c r="A102" s="2217">
        <f t="shared" si="5"/>
        <v>-8.8174999999990185</v>
      </c>
      <c r="B102" s="2217">
        <f t="shared" si="6"/>
        <v>10003.310000000001</v>
      </c>
      <c r="C102" s="2217">
        <f t="shared" si="7"/>
        <v>3.3100000000013097</v>
      </c>
      <c r="D102" s="2212">
        <v>241</v>
      </c>
      <c r="E102" s="2219"/>
      <c r="F102" s="2213"/>
      <c r="G102" s="2219"/>
      <c r="H102" s="2213"/>
      <c r="I102" s="2213"/>
      <c r="J102" s="2213"/>
      <c r="K102" s="2213"/>
      <c r="L102" s="263"/>
      <c r="M102" s="2217">
        <f t="shared" si="8"/>
        <v>-3.7119000000006057</v>
      </c>
      <c r="N102" s="2217">
        <f t="shared" si="4"/>
        <v>8764.0739999999987</v>
      </c>
      <c r="O102" s="2217">
        <f t="shared" si="9"/>
        <v>11.673999999999069</v>
      </c>
      <c r="P102" s="2212">
        <v>241</v>
      </c>
      <c r="Q102" s="2219"/>
      <c r="R102" s="2213"/>
      <c r="S102" s="2219"/>
      <c r="T102" s="2213"/>
      <c r="U102" s="2213"/>
      <c r="V102" s="2213"/>
      <c r="W102" s="2213"/>
      <c r="X102" s="2213"/>
    </row>
    <row r="103" spans="1:24">
      <c r="A103" s="2217">
        <f t="shared" si="5"/>
        <v>-8.6825000000001644</v>
      </c>
      <c r="B103" s="2217">
        <f t="shared" si="6"/>
        <v>10000</v>
      </c>
      <c r="C103" s="2217">
        <f t="shared" si="7"/>
        <v>3.4899999999997817</v>
      </c>
      <c r="D103" s="2212">
        <v>240</v>
      </c>
      <c r="E103" s="2219"/>
      <c r="F103" s="2213"/>
      <c r="G103" s="2219"/>
      <c r="H103" s="2213"/>
      <c r="I103" s="2213"/>
      <c r="J103" s="2213"/>
      <c r="K103" s="2213"/>
      <c r="L103" s="263"/>
      <c r="M103" s="2217">
        <f t="shared" si="8"/>
        <v>-3.6520999999990638</v>
      </c>
      <c r="N103" s="2217">
        <f t="shared" si="4"/>
        <v>8752.4</v>
      </c>
      <c r="O103" s="2217">
        <f t="shared" si="9"/>
        <v>11.766000000001441</v>
      </c>
      <c r="P103" s="2212">
        <v>240</v>
      </c>
      <c r="Q103" s="2219"/>
      <c r="R103" s="2213"/>
      <c r="S103" s="2219"/>
      <c r="T103" s="2213"/>
      <c r="U103" s="2213"/>
      <c r="V103" s="2213"/>
      <c r="W103" s="2213"/>
      <c r="X103" s="2213"/>
    </row>
    <row r="104" spans="1:24">
      <c r="A104" s="2217">
        <f t="shared" si="5"/>
        <v>-8.5474999999999461</v>
      </c>
      <c r="B104" s="2217">
        <f t="shared" si="6"/>
        <v>9996.51</v>
      </c>
      <c r="C104" s="2217">
        <f t="shared" si="7"/>
        <v>3.6700000000000728</v>
      </c>
      <c r="D104" s="2212">
        <v>239</v>
      </c>
      <c r="E104" s="2219"/>
      <c r="F104" s="2213"/>
      <c r="G104" s="2219"/>
      <c r="H104" s="2213"/>
      <c r="I104" s="2213"/>
      <c r="J104" s="2213"/>
      <c r="K104" s="2213"/>
      <c r="L104" s="263"/>
      <c r="M104" s="2217">
        <f t="shared" si="8"/>
        <v>-3.5923000000010692</v>
      </c>
      <c r="N104" s="2217">
        <f t="shared" si="4"/>
        <v>8740.6339999999982</v>
      </c>
      <c r="O104" s="2217">
        <f t="shared" si="9"/>
        <v>11.857999999998356</v>
      </c>
      <c r="P104" s="2212">
        <v>239</v>
      </c>
      <c r="Q104" s="2219"/>
      <c r="R104" s="2213"/>
      <c r="S104" s="2219"/>
      <c r="T104" s="2213"/>
      <c r="U104" s="2213"/>
      <c r="V104" s="2213"/>
      <c r="W104" s="2213"/>
      <c r="X104" s="2213"/>
    </row>
    <row r="105" spans="1:24">
      <c r="A105" s="2217">
        <f t="shared" si="5"/>
        <v>-8.4125000000010921</v>
      </c>
      <c r="B105" s="2217">
        <f t="shared" si="6"/>
        <v>9992.84</v>
      </c>
      <c r="C105" s="2217">
        <f t="shared" si="7"/>
        <v>3.8499999999985448</v>
      </c>
      <c r="D105" s="2212">
        <v>238</v>
      </c>
      <c r="E105" s="2219"/>
      <c r="F105" s="2213"/>
      <c r="G105" s="2219"/>
      <c r="H105" s="2213"/>
      <c r="I105" s="2213"/>
      <c r="J105" s="2213"/>
      <c r="K105" s="2213"/>
      <c r="L105" s="263"/>
      <c r="M105" s="2217">
        <f t="shared" si="8"/>
        <v>-3.5324999999995272</v>
      </c>
      <c r="N105" s="2217">
        <f t="shared" si="4"/>
        <v>8728.7759999999998</v>
      </c>
      <c r="O105" s="2217">
        <f t="shared" si="9"/>
        <v>11.950000000000728</v>
      </c>
      <c r="P105" s="2212">
        <v>238</v>
      </c>
      <c r="Q105" s="2219"/>
      <c r="R105" s="2213"/>
      <c r="S105" s="2219"/>
      <c r="T105" s="2213"/>
      <c r="U105" s="2213"/>
      <c r="V105" s="2213"/>
      <c r="W105" s="2213"/>
      <c r="X105" s="2213"/>
    </row>
    <row r="106" spans="1:24">
      <c r="A106" s="2217">
        <f t="shared" si="5"/>
        <v>-8.2774999999995096</v>
      </c>
      <c r="B106" s="2217">
        <f t="shared" si="6"/>
        <v>9988.9900000000016</v>
      </c>
      <c r="C106" s="2217">
        <f t="shared" si="7"/>
        <v>4.0300000000006548</v>
      </c>
      <c r="D106" s="2212">
        <v>237</v>
      </c>
      <c r="E106" s="2219"/>
      <c r="F106" s="2213"/>
      <c r="G106" s="2219"/>
      <c r="H106" s="2213"/>
      <c r="I106" s="2213"/>
      <c r="J106" s="2213"/>
      <c r="K106" s="2213"/>
      <c r="L106" s="263"/>
      <c r="M106" s="2217">
        <f t="shared" si="8"/>
        <v>-3.4727000000003505</v>
      </c>
      <c r="N106" s="2217">
        <f t="shared" si="4"/>
        <v>8716.8259999999991</v>
      </c>
      <c r="O106" s="2217">
        <f t="shared" si="9"/>
        <v>12.041999999999462</v>
      </c>
      <c r="P106" s="2212">
        <v>237</v>
      </c>
      <c r="Q106" s="2219"/>
      <c r="R106" s="2213"/>
      <c r="S106" s="2219"/>
      <c r="T106" s="2213"/>
      <c r="U106" s="2213"/>
      <c r="V106" s="2213"/>
      <c r="W106" s="2213"/>
      <c r="X106" s="2213"/>
    </row>
    <row r="107" spans="1:24">
      <c r="A107" s="2217">
        <f t="shared" si="5"/>
        <v>-8.1424999999992913</v>
      </c>
      <c r="B107" s="2217">
        <f t="shared" si="6"/>
        <v>9984.9600000000009</v>
      </c>
      <c r="C107" s="2217">
        <f t="shared" si="7"/>
        <v>4.2100000000009459</v>
      </c>
      <c r="D107" s="2212">
        <v>236</v>
      </c>
      <c r="E107" s="2219"/>
      <c r="F107" s="2213"/>
      <c r="G107" s="2219"/>
      <c r="H107" s="2213"/>
      <c r="I107" s="2213"/>
      <c r="J107" s="2213"/>
      <c r="K107" s="2213"/>
      <c r="L107" s="263"/>
      <c r="M107" s="2217">
        <f t="shared" si="8"/>
        <v>-3.4128999999999907</v>
      </c>
      <c r="N107" s="2217">
        <f t="shared" ref="N107:N170" si="10">N$33+(N$32*P107)-(N$31*(P107^2))+(N$30*(P107^3))</f>
        <v>8704.7839999999997</v>
      </c>
      <c r="O107" s="2217">
        <f t="shared" si="9"/>
        <v>12.134000000000015</v>
      </c>
      <c r="P107" s="2212">
        <v>236</v>
      </c>
      <c r="Q107" s="2219"/>
      <c r="R107" s="2213"/>
      <c r="S107" s="2219"/>
      <c r="T107" s="2213"/>
      <c r="U107" s="2213"/>
      <c r="V107" s="2213"/>
      <c r="W107" s="2213"/>
      <c r="X107" s="2213"/>
    </row>
    <row r="108" spans="1:24">
      <c r="A108" s="2217">
        <f t="shared" ref="A108:A171" si="11">(C108*(B$8-B$10))-B$9</f>
        <v>-8.0075000000004373</v>
      </c>
      <c r="B108" s="2217">
        <f t="shared" ref="B108:B171" si="12">B$33+(B$32*D108)-(B$31*(D108^2))+(B$30*(D108^3))</f>
        <v>9980.75</v>
      </c>
      <c r="C108" s="2217">
        <f t="shared" ref="C108:C171" si="13">B108-B109</f>
        <v>4.3899999999994179</v>
      </c>
      <c r="D108" s="2212">
        <v>235</v>
      </c>
      <c r="E108" s="2219"/>
      <c r="F108" s="2213"/>
      <c r="G108" s="2219"/>
      <c r="H108" s="2213"/>
      <c r="I108" s="2213"/>
      <c r="J108" s="2213"/>
      <c r="K108" s="2213"/>
      <c r="L108" s="263"/>
      <c r="M108" s="2217">
        <f t="shared" ref="M108:M171" si="14">(O108*(N$8-N$10))-N$9</f>
        <v>-3.3530999999996318</v>
      </c>
      <c r="N108" s="2217">
        <f t="shared" si="10"/>
        <v>8692.65</v>
      </c>
      <c r="O108" s="2217">
        <f t="shared" ref="O108:O171" si="15">N108-N109</f>
        <v>12.226000000000568</v>
      </c>
      <c r="P108" s="2212">
        <v>235</v>
      </c>
      <c r="Q108" s="2219"/>
      <c r="R108" s="2213"/>
      <c r="S108" s="2219"/>
      <c r="T108" s="2213"/>
      <c r="U108" s="2213"/>
      <c r="V108" s="2213"/>
      <c r="W108" s="2213"/>
      <c r="X108" s="2213"/>
    </row>
    <row r="109" spans="1:24">
      <c r="A109" s="2217">
        <f t="shared" si="11"/>
        <v>-7.872500000000219</v>
      </c>
      <c r="B109" s="2217">
        <f t="shared" si="12"/>
        <v>9976.36</v>
      </c>
      <c r="C109" s="2217">
        <f t="shared" si="13"/>
        <v>4.569999999999709</v>
      </c>
      <c r="D109" s="2212">
        <v>234</v>
      </c>
      <c r="E109" s="2219"/>
      <c r="F109" s="2213"/>
      <c r="G109" s="2219"/>
      <c r="H109" s="2213"/>
      <c r="I109" s="2213"/>
      <c r="J109" s="2213"/>
      <c r="K109" s="2213"/>
      <c r="L109" s="263"/>
      <c r="M109" s="2217">
        <f t="shared" si="14"/>
        <v>-3.2933000000004551</v>
      </c>
      <c r="N109" s="2217">
        <f t="shared" si="10"/>
        <v>8680.4239999999991</v>
      </c>
      <c r="O109" s="2217">
        <f t="shared" si="15"/>
        <v>12.317999999999302</v>
      </c>
      <c r="P109" s="2212">
        <v>234</v>
      </c>
      <c r="Q109" s="2219"/>
      <c r="R109" s="2213"/>
      <c r="S109" s="2219"/>
      <c r="T109" s="2213"/>
      <c r="U109" s="2213"/>
      <c r="V109" s="2213"/>
      <c r="W109" s="2213"/>
      <c r="X109" s="2213"/>
    </row>
    <row r="110" spans="1:24">
      <c r="A110" s="2217">
        <f t="shared" si="11"/>
        <v>-7.7375000000000007</v>
      </c>
      <c r="B110" s="2217">
        <f t="shared" si="12"/>
        <v>9971.7900000000009</v>
      </c>
      <c r="C110" s="2217">
        <f t="shared" si="13"/>
        <v>4.75</v>
      </c>
      <c r="D110" s="2212">
        <v>233</v>
      </c>
      <c r="E110" s="2219"/>
      <c r="F110" s="2213"/>
      <c r="G110" s="2219"/>
      <c r="H110" s="2213"/>
      <c r="I110" s="2213"/>
      <c r="J110" s="2213"/>
      <c r="K110" s="2213"/>
      <c r="L110" s="263"/>
      <c r="M110" s="2217">
        <f t="shared" si="14"/>
        <v>-3.2334999999989122</v>
      </c>
      <c r="N110" s="2217">
        <f t="shared" si="10"/>
        <v>8668.1059999999998</v>
      </c>
      <c r="O110" s="2217">
        <f t="shared" si="15"/>
        <v>12.410000000001673</v>
      </c>
      <c r="P110" s="2212">
        <v>233</v>
      </c>
      <c r="Q110" s="2219"/>
      <c r="R110" s="2213"/>
      <c r="S110" s="2219"/>
      <c r="T110" s="2213"/>
      <c r="U110" s="2213"/>
      <c r="V110" s="2213"/>
      <c r="W110" s="2213"/>
      <c r="X110" s="2213"/>
    </row>
    <row r="111" spans="1:24">
      <c r="A111" s="2217">
        <f t="shared" si="11"/>
        <v>-7.6024999999997824</v>
      </c>
      <c r="B111" s="2217">
        <f t="shared" si="12"/>
        <v>9967.0400000000009</v>
      </c>
      <c r="C111" s="2217">
        <f t="shared" si="13"/>
        <v>4.930000000000291</v>
      </c>
      <c r="D111" s="2212">
        <v>232</v>
      </c>
      <c r="E111" s="2219"/>
      <c r="F111" s="2213"/>
      <c r="G111" s="2219"/>
      <c r="H111" s="2213"/>
      <c r="I111" s="2213"/>
      <c r="J111" s="2213"/>
      <c r="K111" s="2213"/>
      <c r="L111" s="263"/>
      <c r="M111" s="2217">
        <f t="shared" si="14"/>
        <v>-3.1737000000009186</v>
      </c>
      <c r="N111" s="2217">
        <f t="shared" si="10"/>
        <v>8655.6959999999981</v>
      </c>
      <c r="O111" s="2217">
        <f t="shared" si="15"/>
        <v>12.501999999998588</v>
      </c>
      <c r="P111" s="2212">
        <v>232</v>
      </c>
      <c r="Q111" s="2219"/>
      <c r="R111" s="2213"/>
      <c r="S111" s="2219"/>
      <c r="T111" s="2213"/>
      <c r="U111" s="2213"/>
      <c r="V111" s="2213"/>
      <c r="W111" s="2213"/>
      <c r="X111" s="2213"/>
    </row>
    <row r="112" spans="1:24">
      <c r="A112" s="2217">
        <f t="shared" si="11"/>
        <v>-7.4674999999995642</v>
      </c>
      <c r="B112" s="2217">
        <f t="shared" si="12"/>
        <v>9962.11</v>
      </c>
      <c r="C112" s="2217">
        <f t="shared" si="13"/>
        <v>5.1100000000005821</v>
      </c>
      <c r="D112" s="2212">
        <v>231</v>
      </c>
      <c r="E112" s="2219"/>
      <c r="F112" s="2213"/>
      <c r="G112" s="2219"/>
      <c r="H112" s="2213"/>
      <c r="I112" s="2213"/>
      <c r="J112" s="2213"/>
      <c r="K112" s="2213"/>
      <c r="L112" s="263"/>
      <c r="M112" s="2217">
        <f t="shared" si="14"/>
        <v>-3.1139000000005588</v>
      </c>
      <c r="N112" s="2217">
        <f t="shared" si="10"/>
        <v>8643.1939999999995</v>
      </c>
      <c r="O112" s="2217">
        <f t="shared" si="15"/>
        <v>12.593999999999141</v>
      </c>
      <c r="P112" s="2212">
        <v>231</v>
      </c>
      <c r="Q112" s="2219"/>
      <c r="R112" s="2213"/>
      <c r="S112" s="2219"/>
      <c r="T112" s="2213"/>
      <c r="U112" s="2213"/>
      <c r="V112" s="2213"/>
      <c r="W112" s="2213"/>
      <c r="X112" s="2213"/>
    </row>
    <row r="113" spans="1:24">
      <c r="A113" s="2217">
        <f t="shared" si="11"/>
        <v>-7.3324999999993459</v>
      </c>
      <c r="B113" s="2217">
        <f t="shared" si="12"/>
        <v>9957</v>
      </c>
      <c r="C113" s="2217">
        <f t="shared" si="13"/>
        <v>5.2900000000008731</v>
      </c>
      <c r="D113" s="2212">
        <v>230</v>
      </c>
      <c r="E113" s="2219"/>
      <c r="F113" s="2213"/>
      <c r="G113" s="2219"/>
      <c r="H113" s="2213"/>
      <c r="I113" s="2213"/>
      <c r="J113" s="2213"/>
      <c r="K113" s="2213"/>
      <c r="L113" s="263"/>
      <c r="M113" s="2217">
        <f t="shared" si="14"/>
        <v>-3.0540999999990159</v>
      </c>
      <c r="N113" s="2217">
        <f t="shared" si="10"/>
        <v>8630.6</v>
      </c>
      <c r="O113" s="2217">
        <f t="shared" si="15"/>
        <v>12.686000000001513</v>
      </c>
      <c r="P113" s="2212">
        <v>230</v>
      </c>
      <c r="Q113" s="2219"/>
      <c r="R113" s="2213"/>
      <c r="S113" s="2219"/>
      <c r="T113" s="2213"/>
      <c r="U113" s="2213"/>
      <c r="V113" s="2213"/>
      <c r="W113" s="2213"/>
      <c r="X113" s="2213"/>
    </row>
    <row r="114" spans="1:24">
      <c r="A114" s="2217">
        <f t="shared" si="11"/>
        <v>-7.1975000000018561</v>
      </c>
      <c r="B114" s="2217">
        <f t="shared" si="12"/>
        <v>9951.7099999999991</v>
      </c>
      <c r="C114" s="2217">
        <f t="shared" si="13"/>
        <v>5.4699999999975262</v>
      </c>
      <c r="D114" s="2212">
        <v>229</v>
      </c>
      <c r="E114" s="2219"/>
      <c r="F114" s="2213"/>
      <c r="G114" s="2219"/>
      <c r="H114" s="2213"/>
      <c r="I114" s="2213"/>
      <c r="J114" s="2213"/>
      <c r="K114" s="2213"/>
      <c r="L114" s="263"/>
      <c r="M114" s="2217">
        <f t="shared" si="14"/>
        <v>-2.9942999999998392</v>
      </c>
      <c r="N114" s="2217">
        <f t="shared" si="10"/>
        <v>8617.9139999999989</v>
      </c>
      <c r="O114" s="2217">
        <f t="shared" si="15"/>
        <v>12.778000000000247</v>
      </c>
      <c r="P114" s="2212">
        <v>229</v>
      </c>
      <c r="Q114" s="2219"/>
      <c r="R114" s="2213"/>
      <c r="S114" s="2219"/>
      <c r="T114" s="2213"/>
      <c r="U114" s="2213"/>
      <c r="V114" s="2213"/>
      <c r="W114" s="2213"/>
      <c r="X114" s="2213"/>
    </row>
    <row r="115" spans="1:24">
      <c r="A115" s="2217">
        <f t="shared" si="11"/>
        <v>-7.0624999999989093</v>
      </c>
      <c r="B115" s="2217">
        <f t="shared" si="12"/>
        <v>9946.2400000000016</v>
      </c>
      <c r="C115" s="2217">
        <f t="shared" si="13"/>
        <v>5.6500000000014552</v>
      </c>
      <c r="D115" s="2212">
        <v>228</v>
      </c>
      <c r="E115" s="2219"/>
      <c r="F115" s="2213"/>
      <c r="G115" s="2219"/>
      <c r="H115" s="2213"/>
      <c r="I115" s="2213"/>
      <c r="J115" s="2213"/>
      <c r="K115" s="2213"/>
      <c r="L115" s="263"/>
      <c r="M115" s="2217">
        <f t="shared" si="14"/>
        <v>-2.9345000000006625</v>
      </c>
      <c r="N115" s="2217">
        <f t="shared" si="10"/>
        <v>8605.1359999999986</v>
      </c>
      <c r="O115" s="2217">
        <f t="shared" si="15"/>
        <v>12.869999999998981</v>
      </c>
      <c r="P115" s="2212">
        <v>228</v>
      </c>
      <c r="Q115" s="2219"/>
      <c r="R115" s="2213"/>
      <c r="S115" s="2219"/>
      <c r="T115" s="2213"/>
      <c r="U115" s="2213"/>
      <c r="V115" s="2213"/>
      <c r="W115" s="2213"/>
      <c r="X115" s="2213"/>
    </row>
    <row r="116" spans="1:24">
      <c r="A116" s="2217">
        <f t="shared" si="11"/>
        <v>-6.9275000000000553</v>
      </c>
      <c r="B116" s="2217">
        <f t="shared" si="12"/>
        <v>9940.59</v>
      </c>
      <c r="C116" s="2217">
        <f t="shared" si="13"/>
        <v>5.8299999999999272</v>
      </c>
      <c r="D116" s="2212">
        <v>227</v>
      </c>
      <c r="E116" s="2219"/>
      <c r="F116" s="2213"/>
      <c r="G116" s="2219"/>
      <c r="H116" s="2213"/>
      <c r="I116" s="2213"/>
      <c r="J116" s="2213"/>
      <c r="K116" s="2213"/>
      <c r="L116" s="263"/>
      <c r="M116" s="2217">
        <f t="shared" si="14"/>
        <v>-2.8747000000003027</v>
      </c>
      <c r="N116" s="2217">
        <f t="shared" si="10"/>
        <v>8592.2659999999996</v>
      </c>
      <c r="O116" s="2217">
        <f t="shared" si="15"/>
        <v>12.961999999999534</v>
      </c>
      <c r="P116" s="2212">
        <v>227</v>
      </c>
      <c r="Q116" s="2219"/>
      <c r="R116" s="2213"/>
      <c r="S116" s="2219"/>
      <c r="T116" s="2213"/>
      <c r="U116" s="2213"/>
      <c r="V116" s="2213"/>
      <c r="W116" s="2213"/>
      <c r="X116" s="2213"/>
    </row>
    <row r="117" spans="1:24">
      <c r="A117" s="2217">
        <f t="shared" si="11"/>
        <v>-6.792499999999837</v>
      </c>
      <c r="B117" s="2217">
        <f t="shared" si="12"/>
        <v>9934.76</v>
      </c>
      <c r="C117" s="2217">
        <f t="shared" si="13"/>
        <v>6.0100000000002183</v>
      </c>
      <c r="D117" s="2212">
        <v>226</v>
      </c>
      <c r="E117" s="2219"/>
      <c r="F117" s="2213"/>
      <c r="G117" s="2219"/>
      <c r="H117" s="2213"/>
      <c r="I117" s="2213"/>
      <c r="J117" s="2213"/>
      <c r="K117" s="2213"/>
      <c r="L117" s="263"/>
      <c r="M117" s="2217">
        <f t="shared" si="14"/>
        <v>-2.8148999999999429</v>
      </c>
      <c r="N117" s="2217">
        <f t="shared" si="10"/>
        <v>8579.3040000000001</v>
      </c>
      <c r="O117" s="2217">
        <f t="shared" si="15"/>
        <v>13.054000000000087</v>
      </c>
      <c r="P117" s="2212">
        <v>226</v>
      </c>
      <c r="Q117" s="2219"/>
      <c r="R117" s="2213"/>
      <c r="S117" s="2219"/>
      <c r="T117" s="2213"/>
      <c r="U117" s="2213"/>
      <c r="V117" s="2213"/>
      <c r="W117" s="2213"/>
      <c r="X117" s="2213"/>
    </row>
    <row r="118" spans="1:24">
      <c r="A118" s="2217">
        <f t="shared" si="11"/>
        <v>-6.6574999999996187</v>
      </c>
      <c r="B118" s="2217">
        <f t="shared" si="12"/>
        <v>9928.75</v>
      </c>
      <c r="C118" s="2217">
        <f t="shared" si="13"/>
        <v>6.1900000000005093</v>
      </c>
      <c r="D118" s="2212">
        <v>225</v>
      </c>
      <c r="E118" s="2219"/>
      <c r="F118" s="2213"/>
      <c r="G118" s="2219"/>
      <c r="H118" s="2213"/>
      <c r="I118" s="2213"/>
      <c r="J118" s="2213"/>
      <c r="K118" s="2213"/>
      <c r="L118" s="263"/>
      <c r="M118" s="2217">
        <f t="shared" si="14"/>
        <v>-2.7550999999995849</v>
      </c>
      <c r="N118" s="2217">
        <f t="shared" si="10"/>
        <v>8566.25</v>
      </c>
      <c r="O118" s="2217">
        <f t="shared" si="15"/>
        <v>13.14600000000064</v>
      </c>
      <c r="P118" s="2212">
        <v>225</v>
      </c>
      <c r="Q118" s="2219"/>
      <c r="R118" s="2213"/>
      <c r="S118" s="2219"/>
      <c r="T118" s="2213"/>
      <c r="U118" s="2213"/>
      <c r="V118" s="2213"/>
      <c r="W118" s="2213"/>
      <c r="X118" s="2213"/>
    </row>
    <row r="119" spans="1:24">
      <c r="A119" s="2217">
        <f t="shared" si="11"/>
        <v>-6.5225000000021289</v>
      </c>
      <c r="B119" s="2217">
        <f t="shared" si="12"/>
        <v>9922.56</v>
      </c>
      <c r="C119" s="2217">
        <f t="shared" si="13"/>
        <v>6.3699999999971624</v>
      </c>
      <c r="D119" s="2212">
        <v>224</v>
      </c>
      <c r="E119" s="2219"/>
      <c r="F119" s="2213"/>
      <c r="G119" s="2219"/>
      <c r="H119" s="2213"/>
      <c r="I119" s="2213"/>
      <c r="J119" s="2213"/>
      <c r="K119" s="2213"/>
      <c r="L119" s="263"/>
      <c r="M119" s="2217">
        <f t="shared" si="14"/>
        <v>-2.6953000000004064</v>
      </c>
      <c r="N119" s="2217">
        <f t="shared" si="10"/>
        <v>8553.1039999999994</v>
      </c>
      <c r="O119" s="2217">
        <f t="shared" si="15"/>
        <v>13.237999999999374</v>
      </c>
      <c r="P119" s="2212">
        <v>224</v>
      </c>
      <c r="Q119" s="2219"/>
      <c r="R119" s="2213"/>
      <c r="S119" s="2219"/>
      <c r="T119" s="2213"/>
      <c r="U119" s="2213"/>
      <c r="V119" s="2213"/>
      <c r="W119" s="2213"/>
      <c r="X119" s="2213"/>
    </row>
    <row r="120" spans="1:24">
      <c r="A120" s="2217">
        <f t="shared" si="11"/>
        <v>-6.3874999999991822</v>
      </c>
      <c r="B120" s="2217">
        <f t="shared" si="12"/>
        <v>9916.1900000000023</v>
      </c>
      <c r="C120" s="2217">
        <f t="shared" si="13"/>
        <v>6.5500000000010914</v>
      </c>
      <c r="D120" s="2212">
        <v>223</v>
      </c>
      <c r="E120" s="2219"/>
      <c r="F120" s="2213"/>
      <c r="G120" s="2219"/>
      <c r="H120" s="2213"/>
      <c r="I120" s="2213"/>
      <c r="J120" s="2213"/>
      <c r="K120" s="2213"/>
      <c r="L120" s="263"/>
      <c r="M120" s="2217">
        <f t="shared" si="14"/>
        <v>-2.6354999999988653</v>
      </c>
      <c r="N120" s="2217">
        <f t="shared" si="10"/>
        <v>8539.866</v>
      </c>
      <c r="O120" s="2217">
        <f t="shared" si="15"/>
        <v>13.330000000001746</v>
      </c>
      <c r="P120" s="2212">
        <v>223</v>
      </c>
      <c r="Q120" s="2219"/>
      <c r="R120" s="2213"/>
      <c r="S120" s="2219"/>
      <c r="T120" s="2213"/>
      <c r="U120" s="2213"/>
      <c r="V120" s="2213"/>
      <c r="W120" s="2213"/>
      <c r="X120" s="2213"/>
    </row>
    <row r="121" spans="1:24">
      <c r="A121" s="2217">
        <f t="shared" si="11"/>
        <v>-6.2524999999989639</v>
      </c>
      <c r="B121" s="2217">
        <f t="shared" si="12"/>
        <v>9909.6400000000012</v>
      </c>
      <c r="C121" s="2217">
        <f t="shared" si="13"/>
        <v>6.7300000000013824</v>
      </c>
      <c r="D121" s="2212">
        <v>222</v>
      </c>
      <c r="E121" s="2219"/>
      <c r="F121" s="2213"/>
      <c r="G121" s="2219"/>
      <c r="H121" s="2213"/>
      <c r="I121" s="2213"/>
      <c r="J121" s="2213"/>
      <c r="K121" s="2213"/>
      <c r="L121" s="263"/>
      <c r="M121" s="2217">
        <f t="shared" si="14"/>
        <v>-2.5757000000008698</v>
      </c>
      <c r="N121" s="2217">
        <f t="shared" si="10"/>
        <v>8526.5359999999982</v>
      </c>
      <c r="O121" s="2217">
        <f t="shared" si="15"/>
        <v>13.421999999998661</v>
      </c>
      <c r="P121" s="2212">
        <v>222</v>
      </c>
      <c r="Q121" s="2219"/>
      <c r="R121" s="2213"/>
      <c r="S121" s="2219"/>
      <c r="T121" s="2213"/>
      <c r="U121" s="2213"/>
      <c r="V121" s="2213"/>
      <c r="W121" s="2213"/>
      <c r="X121" s="2213"/>
    </row>
    <row r="122" spans="1:24">
      <c r="A122" s="2217">
        <f t="shared" si="11"/>
        <v>-6.1175000000001098</v>
      </c>
      <c r="B122" s="2217">
        <f t="shared" si="12"/>
        <v>9902.91</v>
      </c>
      <c r="C122" s="2217">
        <f t="shared" si="13"/>
        <v>6.9099999999998545</v>
      </c>
      <c r="D122" s="2212">
        <v>221</v>
      </c>
      <c r="E122" s="2219"/>
      <c r="F122" s="2213"/>
      <c r="G122" s="2219"/>
      <c r="H122" s="2213"/>
      <c r="I122" s="2213"/>
      <c r="J122" s="2213"/>
      <c r="K122" s="2213"/>
      <c r="L122" s="263"/>
      <c r="M122" s="2217">
        <f t="shared" si="14"/>
        <v>-2.5159000000005118</v>
      </c>
      <c r="N122" s="2217">
        <f t="shared" si="10"/>
        <v>8513.1139999999996</v>
      </c>
      <c r="O122" s="2217">
        <f t="shared" si="15"/>
        <v>13.513999999999214</v>
      </c>
      <c r="P122" s="2212">
        <v>221</v>
      </c>
      <c r="Q122" s="2219"/>
      <c r="R122" s="2213"/>
      <c r="S122" s="2219"/>
      <c r="T122" s="2213"/>
      <c r="U122" s="2213"/>
      <c r="V122" s="2213"/>
      <c r="W122" s="2213"/>
      <c r="X122" s="2213"/>
    </row>
    <row r="123" spans="1:24">
      <c r="A123" s="2217">
        <f t="shared" si="11"/>
        <v>-5.9824999999998916</v>
      </c>
      <c r="B123" s="2217">
        <f t="shared" si="12"/>
        <v>9896</v>
      </c>
      <c r="C123" s="2217">
        <f t="shared" si="13"/>
        <v>7.0900000000001455</v>
      </c>
      <c r="D123" s="2212">
        <v>220</v>
      </c>
      <c r="E123" s="2219"/>
      <c r="F123" s="2213"/>
      <c r="G123" s="2219"/>
      <c r="H123" s="2213"/>
      <c r="I123" s="2213"/>
      <c r="J123" s="2213"/>
      <c r="K123" s="2213"/>
      <c r="L123" s="263"/>
      <c r="M123" s="2217">
        <f t="shared" si="14"/>
        <v>-2.4561000000001521</v>
      </c>
      <c r="N123" s="2217">
        <f t="shared" si="10"/>
        <v>8499.6</v>
      </c>
      <c r="O123" s="2217">
        <f t="shared" si="15"/>
        <v>13.605999999999767</v>
      </c>
      <c r="P123" s="2212">
        <v>220</v>
      </c>
      <c r="Q123" s="2219"/>
      <c r="R123" s="2213"/>
      <c r="S123" s="2219"/>
      <c r="T123" s="2213"/>
      <c r="U123" s="2213"/>
      <c r="V123" s="2213"/>
      <c r="W123" s="2213"/>
      <c r="X123" s="2213"/>
    </row>
    <row r="124" spans="1:24">
      <c r="A124" s="2217">
        <f t="shared" si="11"/>
        <v>-5.8475000000010375</v>
      </c>
      <c r="B124" s="2217">
        <f t="shared" si="12"/>
        <v>9888.91</v>
      </c>
      <c r="C124" s="2217">
        <f t="shared" si="13"/>
        <v>7.2699999999986176</v>
      </c>
      <c r="D124" s="2212">
        <v>219</v>
      </c>
      <c r="E124" s="2219"/>
      <c r="F124" s="2213"/>
      <c r="G124" s="2219"/>
      <c r="H124" s="2213"/>
      <c r="I124" s="2213"/>
      <c r="J124" s="2213"/>
      <c r="K124" s="2213"/>
      <c r="L124" s="263"/>
      <c r="M124" s="2217">
        <f t="shared" si="14"/>
        <v>-2.3962999999997923</v>
      </c>
      <c r="N124" s="2217">
        <f t="shared" si="10"/>
        <v>8485.9940000000006</v>
      </c>
      <c r="O124" s="2217">
        <f t="shared" si="15"/>
        <v>13.69800000000032</v>
      </c>
      <c r="P124" s="2212">
        <v>219</v>
      </c>
      <c r="Q124" s="2219"/>
      <c r="R124" s="2213"/>
      <c r="S124" s="2219"/>
      <c r="T124" s="2213"/>
      <c r="U124" s="2213"/>
      <c r="V124" s="2213"/>
      <c r="W124" s="2213"/>
      <c r="X124" s="2213"/>
    </row>
    <row r="125" spans="1:24">
      <c r="A125" s="2217">
        <f t="shared" si="11"/>
        <v>-5.712499999999455</v>
      </c>
      <c r="B125" s="2217">
        <f t="shared" si="12"/>
        <v>9881.6400000000012</v>
      </c>
      <c r="C125" s="2217">
        <f t="shared" si="13"/>
        <v>7.4500000000007276</v>
      </c>
      <c r="D125" s="2212">
        <v>218</v>
      </c>
      <c r="E125" s="2219"/>
      <c r="F125" s="2213"/>
      <c r="G125" s="2219"/>
      <c r="H125" s="2213"/>
      <c r="I125" s="2213"/>
      <c r="J125" s="2213"/>
      <c r="K125" s="2213"/>
      <c r="L125" s="263"/>
      <c r="M125" s="2217">
        <f t="shared" si="14"/>
        <v>-2.3364999999982512</v>
      </c>
      <c r="N125" s="2217">
        <f t="shared" si="10"/>
        <v>8472.2960000000003</v>
      </c>
      <c r="O125" s="2217">
        <f t="shared" si="15"/>
        <v>13.790000000002692</v>
      </c>
      <c r="P125" s="2212">
        <v>218</v>
      </c>
      <c r="Q125" s="2219"/>
      <c r="R125" s="2213"/>
      <c r="S125" s="2219"/>
      <c r="T125" s="2213"/>
      <c r="U125" s="2213"/>
      <c r="V125" s="2213"/>
      <c r="W125" s="2213"/>
      <c r="X125" s="2213"/>
    </row>
    <row r="126" spans="1:24">
      <c r="A126" s="2217">
        <f t="shared" si="11"/>
        <v>-5.577500000000601</v>
      </c>
      <c r="B126" s="2217">
        <f t="shared" si="12"/>
        <v>9874.19</v>
      </c>
      <c r="C126" s="2217">
        <f t="shared" si="13"/>
        <v>7.6299999999991996</v>
      </c>
      <c r="D126" s="2212">
        <v>217</v>
      </c>
      <c r="E126" s="2219"/>
      <c r="F126" s="2213"/>
      <c r="G126" s="2219"/>
      <c r="H126" s="2213"/>
      <c r="I126" s="2213"/>
      <c r="J126" s="2213"/>
      <c r="K126" s="2213"/>
      <c r="L126" s="263"/>
      <c r="M126" s="2217">
        <f t="shared" si="14"/>
        <v>-2.2767000000014388</v>
      </c>
      <c r="N126" s="2217">
        <f t="shared" si="10"/>
        <v>8458.5059999999976</v>
      </c>
      <c r="O126" s="2217">
        <f t="shared" si="15"/>
        <v>13.881999999997788</v>
      </c>
      <c r="P126" s="2212">
        <v>217</v>
      </c>
      <c r="Q126" s="2219"/>
      <c r="R126" s="2213"/>
      <c r="S126" s="2219"/>
      <c r="T126" s="2213"/>
      <c r="U126" s="2213"/>
      <c r="V126" s="2213"/>
      <c r="W126" s="2213"/>
      <c r="X126" s="2213"/>
    </row>
    <row r="127" spans="1:24">
      <c r="A127" s="2217">
        <f t="shared" si="11"/>
        <v>-5.4424999999990185</v>
      </c>
      <c r="B127" s="2217">
        <f t="shared" si="12"/>
        <v>9866.5600000000013</v>
      </c>
      <c r="C127" s="2217">
        <f t="shared" si="13"/>
        <v>7.8100000000013097</v>
      </c>
      <c r="D127" s="2212">
        <v>216</v>
      </c>
      <c r="E127" s="2219"/>
      <c r="F127" s="2213"/>
      <c r="G127" s="2219"/>
      <c r="H127" s="2213"/>
      <c r="I127" s="2213"/>
      <c r="J127" s="2213"/>
      <c r="K127" s="2213"/>
      <c r="L127" s="263"/>
      <c r="M127" s="2217">
        <f t="shared" si="14"/>
        <v>-2.216899999999896</v>
      </c>
      <c r="N127" s="2217">
        <f t="shared" si="10"/>
        <v>8444.6239999999998</v>
      </c>
      <c r="O127" s="2217">
        <f t="shared" si="15"/>
        <v>13.97400000000016</v>
      </c>
      <c r="P127" s="2212">
        <v>216</v>
      </c>
      <c r="Q127" s="2219"/>
      <c r="R127" s="2213"/>
      <c r="S127" s="2219"/>
      <c r="T127" s="2213"/>
      <c r="U127" s="2213"/>
      <c r="V127" s="2213"/>
      <c r="W127" s="2213"/>
      <c r="X127" s="2213"/>
    </row>
    <row r="128" spans="1:24">
      <c r="A128" s="2217">
        <f t="shared" si="11"/>
        <v>-5.3075000000001644</v>
      </c>
      <c r="B128" s="2217">
        <f t="shared" si="12"/>
        <v>9858.75</v>
      </c>
      <c r="C128" s="2217">
        <f t="shared" si="13"/>
        <v>7.9899999999997817</v>
      </c>
      <c r="D128" s="2212">
        <v>215</v>
      </c>
      <c r="E128" s="2219"/>
      <c r="F128" s="2213"/>
      <c r="G128" s="2219"/>
      <c r="H128" s="2213"/>
      <c r="I128" s="2213"/>
      <c r="J128" s="2213"/>
      <c r="K128" s="2213"/>
      <c r="L128" s="263"/>
      <c r="M128" s="2217">
        <f t="shared" si="14"/>
        <v>-2.1571000000007192</v>
      </c>
      <c r="N128" s="2217">
        <f t="shared" si="10"/>
        <v>8430.65</v>
      </c>
      <c r="O128" s="2217">
        <f t="shared" si="15"/>
        <v>14.065999999998894</v>
      </c>
      <c r="P128" s="2212">
        <v>215</v>
      </c>
      <c r="Q128" s="2219"/>
      <c r="R128" s="2213"/>
      <c r="S128" s="2219"/>
      <c r="T128" s="2213"/>
      <c r="U128" s="2213"/>
      <c r="V128" s="2213"/>
      <c r="W128" s="2213"/>
      <c r="X128" s="2213"/>
    </row>
    <row r="129" spans="1:24">
      <c r="A129" s="2217">
        <f t="shared" si="11"/>
        <v>-5.1724999999999461</v>
      </c>
      <c r="B129" s="2217">
        <f t="shared" si="12"/>
        <v>9850.76</v>
      </c>
      <c r="C129" s="2217">
        <f t="shared" si="13"/>
        <v>8.1700000000000728</v>
      </c>
      <c r="D129" s="2212">
        <v>214</v>
      </c>
      <c r="E129" s="2219"/>
      <c r="F129" s="2213"/>
      <c r="G129" s="2219"/>
      <c r="H129" s="2213"/>
      <c r="I129" s="2213"/>
      <c r="J129" s="2213"/>
      <c r="K129" s="2213"/>
      <c r="L129" s="263"/>
      <c r="M129" s="2217">
        <f t="shared" si="14"/>
        <v>-2.0972999999991782</v>
      </c>
      <c r="N129" s="2217">
        <f t="shared" si="10"/>
        <v>8416.5840000000007</v>
      </c>
      <c r="O129" s="2217">
        <f t="shared" si="15"/>
        <v>14.158000000001266</v>
      </c>
      <c r="P129" s="2212">
        <v>214</v>
      </c>
      <c r="Q129" s="2219"/>
      <c r="R129" s="2213"/>
      <c r="S129" s="2219"/>
      <c r="T129" s="2213"/>
      <c r="U129" s="2213"/>
      <c r="V129" s="2213"/>
      <c r="W129" s="2213"/>
      <c r="X129" s="2213"/>
    </row>
    <row r="130" spans="1:24">
      <c r="A130" s="2217">
        <f t="shared" si="11"/>
        <v>-5.0375000000010921</v>
      </c>
      <c r="B130" s="2217">
        <f t="shared" si="12"/>
        <v>9842.59</v>
      </c>
      <c r="C130" s="2217">
        <f t="shared" si="13"/>
        <v>8.3499999999985448</v>
      </c>
      <c r="D130" s="2212">
        <v>213</v>
      </c>
      <c r="E130" s="2219"/>
      <c r="F130" s="2213"/>
      <c r="G130" s="2219"/>
      <c r="H130" s="2213"/>
      <c r="I130" s="2213"/>
      <c r="J130" s="2213"/>
      <c r="K130" s="2213"/>
      <c r="L130" s="263"/>
      <c r="M130" s="2217">
        <f t="shared" si="14"/>
        <v>-2.0374999999999996</v>
      </c>
      <c r="N130" s="2217">
        <f t="shared" si="10"/>
        <v>8402.4259999999995</v>
      </c>
      <c r="O130" s="2217">
        <f t="shared" si="15"/>
        <v>14.25</v>
      </c>
      <c r="P130" s="2212">
        <v>213</v>
      </c>
      <c r="Q130" s="2219"/>
      <c r="R130" s="2213"/>
      <c r="S130" s="2219"/>
      <c r="T130" s="2213"/>
      <c r="U130" s="2213"/>
      <c r="V130" s="2213"/>
      <c r="W130" s="2213"/>
      <c r="X130" s="2213"/>
    </row>
    <row r="131" spans="1:24">
      <c r="A131" s="2217">
        <f t="shared" si="11"/>
        <v>-4.9024999999995096</v>
      </c>
      <c r="B131" s="2217">
        <f t="shared" si="12"/>
        <v>9834.2400000000016</v>
      </c>
      <c r="C131" s="2217">
        <f t="shared" si="13"/>
        <v>8.5300000000006548</v>
      </c>
      <c r="D131" s="2212">
        <v>212</v>
      </c>
      <c r="E131" s="2219"/>
      <c r="F131" s="2213"/>
      <c r="G131" s="2219"/>
      <c r="H131" s="2213"/>
      <c r="I131" s="2213"/>
      <c r="J131" s="2213"/>
      <c r="K131" s="2213"/>
      <c r="L131" s="263"/>
      <c r="M131" s="2217">
        <f t="shared" si="14"/>
        <v>-1.9776999999996416</v>
      </c>
      <c r="N131" s="2217">
        <f t="shared" si="10"/>
        <v>8388.1759999999995</v>
      </c>
      <c r="O131" s="2217">
        <f t="shared" si="15"/>
        <v>14.342000000000553</v>
      </c>
      <c r="P131" s="2212">
        <v>212</v>
      </c>
      <c r="Q131" s="2219"/>
      <c r="R131" s="2213"/>
      <c r="S131" s="2219"/>
      <c r="T131" s="2213"/>
      <c r="U131" s="2213"/>
      <c r="V131" s="2213"/>
      <c r="W131" s="2213"/>
      <c r="X131" s="2213"/>
    </row>
    <row r="132" spans="1:24">
      <c r="A132" s="2217">
        <f t="shared" si="11"/>
        <v>-4.7674999999992913</v>
      </c>
      <c r="B132" s="2217">
        <f t="shared" si="12"/>
        <v>9825.7100000000009</v>
      </c>
      <c r="C132" s="2217">
        <f t="shared" si="13"/>
        <v>8.7100000000009459</v>
      </c>
      <c r="D132" s="2212">
        <v>211</v>
      </c>
      <c r="E132" s="2219"/>
      <c r="F132" s="2213"/>
      <c r="G132" s="2219"/>
      <c r="H132" s="2213"/>
      <c r="I132" s="2213"/>
      <c r="J132" s="2213"/>
      <c r="K132" s="2213"/>
      <c r="L132" s="263"/>
      <c r="M132" s="2217">
        <f t="shared" si="14"/>
        <v>-1.9179000000004631</v>
      </c>
      <c r="N132" s="2217">
        <f t="shared" si="10"/>
        <v>8373.8339999999989</v>
      </c>
      <c r="O132" s="2217">
        <f t="shared" si="15"/>
        <v>14.433999999999287</v>
      </c>
      <c r="P132" s="2212">
        <v>211</v>
      </c>
      <c r="Q132" s="2219"/>
      <c r="R132" s="2213"/>
      <c r="S132" s="2219"/>
      <c r="T132" s="2213"/>
      <c r="U132" s="2213"/>
      <c r="V132" s="2213"/>
      <c r="W132" s="2213"/>
      <c r="X132" s="2213"/>
    </row>
    <row r="133" spans="1:24">
      <c r="A133" s="2217">
        <f t="shared" si="11"/>
        <v>-4.6325000000004373</v>
      </c>
      <c r="B133" s="2217">
        <f t="shared" si="12"/>
        <v>9817</v>
      </c>
      <c r="C133" s="2217">
        <f t="shared" si="13"/>
        <v>8.8899999999994179</v>
      </c>
      <c r="D133" s="2212">
        <v>210</v>
      </c>
      <c r="E133" s="2219"/>
      <c r="F133" s="2213"/>
      <c r="G133" s="2219"/>
      <c r="H133" s="2213"/>
      <c r="I133" s="2213"/>
      <c r="J133" s="2213"/>
      <c r="K133" s="2213"/>
      <c r="L133" s="263"/>
      <c r="M133" s="2217">
        <f t="shared" si="14"/>
        <v>-1.8581000000001051</v>
      </c>
      <c r="N133" s="2217">
        <f t="shared" si="10"/>
        <v>8359.4</v>
      </c>
      <c r="O133" s="2217">
        <f t="shared" si="15"/>
        <v>14.52599999999984</v>
      </c>
      <c r="P133" s="2212">
        <v>210</v>
      </c>
      <c r="Q133" s="2219"/>
      <c r="R133" s="2213"/>
      <c r="S133" s="2219"/>
      <c r="T133" s="2213"/>
      <c r="U133" s="2213"/>
      <c r="V133" s="2213"/>
      <c r="W133" s="2213"/>
      <c r="X133" s="2213"/>
    </row>
    <row r="134" spans="1:24">
      <c r="A134" s="2217">
        <f t="shared" si="11"/>
        <v>-4.497500000000219</v>
      </c>
      <c r="B134" s="2217">
        <f t="shared" si="12"/>
        <v>9808.11</v>
      </c>
      <c r="C134" s="2217">
        <f t="shared" si="13"/>
        <v>9.069999999999709</v>
      </c>
      <c r="D134" s="2212">
        <v>209</v>
      </c>
      <c r="E134" s="2219"/>
      <c r="F134" s="2213"/>
      <c r="G134" s="2219"/>
      <c r="H134" s="2213"/>
      <c r="I134" s="2213"/>
      <c r="J134" s="2213"/>
      <c r="K134" s="2213"/>
      <c r="L134" s="263"/>
      <c r="M134" s="2217">
        <f t="shared" si="14"/>
        <v>-1.7982999999997453</v>
      </c>
      <c r="N134" s="2217">
        <f t="shared" si="10"/>
        <v>8344.8739999999998</v>
      </c>
      <c r="O134" s="2217">
        <f t="shared" si="15"/>
        <v>14.618000000000393</v>
      </c>
      <c r="P134" s="2212">
        <v>209</v>
      </c>
      <c r="Q134" s="2219"/>
      <c r="R134" s="2213"/>
      <c r="S134" s="2219"/>
      <c r="T134" s="2213"/>
      <c r="U134" s="2213"/>
      <c r="V134" s="2213"/>
      <c r="W134" s="2213"/>
      <c r="X134" s="2213"/>
    </row>
    <row r="135" spans="1:24">
      <c r="A135" s="2217">
        <f t="shared" si="11"/>
        <v>-4.3625000000000007</v>
      </c>
      <c r="B135" s="2217">
        <f t="shared" si="12"/>
        <v>9799.0400000000009</v>
      </c>
      <c r="C135" s="2217">
        <f t="shared" si="13"/>
        <v>9.25</v>
      </c>
      <c r="D135" s="2212">
        <v>208</v>
      </c>
      <c r="E135" s="2219"/>
      <c r="F135" s="2213"/>
      <c r="G135" s="2219"/>
      <c r="H135" s="2213"/>
      <c r="I135" s="2213"/>
      <c r="J135" s="2213"/>
      <c r="K135" s="2213"/>
      <c r="L135" s="263"/>
      <c r="M135" s="2217">
        <f t="shared" si="14"/>
        <v>-1.7384999999993855</v>
      </c>
      <c r="N135" s="2217">
        <f t="shared" si="10"/>
        <v>8330.2559999999994</v>
      </c>
      <c r="O135" s="2217">
        <f t="shared" si="15"/>
        <v>14.710000000000946</v>
      </c>
      <c r="P135" s="2212">
        <v>208</v>
      </c>
      <c r="Q135" s="2219"/>
      <c r="R135" s="2213"/>
      <c r="S135" s="2219"/>
      <c r="T135" s="2213"/>
      <c r="U135" s="2213"/>
      <c r="V135" s="2213"/>
      <c r="W135" s="2213"/>
      <c r="X135" s="2213"/>
    </row>
    <row r="136" spans="1:24">
      <c r="A136" s="2217">
        <f t="shared" si="11"/>
        <v>-4.2274999999997824</v>
      </c>
      <c r="B136" s="2217">
        <f t="shared" si="12"/>
        <v>9789.7900000000009</v>
      </c>
      <c r="C136" s="2217">
        <f t="shared" si="13"/>
        <v>9.430000000000291</v>
      </c>
      <c r="D136" s="2212">
        <v>207</v>
      </c>
      <c r="E136" s="2219"/>
      <c r="F136" s="2213"/>
      <c r="G136" s="2219"/>
      <c r="H136" s="2213"/>
      <c r="I136" s="2213"/>
      <c r="J136" s="2213"/>
      <c r="K136" s="2213"/>
      <c r="L136" s="263"/>
      <c r="M136" s="2217">
        <f t="shared" si="14"/>
        <v>-1.6787000000002088</v>
      </c>
      <c r="N136" s="2217">
        <f t="shared" si="10"/>
        <v>8315.5459999999985</v>
      </c>
      <c r="O136" s="2217">
        <f t="shared" si="15"/>
        <v>14.80199999999968</v>
      </c>
      <c r="P136" s="2212">
        <v>207</v>
      </c>
      <c r="Q136" s="2219"/>
      <c r="R136" s="2213"/>
      <c r="S136" s="2219"/>
      <c r="T136" s="2213"/>
      <c r="U136" s="2213"/>
      <c r="V136" s="2213"/>
      <c r="W136" s="2213"/>
      <c r="X136" s="2213"/>
    </row>
    <row r="137" spans="1:24">
      <c r="A137" s="2217">
        <f t="shared" si="11"/>
        <v>-4.0924999999995642</v>
      </c>
      <c r="B137" s="2217">
        <f t="shared" si="12"/>
        <v>9780.36</v>
      </c>
      <c r="C137" s="2217">
        <f t="shared" si="13"/>
        <v>9.6100000000005821</v>
      </c>
      <c r="D137" s="2212">
        <v>206</v>
      </c>
      <c r="E137" s="2219"/>
      <c r="F137" s="2213"/>
      <c r="G137" s="2219"/>
      <c r="H137" s="2213"/>
      <c r="I137" s="2213"/>
      <c r="J137" s="2213"/>
      <c r="K137" s="2213"/>
      <c r="L137" s="263"/>
      <c r="M137" s="2217">
        <f t="shared" si="14"/>
        <v>-1.6189000000010321</v>
      </c>
      <c r="N137" s="2217">
        <f t="shared" si="10"/>
        <v>8300.7439999999988</v>
      </c>
      <c r="O137" s="2217">
        <f t="shared" si="15"/>
        <v>14.893999999998414</v>
      </c>
      <c r="P137" s="2212">
        <v>206</v>
      </c>
      <c r="Q137" s="2219"/>
      <c r="R137" s="2213"/>
      <c r="S137" s="2219"/>
      <c r="T137" s="2213"/>
      <c r="U137" s="2213"/>
      <c r="V137" s="2213"/>
      <c r="W137" s="2213"/>
      <c r="X137" s="2213"/>
    </row>
    <row r="138" spans="1:24">
      <c r="A138" s="2217">
        <f t="shared" si="11"/>
        <v>-3.9574999999993459</v>
      </c>
      <c r="B138" s="2217">
        <f t="shared" si="12"/>
        <v>9770.75</v>
      </c>
      <c r="C138" s="2217">
        <f t="shared" si="13"/>
        <v>9.7900000000008731</v>
      </c>
      <c r="D138" s="2212">
        <v>205</v>
      </c>
      <c r="E138" s="2219"/>
      <c r="F138" s="2213"/>
      <c r="G138" s="2219"/>
      <c r="H138" s="2213"/>
      <c r="I138" s="2213"/>
      <c r="J138" s="2213"/>
      <c r="K138" s="2213"/>
      <c r="L138" s="263"/>
      <c r="M138" s="2217">
        <f t="shared" si="14"/>
        <v>-1.5591000000006723</v>
      </c>
      <c r="N138" s="2217">
        <f t="shared" si="10"/>
        <v>8285.85</v>
      </c>
      <c r="O138" s="2217">
        <f t="shared" si="15"/>
        <v>14.985999999998967</v>
      </c>
      <c r="P138" s="2212">
        <v>205</v>
      </c>
      <c r="Q138" s="2219"/>
      <c r="R138" s="2213"/>
      <c r="S138" s="2219"/>
      <c r="T138" s="2213"/>
      <c r="U138" s="2213"/>
      <c r="V138" s="2213"/>
      <c r="W138" s="2213"/>
      <c r="X138" s="2213"/>
    </row>
    <row r="139" spans="1:24">
      <c r="A139" s="2217">
        <f t="shared" si="11"/>
        <v>-3.8225000000018561</v>
      </c>
      <c r="B139" s="2217">
        <f t="shared" si="12"/>
        <v>9760.9599999999991</v>
      </c>
      <c r="C139" s="2217">
        <f t="shared" si="13"/>
        <v>9.9699999999975262</v>
      </c>
      <c r="D139" s="2212">
        <v>204</v>
      </c>
      <c r="E139" s="2219"/>
      <c r="F139" s="2213"/>
      <c r="G139" s="2219"/>
      <c r="H139" s="2213"/>
      <c r="I139" s="2213"/>
      <c r="J139" s="2213"/>
      <c r="K139" s="2213"/>
      <c r="L139" s="263"/>
      <c r="M139" s="2217">
        <f t="shared" si="14"/>
        <v>-1.4992999999991294</v>
      </c>
      <c r="N139" s="2217">
        <f t="shared" si="10"/>
        <v>8270.8640000000014</v>
      </c>
      <c r="O139" s="2217">
        <f t="shared" si="15"/>
        <v>15.078000000001339</v>
      </c>
      <c r="P139" s="2212">
        <v>204</v>
      </c>
      <c r="Q139" s="2219"/>
      <c r="R139" s="2213"/>
      <c r="S139" s="2219"/>
      <c r="T139" s="2213"/>
      <c r="U139" s="2213"/>
      <c r="V139" s="2213"/>
      <c r="W139" s="2213"/>
      <c r="X139" s="2213"/>
    </row>
    <row r="140" spans="1:24">
      <c r="A140" s="2217">
        <f t="shared" si="11"/>
        <v>-3.6874999999989093</v>
      </c>
      <c r="B140" s="2217">
        <f t="shared" si="12"/>
        <v>9750.9900000000016</v>
      </c>
      <c r="C140" s="2217">
        <f t="shared" si="13"/>
        <v>10.150000000001455</v>
      </c>
      <c r="D140" s="2212">
        <v>203</v>
      </c>
      <c r="E140" s="2219"/>
      <c r="F140" s="2213"/>
      <c r="G140" s="2219"/>
      <c r="H140" s="2213"/>
      <c r="I140" s="2213"/>
      <c r="J140" s="2213"/>
      <c r="K140" s="2213"/>
      <c r="L140" s="263"/>
      <c r="M140" s="2217">
        <f t="shared" si="14"/>
        <v>-1.4394999999987714</v>
      </c>
      <c r="N140" s="2217">
        <f t="shared" si="10"/>
        <v>8255.7860000000001</v>
      </c>
      <c r="O140" s="2217">
        <f t="shared" si="15"/>
        <v>15.170000000001892</v>
      </c>
      <c r="P140" s="2212">
        <v>203</v>
      </c>
      <c r="Q140" s="2219"/>
      <c r="R140" s="2213"/>
      <c r="S140" s="2219"/>
      <c r="T140" s="2213"/>
      <c r="U140" s="2213"/>
      <c r="V140" s="2213"/>
      <c r="W140" s="2213"/>
      <c r="X140" s="2213"/>
    </row>
    <row r="141" spans="1:24">
      <c r="A141" s="2217">
        <f t="shared" si="11"/>
        <v>-3.5525000000000553</v>
      </c>
      <c r="B141" s="2217">
        <f t="shared" si="12"/>
        <v>9740.84</v>
      </c>
      <c r="C141" s="2217">
        <f t="shared" si="13"/>
        <v>10.329999999999927</v>
      </c>
      <c r="D141" s="2212">
        <v>202</v>
      </c>
      <c r="E141" s="2219"/>
      <c r="F141" s="2213"/>
      <c r="G141" s="2219"/>
      <c r="H141" s="2213"/>
      <c r="I141" s="2213"/>
      <c r="J141" s="2213"/>
      <c r="K141" s="2213"/>
      <c r="L141" s="263"/>
      <c r="M141" s="2217">
        <f t="shared" si="14"/>
        <v>-1.379700000000776</v>
      </c>
      <c r="N141" s="2217">
        <f t="shared" si="10"/>
        <v>8240.6159999999982</v>
      </c>
      <c r="O141" s="2217">
        <f t="shared" si="15"/>
        <v>15.261999999998807</v>
      </c>
      <c r="P141" s="2212">
        <v>202</v>
      </c>
      <c r="Q141" s="2219"/>
      <c r="R141" s="2213"/>
      <c r="S141" s="2219"/>
      <c r="T141" s="2213"/>
      <c r="U141" s="2213"/>
      <c r="V141" s="2213"/>
      <c r="W141" s="2213"/>
      <c r="X141" s="2213"/>
    </row>
    <row r="142" spans="1:24">
      <c r="A142" s="2217">
        <f t="shared" si="11"/>
        <v>-3.417499999999837</v>
      </c>
      <c r="B142" s="2217">
        <f t="shared" si="12"/>
        <v>9730.51</v>
      </c>
      <c r="C142" s="2217">
        <f t="shared" si="13"/>
        <v>10.510000000000218</v>
      </c>
      <c r="D142" s="2212">
        <v>201</v>
      </c>
      <c r="E142" s="2219"/>
      <c r="F142" s="2213"/>
      <c r="G142" s="2219"/>
      <c r="H142" s="2213"/>
      <c r="I142" s="2213"/>
      <c r="J142" s="2213"/>
      <c r="K142" s="2213"/>
      <c r="L142" s="263"/>
      <c r="M142" s="2217">
        <f t="shared" si="14"/>
        <v>-1.3199000000004162</v>
      </c>
      <c r="N142" s="2217">
        <f t="shared" si="10"/>
        <v>8225.3539999999994</v>
      </c>
      <c r="O142" s="2217">
        <f t="shared" si="15"/>
        <v>15.35399999999936</v>
      </c>
      <c r="P142" s="2212">
        <v>201</v>
      </c>
      <c r="Q142" s="2219"/>
      <c r="R142" s="2213"/>
      <c r="S142" s="2219"/>
      <c r="T142" s="2213"/>
      <c r="U142" s="2213"/>
      <c r="V142" s="2213"/>
      <c r="W142" s="2213"/>
      <c r="X142" s="2213"/>
    </row>
    <row r="143" spans="1:24">
      <c r="A143" s="2217">
        <f t="shared" si="11"/>
        <v>-3.2824999999996187</v>
      </c>
      <c r="B143" s="2217">
        <f t="shared" si="12"/>
        <v>9720</v>
      </c>
      <c r="C143" s="2217">
        <f t="shared" si="13"/>
        <v>10.690000000000509</v>
      </c>
      <c r="D143" s="2212">
        <v>200</v>
      </c>
      <c r="E143" s="2219"/>
      <c r="F143" s="2213"/>
      <c r="G143" s="2219"/>
      <c r="H143" s="2213"/>
      <c r="I143" s="2213"/>
      <c r="J143" s="2213"/>
      <c r="K143" s="2213"/>
      <c r="L143" s="263"/>
      <c r="M143" s="2217">
        <f t="shared" si="14"/>
        <v>-1.2601000000000564</v>
      </c>
      <c r="N143" s="2217">
        <f t="shared" si="10"/>
        <v>8210</v>
      </c>
      <c r="O143" s="2217">
        <f t="shared" si="15"/>
        <v>15.445999999999913</v>
      </c>
      <c r="P143" s="2212">
        <v>200</v>
      </c>
      <c r="Q143" s="2219"/>
      <c r="R143" s="2213"/>
      <c r="S143" s="2219"/>
      <c r="T143" s="2213"/>
      <c r="U143" s="2213"/>
      <c r="V143" s="2213"/>
      <c r="W143" s="2213"/>
      <c r="X143" s="2213"/>
    </row>
    <row r="144" spans="1:24">
      <c r="A144" s="2217">
        <f t="shared" si="11"/>
        <v>-3.1475000000021289</v>
      </c>
      <c r="B144" s="2217">
        <f t="shared" si="12"/>
        <v>9709.31</v>
      </c>
      <c r="C144" s="2217">
        <f t="shared" si="13"/>
        <v>10.869999999997162</v>
      </c>
      <c r="D144" s="2212">
        <v>199</v>
      </c>
      <c r="E144" s="2219"/>
      <c r="F144" s="2213"/>
      <c r="G144" s="2219"/>
      <c r="H144" s="2213"/>
      <c r="I144" s="2213"/>
      <c r="J144" s="2213"/>
      <c r="K144" s="2213"/>
      <c r="L144" s="263"/>
      <c r="M144" s="2217">
        <f t="shared" si="14"/>
        <v>-1.2002999999996984</v>
      </c>
      <c r="N144" s="2217">
        <f t="shared" si="10"/>
        <v>8194.5540000000001</v>
      </c>
      <c r="O144" s="2217">
        <f t="shared" si="15"/>
        <v>15.538000000000466</v>
      </c>
      <c r="P144" s="2212">
        <v>199</v>
      </c>
      <c r="Q144" s="2219"/>
      <c r="R144" s="2213"/>
      <c r="S144" s="2219"/>
      <c r="T144" s="2213"/>
      <c r="U144" s="2213"/>
      <c r="V144" s="2213"/>
      <c r="W144" s="2213"/>
      <c r="X144" s="2213"/>
    </row>
    <row r="145" spans="1:24">
      <c r="A145" s="2217">
        <f t="shared" si="11"/>
        <v>-3.0124999999991822</v>
      </c>
      <c r="B145" s="2217">
        <f t="shared" si="12"/>
        <v>9698.4400000000023</v>
      </c>
      <c r="C145" s="2217">
        <f t="shared" si="13"/>
        <v>11.050000000001091</v>
      </c>
      <c r="D145" s="2212">
        <v>198</v>
      </c>
      <c r="E145" s="2219"/>
      <c r="F145" s="2213"/>
      <c r="G145" s="2219"/>
      <c r="H145" s="2213"/>
      <c r="I145" s="2213"/>
      <c r="J145" s="2213"/>
      <c r="K145" s="2213"/>
      <c r="L145" s="263"/>
      <c r="M145" s="2217">
        <f t="shared" si="14"/>
        <v>-1.1404999999993386</v>
      </c>
      <c r="N145" s="2217">
        <f t="shared" si="10"/>
        <v>8179.0159999999996</v>
      </c>
      <c r="O145" s="2217">
        <f t="shared" si="15"/>
        <v>15.630000000001019</v>
      </c>
      <c r="P145" s="2212">
        <v>198</v>
      </c>
      <c r="Q145" s="2219"/>
      <c r="R145" s="2213"/>
      <c r="S145" s="2219"/>
      <c r="T145" s="2213"/>
      <c r="U145" s="2213"/>
      <c r="V145" s="2213"/>
      <c r="W145" s="2213"/>
      <c r="X145" s="2213"/>
    </row>
    <row r="146" spans="1:24">
      <c r="A146" s="2217">
        <f t="shared" si="11"/>
        <v>-2.8774999999989639</v>
      </c>
      <c r="B146" s="2217">
        <f t="shared" si="12"/>
        <v>9687.3900000000012</v>
      </c>
      <c r="C146" s="2217">
        <f t="shared" si="13"/>
        <v>11.230000000001382</v>
      </c>
      <c r="D146" s="2212">
        <v>197</v>
      </c>
      <c r="E146" s="2219"/>
      <c r="F146" s="2213"/>
      <c r="G146" s="2219"/>
      <c r="H146" s="2213"/>
      <c r="I146" s="2213"/>
      <c r="J146" s="2213"/>
      <c r="K146" s="2213"/>
      <c r="L146" s="263"/>
      <c r="M146" s="2217">
        <f t="shared" si="14"/>
        <v>-1.0807000000001619</v>
      </c>
      <c r="N146" s="2217">
        <f t="shared" si="10"/>
        <v>8163.3859999999986</v>
      </c>
      <c r="O146" s="2217">
        <f t="shared" si="15"/>
        <v>15.721999999999753</v>
      </c>
      <c r="P146" s="2212">
        <v>197</v>
      </c>
      <c r="Q146" s="2219"/>
      <c r="R146" s="2213"/>
      <c r="S146" s="2219"/>
      <c r="T146" s="2213"/>
      <c r="U146" s="2213"/>
      <c r="V146" s="2213"/>
      <c r="W146" s="2213"/>
      <c r="X146" s="2213"/>
    </row>
    <row r="147" spans="1:24">
      <c r="A147" s="2217">
        <f t="shared" si="11"/>
        <v>-2.7425000000001098</v>
      </c>
      <c r="B147" s="2217">
        <f t="shared" si="12"/>
        <v>9676.16</v>
      </c>
      <c r="C147" s="2217">
        <f t="shared" si="13"/>
        <v>11.409999999999854</v>
      </c>
      <c r="D147" s="2212">
        <v>196</v>
      </c>
      <c r="E147" s="2219"/>
      <c r="F147" s="2213"/>
      <c r="G147" s="2219"/>
      <c r="H147" s="2213"/>
      <c r="I147" s="2213"/>
      <c r="J147" s="2213"/>
      <c r="K147" s="2213"/>
      <c r="L147" s="263"/>
      <c r="M147" s="2217">
        <f t="shared" si="14"/>
        <v>-1.0209000000009834</v>
      </c>
      <c r="N147" s="2217">
        <f t="shared" si="10"/>
        <v>8147.6639999999989</v>
      </c>
      <c r="O147" s="2217">
        <f t="shared" si="15"/>
        <v>15.813999999998487</v>
      </c>
      <c r="P147" s="2212">
        <v>196</v>
      </c>
      <c r="Q147" s="2219"/>
      <c r="R147" s="2213"/>
      <c r="S147" s="2219"/>
      <c r="T147" s="2213"/>
      <c r="U147" s="2213"/>
      <c r="V147" s="2213"/>
      <c r="W147" s="2213"/>
      <c r="X147" s="2213"/>
    </row>
    <row r="148" spans="1:24">
      <c r="A148" s="2217">
        <f t="shared" si="11"/>
        <v>-2.6074999999998916</v>
      </c>
      <c r="B148" s="2217">
        <f t="shared" si="12"/>
        <v>9664.75</v>
      </c>
      <c r="C148" s="2217">
        <f t="shared" si="13"/>
        <v>11.590000000000146</v>
      </c>
      <c r="D148" s="2212">
        <v>195</v>
      </c>
      <c r="E148" s="2219"/>
      <c r="F148" s="2213"/>
      <c r="G148" s="2219"/>
      <c r="H148" s="2213"/>
      <c r="I148" s="2213"/>
      <c r="J148" s="2213"/>
      <c r="K148" s="2213"/>
      <c r="L148" s="263"/>
      <c r="M148" s="2217">
        <f t="shared" si="14"/>
        <v>-0.96110000000062534</v>
      </c>
      <c r="N148" s="2217">
        <f t="shared" si="10"/>
        <v>8131.85</v>
      </c>
      <c r="O148" s="2217">
        <f t="shared" si="15"/>
        <v>15.90599999999904</v>
      </c>
      <c r="P148" s="2212">
        <v>195</v>
      </c>
      <c r="Q148" s="2219"/>
      <c r="R148" s="2213"/>
      <c r="S148" s="2219"/>
      <c r="T148" s="2213"/>
      <c r="U148" s="2213"/>
      <c r="V148" s="2213"/>
      <c r="W148" s="2213"/>
      <c r="X148" s="2213"/>
    </row>
    <row r="149" spans="1:24">
      <c r="A149" s="2217">
        <f t="shared" si="11"/>
        <v>-2.4725000000010375</v>
      </c>
      <c r="B149" s="2217">
        <f t="shared" si="12"/>
        <v>9653.16</v>
      </c>
      <c r="C149" s="2217">
        <f t="shared" si="13"/>
        <v>11.769999999998618</v>
      </c>
      <c r="D149" s="2212">
        <v>194</v>
      </c>
      <c r="E149" s="2219"/>
      <c r="F149" s="2213"/>
      <c r="G149" s="2219"/>
      <c r="H149" s="2213"/>
      <c r="I149" s="2213"/>
      <c r="J149" s="2213"/>
      <c r="K149" s="2213"/>
      <c r="L149" s="263"/>
      <c r="M149" s="2217">
        <f t="shared" si="14"/>
        <v>-0.9012999999990825</v>
      </c>
      <c r="N149" s="2217">
        <f t="shared" si="10"/>
        <v>8115.9440000000013</v>
      </c>
      <c r="O149" s="2217">
        <f t="shared" si="15"/>
        <v>15.998000000001412</v>
      </c>
      <c r="P149" s="2212">
        <v>194</v>
      </c>
      <c r="Q149" s="2219"/>
      <c r="R149" s="2213"/>
      <c r="S149" s="2219"/>
      <c r="T149" s="2213"/>
      <c r="U149" s="2213"/>
      <c r="V149" s="2213"/>
      <c r="W149" s="2213"/>
      <c r="X149" s="2213"/>
    </row>
    <row r="150" spans="1:24">
      <c r="A150" s="2217">
        <f t="shared" si="11"/>
        <v>-2.337499999999455</v>
      </c>
      <c r="B150" s="2217">
        <f t="shared" si="12"/>
        <v>9641.3900000000012</v>
      </c>
      <c r="C150" s="2217">
        <f t="shared" si="13"/>
        <v>11.950000000000728</v>
      </c>
      <c r="D150" s="2212">
        <v>193</v>
      </c>
      <c r="E150" s="2219"/>
      <c r="F150" s="2213"/>
      <c r="G150" s="2219"/>
      <c r="H150" s="2213"/>
      <c r="I150" s="2213"/>
      <c r="J150" s="2213"/>
      <c r="K150" s="2213"/>
      <c r="L150" s="263"/>
      <c r="M150" s="2217">
        <f t="shared" si="14"/>
        <v>-0.84149999999931424</v>
      </c>
      <c r="N150" s="2217">
        <f t="shared" si="10"/>
        <v>8099.9459999999999</v>
      </c>
      <c r="O150" s="2217">
        <f t="shared" si="15"/>
        <v>16.090000000001055</v>
      </c>
      <c r="P150" s="2212">
        <v>193</v>
      </c>
      <c r="Q150" s="2219"/>
      <c r="R150" s="2213"/>
      <c r="S150" s="2219"/>
      <c r="T150" s="2213"/>
      <c r="U150" s="2213"/>
      <c r="V150" s="2213"/>
      <c r="W150" s="2213"/>
      <c r="X150" s="2213"/>
    </row>
    <row r="151" spans="1:24">
      <c r="A151" s="2217">
        <f t="shared" si="11"/>
        <v>-2.202500000000601</v>
      </c>
      <c r="B151" s="2217">
        <f t="shared" si="12"/>
        <v>9629.44</v>
      </c>
      <c r="C151" s="2217">
        <f t="shared" si="13"/>
        <v>12.1299999999992</v>
      </c>
      <c r="D151" s="2212">
        <v>192</v>
      </c>
      <c r="E151" s="2219"/>
      <c r="F151" s="2213"/>
      <c r="G151" s="2219"/>
      <c r="H151" s="2213"/>
      <c r="I151" s="2213"/>
      <c r="J151" s="2213"/>
      <c r="K151" s="2213"/>
      <c r="L151" s="263"/>
      <c r="M151" s="2217">
        <f t="shared" si="14"/>
        <v>-0.78170000000013751</v>
      </c>
      <c r="N151" s="2217">
        <f t="shared" si="10"/>
        <v>8083.8559999999989</v>
      </c>
      <c r="O151" s="2217">
        <f t="shared" si="15"/>
        <v>16.181999999999789</v>
      </c>
      <c r="P151" s="2212">
        <v>192</v>
      </c>
      <c r="Q151" s="2219"/>
      <c r="R151" s="2213"/>
      <c r="S151" s="2219"/>
      <c r="T151" s="2213"/>
      <c r="U151" s="2213"/>
      <c r="V151" s="2213"/>
      <c r="W151" s="2213"/>
      <c r="X151" s="2213"/>
    </row>
    <row r="152" spans="1:24">
      <c r="A152" s="2217">
        <f t="shared" si="11"/>
        <v>-2.0674999999990185</v>
      </c>
      <c r="B152" s="2217">
        <f t="shared" si="12"/>
        <v>9617.3100000000013</v>
      </c>
      <c r="C152" s="2217">
        <f t="shared" si="13"/>
        <v>12.31000000000131</v>
      </c>
      <c r="D152" s="2212">
        <v>191</v>
      </c>
      <c r="E152" s="2219"/>
      <c r="F152" s="2213"/>
      <c r="G152" s="2219"/>
      <c r="H152" s="2213"/>
      <c r="I152" s="2213"/>
      <c r="J152" s="2213"/>
      <c r="K152" s="2213"/>
      <c r="L152" s="263"/>
      <c r="M152" s="2217">
        <f t="shared" si="14"/>
        <v>-0.72190000000036925</v>
      </c>
      <c r="N152" s="2217">
        <f t="shared" si="10"/>
        <v>8067.6739999999991</v>
      </c>
      <c r="O152" s="2217">
        <f t="shared" si="15"/>
        <v>16.273999999999432</v>
      </c>
      <c r="P152" s="2212">
        <v>191</v>
      </c>
      <c r="Q152" s="2219"/>
      <c r="R152" s="2213"/>
      <c r="S152" s="2219"/>
      <c r="T152" s="2213"/>
      <c r="U152" s="2213"/>
      <c r="V152" s="2213"/>
      <c r="W152" s="2213"/>
      <c r="X152" s="2213"/>
    </row>
    <row r="153" spans="1:24">
      <c r="A153" s="2217">
        <f t="shared" si="11"/>
        <v>-1.9325000000001644</v>
      </c>
      <c r="B153" s="2217">
        <f t="shared" si="12"/>
        <v>9605</v>
      </c>
      <c r="C153" s="2217">
        <f t="shared" si="13"/>
        <v>12.489999999999782</v>
      </c>
      <c r="D153" s="2212">
        <v>190</v>
      </c>
      <c r="E153" s="2219"/>
      <c r="F153" s="2213"/>
      <c r="G153" s="2219"/>
      <c r="H153" s="2213"/>
      <c r="I153" s="2213"/>
      <c r="J153" s="2213"/>
      <c r="K153" s="2213"/>
      <c r="L153" s="263"/>
      <c r="M153" s="2217">
        <f t="shared" si="14"/>
        <v>-0.66210000000060099</v>
      </c>
      <c r="N153" s="2217">
        <f t="shared" si="10"/>
        <v>8051.4</v>
      </c>
      <c r="O153" s="2217">
        <f t="shared" si="15"/>
        <v>16.365999999999076</v>
      </c>
      <c r="P153" s="2212">
        <v>190</v>
      </c>
      <c r="Q153" s="2219"/>
      <c r="R153" s="2213"/>
      <c r="S153" s="2219"/>
      <c r="T153" s="2213"/>
      <c r="U153" s="2213"/>
      <c r="V153" s="2213"/>
      <c r="W153" s="2213"/>
      <c r="X153" s="2213"/>
    </row>
    <row r="154" spans="1:24">
      <c r="A154" s="2217">
        <f t="shared" si="11"/>
        <v>-1.7974999999999461</v>
      </c>
      <c r="B154" s="2217">
        <f t="shared" si="12"/>
        <v>9592.51</v>
      </c>
      <c r="C154" s="2217">
        <f t="shared" si="13"/>
        <v>12.670000000000073</v>
      </c>
      <c r="D154" s="2212">
        <v>189</v>
      </c>
      <c r="E154" s="2219"/>
      <c r="F154" s="2213"/>
      <c r="G154" s="2219"/>
      <c r="H154" s="2213"/>
      <c r="I154" s="2213"/>
      <c r="J154" s="2213"/>
      <c r="K154" s="2213"/>
      <c r="L154" s="263"/>
      <c r="M154" s="2217">
        <f t="shared" si="14"/>
        <v>-0.60229999999905992</v>
      </c>
      <c r="N154" s="2217">
        <f t="shared" si="10"/>
        <v>8035.0340000000006</v>
      </c>
      <c r="O154" s="2217">
        <f t="shared" si="15"/>
        <v>16.458000000001448</v>
      </c>
      <c r="P154" s="2212">
        <v>189</v>
      </c>
      <c r="Q154" s="2219"/>
      <c r="R154" s="2213"/>
      <c r="S154" s="2219"/>
      <c r="T154" s="2213"/>
      <c r="U154" s="2213"/>
      <c r="V154" s="2213"/>
      <c r="W154" s="2213"/>
      <c r="X154" s="2213"/>
    </row>
    <row r="155" spans="1:24">
      <c r="A155" s="2217">
        <f t="shared" si="11"/>
        <v>-1.6625000000010921</v>
      </c>
      <c r="B155" s="2217">
        <f t="shared" si="12"/>
        <v>9579.84</v>
      </c>
      <c r="C155" s="2217">
        <f t="shared" si="13"/>
        <v>12.849999999998545</v>
      </c>
      <c r="D155" s="2212">
        <v>188</v>
      </c>
      <c r="E155" s="2219"/>
      <c r="F155" s="2213"/>
      <c r="G155" s="2219"/>
      <c r="H155" s="2213"/>
      <c r="I155" s="2213"/>
      <c r="J155" s="2213"/>
      <c r="K155" s="2213"/>
      <c r="L155" s="263"/>
      <c r="M155" s="2217">
        <f t="shared" si="14"/>
        <v>-0.54249999999929166</v>
      </c>
      <c r="N155" s="2217">
        <f t="shared" si="10"/>
        <v>8018.5759999999991</v>
      </c>
      <c r="O155" s="2217">
        <f t="shared" si="15"/>
        <v>16.550000000001091</v>
      </c>
      <c r="P155" s="2212">
        <v>188</v>
      </c>
      <c r="Q155" s="2219"/>
      <c r="R155" s="2213"/>
      <c r="S155" s="2219"/>
      <c r="T155" s="2213"/>
      <c r="U155" s="2213"/>
      <c r="V155" s="2213"/>
      <c r="W155" s="2213"/>
      <c r="X155" s="2213"/>
    </row>
    <row r="156" spans="1:24">
      <c r="A156" s="2217">
        <f t="shared" si="11"/>
        <v>-1.5274999999995096</v>
      </c>
      <c r="B156" s="2217">
        <f t="shared" si="12"/>
        <v>9566.9900000000016</v>
      </c>
      <c r="C156" s="2217">
        <f t="shared" si="13"/>
        <v>13.030000000000655</v>
      </c>
      <c r="D156" s="2212">
        <v>187</v>
      </c>
      <c r="E156" s="2219"/>
      <c r="F156" s="2213"/>
      <c r="G156" s="2219"/>
      <c r="H156" s="2213"/>
      <c r="I156" s="2213"/>
      <c r="J156" s="2213"/>
      <c r="K156" s="2213"/>
      <c r="L156" s="263"/>
      <c r="M156" s="2217">
        <f t="shared" si="14"/>
        <v>-0.48270000000070468</v>
      </c>
      <c r="N156" s="2217">
        <f t="shared" si="10"/>
        <v>8002.025999999998</v>
      </c>
      <c r="O156" s="2217">
        <f t="shared" si="15"/>
        <v>16.641999999998916</v>
      </c>
      <c r="P156" s="2212">
        <v>187</v>
      </c>
      <c r="Q156" s="2219"/>
      <c r="R156" s="2213"/>
      <c r="S156" s="2219"/>
      <c r="T156" s="2213"/>
      <c r="U156" s="2213"/>
      <c r="V156" s="2213"/>
      <c r="W156" s="2213"/>
      <c r="X156" s="2213"/>
    </row>
    <row r="157" spans="1:24">
      <c r="A157" s="2217">
        <f t="shared" si="11"/>
        <v>-1.3924999999992913</v>
      </c>
      <c r="B157" s="2217">
        <f t="shared" si="12"/>
        <v>9553.9600000000009</v>
      </c>
      <c r="C157" s="2217">
        <f t="shared" si="13"/>
        <v>13.210000000000946</v>
      </c>
      <c r="D157" s="2212">
        <v>186</v>
      </c>
      <c r="E157" s="2219"/>
      <c r="F157" s="2213"/>
      <c r="G157" s="2219"/>
      <c r="H157" s="2213"/>
      <c r="I157" s="2213"/>
      <c r="J157" s="2213"/>
      <c r="K157" s="2213"/>
      <c r="L157" s="263"/>
      <c r="M157" s="2217">
        <f t="shared" si="14"/>
        <v>-0.42290000000034489</v>
      </c>
      <c r="N157" s="2217">
        <f t="shared" si="10"/>
        <v>7985.3839999999991</v>
      </c>
      <c r="O157" s="2217">
        <f t="shared" si="15"/>
        <v>16.733999999999469</v>
      </c>
      <c r="P157" s="2212">
        <v>186</v>
      </c>
      <c r="Q157" s="2219"/>
      <c r="R157" s="2213"/>
      <c r="S157" s="2219"/>
      <c r="T157" s="2213"/>
      <c r="U157" s="2213"/>
      <c r="V157" s="2213"/>
      <c r="W157" s="2213"/>
      <c r="X157" s="2213"/>
    </row>
    <row r="158" spans="1:24">
      <c r="A158" s="2217">
        <f t="shared" si="11"/>
        <v>-1.2575000000004373</v>
      </c>
      <c r="B158" s="2217">
        <f t="shared" si="12"/>
        <v>9540.75</v>
      </c>
      <c r="C158" s="2217">
        <f t="shared" si="13"/>
        <v>13.389999999999418</v>
      </c>
      <c r="D158" s="2212">
        <v>185</v>
      </c>
      <c r="E158" s="2219"/>
      <c r="F158" s="2213"/>
      <c r="G158" s="2219"/>
      <c r="H158" s="2213"/>
      <c r="I158" s="2213"/>
      <c r="J158" s="2213"/>
      <c r="K158" s="2213"/>
      <c r="L158" s="263"/>
      <c r="M158" s="2217">
        <f t="shared" si="14"/>
        <v>-0.36310000000057663</v>
      </c>
      <c r="N158" s="2217">
        <f t="shared" si="10"/>
        <v>7968.65</v>
      </c>
      <c r="O158" s="2217">
        <f t="shared" si="15"/>
        <v>16.825999999999112</v>
      </c>
      <c r="P158" s="2212">
        <v>185</v>
      </c>
      <c r="Q158" s="2219"/>
      <c r="R158" s="2213"/>
      <c r="S158" s="2219"/>
      <c r="T158" s="2213"/>
      <c r="U158" s="2213"/>
      <c r="V158" s="2213"/>
      <c r="W158" s="2213"/>
      <c r="X158" s="2213"/>
    </row>
    <row r="159" spans="1:24">
      <c r="A159" s="2217">
        <f t="shared" si="11"/>
        <v>-1.122500000000219</v>
      </c>
      <c r="B159" s="2217">
        <f t="shared" si="12"/>
        <v>9527.36</v>
      </c>
      <c r="C159" s="2217">
        <f t="shared" si="13"/>
        <v>13.569999999999709</v>
      </c>
      <c r="D159" s="2212">
        <v>184</v>
      </c>
      <c r="E159" s="2219"/>
      <c r="F159" s="2213"/>
      <c r="G159" s="2219"/>
      <c r="H159" s="2213"/>
      <c r="I159" s="2213"/>
      <c r="J159" s="2213"/>
      <c r="K159" s="2213"/>
      <c r="L159" s="263"/>
      <c r="M159" s="2217">
        <f t="shared" si="14"/>
        <v>-0.30329999999962709</v>
      </c>
      <c r="N159" s="2217">
        <f t="shared" si="10"/>
        <v>7951.8240000000005</v>
      </c>
      <c r="O159" s="2217">
        <f t="shared" si="15"/>
        <v>16.918000000000575</v>
      </c>
      <c r="P159" s="2212">
        <v>184</v>
      </c>
      <c r="Q159" s="2219"/>
      <c r="R159" s="2213"/>
      <c r="S159" s="2219"/>
      <c r="T159" s="2213"/>
      <c r="U159" s="2213"/>
      <c r="V159" s="2213"/>
      <c r="W159" s="2213"/>
      <c r="X159" s="2213"/>
    </row>
    <row r="160" spans="1:24">
      <c r="A160" s="2217">
        <f t="shared" si="11"/>
        <v>-0.98750000000000071</v>
      </c>
      <c r="B160" s="2217">
        <f t="shared" si="12"/>
        <v>9513.7900000000009</v>
      </c>
      <c r="C160" s="2217">
        <f t="shared" si="13"/>
        <v>13.75</v>
      </c>
      <c r="D160" s="2212">
        <v>183</v>
      </c>
      <c r="E160" s="2219"/>
      <c r="F160" s="2213"/>
      <c r="G160" s="2219"/>
      <c r="H160" s="2213"/>
      <c r="I160" s="2213"/>
      <c r="J160" s="2213"/>
      <c r="K160" s="2213"/>
      <c r="L160" s="263"/>
      <c r="M160" s="2217">
        <f t="shared" si="14"/>
        <v>-0.2434999999992673</v>
      </c>
      <c r="N160" s="2217">
        <f t="shared" si="10"/>
        <v>7934.9059999999999</v>
      </c>
      <c r="O160" s="2217">
        <f t="shared" si="15"/>
        <v>17.010000000001128</v>
      </c>
      <c r="P160" s="2212">
        <v>183</v>
      </c>
      <c r="Q160" s="2219"/>
      <c r="R160" s="2213"/>
      <c r="S160" s="2219"/>
      <c r="T160" s="2213"/>
      <c r="U160" s="2213"/>
      <c r="V160" s="2213"/>
      <c r="W160" s="2213"/>
      <c r="X160" s="2213"/>
    </row>
    <row r="161" spans="1:24">
      <c r="A161" s="2217">
        <f t="shared" si="11"/>
        <v>-0.85249999999978243</v>
      </c>
      <c r="B161" s="2217">
        <f t="shared" si="12"/>
        <v>9500.0400000000009</v>
      </c>
      <c r="C161" s="2217">
        <f t="shared" si="13"/>
        <v>13.930000000000291</v>
      </c>
      <c r="D161" s="2212">
        <v>182</v>
      </c>
      <c r="E161" s="2219"/>
      <c r="F161" s="2213"/>
      <c r="G161" s="2219"/>
      <c r="H161" s="2213"/>
      <c r="I161" s="2213"/>
      <c r="J161" s="2213"/>
      <c r="K161" s="2213"/>
      <c r="L161" s="263"/>
      <c r="M161" s="2217">
        <f t="shared" si="14"/>
        <v>-0.18370000000009057</v>
      </c>
      <c r="N161" s="2217">
        <f t="shared" si="10"/>
        <v>7917.8959999999988</v>
      </c>
      <c r="O161" s="2217">
        <f t="shared" si="15"/>
        <v>17.101999999999862</v>
      </c>
      <c r="P161" s="2212">
        <v>182</v>
      </c>
      <c r="Q161" s="2219"/>
      <c r="R161" s="2213"/>
      <c r="S161" s="2219"/>
      <c r="T161" s="2213"/>
      <c r="U161" s="2213"/>
      <c r="V161" s="2213"/>
      <c r="W161" s="2213"/>
      <c r="X161" s="2213"/>
    </row>
    <row r="162" spans="1:24">
      <c r="A162" s="2217">
        <f t="shared" si="11"/>
        <v>-0.71749999999956415</v>
      </c>
      <c r="B162" s="2217">
        <f t="shared" si="12"/>
        <v>9486.11</v>
      </c>
      <c r="C162" s="2217">
        <f t="shared" si="13"/>
        <v>14.110000000000582</v>
      </c>
      <c r="D162" s="2212">
        <v>181</v>
      </c>
      <c r="E162" s="2219"/>
      <c r="F162" s="2213"/>
      <c r="G162" s="2219"/>
      <c r="H162" s="2213"/>
      <c r="I162" s="2213"/>
      <c r="J162" s="2213"/>
      <c r="K162" s="2213"/>
      <c r="L162" s="263"/>
      <c r="M162" s="2217">
        <f t="shared" si="14"/>
        <v>-0.12390000000091383</v>
      </c>
      <c r="N162" s="2217">
        <f t="shared" si="10"/>
        <v>7900.793999999999</v>
      </c>
      <c r="O162" s="2217">
        <f t="shared" si="15"/>
        <v>17.193999999998596</v>
      </c>
      <c r="P162" s="2212">
        <v>181</v>
      </c>
      <c r="Q162" s="2219"/>
      <c r="R162" s="2213"/>
      <c r="S162" s="2219"/>
      <c r="T162" s="2213"/>
      <c r="U162" s="2213"/>
      <c r="V162" s="2213"/>
      <c r="W162" s="2213"/>
      <c r="X162" s="2213"/>
    </row>
    <row r="163" spans="1:24">
      <c r="A163" s="2217">
        <f t="shared" si="11"/>
        <v>-0.58249999999934587</v>
      </c>
      <c r="B163" s="2217">
        <f t="shared" si="12"/>
        <v>9472</v>
      </c>
      <c r="C163" s="2217">
        <f t="shared" si="13"/>
        <v>14.290000000000873</v>
      </c>
      <c r="D163" s="2212">
        <v>180</v>
      </c>
      <c r="E163" s="2219"/>
      <c r="F163" s="2213"/>
      <c r="G163" s="2219"/>
      <c r="H163" s="2213"/>
      <c r="I163" s="2213"/>
      <c r="J163" s="2213"/>
      <c r="K163" s="2213"/>
      <c r="L163" s="263"/>
      <c r="M163" s="2217">
        <f t="shared" si="14"/>
        <v>-6.409999999996252E-2</v>
      </c>
      <c r="N163" s="2217">
        <f t="shared" si="10"/>
        <v>7883.6</v>
      </c>
      <c r="O163" s="2217">
        <f t="shared" si="15"/>
        <v>17.286000000000058</v>
      </c>
      <c r="P163" s="2212">
        <v>180</v>
      </c>
      <c r="Q163" s="2219"/>
      <c r="R163" s="2213"/>
      <c r="S163" s="2219"/>
      <c r="T163" s="2213"/>
      <c r="U163" s="2213"/>
      <c r="V163" s="2213"/>
      <c r="W163" s="2213"/>
      <c r="X163" s="2213"/>
    </row>
    <row r="164" spans="1:24">
      <c r="A164" s="2217">
        <f t="shared" si="11"/>
        <v>-0.44750000000185608</v>
      </c>
      <c r="B164" s="2217">
        <f t="shared" si="12"/>
        <v>9457.7099999999991</v>
      </c>
      <c r="C164" s="2217">
        <f t="shared" si="13"/>
        <v>14.469999999997526</v>
      </c>
      <c r="D164" s="2212">
        <v>179</v>
      </c>
      <c r="E164" s="2219"/>
      <c r="F164" s="2213"/>
      <c r="G164" s="2219"/>
      <c r="H164" s="2213"/>
      <c r="I164" s="2213"/>
      <c r="J164" s="2213"/>
      <c r="K164" s="2213"/>
      <c r="L164" s="263"/>
      <c r="M164" s="2217">
        <f t="shared" si="14"/>
        <v>-4.2999999996027327E-3</v>
      </c>
      <c r="N164" s="2217">
        <f t="shared" si="10"/>
        <v>7866.3140000000003</v>
      </c>
      <c r="O164" s="2217">
        <f t="shared" si="15"/>
        <v>17.378000000000611</v>
      </c>
      <c r="P164" s="2212">
        <v>179</v>
      </c>
      <c r="Q164" s="2219"/>
      <c r="R164" s="2213"/>
      <c r="S164" s="2219"/>
      <c r="T164" s="2213"/>
      <c r="U164" s="2213"/>
      <c r="V164" s="2213"/>
      <c r="W164" s="2213"/>
      <c r="X164" s="2213"/>
    </row>
    <row r="165" spans="1:24">
      <c r="A165" s="2217">
        <f t="shared" si="11"/>
        <v>-0.31249999999890932</v>
      </c>
      <c r="B165" s="2217">
        <f t="shared" si="12"/>
        <v>9443.2400000000016</v>
      </c>
      <c r="C165" s="2217">
        <f t="shared" si="13"/>
        <v>14.650000000001455</v>
      </c>
      <c r="D165" s="2212">
        <v>178</v>
      </c>
      <c r="E165" s="2219"/>
      <c r="F165" s="2213"/>
      <c r="G165" s="2219"/>
      <c r="H165" s="2213"/>
      <c r="I165" s="2213"/>
      <c r="J165" s="2213"/>
      <c r="K165" s="2213"/>
      <c r="L165" s="263"/>
      <c r="M165" s="2217">
        <f t="shared" si="14"/>
        <v>5.5500000000757055E-2</v>
      </c>
      <c r="N165" s="2217">
        <f t="shared" si="10"/>
        <v>7848.9359999999997</v>
      </c>
      <c r="O165" s="2217">
        <f t="shared" si="15"/>
        <v>17.470000000001164</v>
      </c>
      <c r="P165" s="2212">
        <v>178</v>
      </c>
      <c r="Q165" s="2219"/>
      <c r="R165" s="2213"/>
      <c r="S165" s="2219"/>
      <c r="T165" s="2213"/>
      <c r="U165" s="2213"/>
      <c r="V165" s="2213"/>
      <c r="W165" s="2213"/>
      <c r="X165" s="2213"/>
    </row>
    <row r="166" spans="1:24">
      <c r="A166" s="2217">
        <f t="shared" si="11"/>
        <v>-0.17750000000005528</v>
      </c>
      <c r="B166" s="2217">
        <f t="shared" si="12"/>
        <v>9428.59</v>
      </c>
      <c r="C166" s="2217">
        <f t="shared" si="13"/>
        <v>14.829999999999927</v>
      </c>
      <c r="D166" s="2212">
        <v>177</v>
      </c>
      <c r="E166" s="2219"/>
      <c r="F166" s="2213"/>
      <c r="G166" s="2219"/>
      <c r="H166" s="2213"/>
      <c r="I166" s="2213"/>
      <c r="J166" s="2213"/>
      <c r="K166" s="2213"/>
      <c r="L166" s="263"/>
      <c r="M166" s="2217">
        <f t="shared" si="14"/>
        <v>0.11529999999934226</v>
      </c>
      <c r="N166" s="2217">
        <f t="shared" si="10"/>
        <v>7831.4659999999985</v>
      </c>
      <c r="O166" s="2217">
        <f t="shared" si="15"/>
        <v>17.561999999998989</v>
      </c>
      <c r="P166" s="2212">
        <v>177</v>
      </c>
      <c r="Q166" s="2219"/>
      <c r="R166" s="2213"/>
      <c r="S166" s="2219"/>
      <c r="T166" s="2213"/>
      <c r="U166" s="2213"/>
      <c r="V166" s="2213"/>
      <c r="W166" s="2213"/>
      <c r="X166" s="2213"/>
    </row>
    <row r="167" spans="1:24">
      <c r="A167" s="2217">
        <f t="shared" si="11"/>
        <v>-4.2499999999837001E-2</v>
      </c>
      <c r="B167" s="2217">
        <f t="shared" si="12"/>
        <v>9413.76</v>
      </c>
      <c r="C167" s="2217">
        <f t="shared" si="13"/>
        <v>15.010000000000218</v>
      </c>
      <c r="D167" s="2212">
        <v>176</v>
      </c>
      <c r="E167" s="2219"/>
      <c r="F167" s="2213"/>
      <c r="G167" s="2219"/>
      <c r="H167" s="2213"/>
      <c r="I167" s="2213"/>
      <c r="J167" s="2213"/>
      <c r="K167" s="2213"/>
      <c r="L167" s="263"/>
      <c r="M167" s="2217">
        <f t="shared" si="14"/>
        <v>0.17509999999970205</v>
      </c>
      <c r="N167" s="2217">
        <f t="shared" si="10"/>
        <v>7813.9039999999995</v>
      </c>
      <c r="O167" s="2217">
        <f t="shared" si="15"/>
        <v>17.653999999999542</v>
      </c>
      <c r="P167" s="2212">
        <v>176</v>
      </c>
      <c r="Q167" s="2219"/>
      <c r="R167" s="2213"/>
      <c r="S167" s="2219"/>
      <c r="T167" s="2213"/>
      <c r="U167" s="2213"/>
      <c r="V167" s="2213"/>
      <c r="W167" s="2213"/>
      <c r="X167" s="2213"/>
    </row>
    <row r="168" spans="1:24">
      <c r="A168" s="2217">
        <f t="shared" si="11"/>
        <v>9.2499999999017035E-2</v>
      </c>
      <c r="B168" s="2217">
        <f t="shared" si="12"/>
        <v>9398.75</v>
      </c>
      <c r="C168" s="2217">
        <f t="shared" si="13"/>
        <v>15.18999999999869</v>
      </c>
      <c r="D168" s="2212">
        <v>175</v>
      </c>
      <c r="E168" s="2219"/>
      <c r="F168" s="2213"/>
      <c r="G168" s="2219"/>
      <c r="H168" s="2213"/>
      <c r="I168" s="2213"/>
      <c r="J168" s="2213"/>
      <c r="K168" s="2213"/>
      <c r="L168" s="263"/>
      <c r="M168" s="2217">
        <f t="shared" si="14"/>
        <v>0.23489999999947031</v>
      </c>
      <c r="N168" s="2217">
        <f t="shared" si="10"/>
        <v>7796.25</v>
      </c>
      <c r="O168" s="2217">
        <f t="shared" si="15"/>
        <v>17.745999999999185</v>
      </c>
      <c r="P168" s="2212">
        <v>175</v>
      </c>
      <c r="Q168" s="2219"/>
      <c r="R168" s="2213"/>
      <c r="S168" s="2219"/>
      <c r="T168" s="2213"/>
      <c r="U168" s="2213"/>
      <c r="V168" s="2213"/>
      <c r="W168" s="2213"/>
      <c r="X168" s="2213"/>
    </row>
    <row r="169" spans="1:24">
      <c r="A169" s="2217">
        <f t="shared" si="11"/>
        <v>0.2275000000019638</v>
      </c>
      <c r="B169" s="2217">
        <f t="shared" si="12"/>
        <v>9383.5600000000013</v>
      </c>
      <c r="C169" s="2217">
        <f t="shared" si="13"/>
        <v>15.370000000002619</v>
      </c>
      <c r="D169" s="2212">
        <v>174</v>
      </c>
      <c r="E169" s="2219"/>
      <c r="F169" s="2213"/>
      <c r="G169" s="2219"/>
      <c r="H169" s="2213"/>
      <c r="I169" s="2213"/>
      <c r="J169" s="2213"/>
      <c r="K169" s="2213"/>
      <c r="L169" s="263"/>
      <c r="M169" s="2217">
        <f t="shared" si="14"/>
        <v>0.29470000000101138</v>
      </c>
      <c r="N169" s="2217">
        <f t="shared" si="10"/>
        <v>7778.5040000000008</v>
      </c>
      <c r="O169" s="2217">
        <f t="shared" si="15"/>
        <v>17.838000000001557</v>
      </c>
      <c r="P169" s="2212">
        <v>174</v>
      </c>
      <c r="Q169" s="2219"/>
      <c r="R169" s="2213"/>
      <c r="S169" s="2219"/>
      <c r="T169" s="2213"/>
      <c r="U169" s="2213"/>
      <c r="V169" s="2213"/>
      <c r="W169" s="2213"/>
      <c r="X169" s="2213"/>
    </row>
    <row r="170" spans="1:24">
      <c r="A170" s="2217">
        <f t="shared" si="11"/>
        <v>0.36249999999808935</v>
      </c>
      <c r="B170" s="2217">
        <f t="shared" si="12"/>
        <v>9368.1899999999987</v>
      </c>
      <c r="C170" s="2217">
        <f t="shared" si="13"/>
        <v>15.549999999997453</v>
      </c>
      <c r="D170" s="2212">
        <v>173</v>
      </c>
      <c r="E170" s="2219"/>
      <c r="F170" s="2213"/>
      <c r="G170" s="2219"/>
      <c r="H170" s="2213"/>
      <c r="I170" s="2213"/>
      <c r="J170" s="2213"/>
      <c r="K170" s="2213"/>
      <c r="L170" s="263"/>
      <c r="M170" s="2217">
        <f t="shared" si="14"/>
        <v>0.35450000000018811</v>
      </c>
      <c r="N170" s="2217">
        <f t="shared" si="10"/>
        <v>7760.6659999999993</v>
      </c>
      <c r="O170" s="2217">
        <f t="shared" si="15"/>
        <v>17.930000000000291</v>
      </c>
      <c r="P170" s="2212">
        <v>173</v>
      </c>
      <c r="Q170" s="2219"/>
      <c r="R170" s="2213"/>
      <c r="S170" s="2219"/>
      <c r="T170" s="2213"/>
      <c r="U170" s="2213"/>
      <c r="V170" s="2213"/>
      <c r="W170" s="2213"/>
      <c r="X170" s="2213"/>
    </row>
    <row r="171" spans="1:24">
      <c r="A171" s="2217">
        <f t="shared" si="11"/>
        <v>0.49750000000103611</v>
      </c>
      <c r="B171" s="2217">
        <f t="shared" si="12"/>
        <v>9352.6400000000012</v>
      </c>
      <c r="C171" s="2217">
        <f t="shared" si="13"/>
        <v>15.730000000001382</v>
      </c>
      <c r="D171" s="2212">
        <v>172</v>
      </c>
      <c r="E171" s="2219"/>
      <c r="F171" s="2213"/>
      <c r="G171" s="2219"/>
      <c r="H171" s="2213"/>
      <c r="I171" s="2213"/>
      <c r="J171" s="2213"/>
      <c r="K171" s="2213"/>
      <c r="L171" s="263"/>
      <c r="M171" s="2217">
        <f t="shared" si="14"/>
        <v>0.41429999999995637</v>
      </c>
      <c r="N171" s="2217">
        <f t="shared" ref="N171:N234" si="16">N$33+(N$32*P171)-(N$31*(P171^2))+(N$30*(P171^3))</f>
        <v>7742.735999999999</v>
      </c>
      <c r="O171" s="2217">
        <f t="shared" si="15"/>
        <v>18.021999999999935</v>
      </c>
      <c r="P171" s="2212">
        <v>172</v>
      </c>
      <c r="Q171" s="2219"/>
      <c r="R171" s="2213"/>
      <c r="S171" s="2219"/>
      <c r="T171" s="2213"/>
      <c r="U171" s="2213"/>
      <c r="V171" s="2213"/>
      <c r="W171" s="2213"/>
      <c r="X171" s="2213"/>
    </row>
    <row r="172" spans="1:24">
      <c r="A172" s="2217">
        <f t="shared" ref="A172:A235" si="17">(C172*(B$8-B$10))-B$9</f>
        <v>0.63249999999989015</v>
      </c>
      <c r="B172" s="2217">
        <f t="shared" ref="B172:B235" si="18">B$33+(B$32*D172)-(B$31*(D172^2))+(B$30*(D172^3))</f>
        <v>9336.91</v>
      </c>
      <c r="C172" s="2217">
        <f t="shared" ref="C172:C235" si="19">B172-B173</f>
        <v>15.909999999999854</v>
      </c>
      <c r="D172" s="2212">
        <v>171</v>
      </c>
      <c r="E172" s="2219"/>
      <c r="F172" s="2213"/>
      <c r="G172" s="2219"/>
      <c r="H172" s="2213"/>
      <c r="I172" s="2213"/>
      <c r="J172" s="2213"/>
      <c r="K172" s="2213"/>
      <c r="L172" s="263"/>
      <c r="M172" s="2217">
        <f t="shared" ref="M172:M235" si="20">(O172*(N$8-N$10))-N$9</f>
        <v>0.47409999999913488</v>
      </c>
      <c r="N172" s="2217">
        <f t="shared" si="16"/>
        <v>7724.713999999999</v>
      </c>
      <c r="O172" s="2217">
        <f t="shared" ref="O172:O235" si="21">N172-N173</f>
        <v>18.113999999998668</v>
      </c>
      <c r="P172" s="2212">
        <v>171</v>
      </c>
      <c r="Q172" s="2219"/>
      <c r="R172" s="2213"/>
      <c r="S172" s="2219"/>
      <c r="T172" s="2213"/>
      <c r="U172" s="2213"/>
      <c r="V172" s="2213"/>
      <c r="W172" s="2213"/>
      <c r="X172" s="2213"/>
    </row>
    <row r="173" spans="1:24">
      <c r="A173" s="2217">
        <f t="shared" si="17"/>
        <v>0.76749999999874419</v>
      </c>
      <c r="B173" s="2217">
        <f t="shared" si="18"/>
        <v>9321</v>
      </c>
      <c r="C173" s="2217">
        <f t="shared" si="19"/>
        <v>16.089999999998327</v>
      </c>
      <c r="D173" s="2212">
        <v>170</v>
      </c>
      <c r="E173" s="2219"/>
      <c r="F173" s="2213"/>
      <c r="G173" s="2219"/>
      <c r="H173" s="2213"/>
      <c r="I173" s="2213"/>
      <c r="J173" s="2213"/>
      <c r="K173" s="2213"/>
      <c r="L173" s="263"/>
      <c r="M173" s="2217">
        <f t="shared" si="20"/>
        <v>0.53390000000008442</v>
      </c>
      <c r="N173" s="2217">
        <f t="shared" si="16"/>
        <v>7706.6</v>
      </c>
      <c r="O173" s="2217">
        <f t="shared" si="21"/>
        <v>18.206000000000131</v>
      </c>
      <c r="P173" s="2212">
        <v>170</v>
      </c>
      <c r="Q173" s="2219"/>
      <c r="R173" s="2213"/>
      <c r="S173" s="2219"/>
      <c r="T173" s="2213"/>
      <c r="U173" s="2213"/>
      <c r="V173" s="2213"/>
      <c r="W173" s="2213"/>
      <c r="X173" s="2213"/>
    </row>
    <row r="174" spans="1:24">
      <c r="A174" s="2217">
        <f t="shared" si="17"/>
        <v>0.90250000000169095</v>
      </c>
      <c r="B174" s="2217">
        <f t="shared" si="18"/>
        <v>9304.9100000000017</v>
      </c>
      <c r="C174" s="2217">
        <f t="shared" si="19"/>
        <v>16.270000000002256</v>
      </c>
      <c r="D174" s="2212">
        <v>169</v>
      </c>
      <c r="E174" s="2219"/>
      <c r="F174" s="2213"/>
      <c r="G174" s="2219"/>
      <c r="H174" s="2213"/>
      <c r="I174" s="2213"/>
      <c r="J174" s="2213"/>
      <c r="K174" s="2213"/>
      <c r="L174" s="263"/>
      <c r="M174" s="2217">
        <f t="shared" si="20"/>
        <v>0.59370000000044421</v>
      </c>
      <c r="N174" s="2217">
        <f t="shared" si="16"/>
        <v>7688.3940000000002</v>
      </c>
      <c r="O174" s="2217">
        <f t="shared" si="21"/>
        <v>18.298000000000684</v>
      </c>
      <c r="P174" s="2212">
        <v>169</v>
      </c>
      <c r="Q174" s="2219"/>
      <c r="R174" s="2213"/>
      <c r="S174" s="2219"/>
      <c r="T174" s="2213"/>
      <c r="U174" s="2213"/>
      <c r="V174" s="2213"/>
      <c r="W174" s="2213"/>
      <c r="X174" s="2213"/>
    </row>
    <row r="175" spans="1:24">
      <c r="A175" s="2217">
        <f t="shared" si="17"/>
        <v>1.0374999999991807</v>
      </c>
      <c r="B175" s="2217">
        <f t="shared" si="18"/>
        <v>9288.64</v>
      </c>
      <c r="C175" s="2217">
        <f t="shared" si="19"/>
        <v>16.449999999998909</v>
      </c>
      <c r="D175" s="2212">
        <v>168</v>
      </c>
      <c r="E175" s="2219"/>
      <c r="F175" s="2213"/>
      <c r="G175" s="2219"/>
      <c r="H175" s="2213"/>
      <c r="I175" s="2213"/>
      <c r="J175" s="2213"/>
      <c r="K175" s="2213"/>
      <c r="L175" s="263"/>
      <c r="M175" s="2217">
        <f t="shared" si="20"/>
        <v>0.65350000000080399</v>
      </c>
      <c r="N175" s="2217">
        <f t="shared" si="16"/>
        <v>7670.0959999999995</v>
      </c>
      <c r="O175" s="2217">
        <f t="shared" si="21"/>
        <v>18.390000000001237</v>
      </c>
      <c r="P175" s="2212">
        <v>168</v>
      </c>
      <c r="Q175" s="2219"/>
      <c r="R175" s="2213"/>
      <c r="S175" s="2219"/>
      <c r="T175" s="2213"/>
      <c r="U175" s="2213"/>
      <c r="V175" s="2213"/>
      <c r="W175" s="2213"/>
      <c r="X175" s="2213"/>
    </row>
    <row r="176" spans="1:24">
      <c r="A176" s="2217">
        <f t="shared" si="17"/>
        <v>1.172499999999399</v>
      </c>
      <c r="B176" s="2217">
        <f t="shared" si="18"/>
        <v>9272.19</v>
      </c>
      <c r="C176" s="2217">
        <f t="shared" si="19"/>
        <v>16.6299999999992</v>
      </c>
      <c r="D176" s="2212">
        <v>167</v>
      </c>
      <c r="E176" s="2219"/>
      <c r="F176" s="2213"/>
      <c r="G176" s="2219"/>
      <c r="H176" s="2213"/>
      <c r="I176" s="2213"/>
      <c r="J176" s="2213"/>
      <c r="K176" s="2213"/>
      <c r="L176" s="263"/>
      <c r="M176" s="2217">
        <f t="shared" si="20"/>
        <v>0.7132999999993892</v>
      </c>
      <c r="N176" s="2217">
        <f t="shared" si="16"/>
        <v>7651.7059999999983</v>
      </c>
      <c r="O176" s="2217">
        <f t="shared" si="21"/>
        <v>18.481999999999061</v>
      </c>
      <c r="P176" s="2212">
        <v>167</v>
      </c>
      <c r="Q176" s="2219"/>
      <c r="R176" s="2213"/>
      <c r="S176" s="2219"/>
      <c r="T176" s="2213"/>
      <c r="U176" s="2213"/>
      <c r="V176" s="2213"/>
      <c r="W176" s="2213"/>
      <c r="X176" s="2213"/>
    </row>
    <row r="177" spans="1:24">
      <c r="A177" s="2217">
        <f t="shared" si="17"/>
        <v>1.3075000000009815</v>
      </c>
      <c r="B177" s="2217">
        <f t="shared" si="18"/>
        <v>9255.5600000000013</v>
      </c>
      <c r="C177" s="2217">
        <f t="shared" si="19"/>
        <v>16.81000000000131</v>
      </c>
      <c r="D177" s="2212">
        <v>166</v>
      </c>
      <c r="E177" s="2219"/>
      <c r="F177" s="2213"/>
      <c r="G177" s="2219"/>
      <c r="H177" s="2213"/>
      <c r="I177" s="2213"/>
      <c r="J177" s="2213"/>
      <c r="K177" s="2213"/>
      <c r="L177" s="263"/>
      <c r="M177" s="2217">
        <f t="shared" si="20"/>
        <v>0.77309999999974899</v>
      </c>
      <c r="N177" s="2217">
        <f t="shared" si="16"/>
        <v>7633.2239999999993</v>
      </c>
      <c r="O177" s="2217">
        <f t="shared" si="21"/>
        <v>18.573999999999614</v>
      </c>
      <c r="P177" s="2212">
        <v>166</v>
      </c>
      <c r="Q177" s="2219"/>
      <c r="R177" s="2213"/>
      <c r="S177" s="2219"/>
      <c r="T177" s="2213"/>
      <c r="U177" s="2213"/>
      <c r="V177" s="2213"/>
      <c r="W177" s="2213"/>
      <c r="X177" s="2213"/>
    </row>
    <row r="178" spans="1:24">
      <c r="A178" s="2217">
        <f t="shared" si="17"/>
        <v>1.4424999999984713</v>
      </c>
      <c r="B178" s="2217">
        <f t="shared" si="18"/>
        <v>9238.75</v>
      </c>
      <c r="C178" s="2217">
        <f t="shared" si="19"/>
        <v>16.989999999997963</v>
      </c>
      <c r="D178" s="2212">
        <v>165</v>
      </c>
      <c r="E178" s="2219"/>
      <c r="F178" s="2213"/>
      <c r="G178" s="2219"/>
      <c r="H178" s="2213"/>
      <c r="I178" s="2213"/>
      <c r="J178" s="2213"/>
      <c r="K178" s="2213"/>
      <c r="L178" s="263"/>
      <c r="M178" s="2217">
        <f t="shared" si="20"/>
        <v>0.83289999999951725</v>
      </c>
      <c r="N178" s="2217">
        <f t="shared" si="16"/>
        <v>7614.65</v>
      </c>
      <c r="O178" s="2217">
        <f t="shared" si="21"/>
        <v>18.665999999999258</v>
      </c>
      <c r="P178" s="2212">
        <v>165</v>
      </c>
      <c r="Q178" s="2219"/>
      <c r="R178" s="2213"/>
      <c r="S178" s="2219"/>
      <c r="T178" s="2213"/>
      <c r="U178" s="2213"/>
      <c r="V178" s="2213"/>
      <c r="W178" s="2213"/>
      <c r="X178" s="2213"/>
    </row>
    <row r="179" spans="1:24">
      <c r="A179" s="2217">
        <f t="shared" si="17"/>
        <v>1.5775000000014181</v>
      </c>
      <c r="B179" s="2217">
        <f t="shared" si="18"/>
        <v>9221.760000000002</v>
      </c>
      <c r="C179" s="2217">
        <f t="shared" si="19"/>
        <v>17.170000000001892</v>
      </c>
      <c r="D179" s="2212">
        <v>164</v>
      </c>
      <c r="E179" s="2219"/>
      <c r="F179" s="2213"/>
      <c r="G179" s="2219"/>
      <c r="H179" s="2213"/>
      <c r="I179" s="2213"/>
      <c r="J179" s="2213"/>
      <c r="K179" s="2213"/>
      <c r="L179" s="263"/>
      <c r="M179" s="2217">
        <f t="shared" si="20"/>
        <v>0.89270000000046856</v>
      </c>
      <c r="N179" s="2217">
        <f t="shared" si="16"/>
        <v>7595.9840000000004</v>
      </c>
      <c r="O179" s="2217">
        <f t="shared" si="21"/>
        <v>18.75800000000072</v>
      </c>
      <c r="P179" s="2212">
        <v>164</v>
      </c>
      <c r="Q179" s="2219"/>
      <c r="R179" s="2213"/>
      <c r="S179" s="2219"/>
      <c r="T179" s="2213"/>
      <c r="U179" s="2213"/>
      <c r="V179" s="2213"/>
      <c r="W179" s="2213"/>
      <c r="X179" s="2213"/>
    </row>
    <row r="180" spans="1:24">
      <c r="A180" s="2217">
        <f t="shared" si="17"/>
        <v>1.7124999999989079</v>
      </c>
      <c r="B180" s="2217">
        <f t="shared" si="18"/>
        <v>9204.59</v>
      </c>
      <c r="C180" s="2217">
        <f t="shared" si="19"/>
        <v>17.349999999998545</v>
      </c>
      <c r="D180" s="2212">
        <v>163</v>
      </c>
      <c r="E180" s="2219"/>
      <c r="F180" s="2213"/>
      <c r="G180" s="2219"/>
      <c r="H180" s="2213"/>
      <c r="I180" s="2213"/>
      <c r="J180" s="2213"/>
      <c r="K180" s="2213"/>
      <c r="L180" s="263"/>
      <c r="M180" s="2217">
        <f t="shared" si="20"/>
        <v>0.95250000000082657</v>
      </c>
      <c r="N180" s="2217">
        <f t="shared" si="16"/>
        <v>7577.2259999999997</v>
      </c>
      <c r="O180" s="2217">
        <f t="shared" si="21"/>
        <v>18.850000000001273</v>
      </c>
      <c r="P180" s="2212">
        <v>163</v>
      </c>
      <c r="Q180" s="2219"/>
      <c r="R180" s="2213"/>
      <c r="S180" s="2219"/>
      <c r="T180" s="2213"/>
      <c r="U180" s="2213"/>
      <c r="V180" s="2213"/>
      <c r="W180" s="2213"/>
      <c r="X180" s="2213"/>
    </row>
    <row r="181" spans="1:24">
      <c r="A181" s="2217">
        <f t="shared" si="17"/>
        <v>1.8475000000004904</v>
      </c>
      <c r="B181" s="2217">
        <f t="shared" si="18"/>
        <v>9187.2400000000016</v>
      </c>
      <c r="C181" s="2217">
        <f t="shared" si="19"/>
        <v>17.530000000000655</v>
      </c>
      <c r="D181" s="2212">
        <v>162</v>
      </c>
      <c r="E181" s="2219"/>
      <c r="F181" s="2213"/>
      <c r="G181" s="2219"/>
      <c r="H181" s="2213"/>
      <c r="I181" s="2213"/>
      <c r="J181" s="2213"/>
      <c r="K181" s="2213"/>
      <c r="L181" s="263"/>
      <c r="M181" s="2217">
        <f t="shared" si="20"/>
        <v>1.0122999999994136</v>
      </c>
      <c r="N181" s="2217">
        <f t="shared" si="16"/>
        <v>7558.3759999999984</v>
      </c>
      <c r="O181" s="2217">
        <f t="shared" si="21"/>
        <v>18.941999999999098</v>
      </c>
      <c r="P181" s="2212">
        <v>162</v>
      </c>
      <c r="Q181" s="2219"/>
      <c r="R181" s="2213"/>
      <c r="S181" s="2219"/>
      <c r="T181" s="2213"/>
      <c r="U181" s="2213"/>
      <c r="V181" s="2213"/>
      <c r="W181" s="2213"/>
      <c r="X181" s="2213"/>
    </row>
    <row r="182" spans="1:24">
      <c r="A182" s="2217">
        <f t="shared" si="17"/>
        <v>1.9825000000007087</v>
      </c>
      <c r="B182" s="2217">
        <f t="shared" si="18"/>
        <v>9169.7100000000009</v>
      </c>
      <c r="C182" s="2217">
        <f t="shared" si="19"/>
        <v>17.710000000000946</v>
      </c>
      <c r="D182" s="2212">
        <v>161</v>
      </c>
      <c r="E182" s="2219"/>
      <c r="F182" s="2213"/>
      <c r="G182" s="2219"/>
      <c r="H182" s="2213"/>
      <c r="I182" s="2213"/>
      <c r="J182" s="2213"/>
      <c r="K182" s="2213"/>
      <c r="L182" s="263"/>
      <c r="M182" s="2217">
        <f t="shared" si="20"/>
        <v>1.0720999999997733</v>
      </c>
      <c r="N182" s="2217">
        <f t="shared" si="16"/>
        <v>7539.4339999999993</v>
      </c>
      <c r="O182" s="2217">
        <f t="shared" si="21"/>
        <v>19.033999999999651</v>
      </c>
      <c r="P182" s="2212">
        <v>161</v>
      </c>
      <c r="Q182" s="2219"/>
      <c r="R182" s="2213"/>
      <c r="S182" s="2219"/>
      <c r="T182" s="2213"/>
      <c r="U182" s="2213"/>
      <c r="V182" s="2213"/>
      <c r="W182" s="2213"/>
      <c r="X182" s="2213"/>
    </row>
    <row r="183" spans="1:24">
      <c r="A183" s="2217">
        <f t="shared" si="17"/>
        <v>2.1174999999995627</v>
      </c>
      <c r="B183" s="2217">
        <f t="shared" si="18"/>
        <v>9152</v>
      </c>
      <c r="C183" s="2217">
        <f t="shared" si="19"/>
        <v>17.889999999999418</v>
      </c>
      <c r="D183" s="2212">
        <v>160</v>
      </c>
      <c r="E183" s="2219"/>
      <c r="F183" s="2213"/>
      <c r="G183" s="2219"/>
      <c r="H183" s="2213"/>
      <c r="I183" s="2213"/>
      <c r="J183" s="2213"/>
      <c r="K183" s="2213"/>
      <c r="L183" s="263"/>
      <c r="M183" s="2217">
        <f t="shared" si="20"/>
        <v>1.1318999999989501</v>
      </c>
      <c r="N183" s="2217">
        <f t="shared" si="16"/>
        <v>7520.4</v>
      </c>
      <c r="O183" s="2217">
        <f t="shared" si="21"/>
        <v>19.125999999998385</v>
      </c>
      <c r="P183" s="2212">
        <v>160</v>
      </c>
      <c r="Q183" s="2219"/>
      <c r="R183" s="2213"/>
      <c r="S183" s="2219"/>
      <c r="T183" s="2213"/>
      <c r="U183" s="2213"/>
      <c r="V183" s="2213"/>
      <c r="W183" s="2213"/>
      <c r="X183" s="2213"/>
    </row>
    <row r="184" spans="1:24">
      <c r="A184" s="2217">
        <f t="shared" si="17"/>
        <v>2.2525000000011453</v>
      </c>
      <c r="B184" s="2217">
        <f t="shared" si="18"/>
        <v>9134.11</v>
      </c>
      <c r="C184" s="2217">
        <f t="shared" si="19"/>
        <v>18.070000000001528</v>
      </c>
      <c r="D184" s="2212">
        <v>159</v>
      </c>
      <c r="E184" s="2219"/>
      <c r="F184" s="2213"/>
      <c r="G184" s="2219"/>
      <c r="H184" s="2213"/>
      <c r="I184" s="2213"/>
      <c r="J184" s="2213"/>
      <c r="K184" s="2213"/>
      <c r="L184" s="263"/>
      <c r="M184" s="2217">
        <f t="shared" si="20"/>
        <v>1.1917000000010827</v>
      </c>
      <c r="N184" s="2217">
        <f t="shared" si="16"/>
        <v>7501.2740000000013</v>
      </c>
      <c r="O184" s="2217">
        <f t="shared" si="21"/>
        <v>19.218000000001666</v>
      </c>
      <c r="P184" s="2212">
        <v>159</v>
      </c>
      <c r="Q184" s="2219"/>
      <c r="R184" s="2213"/>
      <c r="S184" s="2219"/>
      <c r="T184" s="2213"/>
      <c r="U184" s="2213"/>
      <c r="V184" s="2213"/>
      <c r="W184" s="2213"/>
      <c r="X184" s="2213"/>
    </row>
    <row r="185" spans="1:24">
      <c r="A185" s="2217">
        <f t="shared" si="17"/>
        <v>2.387499999998635</v>
      </c>
      <c r="B185" s="2217">
        <f t="shared" si="18"/>
        <v>9116.0399999999991</v>
      </c>
      <c r="C185" s="2217">
        <f t="shared" si="19"/>
        <v>18.249999999998181</v>
      </c>
      <c r="D185" s="2212">
        <v>158</v>
      </c>
      <c r="E185" s="2219"/>
      <c r="F185" s="2213"/>
      <c r="G185" s="2219"/>
      <c r="H185" s="2213"/>
      <c r="I185" s="2213"/>
      <c r="J185" s="2213"/>
      <c r="K185" s="2213"/>
      <c r="L185" s="263"/>
      <c r="M185" s="2217">
        <f t="shared" si="20"/>
        <v>1.2515000000008509</v>
      </c>
      <c r="N185" s="2217">
        <f t="shared" si="16"/>
        <v>7482.0559999999996</v>
      </c>
      <c r="O185" s="2217">
        <f t="shared" si="21"/>
        <v>19.31000000000131</v>
      </c>
      <c r="P185" s="2212">
        <v>158</v>
      </c>
      <c r="Q185" s="2219"/>
      <c r="R185" s="2213"/>
      <c r="S185" s="2219"/>
      <c r="T185" s="2213"/>
      <c r="U185" s="2213"/>
      <c r="V185" s="2213"/>
      <c r="W185" s="2213"/>
      <c r="X185" s="2213"/>
    </row>
    <row r="186" spans="1:24">
      <c r="A186" s="2217">
        <f t="shared" si="17"/>
        <v>2.5225000000002176</v>
      </c>
      <c r="B186" s="2217">
        <f t="shared" si="18"/>
        <v>9097.7900000000009</v>
      </c>
      <c r="C186" s="2217">
        <f t="shared" si="19"/>
        <v>18.430000000000291</v>
      </c>
      <c r="D186" s="2212">
        <v>157</v>
      </c>
      <c r="E186" s="2219"/>
      <c r="F186" s="2213"/>
      <c r="G186" s="2219"/>
      <c r="H186" s="2213"/>
      <c r="I186" s="2213"/>
      <c r="J186" s="2213"/>
      <c r="K186" s="2213"/>
      <c r="L186" s="263"/>
      <c r="M186" s="2217">
        <f t="shared" si="20"/>
        <v>1.3112999999994361</v>
      </c>
      <c r="N186" s="2217">
        <f t="shared" si="16"/>
        <v>7462.7459999999983</v>
      </c>
      <c r="O186" s="2217">
        <f t="shared" si="21"/>
        <v>19.401999999999134</v>
      </c>
      <c r="P186" s="2212">
        <v>157</v>
      </c>
      <c r="Q186" s="2219"/>
      <c r="R186" s="2213"/>
      <c r="S186" s="2219"/>
      <c r="T186" s="2213"/>
      <c r="U186" s="2213"/>
      <c r="V186" s="2213"/>
      <c r="W186" s="2213"/>
      <c r="X186" s="2213"/>
    </row>
    <row r="187" spans="1:24">
      <c r="A187" s="2217">
        <f t="shared" si="17"/>
        <v>2.6575000000004358</v>
      </c>
      <c r="B187" s="2217">
        <f t="shared" si="18"/>
        <v>9079.36</v>
      </c>
      <c r="C187" s="2217">
        <f t="shared" si="19"/>
        <v>18.610000000000582</v>
      </c>
      <c r="D187" s="2212">
        <v>156</v>
      </c>
      <c r="E187" s="2219"/>
      <c r="F187" s="2213"/>
      <c r="G187" s="2219"/>
      <c r="H187" s="2213"/>
      <c r="I187" s="2213"/>
      <c r="J187" s="2213"/>
      <c r="K187" s="2213"/>
      <c r="L187" s="263"/>
      <c r="M187" s="2217">
        <f t="shared" si="20"/>
        <v>1.3710999999992044</v>
      </c>
      <c r="N187" s="2217">
        <f t="shared" si="16"/>
        <v>7443.3439999999991</v>
      </c>
      <c r="O187" s="2217">
        <f t="shared" si="21"/>
        <v>19.493999999998778</v>
      </c>
      <c r="P187" s="2212">
        <v>156</v>
      </c>
      <c r="Q187" s="2219"/>
      <c r="R187" s="2213"/>
      <c r="S187" s="2219"/>
      <c r="T187" s="2213"/>
      <c r="U187" s="2213"/>
      <c r="V187" s="2213"/>
      <c r="W187" s="2213"/>
      <c r="X187" s="2213"/>
    </row>
    <row r="188" spans="1:24">
      <c r="A188" s="2217">
        <f t="shared" si="17"/>
        <v>2.7924999999992899</v>
      </c>
      <c r="B188" s="2217">
        <f t="shared" si="18"/>
        <v>9060.75</v>
      </c>
      <c r="C188" s="2217">
        <f t="shared" si="19"/>
        <v>18.789999999999054</v>
      </c>
      <c r="D188" s="2212">
        <v>155</v>
      </c>
      <c r="E188" s="2219"/>
      <c r="F188" s="2213"/>
      <c r="G188" s="2219"/>
      <c r="H188" s="2213"/>
      <c r="I188" s="2213"/>
      <c r="J188" s="2213"/>
      <c r="K188" s="2213"/>
      <c r="L188" s="263"/>
      <c r="M188" s="2217">
        <f t="shared" si="20"/>
        <v>1.4308999999995642</v>
      </c>
      <c r="N188" s="2217">
        <f t="shared" si="16"/>
        <v>7423.85</v>
      </c>
      <c r="O188" s="2217">
        <f t="shared" si="21"/>
        <v>19.585999999999331</v>
      </c>
      <c r="P188" s="2212">
        <v>155</v>
      </c>
      <c r="Q188" s="2219"/>
      <c r="R188" s="2213"/>
      <c r="S188" s="2219"/>
      <c r="T188" s="2213"/>
      <c r="U188" s="2213"/>
      <c r="V188" s="2213"/>
      <c r="W188" s="2213"/>
      <c r="X188" s="2213"/>
    </row>
    <row r="189" spans="1:24">
      <c r="A189" s="2217">
        <f t="shared" si="17"/>
        <v>2.9275000000008724</v>
      </c>
      <c r="B189" s="2217">
        <f t="shared" si="18"/>
        <v>9041.9600000000009</v>
      </c>
      <c r="C189" s="2217">
        <f t="shared" si="19"/>
        <v>18.970000000001164</v>
      </c>
      <c r="D189" s="2212">
        <v>154</v>
      </c>
      <c r="E189" s="2219"/>
      <c r="F189" s="2213"/>
      <c r="G189" s="2219"/>
      <c r="H189" s="2213"/>
      <c r="I189" s="2213"/>
      <c r="J189" s="2213"/>
      <c r="K189" s="2213"/>
      <c r="L189" s="263"/>
      <c r="M189" s="2217">
        <f t="shared" si="20"/>
        <v>1.490700000001107</v>
      </c>
      <c r="N189" s="2217">
        <f t="shared" si="16"/>
        <v>7404.264000000001</v>
      </c>
      <c r="O189" s="2217">
        <f t="shared" si="21"/>
        <v>19.678000000001703</v>
      </c>
      <c r="P189" s="2212">
        <v>154</v>
      </c>
      <c r="Q189" s="2219"/>
      <c r="R189" s="2213"/>
      <c r="S189" s="2219"/>
      <c r="T189" s="2213"/>
      <c r="U189" s="2213"/>
      <c r="V189" s="2213"/>
      <c r="W189" s="2213"/>
      <c r="X189" s="2213"/>
    </row>
    <row r="190" spans="1:24">
      <c r="A190" s="2217">
        <f t="shared" si="17"/>
        <v>3.0624999999997264</v>
      </c>
      <c r="B190" s="2217">
        <f t="shared" si="18"/>
        <v>9022.99</v>
      </c>
      <c r="C190" s="2217">
        <f t="shared" si="19"/>
        <v>19.149999999999636</v>
      </c>
      <c r="D190" s="2212">
        <v>153</v>
      </c>
      <c r="E190" s="2219"/>
      <c r="F190" s="2213"/>
      <c r="G190" s="2219"/>
      <c r="H190" s="2213"/>
      <c r="I190" s="2213"/>
      <c r="J190" s="2213"/>
      <c r="K190" s="2213"/>
      <c r="L190" s="263"/>
      <c r="M190" s="2217">
        <f t="shared" si="20"/>
        <v>1.5505000000002838</v>
      </c>
      <c r="N190" s="2217">
        <f t="shared" si="16"/>
        <v>7384.5859999999993</v>
      </c>
      <c r="O190" s="2217">
        <f t="shared" si="21"/>
        <v>19.770000000000437</v>
      </c>
      <c r="P190" s="2212">
        <v>153</v>
      </c>
      <c r="Q190" s="2219"/>
      <c r="R190" s="2213"/>
      <c r="S190" s="2219"/>
      <c r="T190" s="2213"/>
      <c r="U190" s="2213"/>
      <c r="V190" s="2213"/>
      <c r="W190" s="2213"/>
      <c r="X190" s="2213"/>
    </row>
    <row r="191" spans="1:24">
      <c r="A191" s="2217">
        <f t="shared" si="17"/>
        <v>3.1974999999999447</v>
      </c>
      <c r="B191" s="2217">
        <f t="shared" si="18"/>
        <v>9003.84</v>
      </c>
      <c r="C191" s="2217">
        <f t="shared" si="19"/>
        <v>19.329999999999927</v>
      </c>
      <c r="D191" s="2212">
        <v>152</v>
      </c>
      <c r="E191" s="2219"/>
      <c r="F191" s="2213"/>
      <c r="G191" s="2219"/>
      <c r="H191" s="2213"/>
      <c r="I191" s="2213"/>
      <c r="J191" s="2213"/>
      <c r="K191" s="2213"/>
      <c r="L191" s="263"/>
      <c r="M191" s="2217">
        <f t="shared" si="20"/>
        <v>1.6102999999994605</v>
      </c>
      <c r="N191" s="2217">
        <f t="shared" si="16"/>
        <v>7364.8159999999989</v>
      </c>
      <c r="O191" s="2217">
        <f t="shared" si="21"/>
        <v>19.861999999999171</v>
      </c>
      <c r="P191" s="2212">
        <v>152</v>
      </c>
      <c r="Q191" s="2219"/>
      <c r="R191" s="2213"/>
      <c r="S191" s="2219"/>
      <c r="T191" s="2213"/>
      <c r="U191" s="2213"/>
      <c r="V191" s="2213"/>
      <c r="W191" s="2213"/>
      <c r="X191" s="2213"/>
    </row>
    <row r="192" spans="1:24">
      <c r="A192" s="2217">
        <f t="shared" si="17"/>
        <v>3.332500000000163</v>
      </c>
      <c r="B192" s="2217">
        <f t="shared" si="18"/>
        <v>8984.51</v>
      </c>
      <c r="C192" s="2217">
        <f t="shared" si="19"/>
        <v>19.510000000000218</v>
      </c>
      <c r="D192" s="2212">
        <v>151</v>
      </c>
      <c r="E192" s="2219"/>
      <c r="F192" s="2213"/>
      <c r="G192" s="2219"/>
      <c r="H192" s="2213"/>
      <c r="I192" s="2213"/>
      <c r="J192" s="2213"/>
      <c r="K192" s="2213"/>
      <c r="L192" s="263"/>
      <c r="M192" s="2217">
        <f t="shared" si="20"/>
        <v>1.6700999999998203</v>
      </c>
      <c r="N192" s="2217">
        <f t="shared" si="16"/>
        <v>7344.9539999999997</v>
      </c>
      <c r="O192" s="2217">
        <f t="shared" si="21"/>
        <v>19.953999999999724</v>
      </c>
      <c r="P192" s="2212">
        <v>151</v>
      </c>
      <c r="Q192" s="2219"/>
      <c r="R192" s="2213"/>
      <c r="S192" s="2219"/>
      <c r="T192" s="2213"/>
      <c r="U192" s="2213"/>
      <c r="V192" s="2213"/>
      <c r="W192" s="2213"/>
      <c r="X192" s="2213"/>
    </row>
    <row r="193" spans="1:24">
      <c r="A193" s="2217">
        <f t="shared" si="17"/>
        <v>3.467499999999017</v>
      </c>
      <c r="B193" s="2217">
        <f t="shared" si="18"/>
        <v>8965</v>
      </c>
      <c r="C193" s="2217">
        <f t="shared" si="19"/>
        <v>19.68999999999869</v>
      </c>
      <c r="D193" s="2212">
        <v>150</v>
      </c>
      <c r="E193" s="2219"/>
      <c r="F193" s="2213"/>
      <c r="G193" s="2219"/>
      <c r="H193" s="2213"/>
      <c r="I193" s="2213"/>
      <c r="J193" s="2213"/>
      <c r="K193" s="2213"/>
      <c r="L193" s="263"/>
      <c r="M193" s="2217">
        <f t="shared" si="20"/>
        <v>1.7298999999995885</v>
      </c>
      <c r="N193" s="2217">
        <f t="shared" si="16"/>
        <v>7325</v>
      </c>
      <c r="O193" s="2217">
        <f t="shared" si="21"/>
        <v>20.045999999999367</v>
      </c>
      <c r="P193" s="2212">
        <v>150</v>
      </c>
      <c r="Q193" s="2219"/>
      <c r="R193" s="2213"/>
      <c r="S193" s="2219"/>
      <c r="T193" s="2213"/>
      <c r="U193" s="2213"/>
      <c r="V193" s="2213"/>
      <c r="W193" s="2213"/>
      <c r="X193" s="2213"/>
    </row>
    <row r="194" spans="1:24">
      <c r="A194" s="2217">
        <f t="shared" si="17"/>
        <v>3.6025000000019638</v>
      </c>
      <c r="B194" s="2217">
        <f t="shared" si="18"/>
        <v>8945.3100000000013</v>
      </c>
      <c r="C194" s="2217">
        <f t="shared" si="19"/>
        <v>19.870000000002619</v>
      </c>
      <c r="D194" s="2212">
        <v>149</v>
      </c>
      <c r="E194" s="2219"/>
      <c r="F194" s="2213"/>
      <c r="G194" s="2219"/>
      <c r="H194" s="2213"/>
      <c r="I194" s="2213"/>
      <c r="J194" s="2213"/>
      <c r="K194" s="2213"/>
      <c r="L194" s="263"/>
      <c r="M194" s="2217">
        <f t="shared" si="20"/>
        <v>1.7897000000005381</v>
      </c>
      <c r="N194" s="2217">
        <f t="shared" si="16"/>
        <v>7304.9540000000006</v>
      </c>
      <c r="O194" s="2217">
        <f t="shared" si="21"/>
        <v>20.138000000000829</v>
      </c>
      <c r="P194" s="2212">
        <v>149</v>
      </c>
      <c r="Q194" s="2219"/>
      <c r="R194" s="2213"/>
      <c r="S194" s="2219"/>
      <c r="T194" s="2213"/>
      <c r="U194" s="2213"/>
      <c r="V194" s="2213"/>
      <c r="W194" s="2213"/>
      <c r="X194" s="2213"/>
    </row>
    <row r="195" spans="1:24">
      <c r="A195" s="2217">
        <f t="shared" si="17"/>
        <v>3.7374999999980894</v>
      </c>
      <c r="B195" s="2217">
        <f t="shared" si="18"/>
        <v>8925.4399999999987</v>
      </c>
      <c r="C195" s="2217">
        <f t="shared" si="19"/>
        <v>20.049999999997453</v>
      </c>
      <c r="D195" s="2212">
        <v>148</v>
      </c>
      <c r="E195" s="2219"/>
      <c r="F195" s="2213"/>
      <c r="G195" s="2219"/>
      <c r="H195" s="2213"/>
      <c r="I195" s="2213"/>
      <c r="J195" s="2213"/>
      <c r="K195" s="2213"/>
      <c r="L195" s="263"/>
      <c r="M195" s="2217">
        <f t="shared" si="20"/>
        <v>1.8495000000008979</v>
      </c>
      <c r="N195" s="2217">
        <f t="shared" si="16"/>
        <v>7284.8159999999998</v>
      </c>
      <c r="O195" s="2217">
        <f t="shared" si="21"/>
        <v>20.230000000001382</v>
      </c>
      <c r="P195" s="2212">
        <v>148</v>
      </c>
      <c r="Q195" s="2219"/>
      <c r="R195" s="2213"/>
      <c r="S195" s="2219"/>
      <c r="T195" s="2213"/>
      <c r="U195" s="2213"/>
      <c r="V195" s="2213"/>
      <c r="W195" s="2213"/>
      <c r="X195" s="2213"/>
    </row>
    <row r="196" spans="1:24">
      <c r="A196" s="2217">
        <f t="shared" si="17"/>
        <v>3.8725000000010361</v>
      </c>
      <c r="B196" s="2217">
        <f t="shared" si="18"/>
        <v>8905.3900000000012</v>
      </c>
      <c r="C196" s="2217">
        <f t="shared" si="19"/>
        <v>20.230000000001382</v>
      </c>
      <c r="D196" s="2212">
        <v>147</v>
      </c>
      <c r="E196" s="2219"/>
      <c r="F196" s="2213"/>
      <c r="G196" s="2219"/>
      <c r="H196" s="2213"/>
      <c r="I196" s="2213"/>
      <c r="J196" s="2213"/>
      <c r="K196" s="2213"/>
      <c r="L196" s="263"/>
      <c r="M196" s="2217">
        <f t="shared" si="20"/>
        <v>1.9092999999994849</v>
      </c>
      <c r="N196" s="2217">
        <f t="shared" si="16"/>
        <v>7264.5859999999984</v>
      </c>
      <c r="O196" s="2217">
        <f t="shared" si="21"/>
        <v>20.321999999999207</v>
      </c>
      <c r="P196" s="2212">
        <v>147</v>
      </c>
      <c r="Q196" s="2219"/>
      <c r="R196" s="2213"/>
      <c r="S196" s="2219"/>
      <c r="T196" s="2213"/>
      <c r="U196" s="2213"/>
      <c r="V196" s="2213"/>
      <c r="W196" s="2213"/>
      <c r="X196" s="2213"/>
    </row>
    <row r="197" spans="1:24">
      <c r="A197" s="2217">
        <f t="shared" si="17"/>
        <v>4.0074999999998902</v>
      </c>
      <c r="B197" s="2217">
        <f t="shared" si="18"/>
        <v>8885.16</v>
      </c>
      <c r="C197" s="2217">
        <f t="shared" si="19"/>
        <v>20.409999999999854</v>
      </c>
      <c r="D197" s="2212">
        <v>146</v>
      </c>
      <c r="E197" s="2219"/>
      <c r="F197" s="2213"/>
      <c r="G197" s="2219"/>
      <c r="H197" s="2213"/>
      <c r="I197" s="2213"/>
      <c r="J197" s="2213"/>
      <c r="K197" s="2213"/>
      <c r="L197" s="263"/>
      <c r="M197" s="2217">
        <f t="shared" si="20"/>
        <v>1.9690999999992531</v>
      </c>
      <c r="N197" s="2217">
        <f t="shared" si="16"/>
        <v>7244.2639999999992</v>
      </c>
      <c r="O197" s="2217">
        <f t="shared" si="21"/>
        <v>20.41399999999885</v>
      </c>
      <c r="P197" s="2212">
        <v>146</v>
      </c>
      <c r="Q197" s="2219"/>
      <c r="R197" s="2213"/>
      <c r="S197" s="2219"/>
      <c r="T197" s="2213"/>
      <c r="U197" s="2213"/>
      <c r="V197" s="2213"/>
      <c r="W197" s="2213"/>
      <c r="X197" s="2213"/>
    </row>
    <row r="198" spans="1:24">
      <c r="A198" s="2217">
        <f t="shared" si="17"/>
        <v>4.1424999999987442</v>
      </c>
      <c r="B198" s="2217">
        <f t="shared" si="18"/>
        <v>8864.75</v>
      </c>
      <c r="C198" s="2217">
        <f t="shared" si="19"/>
        <v>20.589999999998327</v>
      </c>
      <c r="D198" s="2212">
        <v>145</v>
      </c>
      <c r="E198" s="2219"/>
      <c r="F198" s="2213"/>
      <c r="G198" s="2219"/>
      <c r="H198" s="2213"/>
      <c r="I198" s="2213"/>
      <c r="J198" s="2213"/>
      <c r="K198" s="2213"/>
      <c r="L198" s="263"/>
      <c r="M198" s="2217">
        <f t="shared" si="20"/>
        <v>2.0289000000002027</v>
      </c>
      <c r="N198" s="2217">
        <f t="shared" si="16"/>
        <v>7223.85</v>
      </c>
      <c r="O198" s="2217">
        <f t="shared" si="21"/>
        <v>20.506000000000313</v>
      </c>
      <c r="P198" s="2212">
        <v>145</v>
      </c>
      <c r="Q198" s="2219"/>
      <c r="R198" s="2213"/>
      <c r="S198" s="2219"/>
      <c r="T198" s="2213"/>
      <c r="U198" s="2213"/>
      <c r="V198" s="2213"/>
      <c r="W198" s="2213"/>
      <c r="X198" s="2213"/>
    </row>
    <row r="199" spans="1:24">
      <c r="A199" s="2217">
        <f t="shared" si="17"/>
        <v>4.2775000000016909</v>
      </c>
      <c r="B199" s="2217">
        <f t="shared" si="18"/>
        <v>8844.1600000000017</v>
      </c>
      <c r="C199" s="2217">
        <f t="shared" si="19"/>
        <v>20.770000000002256</v>
      </c>
      <c r="D199" s="2212">
        <v>144</v>
      </c>
      <c r="E199" s="2219"/>
      <c r="F199" s="2213"/>
      <c r="G199" s="2219"/>
      <c r="H199" s="2213"/>
      <c r="I199" s="2213"/>
      <c r="J199" s="2213"/>
      <c r="K199" s="2213"/>
      <c r="L199" s="263"/>
      <c r="M199" s="2217">
        <f t="shared" si="20"/>
        <v>2.0887000000005624</v>
      </c>
      <c r="N199" s="2217">
        <f t="shared" si="16"/>
        <v>7203.3440000000001</v>
      </c>
      <c r="O199" s="2217">
        <f t="shared" si="21"/>
        <v>20.598000000000866</v>
      </c>
      <c r="P199" s="2212">
        <v>144</v>
      </c>
      <c r="Q199" s="2219"/>
      <c r="R199" s="2213"/>
      <c r="S199" s="2219"/>
      <c r="T199" s="2213"/>
      <c r="U199" s="2213"/>
      <c r="V199" s="2213"/>
      <c r="W199" s="2213"/>
      <c r="X199" s="2213"/>
    </row>
    <row r="200" spans="1:24">
      <c r="A200" s="2217">
        <f t="shared" si="17"/>
        <v>4.4124999999991807</v>
      </c>
      <c r="B200" s="2217">
        <f t="shared" si="18"/>
        <v>8823.39</v>
      </c>
      <c r="C200" s="2217">
        <f t="shared" si="19"/>
        <v>20.949999999998909</v>
      </c>
      <c r="D200" s="2212">
        <v>143</v>
      </c>
      <c r="E200" s="2219"/>
      <c r="F200" s="2213"/>
      <c r="G200" s="2219"/>
      <c r="H200" s="2213"/>
      <c r="I200" s="2213"/>
      <c r="J200" s="2213"/>
      <c r="K200" s="2213"/>
      <c r="L200" s="263"/>
      <c r="M200" s="2217">
        <f t="shared" si="20"/>
        <v>2.1484999999997392</v>
      </c>
      <c r="N200" s="2217">
        <f t="shared" si="16"/>
        <v>7182.7459999999992</v>
      </c>
      <c r="O200" s="2217">
        <f t="shared" si="21"/>
        <v>20.6899999999996</v>
      </c>
      <c r="P200" s="2212">
        <v>143</v>
      </c>
      <c r="Q200" s="2219"/>
      <c r="R200" s="2213"/>
      <c r="S200" s="2219"/>
      <c r="T200" s="2213"/>
      <c r="U200" s="2213"/>
      <c r="V200" s="2213"/>
      <c r="W200" s="2213"/>
      <c r="X200" s="2213"/>
    </row>
    <row r="201" spans="1:24">
      <c r="A201" s="2217">
        <f t="shared" si="17"/>
        <v>4.547499999999399</v>
      </c>
      <c r="B201" s="2217">
        <f t="shared" si="18"/>
        <v>8802.44</v>
      </c>
      <c r="C201" s="2217">
        <f t="shared" si="19"/>
        <v>21.1299999999992</v>
      </c>
      <c r="D201" s="2212">
        <v>142</v>
      </c>
      <c r="E201" s="2219"/>
      <c r="F201" s="2213"/>
      <c r="G201" s="2219"/>
      <c r="H201" s="2213"/>
      <c r="I201" s="2213"/>
      <c r="J201" s="2213"/>
      <c r="K201" s="2213"/>
      <c r="L201" s="263"/>
      <c r="M201" s="2217">
        <f t="shared" si="20"/>
        <v>2.208300000000099</v>
      </c>
      <c r="N201" s="2217">
        <f t="shared" si="16"/>
        <v>7162.0559999999996</v>
      </c>
      <c r="O201" s="2217">
        <f t="shared" si="21"/>
        <v>20.782000000000153</v>
      </c>
      <c r="P201" s="2212">
        <v>142</v>
      </c>
      <c r="Q201" s="2219"/>
      <c r="R201" s="2213"/>
      <c r="S201" s="2219"/>
      <c r="T201" s="2213"/>
      <c r="U201" s="2213"/>
      <c r="V201" s="2213"/>
      <c r="W201" s="2213"/>
      <c r="X201" s="2213"/>
    </row>
    <row r="202" spans="1:24">
      <c r="A202" s="2217">
        <f t="shared" si="17"/>
        <v>4.6825000000009815</v>
      </c>
      <c r="B202" s="2217">
        <f t="shared" si="18"/>
        <v>8781.3100000000013</v>
      </c>
      <c r="C202" s="2217">
        <f t="shared" si="19"/>
        <v>21.31000000000131</v>
      </c>
      <c r="D202" s="2212">
        <v>141</v>
      </c>
      <c r="E202" s="2219"/>
      <c r="F202" s="2213"/>
      <c r="G202" s="2219"/>
      <c r="H202" s="2213"/>
      <c r="I202" s="2213"/>
      <c r="J202" s="2213"/>
      <c r="K202" s="2213"/>
      <c r="L202" s="263"/>
      <c r="M202" s="2217">
        <f t="shared" si="20"/>
        <v>2.2680999999998672</v>
      </c>
      <c r="N202" s="2217">
        <f t="shared" si="16"/>
        <v>7141.2739999999994</v>
      </c>
      <c r="O202" s="2217">
        <f t="shared" si="21"/>
        <v>20.873999999999796</v>
      </c>
      <c r="P202" s="2212">
        <v>141</v>
      </c>
      <c r="Q202" s="2219"/>
      <c r="R202" s="2213"/>
      <c r="S202" s="2219"/>
      <c r="T202" s="2213"/>
      <c r="U202" s="2213"/>
      <c r="V202" s="2213"/>
      <c r="W202" s="2213"/>
      <c r="X202" s="2213"/>
    </row>
    <row r="203" spans="1:24">
      <c r="A203" s="2217">
        <f t="shared" si="17"/>
        <v>4.8174999999984713</v>
      </c>
      <c r="B203" s="2217">
        <f t="shared" si="18"/>
        <v>8760</v>
      </c>
      <c r="C203" s="2217">
        <f t="shared" si="19"/>
        <v>21.489999999997963</v>
      </c>
      <c r="D203" s="2212">
        <v>140</v>
      </c>
      <c r="E203" s="2219"/>
      <c r="F203" s="2213"/>
      <c r="G203" s="2219"/>
      <c r="H203" s="2213"/>
      <c r="I203" s="2213"/>
      <c r="J203" s="2213"/>
      <c r="K203" s="2213"/>
      <c r="L203" s="263"/>
      <c r="M203" s="2217">
        <f t="shared" si="20"/>
        <v>2.3278999999996355</v>
      </c>
      <c r="N203" s="2217">
        <f t="shared" si="16"/>
        <v>7120.4</v>
      </c>
      <c r="O203" s="2217">
        <f t="shared" si="21"/>
        <v>20.96599999999944</v>
      </c>
      <c r="P203" s="2212">
        <v>140</v>
      </c>
      <c r="Q203" s="2219"/>
      <c r="R203" s="2213"/>
      <c r="S203" s="2219"/>
      <c r="T203" s="2213"/>
      <c r="U203" s="2213"/>
      <c r="V203" s="2213"/>
      <c r="W203" s="2213"/>
      <c r="X203" s="2213"/>
    </row>
    <row r="204" spans="1:24">
      <c r="A204" s="2217">
        <f t="shared" si="17"/>
        <v>4.9525000000014181</v>
      </c>
      <c r="B204" s="2217">
        <f t="shared" si="18"/>
        <v>8738.510000000002</v>
      </c>
      <c r="C204" s="2217">
        <f t="shared" si="19"/>
        <v>21.670000000001892</v>
      </c>
      <c r="D204" s="2212">
        <v>139</v>
      </c>
      <c r="E204" s="2219"/>
      <c r="F204" s="2213"/>
      <c r="G204" s="2219"/>
      <c r="H204" s="2213"/>
      <c r="I204" s="2213"/>
      <c r="J204" s="2213"/>
      <c r="K204" s="2213"/>
      <c r="L204" s="263"/>
      <c r="M204" s="2217">
        <f t="shared" si="20"/>
        <v>2.3877000000005868</v>
      </c>
      <c r="N204" s="2217">
        <f t="shared" si="16"/>
        <v>7099.4340000000002</v>
      </c>
      <c r="O204" s="2217">
        <f t="shared" si="21"/>
        <v>21.058000000000902</v>
      </c>
      <c r="P204" s="2212">
        <v>139</v>
      </c>
      <c r="Q204" s="2219"/>
      <c r="R204" s="2213"/>
      <c r="S204" s="2219"/>
      <c r="T204" s="2213"/>
      <c r="U204" s="2213"/>
      <c r="V204" s="2213"/>
      <c r="W204" s="2213"/>
      <c r="X204" s="2213"/>
    </row>
    <row r="205" spans="1:24">
      <c r="A205" s="2217">
        <f t="shared" si="17"/>
        <v>5.0874999999989079</v>
      </c>
      <c r="B205" s="2217">
        <f t="shared" si="18"/>
        <v>8716.84</v>
      </c>
      <c r="C205" s="2217">
        <f t="shared" si="19"/>
        <v>21.849999999998545</v>
      </c>
      <c r="D205" s="2212">
        <v>138</v>
      </c>
      <c r="E205" s="2219"/>
      <c r="F205" s="2213"/>
      <c r="G205" s="2219"/>
      <c r="H205" s="2213"/>
      <c r="I205" s="2213"/>
      <c r="J205" s="2213"/>
      <c r="K205" s="2213"/>
      <c r="L205" s="263"/>
      <c r="M205" s="2217">
        <f t="shared" si="20"/>
        <v>2.4474999999997635</v>
      </c>
      <c r="N205" s="2217">
        <f t="shared" si="16"/>
        <v>7078.3759999999993</v>
      </c>
      <c r="O205" s="2217">
        <f t="shared" si="21"/>
        <v>21.149999999999636</v>
      </c>
      <c r="P205" s="2212">
        <v>138</v>
      </c>
      <c r="Q205" s="2219"/>
      <c r="R205" s="2213"/>
      <c r="S205" s="2219"/>
      <c r="T205" s="2213"/>
      <c r="U205" s="2213"/>
      <c r="V205" s="2213"/>
      <c r="W205" s="2213"/>
      <c r="X205" s="2213"/>
    </row>
    <row r="206" spans="1:24">
      <c r="A206" s="2217">
        <f t="shared" si="17"/>
        <v>5.2225000000004904</v>
      </c>
      <c r="B206" s="2217">
        <f t="shared" si="18"/>
        <v>8694.9900000000016</v>
      </c>
      <c r="C206" s="2217">
        <f t="shared" si="19"/>
        <v>22.030000000000655</v>
      </c>
      <c r="D206" s="2212">
        <v>137</v>
      </c>
      <c r="E206" s="2219"/>
      <c r="F206" s="2213"/>
      <c r="G206" s="2219"/>
      <c r="H206" s="2213"/>
      <c r="I206" s="2213"/>
      <c r="J206" s="2213"/>
      <c r="K206" s="2213"/>
      <c r="L206" s="263"/>
      <c r="M206" s="2217">
        <f t="shared" si="20"/>
        <v>2.5073000000001233</v>
      </c>
      <c r="N206" s="2217">
        <f t="shared" si="16"/>
        <v>7057.2259999999997</v>
      </c>
      <c r="O206" s="2217">
        <f t="shared" si="21"/>
        <v>21.242000000000189</v>
      </c>
      <c r="P206" s="2212">
        <v>137</v>
      </c>
      <c r="Q206" s="2219"/>
      <c r="R206" s="2213"/>
      <c r="S206" s="2219"/>
      <c r="T206" s="2213"/>
      <c r="U206" s="2213"/>
      <c r="V206" s="2213"/>
      <c r="W206" s="2213"/>
      <c r="X206" s="2213"/>
    </row>
    <row r="207" spans="1:24">
      <c r="A207" s="2217">
        <f t="shared" si="17"/>
        <v>5.3575000000007087</v>
      </c>
      <c r="B207" s="2217">
        <f t="shared" si="18"/>
        <v>8672.9600000000009</v>
      </c>
      <c r="C207" s="2217">
        <f t="shared" si="19"/>
        <v>22.210000000000946</v>
      </c>
      <c r="D207" s="2212">
        <v>136</v>
      </c>
      <c r="E207" s="2219"/>
      <c r="F207" s="2213"/>
      <c r="G207" s="2219"/>
      <c r="H207" s="2213"/>
      <c r="I207" s="2213"/>
      <c r="J207" s="2213"/>
      <c r="K207" s="2213"/>
      <c r="L207" s="263"/>
      <c r="M207" s="2217">
        <f t="shared" si="20"/>
        <v>2.5670999999998916</v>
      </c>
      <c r="N207" s="2217">
        <f t="shared" si="16"/>
        <v>7035.9839999999995</v>
      </c>
      <c r="O207" s="2217">
        <f t="shared" si="21"/>
        <v>21.333999999999833</v>
      </c>
      <c r="P207" s="2212">
        <v>136</v>
      </c>
      <c r="Q207" s="2219"/>
      <c r="R207" s="2213"/>
      <c r="S207" s="2219"/>
      <c r="T207" s="2213"/>
      <c r="U207" s="2213"/>
      <c r="V207" s="2213"/>
      <c r="W207" s="2213"/>
      <c r="X207" s="2213"/>
    </row>
    <row r="208" spans="1:24">
      <c r="A208" s="2217">
        <f t="shared" si="17"/>
        <v>5.4924999999995627</v>
      </c>
      <c r="B208" s="2217">
        <f t="shared" si="18"/>
        <v>8650.75</v>
      </c>
      <c r="C208" s="2217">
        <f t="shared" si="19"/>
        <v>22.389999999999418</v>
      </c>
      <c r="D208" s="2212">
        <v>135</v>
      </c>
      <c r="E208" s="2219"/>
      <c r="F208" s="2213"/>
      <c r="G208" s="2219"/>
      <c r="H208" s="2213"/>
      <c r="I208" s="2213"/>
      <c r="J208" s="2213"/>
      <c r="K208" s="2213"/>
      <c r="L208" s="263"/>
      <c r="M208" s="2217">
        <f t="shared" si="20"/>
        <v>2.6268999999996598</v>
      </c>
      <c r="N208" s="2217">
        <f t="shared" si="16"/>
        <v>7014.65</v>
      </c>
      <c r="O208" s="2217">
        <f t="shared" si="21"/>
        <v>21.425999999999476</v>
      </c>
      <c r="P208" s="2212">
        <v>135</v>
      </c>
      <c r="Q208" s="2219"/>
      <c r="R208" s="2213"/>
      <c r="S208" s="2219"/>
      <c r="T208" s="2213"/>
      <c r="U208" s="2213"/>
      <c r="V208" s="2213"/>
      <c r="W208" s="2213"/>
      <c r="X208" s="2213"/>
    </row>
    <row r="209" spans="1:24">
      <c r="A209" s="2217">
        <f t="shared" si="17"/>
        <v>5.6275000000011453</v>
      </c>
      <c r="B209" s="2217">
        <f t="shared" si="18"/>
        <v>8628.36</v>
      </c>
      <c r="C209" s="2217">
        <f t="shared" si="19"/>
        <v>22.570000000001528</v>
      </c>
      <c r="D209" s="2212">
        <v>134</v>
      </c>
      <c r="E209" s="2219"/>
      <c r="F209" s="2213"/>
      <c r="G209" s="2219"/>
      <c r="H209" s="2213"/>
      <c r="I209" s="2213"/>
      <c r="J209" s="2213"/>
      <c r="K209" s="2213"/>
      <c r="L209" s="263"/>
      <c r="M209" s="2217">
        <f t="shared" si="20"/>
        <v>2.6867000000000179</v>
      </c>
      <c r="N209" s="2217">
        <f t="shared" si="16"/>
        <v>6993.2240000000002</v>
      </c>
      <c r="O209" s="2217">
        <f t="shared" si="21"/>
        <v>21.518000000000029</v>
      </c>
      <c r="P209" s="2212">
        <v>134</v>
      </c>
      <c r="Q209" s="2219"/>
      <c r="R209" s="2213"/>
      <c r="S209" s="2219"/>
      <c r="T209" s="2213"/>
      <c r="U209" s="2213"/>
      <c r="V209" s="2213"/>
      <c r="W209" s="2213"/>
      <c r="X209" s="2213"/>
    </row>
    <row r="210" spans="1:24">
      <c r="A210" s="2217">
        <f t="shared" si="17"/>
        <v>5.762499999998635</v>
      </c>
      <c r="B210" s="2217">
        <f t="shared" si="18"/>
        <v>8605.7899999999991</v>
      </c>
      <c r="C210" s="2217">
        <f t="shared" si="19"/>
        <v>22.749999999998181</v>
      </c>
      <c r="D210" s="2212">
        <v>133</v>
      </c>
      <c r="E210" s="2219"/>
      <c r="F210" s="2213"/>
      <c r="G210" s="2219"/>
      <c r="H210" s="2213"/>
      <c r="I210" s="2213"/>
      <c r="J210" s="2213"/>
      <c r="K210" s="2213"/>
      <c r="L210" s="263"/>
      <c r="M210" s="2217">
        <f t="shared" si="20"/>
        <v>2.7465000000003776</v>
      </c>
      <c r="N210" s="2217">
        <f t="shared" si="16"/>
        <v>6971.7060000000001</v>
      </c>
      <c r="O210" s="2217">
        <f t="shared" si="21"/>
        <v>21.610000000000582</v>
      </c>
      <c r="P210" s="2212">
        <v>133</v>
      </c>
      <c r="Q210" s="2219"/>
      <c r="R210" s="2213"/>
      <c r="S210" s="2219"/>
      <c r="T210" s="2213"/>
      <c r="U210" s="2213"/>
      <c r="V210" s="2213"/>
      <c r="W210" s="2213"/>
      <c r="X210" s="2213"/>
    </row>
    <row r="211" spans="1:24">
      <c r="A211" s="2217">
        <f t="shared" si="17"/>
        <v>5.8975000000002176</v>
      </c>
      <c r="B211" s="2217">
        <f t="shared" si="18"/>
        <v>8583.0400000000009</v>
      </c>
      <c r="C211" s="2217">
        <f t="shared" si="19"/>
        <v>22.930000000000291</v>
      </c>
      <c r="D211" s="2212">
        <v>132</v>
      </c>
      <c r="E211" s="2219"/>
      <c r="F211" s="2213"/>
      <c r="G211" s="2219"/>
      <c r="H211" s="2213"/>
      <c r="I211" s="2213"/>
      <c r="J211" s="2213"/>
      <c r="K211" s="2213"/>
      <c r="L211" s="263"/>
      <c r="M211" s="2217">
        <f t="shared" si="20"/>
        <v>2.8063000000001459</v>
      </c>
      <c r="N211" s="2217">
        <f t="shared" si="16"/>
        <v>6950.0959999999995</v>
      </c>
      <c r="O211" s="2217">
        <f t="shared" si="21"/>
        <v>21.702000000000226</v>
      </c>
      <c r="P211" s="2212">
        <v>132</v>
      </c>
      <c r="Q211" s="2219"/>
      <c r="R211" s="2213"/>
      <c r="S211" s="2219"/>
      <c r="T211" s="2213"/>
      <c r="U211" s="2213"/>
      <c r="V211" s="2213"/>
      <c r="W211" s="2213"/>
      <c r="X211" s="2213"/>
    </row>
    <row r="212" spans="1:24">
      <c r="A212" s="2217">
        <f t="shared" si="17"/>
        <v>6.0325000000004358</v>
      </c>
      <c r="B212" s="2217">
        <f t="shared" si="18"/>
        <v>8560.11</v>
      </c>
      <c r="C212" s="2217">
        <f t="shared" si="19"/>
        <v>23.110000000000582</v>
      </c>
      <c r="D212" s="2212">
        <v>131</v>
      </c>
      <c r="E212" s="2219"/>
      <c r="F212" s="2213"/>
      <c r="G212" s="2219"/>
      <c r="H212" s="2213"/>
      <c r="I212" s="2213"/>
      <c r="J212" s="2213"/>
      <c r="K212" s="2213"/>
      <c r="L212" s="263"/>
      <c r="M212" s="2217">
        <f t="shared" si="20"/>
        <v>2.8660999999993226</v>
      </c>
      <c r="N212" s="2217">
        <f t="shared" si="16"/>
        <v>6928.3939999999993</v>
      </c>
      <c r="O212" s="2217">
        <f t="shared" si="21"/>
        <v>21.79399999999896</v>
      </c>
      <c r="P212" s="2212">
        <v>131</v>
      </c>
      <c r="Q212" s="2219"/>
      <c r="R212" s="2213"/>
      <c r="S212" s="2219"/>
      <c r="T212" s="2213"/>
      <c r="U212" s="2213"/>
      <c r="V212" s="2213"/>
      <c r="W212" s="2213"/>
      <c r="X212" s="2213"/>
    </row>
    <row r="213" spans="1:24">
      <c r="A213" s="2217">
        <f t="shared" si="17"/>
        <v>6.1674999999992899</v>
      </c>
      <c r="B213" s="2217">
        <f t="shared" si="18"/>
        <v>8537</v>
      </c>
      <c r="C213" s="2217">
        <f t="shared" si="19"/>
        <v>23.289999999999054</v>
      </c>
      <c r="D213" s="2212">
        <v>130</v>
      </c>
      <c r="E213" s="2219"/>
      <c r="F213" s="2213"/>
      <c r="G213" s="2219"/>
      <c r="H213" s="2213"/>
      <c r="I213" s="2213"/>
      <c r="J213" s="2213"/>
      <c r="K213" s="2213"/>
      <c r="L213" s="263"/>
      <c r="M213" s="2217">
        <f t="shared" si="20"/>
        <v>2.9259000000002739</v>
      </c>
      <c r="N213" s="2217">
        <f t="shared" si="16"/>
        <v>6906.6</v>
      </c>
      <c r="O213" s="2217">
        <f t="shared" si="21"/>
        <v>21.886000000000422</v>
      </c>
      <c r="P213" s="2212">
        <v>130</v>
      </c>
      <c r="Q213" s="2219"/>
      <c r="R213" s="2213"/>
      <c r="S213" s="2219"/>
      <c r="T213" s="2213"/>
      <c r="U213" s="2213"/>
      <c r="V213" s="2213"/>
      <c r="W213" s="2213"/>
      <c r="X213" s="2213"/>
    </row>
    <row r="214" spans="1:24">
      <c r="A214" s="2217">
        <f t="shared" si="17"/>
        <v>6.3025000000008724</v>
      </c>
      <c r="B214" s="2217">
        <f t="shared" si="18"/>
        <v>8513.7100000000009</v>
      </c>
      <c r="C214" s="2217">
        <f t="shared" si="19"/>
        <v>23.470000000001164</v>
      </c>
      <c r="D214" s="2212">
        <v>129</v>
      </c>
      <c r="E214" s="2219"/>
      <c r="F214" s="2213"/>
      <c r="G214" s="2219"/>
      <c r="H214" s="2213"/>
      <c r="I214" s="2213"/>
      <c r="J214" s="2213"/>
      <c r="K214" s="2213"/>
      <c r="L214" s="263"/>
      <c r="M214" s="2217">
        <f t="shared" si="20"/>
        <v>2.9857000000000422</v>
      </c>
      <c r="N214" s="2217">
        <f t="shared" si="16"/>
        <v>6884.7139999999999</v>
      </c>
      <c r="O214" s="2217">
        <f t="shared" si="21"/>
        <v>21.978000000000065</v>
      </c>
      <c r="P214" s="2212">
        <v>129</v>
      </c>
      <c r="Q214" s="2219"/>
      <c r="R214" s="2213"/>
      <c r="S214" s="2219"/>
      <c r="T214" s="2213"/>
      <c r="U214" s="2213"/>
      <c r="V214" s="2213"/>
      <c r="W214" s="2213"/>
      <c r="X214" s="2213"/>
    </row>
    <row r="215" spans="1:24">
      <c r="A215" s="2217">
        <f t="shared" si="17"/>
        <v>6.4374999999997264</v>
      </c>
      <c r="B215" s="2217">
        <f t="shared" si="18"/>
        <v>8490.24</v>
      </c>
      <c r="C215" s="2217">
        <f t="shared" si="19"/>
        <v>23.649999999999636</v>
      </c>
      <c r="D215" s="2212">
        <v>128</v>
      </c>
      <c r="E215" s="2219"/>
      <c r="F215" s="2213"/>
      <c r="G215" s="2219"/>
      <c r="H215" s="2213"/>
      <c r="I215" s="2213"/>
      <c r="J215" s="2213"/>
      <c r="K215" s="2213"/>
      <c r="L215" s="263"/>
      <c r="M215" s="2217">
        <f t="shared" si="20"/>
        <v>3.045500000000402</v>
      </c>
      <c r="N215" s="2217">
        <f t="shared" si="16"/>
        <v>6862.7359999999999</v>
      </c>
      <c r="O215" s="2217">
        <f t="shared" si="21"/>
        <v>22.070000000000618</v>
      </c>
      <c r="P215" s="2212">
        <v>128</v>
      </c>
      <c r="Q215" s="2219"/>
      <c r="R215" s="2213"/>
      <c r="S215" s="2219"/>
      <c r="T215" s="2213"/>
      <c r="U215" s="2213"/>
      <c r="V215" s="2213"/>
      <c r="W215" s="2213"/>
      <c r="X215" s="2213"/>
    </row>
    <row r="216" spans="1:24">
      <c r="A216" s="2217">
        <f t="shared" si="17"/>
        <v>6.5724999999999447</v>
      </c>
      <c r="B216" s="2217">
        <f t="shared" si="18"/>
        <v>8466.59</v>
      </c>
      <c r="C216" s="2217">
        <f t="shared" si="19"/>
        <v>23.829999999999927</v>
      </c>
      <c r="D216" s="2212">
        <v>127</v>
      </c>
      <c r="E216" s="2219"/>
      <c r="F216" s="2213"/>
      <c r="G216" s="2219"/>
      <c r="H216" s="2213"/>
      <c r="I216" s="2213"/>
      <c r="J216" s="2213"/>
      <c r="K216" s="2213"/>
      <c r="L216" s="263"/>
      <c r="M216" s="2217">
        <f t="shared" si="20"/>
        <v>3.1053000000001703</v>
      </c>
      <c r="N216" s="2217">
        <f t="shared" si="16"/>
        <v>6840.6659999999993</v>
      </c>
      <c r="O216" s="2217">
        <f t="shared" si="21"/>
        <v>22.162000000000262</v>
      </c>
      <c r="P216" s="2212">
        <v>127</v>
      </c>
      <c r="Q216" s="2219"/>
      <c r="R216" s="2213"/>
      <c r="S216" s="2219"/>
      <c r="T216" s="2213"/>
      <c r="U216" s="2213"/>
      <c r="V216" s="2213"/>
      <c r="W216" s="2213"/>
      <c r="X216" s="2213"/>
    </row>
    <row r="217" spans="1:24">
      <c r="A217" s="2217">
        <f t="shared" si="17"/>
        <v>6.707500000000163</v>
      </c>
      <c r="B217" s="2217">
        <f t="shared" si="18"/>
        <v>8442.76</v>
      </c>
      <c r="C217" s="2217">
        <f t="shared" si="19"/>
        <v>24.010000000000218</v>
      </c>
      <c r="D217" s="2212">
        <v>126</v>
      </c>
      <c r="E217" s="2219"/>
      <c r="F217" s="2213"/>
      <c r="G217" s="2219"/>
      <c r="H217" s="2213"/>
      <c r="I217" s="2213"/>
      <c r="J217" s="2213"/>
      <c r="K217" s="2213"/>
      <c r="L217" s="263"/>
      <c r="M217" s="2217">
        <f t="shared" si="20"/>
        <v>3.165099999999347</v>
      </c>
      <c r="N217" s="2217">
        <f t="shared" si="16"/>
        <v>6818.503999999999</v>
      </c>
      <c r="O217" s="2217">
        <f t="shared" si="21"/>
        <v>22.253999999998996</v>
      </c>
      <c r="P217" s="2212">
        <v>126</v>
      </c>
      <c r="Q217" s="2219"/>
      <c r="R217" s="2213"/>
      <c r="S217" s="2219"/>
      <c r="T217" s="2213"/>
      <c r="U217" s="2213"/>
      <c r="V217" s="2213"/>
      <c r="W217" s="2213"/>
      <c r="X217" s="2213"/>
    </row>
    <row r="218" spans="1:24">
      <c r="A218" s="2217">
        <f t="shared" si="17"/>
        <v>6.842499999999017</v>
      </c>
      <c r="B218" s="2217">
        <f t="shared" si="18"/>
        <v>8418.75</v>
      </c>
      <c r="C218" s="2217">
        <f t="shared" si="19"/>
        <v>24.18999999999869</v>
      </c>
      <c r="D218" s="2212">
        <v>125</v>
      </c>
      <c r="E218" s="2219"/>
      <c r="F218" s="2213"/>
      <c r="G218" s="2219"/>
      <c r="H218" s="2213"/>
      <c r="I218" s="2213"/>
      <c r="J218" s="2213"/>
      <c r="K218" s="2213"/>
      <c r="L218" s="263"/>
      <c r="M218" s="2217">
        <f t="shared" si="20"/>
        <v>3.2249000000002983</v>
      </c>
      <c r="N218" s="2217">
        <f t="shared" si="16"/>
        <v>6796.25</v>
      </c>
      <c r="O218" s="2217">
        <f t="shared" si="21"/>
        <v>22.346000000000458</v>
      </c>
      <c r="P218" s="2212">
        <v>125</v>
      </c>
      <c r="Q218" s="2219"/>
      <c r="R218" s="2213"/>
      <c r="S218" s="2219"/>
      <c r="T218" s="2213"/>
      <c r="U218" s="2213"/>
      <c r="V218" s="2213"/>
      <c r="W218" s="2213"/>
      <c r="X218" s="2213"/>
    </row>
    <row r="219" spans="1:24">
      <c r="A219" s="2217">
        <f t="shared" si="17"/>
        <v>6.9775000000019638</v>
      </c>
      <c r="B219" s="2217">
        <f t="shared" si="18"/>
        <v>8394.5600000000013</v>
      </c>
      <c r="C219" s="2217">
        <f t="shared" si="19"/>
        <v>24.370000000002619</v>
      </c>
      <c r="D219" s="2212">
        <v>124</v>
      </c>
      <c r="E219" s="2219"/>
      <c r="F219" s="2213"/>
      <c r="G219" s="2219"/>
      <c r="H219" s="2213"/>
      <c r="I219" s="2213"/>
      <c r="J219" s="2213"/>
      <c r="K219" s="2213"/>
      <c r="L219" s="263"/>
      <c r="M219" s="2217">
        <f t="shared" si="20"/>
        <v>3.2847000000000666</v>
      </c>
      <c r="N219" s="2217">
        <f t="shared" si="16"/>
        <v>6773.9039999999995</v>
      </c>
      <c r="O219" s="2217">
        <f t="shared" si="21"/>
        <v>22.438000000000102</v>
      </c>
      <c r="P219" s="2212">
        <v>124</v>
      </c>
      <c r="Q219" s="2219"/>
      <c r="R219" s="2213"/>
      <c r="S219" s="2219"/>
      <c r="T219" s="2213"/>
      <c r="U219" s="2213"/>
      <c r="V219" s="2213"/>
      <c r="W219" s="2213"/>
      <c r="X219" s="2213"/>
    </row>
    <row r="220" spans="1:24">
      <c r="A220" s="2217">
        <f t="shared" si="17"/>
        <v>7.1124999999980894</v>
      </c>
      <c r="B220" s="2217">
        <f t="shared" si="18"/>
        <v>8370.1899999999987</v>
      </c>
      <c r="C220" s="2217">
        <f t="shared" si="19"/>
        <v>24.549999999997453</v>
      </c>
      <c r="D220" s="2212">
        <v>123</v>
      </c>
      <c r="E220" s="2219"/>
      <c r="F220" s="2213"/>
      <c r="G220" s="2219"/>
      <c r="H220" s="2213"/>
      <c r="I220" s="2213"/>
      <c r="J220" s="2213"/>
      <c r="K220" s="2213"/>
      <c r="L220" s="263"/>
      <c r="M220" s="2217">
        <f t="shared" si="20"/>
        <v>3.3444999999998348</v>
      </c>
      <c r="N220" s="2217">
        <f t="shared" si="16"/>
        <v>6751.4659999999994</v>
      </c>
      <c r="O220" s="2217">
        <f t="shared" si="21"/>
        <v>22.529999999999745</v>
      </c>
      <c r="P220" s="2212">
        <v>123</v>
      </c>
      <c r="Q220" s="2219"/>
      <c r="R220" s="2213"/>
      <c r="S220" s="2219"/>
      <c r="T220" s="2213"/>
      <c r="U220" s="2213"/>
      <c r="V220" s="2213"/>
      <c r="W220" s="2213"/>
      <c r="X220" s="2213"/>
    </row>
    <row r="221" spans="1:24">
      <c r="A221" s="2217">
        <f t="shared" si="17"/>
        <v>7.2475000000010361</v>
      </c>
      <c r="B221" s="2217">
        <f t="shared" si="18"/>
        <v>8345.6400000000012</v>
      </c>
      <c r="C221" s="2217">
        <f t="shared" si="19"/>
        <v>24.730000000001382</v>
      </c>
      <c r="D221" s="2212">
        <v>122</v>
      </c>
      <c r="E221" s="2219"/>
      <c r="F221" s="2213"/>
      <c r="G221" s="2219"/>
      <c r="H221" s="2213"/>
      <c r="I221" s="2213"/>
      <c r="J221" s="2213"/>
      <c r="K221" s="2213"/>
      <c r="L221" s="263"/>
      <c r="M221" s="2217">
        <f t="shared" si="20"/>
        <v>3.4043000000001928</v>
      </c>
      <c r="N221" s="2217">
        <f t="shared" si="16"/>
        <v>6728.9359999999997</v>
      </c>
      <c r="O221" s="2217">
        <f t="shared" si="21"/>
        <v>22.622000000000298</v>
      </c>
      <c r="P221" s="2212">
        <v>122</v>
      </c>
      <c r="Q221" s="2219"/>
      <c r="R221" s="2213"/>
      <c r="S221" s="2219"/>
      <c r="T221" s="2213"/>
      <c r="U221" s="2213"/>
      <c r="V221" s="2213"/>
      <c r="W221" s="2213"/>
      <c r="X221" s="2213"/>
    </row>
    <row r="222" spans="1:24">
      <c r="A222" s="2217">
        <f t="shared" si="17"/>
        <v>7.3824999999998902</v>
      </c>
      <c r="B222" s="2217">
        <f t="shared" si="18"/>
        <v>8320.91</v>
      </c>
      <c r="C222" s="2217">
        <f t="shared" si="19"/>
        <v>24.909999999999854</v>
      </c>
      <c r="D222" s="2212">
        <v>121</v>
      </c>
      <c r="E222" s="2219"/>
      <c r="F222" s="2213"/>
      <c r="G222" s="2219"/>
      <c r="H222" s="2213"/>
      <c r="I222" s="2213"/>
      <c r="J222" s="2213"/>
      <c r="K222" s="2213"/>
      <c r="L222" s="263"/>
      <c r="M222" s="2217">
        <f t="shared" si="20"/>
        <v>3.4640999999993713</v>
      </c>
      <c r="N222" s="2217">
        <f t="shared" si="16"/>
        <v>6706.3139999999994</v>
      </c>
      <c r="O222" s="2217">
        <f t="shared" si="21"/>
        <v>22.713999999999032</v>
      </c>
      <c r="P222" s="2212">
        <v>121</v>
      </c>
      <c r="Q222" s="2219"/>
      <c r="R222" s="2213"/>
      <c r="S222" s="2219"/>
      <c r="T222" s="2213"/>
      <c r="U222" s="2213"/>
      <c r="V222" s="2213"/>
      <c r="W222" s="2213"/>
      <c r="X222" s="2213"/>
    </row>
    <row r="223" spans="1:24">
      <c r="A223" s="2217">
        <f t="shared" si="17"/>
        <v>7.5174999999987442</v>
      </c>
      <c r="B223" s="2217">
        <f t="shared" si="18"/>
        <v>8296</v>
      </c>
      <c r="C223" s="2217">
        <f t="shared" si="19"/>
        <v>25.089999999998327</v>
      </c>
      <c r="D223" s="2212">
        <v>120</v>
      </c>
      <c r="E223" s="2219"/>
      <c r="F223" s="2213"/>
      <c r="G223" s="2219"/>
      <c r="H223" s="2213"/>
      <c r="I223" s="2213"/>
      <c r="J223" s="2213"/>
      <c r="K223" s="2213"/>
      <c r="L223" s="263"/>
      <c r="M223" s="2217">
        <f t="shared" si="20"/>
        <v>3.5239000000003209</v>
      </c>
      <c r="N223" s="2217">
        <f t="shared" si="16"/>
        <v>6683.6</v>
      </c>
      <c r="O223" s="2217">
        <f t="shared" si="21"/>
        <v>22.806000000000495</v>
      </c>
      <c r="P223" s="2212">
        <v>120</v>
      </c>
      <c r="Q223" s="2219"/>
      <c r="R223" s="2213"/>
      <c r="S223" s="2219"/>
      <c r="T223" s="2213"/>
      <c r="U223" s="2213"/>
      <c r="V223" s="2213"/>
      <c r="W223" s="2213"/>
      <c r="X223" s="2213"/>
    </row>
    <row r="224" spans="1:24">
      <c r="A224" s="2217">
        <f t="shared" si="17"/>
        <v>7.6525000000016909</v>
      </c>
      <c r="B224" s="2217">
        <f t="shared" si="18"/>
        <v>8270.9100000000017</v>
      </c>
      <c r="C224" s="2217">
        <f t="shared" si="19"/>
        <v>25.270000000002256</v>
      </c>
      <c r="D224" s="2212">
        <v>119</v>
      </c>
      <c r="E224" s="2219"/>
      <c r="F224" s="2213"/>
      <c r="G224" s="2219"/>
      <c r="H224" s="2213"/>
      <c r="I224" s="2213"/>
      <c r="J224" s="2213"/>
      <c r="K224" s="2213"/>
      <c r="L224" s="263"/>
      <c r="M224" s="2217">
        <f t="shared" si="20"/>
        <v>3.5837000000000891</v>
      </c>
      <c r="N224" s="2217">
        <f t="shared" si="16"/>
        <v>6660.7939999999999</v>
      </c>
      <c r="O224" s="2217">
        <f t="shared" si="21"/>
        <v>22.898000000000138</v>
      </c>
      <c r="P224" s="2212">
        <v>119</v>
      </c>
      <c r="Q224" s="2219"/>
      <c r="R224" s="2213"/>
      <c r="S224" s="2219"/>
      <c r="T224" s="2213"/>
      <c r="U224" s="2213"/>
      <c r="V224" s="2213"/>
      <c r="W224" s="2213"/>
      <c r="X224" s="2213"/>
    </row>
    <row r="225" spans="1:24">
      <c r="A225" s="2217">
        <f t="shared" si="17"/>
        <v>7.7874999999991807</v>
      </c>
      <c r="B225" s="2217">
        <f t="shared" si="18"/>
        <v>8245.64</v>
      </c>
      <c r="C225" s="2217">
        <f t="shared" si="19"/>
        <v>25.449999999998909</v>
      </c>
      <c r="D225" s="2212">
        <v>118</v>
      </c>
      <c r="E225" s="2219"/>
      <c r="F225" s="2213"/>
      <c r="G225" s="2219"/>
      <c r="H225" s="2213"/>
      <c r="I225" s="2213"/>
      <c r="J225" s="2213"/>
      <c r="K225" s="2213"/>
      <c r="L225" s="263"/>
      <c r="M225" s="2217">
        <f t="shared" si="20"/>
        <v>3.6435000000004489</v>
      </c>
      <c r="N225" s="2217">
        <f t="shared" si="16"/>
        <v>6637.8959999999997</v>
      </c>
      <c r="O225" s="2217">
        <f t="shared" si="21"/>
        <v>22.990000000000691</v>
      </c>
      <c r="P225" s="2212">
        <v>118</v>
      </c>
      <c r="Q225" s="2219"/>
      <c r="R225" s="2213"/>
      <c r="S225" s="2219"/>
      <c r="T225" s="2213"/>
      <c r="U225" s="2213"/>
      <c r="V225" s="2213"/>
      <c r="W225" s="2213"/>
      <c r="X225" s="2213"/>
    </row>
    <row r="226" spans="1:24">
      <c r="A226" s="2217">
        <f t="shared" si="17"/>
        <v>7.922499999999399</v>
      </c>
      <c r="B226" s="2217">
        <f t="shared" si="18"/>
        <v>8220.19</v>
      </c>
      <c r="C226" s="2217">
        <f t="shared" si="19"/>
        <v>25.6299999999992</v>
      </c>
      <c r="D226" s="2212">
        <v>117</v>
      </c>
      <c r="E226" s="2219"/>
      <c r="F226" s="2213"/>
      <c r="G226" s="2219"/>
      <c r="H226" s="2213"/>
      <c r="I226" s="2213"/>
      <c r="J226" s="2213"/>
      <c r="K226" s="2213"/>
      <c r="L226" s="263"/>
      <c r="M226" s="2217">
        <f t="shared" si="20"/>
        <v>3.7032999999996257</v>
      </c>
      <c r="N226" s="2217">
        <f t="shared" si="16"/>
        <v>6614.905999999999</v>
      </c>
      <c r="O226" s="2217">
        <f t="shared" si="21"/>
        <v>23.081999999999425</v>
      </c>
      <c r="P226" s="2212">
        <v>117</v>
      </c>
      <c r="Q226" s="2219"/>
      <c r="R226" s="2213"/>
      <c r="S226" s="2219"/>
      <c r="T226" s="2213"/>
      <c r="U226" s="2213"/>
      <c r="V226" s="2213"/>
      <c r="W226" s="2213"/>
      <c r="X226" s="2213"/>
    </row>
    <row r="227" spans="1:24">
      <c r="A227" s="2217">
        <f t="shared" si="17"/>
        <v>8.0575000000009815</v>
      </c>
      <c r="B227" s="2217">
        <f t="shared" si="18"/>
        <v>8194.5600000000013</v>
      </c>
      <c r="C227" s="2217">
        <f t="shared" si="19"/>
        <v>25.81000000000131</v>
      </c>
      <c r="D227" s="2212">
        <v>116</v>
      </c>
      <c r="E227" s="2219"/>
      <c r="F227" s="2213"/>
      <c r="G227" s="2219"/>
      <c r="H227" s="2213"/>
      <c r="I227" s="2213"/>
      <c r="J227" s="2213"/>
      <c r="K227" s="2213"/>
      <c r="L227" s="263"/>
      <c r="M227" s="2217">
        <f t="shared" si="20"/>
        <v>3.7630999999999855</v>
      </c>
      <c r="N227" s="2217">
        <f t="shared" si="16"/>
        <v>6591.8239999999996</v>
      </c>
      <c r="O227" s="2217">
        <f t="shared" si="21"/>
        <v>23.173999999999978</v>
      </c>
      <c r="P227" s="2212">
        <v>116</v>
      </c>
      <c r="Q227" s="2219"/>
      <c r="R227" s="2213"/>
      <c r="S227" s="2219"/>
      <c r="T227" s="2213"/>
      <c r="U227" s="2213"/>
      <c r="V227" s="2213"/>
      <c r="W227" s="2213"/>
      <c r="X227" s="2213"/>
    </row>
    <row r="228" spans="1:24">
      <c r="A228" s="2217">
        <f t="shared" si="17"/>
        <v>8.1924999999984713</v>
      </c>
      <c r="B228" s="2217">
        <f t="shared" si="18"/>
        <v>8168.75</v>
      </c>
      <c r="C228" s="2217">
        <f t="shared" si="19"/>
        <v>25.989999999997963</v>
      </c>
      <c r="D228" s="2212">
        <v>115</v>
      </c>
      <c r="E228" s="2219"/>
      <c r="F228" s="2213"/>
      <c r="G228" s="2219"/>
      <c r="H228" s="2213"/>
      <c r="I228" s="2213"/>
      <c r="J228" s="2213"/>
      <c r="K228" s="2213"/>
      <c r="L228" s="263"/>
      <c r="M228" s="2217">
        <f t="shared" si="20"/>
        <v>3.8228999999997537</v>
      </c>
      <c r="N228" s="2217">
        <f t="shared" si="16"/>
        <v>6568.65</v>
      </c>
      <c r="O228" s="2217">
        <f t="shared" si="21"/>
        <v>23.265999999999622</v>
      </c>
      <c r="P228" s="2212">
        <v>115</v>
      </c>
      <c r="Q228" s="2219"/>
      <c r="R228" s="2213"/>
      <c r="S228" s="2219"/>
      <c r="T228" s="2213"/>
      <c r="U228" s="2213"/>
      <c r="V228" s="2213"/>
      <c r="W228" s="2213"/>
      <c r="X228" s="2213"/>
    </row>
    <row r="229" spans="1:24">
      <c r="A229" s="2217">
        <f t="shared" si="17"/>
        <v>8.3275000000021002</v>
      </c>
      <c r="B229" s="2217">
        <f t="shared" si="18"/>
        <v>8142.760000000002</v>
      </c>
      <c r="C229" s="2217">
        <f t="shared" si="19"/>
        <v>26.170000000002801</v>
      </c>
      <c r="D229" s="2212">
        <v>114</v>
      </c>
      <c r="E229" s="2219"/>
      <c r="F229" s="2213"/>
      <c r="G229" s="2219"/>
      <c r="H229" s="2213"/>
      <c r="I229" s="2213"/>
      <c r="J229" s="2213"/>
      <c r="K229" s="2213"/>
      <c r="L229" s="263"/>
      <c r="M229" s="2217">
        <f t="shared" si="20"/>
        <v>3.8827000000001135</v>
      </c>
      <c r="N229" s="2217">
        <f t="shared" si="16"/>
        <v>6545.384</v>
      </c>
      <c r="O229" s="2217">
        <f t="shared" si="21"/>
        <v>23.358000000000175</v>
      </c>
      <c r="P229" s="2212">
        <v>114</v>
      </c>
      <c r="Q229" s="2219"/>
      <c r="R229" s="2213"/>
      <c r="S229" s="2219"/>
      <c r="T229" s="2213"/>
      <c r="U229" s="2213"/>
      <c r="V229" s="2213"/>
      <c r="W229" s="2213"/>
      <c r="X229" s="2213"/>
    </row>
    <row r="230" spans="1:24">
      <c r="A230" s="2217">
        <f t="shared" si="17"/>
        <v>8.4624999999989079</v>
      </c>
      <c r="B230" s="2217">
        <f t="shared" si="18"/>
        <v>8116.5899999999992</v>
      </c>
      <c r="C230" s="2217">
        <f t="shared" si="19"/>
        <v>26.349999999998545</v>
      </c>
      <c r="D230" s="2212">
        <v>113</v>
      </c>
      <c r="E230" s="2219"/>
      <c r="F230" s="2213"/>
      <c r="G230" s="2219"/>
      <c r="H230" s="2213"/>
      <c r="I230" s="2213"/>
      <c r="J230" s="2213"/>
      <c r="K230" s="2213"/>
      <c r="L230" s="263"/>
      <c r="M230" s="2217">
        <f t="shared" si="20"/>
        <v>3.9425000000004733</v>
      </c>
      <c r="N230" s="2217">
        <f t="shared" si="16"/>
        <v>6522.0259999999998</v>
      </c>
      <c r="O230" s="2217">
        <f t="shared" si="21"/>
        <v>23.450000000000728</v>
      </c>
      <c r="P230" s="2212">
        <v>113</v>
      </c>
      <c r="Q230" s="2219"/>
      <c r="R230" s="2213"/>
      <c r="S230" s="2219"/>
      <c r="T230" s="2213"/>
      <c r="U230" s="2213"/>
      <c r="V230" s="2213"/>
      <c r="W230" s="2213"/>
      <c r="X230" s="2213"/>
    </row>
    <row r="231" spans="1:24">
      <c r="A231" s="2217">
        <f t="shared" si="17"/>
        <v>8.5974999999998083</v>
      </c>
      <c r="B231" s="2217">
        <f t="shared" si="18"/>
        <v>8090.2400000000007</v>
      </c>
      <c r="C231" s="2217">
        <f t="shared" si="19"/>
        <v>26.529999999999745</v>
      </c>
      <c r="D231" s="2212">
        <v>112</v>
      </c>
      <c r="E231" s="2219"/>
      <c r="F231" s="2213"/>
      <c r="G231" s="2219"/>
      <c r="H231" s="2213"/>
      <c r="I231" s="2213"/>
      <c r="J231" s="2213"/>
      <c r="K231" s="2213"/>
      <c r="L231" s="263"/>
      <c r="M231" s="2217">
        <f t="shared" si="20"/>
        <v>4.00229999999965</v>
      </c>
      <c r="N231" s="2217">
        <f t="shared" si="16"/>
        <v>6498.5759999999991</v>
      </c>
      <c r="O231" s="2217">
        <f t="shared" si="21"/>
        <v>23.541999999999462</v>
      </c>
      <c r="P231" s="2212">
        <v>112</v>
      </c>
      <c r="Q231" s="2219"/>
      <c r="R231" s="2213"/>
      <c r="S231" s="2219"/>
      <c r="T231" s="2213"/>
      <c r="U231" s="2213"/>
      <c r="V231" s="2213"/>
      <c r="W231" s="2213"/>
      <c r="X231" s="2213"/>
    </row>
    <row r="232" spans="1:24">
      <c r="A232" s="2217">
        <f t="shared" si="17"/>
        <v>8.7325000000007087</v>
      </c>
      <c r="B232" s="2217">
        <f t="shared" si="18"/>
        <v>8063.7100000000009</v>
      </c>
      <c r="C232" s="2217">
        <f t="shared" si="19"/>
        <v>26.710000000000946</v>
      </c>
      <c r="D232" s="2212">
        <v>111</v>
      </c>
      <c r="E232" s="2219"/>
      <c r="F232" s="2213"/>
      <c r="G232" s="2219"/>
      <c r="H232" s="2213"/>
      <c r="I232" s="2213"/>
      <c r="J232" s="2213"/>
      <c r="K232" s="2213"/>
      <c r="L232" s="263"/>
      <c r="M232" s="2217">
        <f t="shared" si="20"/>
        <v>4.0621000000000098</v>
      </c>
      <c r="N232" s="2217">
        <f t="shared" si="16"/>
        <v>6475.0339999999997</v>
      </c>
      <c r="O232" s="2217">
        <f t="shared" si="21"/>
        <v>23.634000000000015</v>
      </c>
      <c r="P232" s="2212">
        <v>111</v>
      </c>
      <c r="Q232" s="2219"/>
      <c r="R232" s="2213"/>
      <c r="S232" s="2219"/>
      <c r="T232" s="2213"/>
      <c r="U232" s="2213"/>
      <c r="V232" s="2213"/>
      <c r="W232" s="2213"/>
      <c r="X232" s="2213"/>
    </row>
    <row r="233" spans="1:24">
      <c r="A233" s="2217">
        <f t="shared" si="17"/>
        <v>8.8674999999988806</v>
      </c>
      <c r="B233" s="2217">
        <f t="shared" si="18"/>
        <v>8037</v>
      </c>
      <c r="C233" s="2217">
        <f t="shared" si="19"/>
        <v>26.889999999998508</v>
      </c>
      <c r="D233" s="2212">
        <v>110</v>
      </c>
      <c r="E233" s="2219"/>
      <c r="F233" s="2213"/>
      <c r="G233" s="2219"/>
      <c r="H233" s="2213"/>
      <c r="I233" s="2213"/>
      <c r="J233" s="2213"/>
      <c r="K233" s="2213"/>
      <c r="L233" s="263"/>
      <c r="M233" s="2217">
        <f t="shared" si="20"/>
        <v>4.1218999999997781</v>
      </c>
      <c r="N233" s="2217">
        <f t="shared" si="16"/>
        <v>6451.4</v>
      </c>
      <c r="O233" s="2217">
        <f t="shared" si="21"/>
        <v>23.725999999999658</v>
      </c>
      <c r="P233" s="2212">
        <v>110</v>
      </c>
      <c r="Q233" s="2219"/>
      <c r="R233" s="2213"/>
      <c r="S233" s="2219"/>
      <c r="T233" s="2213"/>
      <c r="U233" s="2213"/>
      <c r="V233" s="2213"/>
      <c r="W233" s="2213"/>
      <c r="X233" s="2213"/>
    </row>
    <row r="234" spans="1:24">
      <c r="A234" s="2217">
        <f t="shared" si="17"/>
        <v>9.0025000000018274</v>
      </c>
      <c r="B234" s="2217">
        <f t="shared" si="18"/>
        <v>8010.1100000000015</v>
      </c>
      <c r="C234" s="2217">
        <f t="shared" si="19"/>
        <v>27.070000000002437</v>
      </c>
      <c r="D234" s="2212">
        <v>109</v>
      </c>
      <c r="E234" s="2219"/>
      <c r="F234" s="2213"/>
      <c r="G234" s="2219"/>
      <c r="H234" s="2213"/>
      <c r="I234" s="2213"/>
      <c r="J234" s="2213"/>
      <c r="K234" s="2213"/>
      <c r="L234" s="263"/>
      <c r="M234" s="2217">
        <f t="shared" si="20"/>
        <v>4.1817000000001361</v>
      </c>
      <c r="N234" s="2217">
        <f t="shared" si="16"/>
        <v>6427.674</v>
      </c>
      <c r="O234" s="2217">
        <f t="shared" si="21"/>
        <v>23.818000000000211</v>
      </c>
      <c r="P234" s="2212">
        <v>109</v>
      </c>
      <c r="Q234" s="2219"/>
      <c r="R234" s="2213"/>
      <c r="S234" s="2219"/>
      <c r="T234" s="2213"/>
      <c r="U234" s="2213"/>
      <c r="V234" s="2213"/>
      <c r="W234" s="2213"/>
      <c r="X234" s="2213"/>
    </row>
    <row r="235" spans="1:24">
      <c r="A235" s="2217">
        <f t="shared" si="17"/>
        <v>9.137499999998635</v>
      </c>
      <c r="B235" s="2217">
        <f t="shared" si="18"/>
        <v>7983.0399999999991</v>
      </c>
      <c r="C235" s="2217">
        <f t="shared" si="19"/>
        <v>27.249999999998181</v>
      </c>
      <c r="D235" s="2212">
        <v>108</v>
      </c>
      <c r="E235" s="2219"/>
      <c r="F235" s="2213"/>
      <c r="G235" s="2219"/>
      <c r="H235" s="2213"/>
      <c r="I235" s="2213"/>
      <c r="J235" s="2213"/>
      <c r="K235" s="2213"/>
      <c r="L235" s="263"/>
      <c r="M235" s="2217">
        <f t="shared" si="20"/>
        <v>4.2414999999999043</v>
      </c>
      <c r="N235" s="2217">
        <f t="shared" ref="N235:N298" si="22">N$33+(N$32*P235)-(N$31*(P235^2))+(N$30*(P235^3))</f>
        <v>6403.8559999999998</v>
      </c>
      <c r="O235" s="2217">
        <f t="shared" si="21"/>
        <v>23.909999999999854</v>
      </c>
      <c r="P235" s="2212">
        <v>108</v>
      </c>
      <c r="Q235" s="2219"/>
      <c r="R235" s="2213"/>
      <c r="S235" s="2219"/>
      <c r="T235" s="2213"/>
      <c r="U235" s="2213"/>
      <c r="V235" s="2213"/>
      <c r="W235" s="2213"/>
      <c r="X235" s="2213"/>
    </row>
    <row r="236" spans="1:24">
      <c r="A236" s="2217">
        <f t="shared" ref="A236:A299" si="23">(C236*(B$8-B$10))-B$9</f>
        <v>9.2725000000002176</v>
      </c>
      <c r="B236" s="2217">
        <f t="shared" ref="B236:B299" si="24">B$33+(B$32*D236)-(B$31*(D236^2))+(B$30*(D236^3))</f>
        <v>7955.7900000000009</v>
      </c>
      <c r="C236" s="2217">
        <f t="shared" ref="C236:C299" si="25">B236-B237</f>
        <v>27.430000000000291</v>
      </c>
      <c r="D236" s="2212">
        <v>107</v>
      </c>
      <c r="E236" s="2219"/>
      <c r="F236" s="2213"/>
      <c r="G236" s="2219"/>
      <c r="H236" s="2213"/>
      <c r="I236" s="2213"/>
      <c r="J236" s="2213"/>
      <c r="K236" s="2213"/>
      <c r="L236" s="263"/>
      <c r="M236" s="2217">
        <f t="shared" ref="M236:M299" si="26">(O236*(N$8-N$10))-N$9</f>
        <v>4.3013000000002641</v>
      </c>
      <c r="N236" s="2217">
        <f t="shared" si="22"/>
        <v>6379.9459999999999</v>
      </c>
      <c r="O236" s="2217">
        <f t="shared" ref="O236:O299" si="27">N236-N237</f>
        <v>24.002000000000407</v>
      </c>
      <c r="P236" s="2212">
        <v>107</v>
      </c>
      <c r="Q236" s="2219"/>
      <c r="R236" s="2213"/>
      <c r="S236" s="2219"/>
      <c r="T236" s="2213"/>
      <c r="U236" s="2213"/>
      <c r="V236" s="2213"/>
      <c r="W236" s="2213"/>
      <c r="X236" s="2213"/>
    </row>
    <row r="237" spans="1:24">
      <c r="A237" s="2217">
        <f t="shared" si="23"/>
        <v>9.4075000000004358</v>
      </c>
      <c r="B237" s="2217">
        <f t="shared" si="24"/>
        <v>7928.3600000000006</v>
      </c>
      <c r="C237" s="2217">
        <f t="shared" si="25"/>
        <v>27.610000000000582</v>
      </c>
      <c r="D237" s="2212">
        <v>106</v>
      </c>
      <c r="E237" s="2219"/>
      <c r="F237" s="2213"/>
      <c r="G237" s="2219"/>
      <c r="H237" s="2213"/>
      <c r="I237" s="2213"/>
      <c r="J237" s="2213"/>
      <c r="K237" s="2213"/>
      <c r="L237" s="263"/>
      <c r="M237" s="2217">
        <f t="shared" si="26"/>
        <v>4.3610999999994426</v>
      </c>
      <c r="N237" s="2217">
        <f t="shared" si="22"/>
        <v>6355.9439999999995</v>
      </c>
      <c r="O237" s="2217">
        <f t="shared" si="27"/>
        <v>24.093999999999141</v>
      </c>
      <c r="P237" s="2212">
        <v>106</v>
      </c>
      <c r="Q237" s="2219"/>
      <c r="R237" s="2213"/>
      <c r="S237" s="2219"/>
      <c r="T237" s="2213"/>
      <c r="U237" s="2213"/>
      <c r="V237" s="2213"/>
      <c r="W237" s="2213"/>
      <c r="X237" s="2213"/>
    </row>
    <row r="238" spans="1:24">
      <c r="A238" s="2217">
        <f t="shared" si="23"/>
        <v>9.5424999999986078</v>
      </c>
      <c r="B238" s="2217">
        <f t="shared" si="24"/>
        <v>7900.75</v>
      </c>
      <c r="C238" s="2217">
        <f t="shared" si="25"/>
        <v>27.789999999998145</v>
      </c>
      <c r="D238" s="2212">
        <v>105</v>
      </c>
      <c r="E238" s="2219"/>
      <c r="F238" s="2213"/>
      <c r="G238" s="2219"/>
      <c r="H238" s="2213"/>
      <c r="I238" s="2213"/>
      <c r="J238" s="2213"/>
      <c r="K238" s="2213"/>
      <c r="L238" s="263"/>
      <c r="M238" s="2217">
        <f t="shared" si="26"/>
        <v>4.4209000000003922</v>
      </c>
      <c r="N238" s="2217">
        <f t="shared" si="22"/>
        <v>6331.85</v>
      </c>
      <c r="O238" s="2217">
        <f t="shared" si="27"/>
        <v>24.186000000000604</v>
      </c>
      <c r="P238" s="2212">
        <v>105</v>
      </c>
      <c r="Q238" s="2219"/>
      <c r="R238" s="2213"/>
      <c r="S238" s="2219"/>
      <c r="T238" s="2213"/>
      <c r="U238" s="2213"/>
      <c r="V238" s="2213"/>
      <c r="W238" s="2213"/>
      <c r="X238" s="2213"/>
    </row>
    <row r="239" spans="1:24">
      <c r="A239" s="2217">
        <f t="shared" si="23"/>
        <v>9.6775000000015545</v>
      </c>
      <c r="B239" s="2217">
        <f t="shared" si="24"/>
        <v>7872.9600000000019</v>
      </c>
      <c r="C239" s="2217">
        <f t="shared" si="25"/>
        <v>27.970000000002074</v>
      </c>
      <c r="D239" s="2212">
        <v>104</v>
      </c>
      <c r="E239" s="2219"/>
      <c r="F239" s="2213"/>
      <c r="G239" s="2219"/>
      <c r="H239" s="2213"/>
      <c r="I239" s="2213"/>
      <c r="J239" s="2213"/>
      <c r="K239" s="2213"/>
      <c r="L239" s="263"/>
      <c r="M239" s="2217">
        <f t="shared" si="26"/>
        <v>4.4807000000001604</v>
      </c>
      <c r="N239" s="2217">
        <f t="shared" si="22"/>
        <v>6307.6639999999998</v>
      </c>
      <c r="O239" s="2217">
        <f t="shared" si="27"/>
        <v>24.278000000000247</v>
      </c>
      <c r="P239" s="2212">
        <v>104</v>
      </c>
      <c r="Q239" s="2219"/>
      <c r="R239" s="2213"/>
      <c r="S239" s="2219"/>
      <c r="T239" s="2213"/>
      <c r="U239" s="2213"/>
      <c r="V239" s="2213"/>
      <c r="W239" s="2213"/>
      <c r="X239" s="2213"/>
    </row>
    <row r="240" spans="1:24">
      <c r="A240" s="2217">
        <f t="shared" si="23"/>
        <v>9.8124999999990443</v>
      </c>
      <c r="B240" s="2217">
        <f t="shared" si="24"/>
        <v>7844.99</v>
      </c>
      <c r="C240" s="2217">
        <f t="shared" si="25"/>
        <v>28.149999999998727</v>
      </c>
      <c r="D240" s="2212">
        <v>103</v>
      </c>
      <c r="E240" s="2219"/>
      <c r="F240" s="2213"/>
      <c r="G240" s="2219"/>
      <c r="H240" s="2213"/>
      <c r="I240" s="2213"/>
      <c r="J240" s="2213"/>
      <c r="K240" s="2213"/>
      <c r="L240" s="263"/>
      <c r="M240" s="2217">
        <f t="shared" si="26"/>
        <v>4.5404999999993372</v>
      </c>
      <c r="N240" s="2217">
        <f t="shared" si="22"/>
        <v>6283.3859999999995</v>
      </c>
      <c r="O240" s="2217">
        <f t="shared" si="27"/>
        <v>24.369999999998981</v>
      </c>
      <c r="P240" s="2212">
        <v>103</v>
      </c>
      <c r="Q240" s="2219"/>
      <c r="R240" s="2213"/>
      <c r="S240" s="2219"/>
      <c r="T240" s="2213"/>
      <c r="U240" s="2213"/>
      <c r="V240" s="2213"/>
      <c r="W240" s="2213"/>
      <c r="X240" s="2213"/>
    </row>
    <row r="241" spans="1:24">
      <c r="A241" s="2217">
        <f t="shared" si="23"/>
        <v>9.9475000000006268</v>
      </c>
      <c r="B241" s="2217">
        <f t="shared" si="24"/>
        <v>7816.8400000000011</v>
      </c>
      <c r="C241" s="2217">
        <f t="shared" si="25"/>
        <v>28.330000000000837</v>
      </c>
      <c r="D241" s="2212">
        <v>102</v>
      </c>
      <c r="E241" s="2219"/>
      <c r="F241" s="2213"/>
      <c r="G241" s="2219"/>
      <c r="H241" s="2213"/>
      <c r="I241" s="2213"/>
      <c r="J241" s="2213"/>
      <c r="K241" s="2213"/>
      <c r="L241" s="263"/>
      <c r="M241" s="2217">
        <f t="shared" si="26"/>
        <v>4.60030000000088</v>
      </c>
      <c r="N241" s="2217">
        <f t="shared" si="22"/>
        <v>6259.0160000000005</v>
      </c>
      <c r="O241" s="2217">
        <f t="shared" si="27"/>
        <v>24.462000000001353</v>
      </c>
      <c r="P241" s="2212">
        <v>102</v>
      </c>
      <c r="Q241" s="2219"/>
      <c r="R241" s="2213"/>
      <c r="S241" s="2219"/>
      <c r="T241" s="2213"/>
      <c r="U241" s="2213"/>
      <c r="V241" s="2213"/>
      <c r="W241" s="2213"/>
      <c r="X241" s="2213"/>
    </row>
    <row r="242" spans="1:24">
      <c r="A242" s="2217">
        <f t="shared" si="23"/>
        <v>10.082500000000163</v>
      </c>
      <c r="B242" s="2217">
        <f t="shared" si="24"/>
        <v>7788.51</v>
      </c>
      <c r="C242" s="2217">
        <f t="shared" si="25"/>
        <v>28.510000000000218</v>
      </c>
      <c r="D242" s="2212">
        <v>101</v>
      </c>
      <c r="E242" s="2219"/>
      <c r="F242" s="2213"/>
      <c r="G242" s="2219"/>
      <c r="H242" s="2213"/>
      <c r="I242" s="2213"/>
      <c r="J242" s="2213"/>
      <c r="K242" s="2213"/>
      <c r="L242" s="263"/>
      <c r="M242" s="2217">
        <f t="shared" si="26"/>
        <v>4.6600999999994652</v>
      </c>
      <c r="N242" s="2217">
        <f t="shared" si="22"/>
        <v>6234.5539999999992</v>
      </c>
      <c r="O242" s="2217">
        <f t="shared" si="27"/>
        <v>24.553999999999178</v>
      </c>
      <c r="P242" s="2212">
        <v>101</v>
      </c>
      <c r="Q242" s="2219"/>
      <c r="R242" s="2213"/>
      <c r="S242" s="2219"/>
      <c r="T242" s="2213"/>
      <c r="U242" s="2213"/>
      <c r="V242" s="2213"/>
      <c r="W242" s="2213"/>
      <c r="X242" s="2213"/>
    </row>
    <row r="243" spans="1:24">
      <c r="A243" s="2217">
        <f t="shared" si="23"/>
        <v>10.217499999999017</v>
      </c>
      <c r="B243" s="2217">
        <f t="shared" si="24"/>
        <v>7760</v>
      </c>
      <c r="C243" s="2217">
        <f t="shared" si="25"/>
        <v>28.68999999999869</v>
      </c>
      <c r="D243" s="2212">
        <v>100</v>
      </c>
      <c r="E243" s="2219"/>
      <c r="F243" s="2213"/>
      <c r="G243" s="2219"/>
      <c r="H243" s="2213"/>
      <c r="I243" s="2213"/>
      <c r="J243" s="2213"/>
      <c r="K243" s="2213"/>
      <c r="L243" s="263"/>
      <c r="M243" s="2217">
        <f t="shared" si="26"/>
        <v>4.7199000000004148</v>
      </c>
      <c r="N243" s="2217">
        <f t="shared" si="22"/>
        <v>6210</v>
      </c>
      <c r="O243" s="2217">
        <f t="shared" si="27"/>
        <v>24.64600000000064</v>
      </c>
      <c r="P243" s="2212">
        <v>100</v>
      </c>
      <c r="Q243" s="2219"/>
      <c r="R243" s="2213"/>
      <c r="S243" s="2219"/>
      <c r="T243" s="2213"/>
      <c r="U243" s="2213"/>
      <c r="V243" s="2213"/>
      <c r="W243" s="2213"/>
      <c r="X243" s="2213"/>
    </row>
    <row r="244" spans="1:24">
      <c r="A244" s="2217">
        <f t="shared" si="23"/>
        <v>10.352500000001282</v>
      </c>
      <c r="B244" s="2217">
        <f t="shared" si="24"/>
        <v>7731.3100000000013</v>
      </c>
      <c r="C244" s="2217">
        <f t="shared" si="25"/>
        <v>28.87000000000171</v>
      </c>
      <c r="D244" s="2212">
        <v>99</v>
      </c>
      <c r="E244" s="2219"/>
      <c r="F244" s="2213"/>
      <c r="G244" s="2219"/>
      <c r="H244" s="2213"/>
      <c r="I244" s="2213"/>
      <c r="J244" s="2213"/>
      <c r="K244" s="2213"/>
      <c r="L244" s="263"/>
      <c r="M244" s="2217">
        <f t="shared" si="26"/>
        <v>4.7796999999995933</v>
      </c>
      <c r="N244" s="2217">
        <f t="shared" si="22"/>
        <v>6185.3539999999994</v>
      </c>
      <c r="O244" s="2217">
        <f t="shared" si="27"/>
        <v>24.737999999999374</v>
      </c>
      <c r="P244" s="2212">
        <v>99</v>
      </c>
      <c r="Q244" s="2219"/>
      <c r="R244" s="2213"/>
      <c r="S244" s="2219"/>
      <c r="T244" s="2213"/>
      <c r="U244" s="2213"/>
      <c r="V244" s="2213"/>
      <c r="W244" s="2213"/>
      <c r="X244" s="2213"/>
    </row>
    <row r="245" spans="1:24">
      <c r="A245" s="2217">
        <f t="shared" si="23"/>
        <v>10.487499999998771</v>
      </c>
      <c r="B245" s="2217">
        <f t="shared" si="24"/>
        <v>7702.44</v>
      </c>
      <c r="C245" s="2217">
        <f t="shared" si="25"/>
        <v>29.049999999998363</v>
      </c>
      <c r="D245" s="2212">
        <v>98</v>
      </c>
      <c r="E245" s="2219"/>
      <c r="F245" s="2213"/>
      <c r="G245" s="2219"/>
      <c r="H245" s="2213"/>
      <c r="I245" s="2213"/>
      <c r="J245" s="2213"/>
      <c r="K245" s="2213"/>
      <c r="L245" s="263"/>
      <c r="M245" s="2217">
        <f t="shared" si="26"/>
        <v>4.8394999999999513</v>
      </c>
      <c r="N245" s="2217">
        <f t="shared" si="22"/>
        <v>6160.616</v>
      </c>
      <c r="O245" s="2217">
        <f t="shared" si="27"/>
        <v>24.829999999999927</v>
      </c>
      <c r="P245" s="2212">
        <v>98</v>
      </c>
      <c r="Q245" s="2219"/>
      <c r="R245" s="2213"/>
      <c r="S245" s="2219"/>
      <c r="T245" s="2213"/>
      <c r="U245" s="2213"/>
      <c r="V245" s="2213"/>
      <c r="W245" s="2213"/>
      <c r="X245" s="2213"/>
    </row>
    <row r="246" spans="1:24">
      <c r="A246" s="2217">
        <f t="shared" si="23"/>
        <v>10.622500000000354</v>
      </c>
      <c r="B246" s="2217">
        <f t="shared" si="24"/>
        <v>7673.3900000000012</v>
      </c>
      <c r="C246" s="2217">
        <f t="shared" si="25"/>
        <v>29.230000000000473</v>
      </c>
      <c r="D246" s="2212">
        <v>97</v>
      </c>
      <c r="E246" s="2219"/>
      <c r="F246" s="2213"/>
      <c r="G246" s="2219"/>
      <c r="H246" s="2213"/>
      <c r="I246" s="2213"/>
      <c r="J246" s="2213"/>
      <c r="K246" s="2213"/>
      <c r="L246" s="263"/>
      <c r="M246" s="2217">
        <f t="shared" si="26"/>
        <v>4.8993000000003128</v>
      </c>
      <c r="N246" s="2217">
        <f t="shared" si="22"/>
        <v>6135.7860000000001</v>
      </c>
      <c r="O246" s="2217">
        <f t="shared" si="27"/>
        <v>24.92200000000048</v>
      </c>
      <c r="P246" s="2212">
        <v>97</v>
      </c>
      <c r="Q246" s="2219"/>
      <c r="R246" s="2213"/>
      <c r="S246" s="2219"/>
      <c r="T246" s="2213"/>
      <c r="U246" s="2213"/>
      <c r="V246" s="2213"/>
      <c r="W246" s="2213"/>
      <c r="X246" s="2213"/>
    </row>
    <row r="247" spans="1:24">
      <c r="A247" s="2217">
        <f t="shared" si="23"/>
        <v>10.757500000000572</v>
      </c>
      <c r="B247" s="2217">
        <f t="shared" si="24"/>
        <v>7644.1600000000008</v>
      </c>
      <c r="C247" s="2217">
        <f t="shared" si="25"/>
        <v>29.410000000000764</v>
      </c>
      <c r="D247" s="2212">
        <v>96</v>
      </c>
      <c r="E247" s="2219"/>
      <c r="F247" s="2213"/>
      <c r="G247" s="2219"/>
      <c r="H247" s="2213"/>
      <c r="I247" s="2213"/>
      <c r="J247" s="2213"/>
      <c r="K247" s="2213"/>
      <c r="L247" s="263"/>
      <c r="M247" s="2217">
        <f t="shared" si="26"/>
        <v>4.9590999999994878</v>
      </c>
      <c r="N247" s="2217">
        <f t="shared" si="22"/>
        <v>6110.8639999999996</v>
      </c>
      <c r="O247" s="2217">
        <f t="shared" si="27"/>
        <v>25.013999999999214</v>
      </c>
      <c r="P247" s="2212">
        <v>96</v>
      </c>
      <c r="Q247" s="2219"/>
      <c r="R247" s="2213"/>
      <c r="S247" s="2219"/>
      <c r="T247" s="2213"/>
      <c r="U247" s="2213"/>
      <c r="V247" s="2213"/>
      <c r="W247" s="2213"/>
      <c r="X247" s="2213"/>
    </row>
    <row r="248" spans="1:24">
      <c r="A248" s="2217">
        <f t="shared" si="23"/>
        <v>10.892499999998744</v>
      </c>
      <c r="B248" s="2217">
        <f t="shared" si="24"/>
        <v>7614.75</v>
      </c>
      <c r="C248" s="2217">
        <f t="shared" si="25"/>
        <v>29.589999999998327</v>
      </c>
      <c r="D248" s="2212">
        <v>95</v>
      </c>
      <c r="E248" s="2219"/>
      <c r="F248" s="2213"/>
      <c r="G248" s="2219"/>
      <c r="H248" s="2213"/>
      <c r="I248" s="2213"/>
      <c r="J248" s="2213"/>
      <c r="K248" s="2213"/>
      <c r="L248" s="263"/>
      <c r="M248" s="2217">
        <f t="shared" si="26"/>
        <v>5.0189000000004391</v>
      </c>
      <c r="N248" s="2217">
        <f t="shared" si="22"/>
        <v>6085.85</v>
      </c>
      <c r="O248" s="2217">
        <f t="shared" si="27"/>
        <v>25.106000000000677</v>
      </c>
      <c r="P248" s="2212">
        <v>95</v>
      </c>
      <c r="Q248" s="2219"/>
      <c r="R248" s="2213"/>
      <c r="S248" s="2219"/>
      <c r="T248" s="2213"/>
      <c r="U248" s="2213"/>
      <c r="V248" s="2213"/>
      <c r="W248" s="2213"/>
      <c r="X248" s="2213"/>
    </row>
    <row r="249" spans="1:24">
      <c r="A249" s="2217">
        <f t="shared" si="23"/>
        <v>11.027500000001691</v>
      </c>
      <c r="B249" s="2217">
        <f t="shared" si="24"/>
        <v>7585.1600000000017</v>
      </c>
      <c r="C249" s="2217">
        <f t="shared" si="25"/>
        <v>29.770000000002256</v>
      </c>
      <c r="D249" s="2212">
        <v>94</v>
      </c>
      <c r="E249" s="2219"/>
      <c r="F249" s="2213"/>
      <c r="G249" s="2219"/>
      <c r="H249" s="2213"/>
      <c r="I249" s="2213"/>
      <c r="J249" s="2213"/>
      <c r="K249" s="2213"/>
      <c r="L249" s="263"/>
      <c r="M249" s="2217">
        <f t="shared" si="26"/>
        <v>5.0787000000002074</v>
      </c>
      <c r="N249" s="2217">
        <f t="shared" si="22"/>
        <v>6060.7439999999997</v>
      </c>
      <c r="O249" s="2217">
        <f t="shared" si="27"/>
        <v>25.19800000000032</v>
      </c>
      <c r="P249" s="2212">
        <v>94</v>
      </c>
      <c r="Q249" s="2219"/>
      <c r="R249" s="2213"/>
      <c r="S249" s="2219"/>
      <c r="T249" s="2213"/>
      <c r="U249" s="2213"/>
      <c r="V249" s="2213"/>
      <c r="W249" s="2213"/>
      <c r="X249" s="2213"/>
    </row>
    <row r="250" spans="1:24">
      <c r="A250" s="2217">
        <f t="shared" si="23"/>
        <v>11.162499999999181</v>
      </c>
      <c r="B250" s="2217">
        <f t="shared" si="24"/>
        <v>7555.3899999999994</v>
      </c>
      <c r="C250" s="2217">
        <f t="shared" si="25"/>
        <v>29.949999999998909</v>
      </c>
      <c r="D250" s="2212">
        <v>93</v>
      </c>
      <c r="E250" s="2219"/>
      <c r="F250" s="2213"/>
      <c r="G250" s="2219"/>
      <c r="H250" s="2213"/>
      <c r="I250" s="2213"/>
      <c r="J250" s="2213"/>
      <c r="K250" s="2213"/>
      <c r="L250" s="263"/>
      <c r="M250" s="2217">
        <f t="shared" si="26"/>
        <v>5.1384999999993859</v>
      </c>
      <c r="N250" s="2217">
        <f t="shared" si="22"/>
        <v>6035.5459999999994</v>
      </c>
      <c r="O250" s="2217">
        <f t="shared" si="27"/>
        <v>25.289999999999054</v>
      </c>
      <c r="P250" s="2212">
        <v>93</v>
      </c>
      <c r="Q250" s="2219"/>
      <c r="R250" s="2213"/>
      <c r="S250" s="2219"/>
      <c r="T250" s="2213"/>
      <c r="U250" s="2213"/>
      <c r="V250" s="2213"/>
      <c r="W250" s="2213"/>
      <c r="X250" s="2213"/>
    </row>
    <row r="251" spans="1:24">
      <c r="A251" s="2217">
        <f t="shared" si="23"/>
        <v>11.297500000000081</v>
      </c>
      <c r="B251" s="2217">
        <f t="shared" si="24"/>
        <v>7525.4400000000005</v>
      </c>
      <c r="C251" s="2217">
        <f t="shared" si="25"/>
        <v>30.130000000000109</v>
      </c>
      <c r="D251" s="2212">
        <v>92</v>
      </c>
      <c r="E251" s="2219"/>
      <c r="F251" s="2213"/>
      <c r="G251" s="2219"/>
      <c r="H251" s="2213"/>
      <c r="I251" s="2213"/>
      <c r="J251" s="2213"/>
      <c r="K251" s="2213"/>
      <c r="L251" s="263"/>
      <c r="M251" s="2217">
        <f t="shared" si="26"/>
        <v>5.198300000000927</v>
      </c>
      <c r="N251" s="2217">
        <f t="shared" si="22"/>
        <v>6010.2560000000003</v>
      </c>
      <c r="O251" s="2217">
        <f t="shared" si="27"/>
        <v>25.382000000001426</v>
      </c>
      <c r="P251" s="2212">
        <v>92</v>
      </c>
      <c r="Q251" s="2219"/>
      <c r="R251" s="2213"/>
      <c r="S251" s="2219"/>
      <c r="T251" s="2213"/>
      <c r="U251" s="2213"/>
      <c r="V251" s="2213"/>
      <c r="W251" s="2213"/>
      <c r="X251" s="2213"/>
    </row>
    <row r="252" spans="1:24">
      <c r="A252" s="2217">
        <f t="shared" si="23"/>
        <v>11.432500000000299</v>
      </c>
      <c r="B252" s="2217">
        <f t="shared" si="24"/>
        <v>7495.31</v>
      </c>
      <c r="C252" s="2217">
        <f t="shared" si="25"/>
        <v>30.3100000000004</v>
      </c>
      <c r="D252" s="2212">
        <v>91</v>
      </c>
      <c r="E252" s="2219"/>
      <c r="F252" s="2213"/>
      <c r="G252" s="2219"/>
      <c r="H252" s="2213"/>
      <c r="I252" s="2213"/>
      <c r="J252" s="2213"/>
      <c r="K252" s="2213"/>
      <c r="L252" s="263"/>
      <c r="M252" s="2217">
        <f t="shared" si="26"/>
        <v>5.2580999999995122</v>
      </c>
      <c r="N252" s="2217">
        <f t="shared" si="22"/>
        <v>5984.8739999999989</v>
      </c>
      <c r="O252" s="2217">
        <f t="shared" si="27"/>
        <v>25.473999999999251</v>
      </c>
      <c r="P252" s="2212">
        <v>91</v>
      </c>
      <c r="Q252" s="2219"/>
      <c r="R252" s="2213"/>
      <c r="S252" s="2219"/>
      <c r="T252" s="2213"/>
      <c r="U252" s="2213"/>
      <c r="V252" s="2213"/>
      <c r="W252" s="2213"/>
      <c r="X252" s="2213"/>
    </row>
    <row r="253" spans="1:24">
      <c r="A253" s="2217">
        <f t="shared" si="23"/>
        <v>11.567499999999836</v>
      </c>
      <c r="B253" s="2217">
        <f t="shared" si="24"/>
        <v>7465</v>
      </c>
      <c r="C253" s="2217">
        <f t="shared" si="25"/>
        <v>30.489999999999782</v>
      </c>
      <c r="D253" s="2212">
        <v>90</v>
      </c>
      <c r="E253" s="2219"/>
      <c r="F253" s="2213"/>
      <c r="G253" s="2219"/>
      <c r="H253" s="2213"/>
      <c r="I253" s="2213"/>
      <c r="J253" s="2213"/>
      <c r="K253" s="2213"/>
      <c r="L253" s="263"/>
      <c r="M253" s="2217">
        <f t="shared" si="26"/>
        <v>5.3178999999998737</v>
      </c>
      <c r="N253" s="2217">
        <f t="shared" si="22"/>
        <v>5959.4</v>
      </c>
      <c r="O253" s="2217">
        <f t="shared" si="27"/>
        <v>25.565999999999804</v>
      </c>
      <c r="P253" s="2212">
        <v>90</v>
      </c>
      <c r="Q253" s="2219"/>
      <c r="R253" s="2213"/>
      <c r="S253" s="2219"/>
      <c r="T253" s="2213"/>
      <c r="U253" s="2213"/>
      <c r="V253" s="2213"/>
      <c r="W253" s="2213"/>
      <c r="X253" s="2213"/>
    </row>
    <row r="254" spans="1:24">
      <c r="A254" s="2217">
        <f t="shared" si="23"/>
        <v>11.702500000000054</v>
      </c>
      <c r="B254" s="2217">
        <f t="shared" si="24"/>
        <v>7434.51</v>
      </c>
      <c r="C254" s="2217">
        <f t="shared" si="25"/>
        <v>30.670000000000073</v>
      </c>
      <c r="D254" s="2212">
        <v>89</v>
      </c>
      <c r="E254" s="2219"/>
      <c r="F254" s="2213"/>
      <c r="G254" s="2219"/>
      <c r="H254" s="2213"/>
      <c r="I254" s="2213"/>
      <c r="J254" s="2213"/>
      <c r="K254" s="2213"/>
      <c r="L254" s="263"/>
      <c r="M254" s="2217">
        <f t="shared" si="26"/>
        <v>5.3777000000002317</v>
      </c>
      <c r="N254" s="2217">
        <f t="shared" si="22"/>
        <v>5933.8339999999998</v>
      </c>
      <c r="O254" s="2217">
        <f t="shared" si="27"/>
        <v>25.658000000000357</v>
      </c>
      <c r="P254" s="2212">
        <v>89</v>
      </c>
      <c r="Q254" s="2219"/>
      <c r="R254" s="2213"/>
      <c r="S254" s="2219"/>
      <c r="T254" s="2213"/>
      <c r="U254" s="2213"/>
      <c r="V254" s="2213"/>
      <c r="W254" s="2213"/>
      <c r="X254" s="2213"/>
    </row>
    <row r="255" spans="1:24">
      <c r="A255" s="2217">
        <f t="shared" si="23"/>
        <v>11.83749999999959</v>
      </c>
      <c r="B255" s="2217">
        <f t="shared" si="24"/>
        <v>7403.84</v>
      </c>
      <c r="C255" s="2217">
        <f t="shared" si="25"/>
        <v>30.849999999999454</v>
      </c>
      <c r="D255" s="2212">
        <v>88</v>
      </c>
      <c r="E255" s="2219"/>
      <c r="F255" s="2213"/>
      <c r="G255" s="2219"/>
      <c r="H255" s="2213"/>
      <c r="I255" s="2213"/>
      <c r="J255" s="2213"/>
      <c r="K255" s="2213"/>
      <c r="L255" s="263"/>
      <c r="M255" s="2217">
        <f t="shared" si="26"/>
        <v>5.4374999999994102</v>
      </c>
      <c r="N255" s="2217">
        <f t="shared" si="22"/>
        <v>5908.1759999999995</v>
      </c>
      <c r="O255" s="2217">
        <f t="shared" si="27"/>
        <v>25.749999999999091</v>
      </c>
      <c r="P255" s="2212">
        <v>88</v>
      </c>
      <c r="Q255" s="2219"/>
      <c r="R255" s="2213"/>
      <c r="S255" s="2219"/>
      <c r="T255" s="2213"/>
      <c r="U255" s="2213"/>
      <c r="V255" s="2213"/>
      <c r="W255" s="2213"/>
      <c r="X255" s="2213"/>
    </row>
    <row r="256" spans="1:24">
      <c r="A256" s="2217">
        <f t="shared" si="23"/>
        <v>11.97250000000049</v>
      </c>
      <c r="B256" s="2217">
        <f t="shared" si="24"/>
        <v>7372.9900000000007</v>
      </c>
      <c r="C256" s="2217">
        <f t="shared" si="25"/>
        <v>31.030000000000655</v>
      </c>
      <c r="D256" s="2212">
        <v>87</v>
      </c>
      <c r="E256" s="2219"/>
      <c r="F256" s="2213"/>
      <c r="G256" s="2219"/>
      <c r="H256" s="2213"/>
      <c r="I256" s="2213"/>
      <c r="J256" s="2213"/>
      <c r="K256" s="2213"/>
      <c r="L256" s="263"/>
      <c r="M256" s="2217">
        <f t="shared" si="26"/>
        <v>5.4973000000009513</v>
      </c>
      <c r="N256" s="2217">
        <f t="shared" si="22"/>
        <v>5882.4260000000004</v>
      </c>
      <c r="O256" s="2217">
        <f t="shared" si="27"/>
        <v>25.842000000001462</v>
      </c>
      <c r="P256" s="2212">
        <v>87</v>
      </c>
      <c r="Q256" s="2219"/>
      <c r="R256" s="2213"/>
      <c r="S256" s="2219"/>
      <c r="T256" s="2213"/>
      <c r="U256" s="2213"/>
      <c r="V256" s="2213"/>
      <c r="W256" s="2213"/>
      <c r="X256" s="2213"/>
    </row>
    <row r="257" spans="1:24">
      <c r="A257" s="2217">
        <f t="shared" si="23"/>
        <v>12.107500000000027</v>
      </c>
      <c r="B257" s="2217">
        <f t="shared" si="24"/>
        <v>7341.96</v>
      </c>
      <c r="C257" s="2217">
        <f t="shared" si="25"/>
        <v>31.210000000000036</v>
      </c>
      <c r="D257" s="2212">
        <v>86</v>
      </c>
      <c r="E257" s="2219"/>
      <c r="F257" s="2213"/>
      <c r="G257" s="2219"/>
      <c r="H257" s="2213"/>
      <c r="I257" s="2213"/>
      <c r="J257" s="2213"/>
      <c r="K257" s="2213"/>
      <c r="L257" s="263"/>
      <c r="M257" s="2217">
        <f t="shared" si="26"/>
        <v>5.5570999999995365</v>
      </c>
      <c r="N257" s="2217">
        <f t="shared" si="22"/>
        <v>5856.5839999999989</v>
      </c>
      <c r="O257" s="2217">
        <f t="shared" si="27"/>
        <v>25.933999999999287</v>
      </c>
      <c r="P257" s="2212">
        <v>86</v>
      </c>
      <c r="Q257" s="2219"/>
      <c r="R257" s="2213"/>
      <c r="S257" s="2219"/>
      <c r="T257" s="2213"/>
      <c r="U257" s="2213"/>
      <c r="V257" s="2213"/>
      <c r="W257" s="2213"/>
      <c r="X257" s="2213"/>
    </row>
    <row r="258" spans="1:24">
      <c r="A258" s="2217">
        <f t="shared" si="23"/>
        <v>12.242500000000245</v>
      </c>
      <c r="B258" s="2217">
        <f t="shared" si="24"/>
        <v>7310.75</v>
      </c>
      <c r="C258" s="2217">
        <f t="shared" si="25"/>
        <v>31.390000000000327</v>
      </c>
      <c r="D258" s="2212">
        <v>85</v>
      </c>
      <c r="E258" s="2219"/>
      <c r="F258" s="2213"/>
      <c r="G258" s="2219"/>
      <c r="H258" s="2213"/>
      <c r="I258" s="2213"/>
      <c r="J258" s="2213"/>
      <c r="K258" s="2213"/>
      <c r="L258" s="263"/>
      <c r="M258" s="2217">
        <f t="shared" si="26"/>
        <v>5.6168999999998945</v>
      </c>
      <c r="N258" s="2217">
        <f t="shared" si="22"/>
        <v>5830.65</v>
      </c>
      <c r="O258" s="2217">
        <f t="shared" si="27"/>
        <v>26.02599999999984</v>
      </c>
      <c r="P258" s="2212">
        <v>85</v>
      </c>
      <c r="Q258" s="2219"/>
      <c r="R258" s="2213"/>
      <c r="S258" s="2219"/>
      <c r="T258" s="2213"/>
      <c r="U258" s="2213"/>
      <c r="V258" s="2213"/>
      <c r="W258" s="2213"/>
      <c r="X258" s="2213"/>
    </row>
    <row r="259" spans="1:24">
      <c r="A259" s="2217">
        <f t="shared" si="23"/>
        <v>12.377499999999781</v>
      </c>
      <c r="B259" s="2217">
        <f t="shared" si="24"/>
        <v>7279.36</v>
      </c>
      <c r="C259" s="2217">
        <f t="shared" si="25"/>
        <v>31.569999999999709</v>
      </c>
      <c r="D259" s="2212">
        <v>84</v>
      </c>
      <c r="E259" s="2219"/>
      <c r="F259" s="2213"/>
      <c r="G259" s="2219"/>
      <c r="H259" s="2213"/>
      <c r="I259" s="2213"/>
      <c r="J259" s="2213"/>
      <c r="K259" s="2213"/>
      <c r="L259" s="263"/>
      <c r="M259" s="2217">
        <f t="shared" si="26"/>
        <v>5.6767000000002561</v>
      </c>
      <c r="N259" s="2217">
        <f t="shared" si="22"/>
        <v>5804.6239999999998</v>
      </c>
      <c r="O259" s="2217">
        <f t="shared" si="27"/>
        <v>26.118000000000393</v>
      </c>
      <c r="P259" s="2212">
        <v>84</v>
      </c>
      <c r="Q259" s="2219"/>
      <c r="R259" s="2213"/>
      <c r="S259" s="2219"/>
      <c r="T259" s="2213"/>
      <c r="U259" s="2213"/>
      <c r="V259" s="2213"/>
      <c r="W259" s="2213"/>
      <c r="X259" s="2213"/>
    </row>
    <row r="260" spans="1:24">
      <c r="A260" s="2217">
        <f t="shared" si="23"/>
        <v>12.512499999999317</v>
      </c>
      <c r="B260" s="2217">
        <f t="shared" si="24"/>
        <v>7247.79</v>
      </c>
      <c r="C260" s="2217">
        <f t="shared" si="25"/>
        <v>31.749999999999091</v>
      </c>
      <c r="D260" s="2212">
        <v>83</v>
      </c>
      <c r="E260" s="2219"/>
      <c r="F260" s="2213"/>
      <c r="G260" s="2219"/>
      <c r="H260" s="2213"/>
      <c r="I260" s="2213"/>
      <c r="J260" s="2213"/>
      <c r="K260" s="2213"/>
      <c r="L260" s="263"/>
      <c r="M260" s="2217">
        <f t="shared" si="26"/>
        <v>5.7364999999994311</v>
      </c>
      <c r="N260" s="2217">
        <f t="shared" si="22"/>
        <v>5778.5059999999994</v>
      </c>
      <c r="O260" s="2217">
        <f t="shared" si="27"/>
        <v>26.209999999999127</v>
      </c>
      <c r="P260" s="2212">
        <v>83</v>
      </c>
      <c r="Q260" s="2219"/>
      <c r="R260" s="2213"/>
      <c r="S260" s="2219"/>
      <c r="T260" s="2213"/>
      <c r="U260" s="2213"/>
      <c r="V260" s="2213"/>
      <c r="W260" s="2213"/>
      <c r="X260" s="2213"/>
    </row>
    <row r="261" spans="1:24">
      <c r="A261" s="2217">
        <f t="shared" si="23"/>
        <v>12.647500000000218</v>
      </c>
      <c r="B261" s="2217">
        <f t="shared" si="24"/>
        <v>7216.0400000000009</v>
      </c>
      <c r="C261" s="2217">
        <f t="shared" si="25"/>
        <v>31.930000000000291</v>
      </c>
      <c r="D261" s="2212">
        <v>82</v>
      </c>
      <c r="E261" s="2219"/>
      <c r="F261" s="2213"/>
      <c r="G261" s="2219"/>
      <c r="H261" s="2213"/>
      <c r="I261" s="2213"/>
      <c r="J261" s="2213"/>
      <c r="K261" s="2213"/>
      <c r="L261" s="263"/>
      <c r="M261" s="2217">
        <f t="shared" si="26"/>
        <v>5.7963000000003824</v>
      </c>
      <c r="N261" s="2217">
        <f t="shared" si="22"/>
        <v>5752.2960000000003</v>
      </c>
      <c r="O261" s="2217">
        <f t="shared" si="27"/>
        <v>26.302000000000589</v>
      </c>
      <c r="P261" s="2212">
        <v>82</v>
      </c>
      <c r="Q261" s="2219"/>
      <c r="R261" s="2213"/>
      <c r="S261" s="2219"/>
      <c r="T261" s="2213"/>
      <c r="U261" s="2213"/>
      <c r="V261" s="2213"/>
      <c r="W261" s="2213"/>
      <c r="X261" s="2213"/>
    </row>
    <row r="262" spans="1:24">
      <c r="A262" s="2217">
        <f t="shared" si="23"/>
        <v>12.782500000000436</v>
      </c>
      <c r="B262" s="2217">
        <f t="shared" si="24"/>
        <v>7184.1100000000006</v>
      </c>
      <c r="C262" s="2217">
        <f t="shared" si="25"/>
        <v>32.110000000000582</v>
      </c>
      <c r="D262" s="2212">
        <v>81</v>
      </c>
      <c r="E262" s="2219"/>
      <c r="F262" s="2213"/>
      <c r="G262" s="2219"/>
      <c r="H262" s="2213"/>
      <c r="I262" s="2213"/>
      <c r="J262" s="2213"/>
      <c r="K262" s="2213"/>
      <c r="L262" s="263"/>
      <c r="M262" s="2217">
        <f t="shared" si="26"/>
        <v>5.8560999999995609</v>
      </c>
      <c r="N262" s="2217">
        <f t="shared" si="22"/>
        <v>5725.9939999999997</v>
      </c>
      <c r="O262" s="2217">
        <f t="shared" si="27"/>
        <v>26.393999999999323</v>
      </c>
      <c r="P262" s="2212">
        <v>81</v>
      </c>
      <c r="Q262" s="2219"/>
      <c r="R262" s="2213"/>
      <c r="S262" s="2219"/>
      <c r="T262" s="2213"/>
      <c r="U262" s="2213"/>
      <c r="V262" s="2213"/>
      <c r="W262" s="2213"/>
      <c r="X262" s="2213"/>
    </row>
    <row r="263" spans="1:24">
      <c r="A263" s="2217">
        <f t="shared" si="23"/>
        <v>12.917499999999972</v>
      </c>
      <c r="B263" s="2217">
        <f t="shared" si="24"/>
        <v>7152</v>
      </c>
      <c r="C263" s="2217">
        <f t="shared" si="25"/>
        <v>32.289999999999964</v>
      </c>
      <c r="D263" s="2212">
        <v>80</v>
      </c>
      <c r="E263" s="2219"/>
      <c r="F263" s="2213"/>
      <c r="G263" s="2219"/>
      <c r="H263" s="2213"/>
      <c r="I263" s="2213"/>
      <c r="J263" s="2213"/>
      <c r="K263" s="2213"/>
      <c r="L263" s="263"/>
      <c r="M263" s="2217">
        <f t="shared" si="26"/>
        <v>5.9159000000005122</v>
      </c>
      <c r="N263" s="2217">
        <f t="shared" si="22"/>
        <v>5699.6</v>
      </c>
      <c r="O263" s="2217">
        <f t="shared" si="27"/>
        <v>26.486000000000786</v>
      </c>
      <c r="P263" s="2212">
        <v>80</v>
      </c>
      <c r="Q263" s="2219"/>
      <c r="R263" s="2213"/>
      <c r="S263" s="2219"/>
      <c r="T263" s="2213"/>
      <c r="U263" s="2213"/>
      <c r="V263" s="2213"/>
      <c r="W263" s="2213"/>
      <c r="X263" s="2213"/>
    </row>
    <row r="264" spans="1:24">
      <c r="A264" s="2217">
        <f t="shared" si="23"/>
        <v>13.05250000000019</v>
      </c>
      <c r="B264" s="2217">
        <f t="shared" si="24"/>
        <v>7119.71</v>
      </c>
      <c r="C264" s="2217">
        <f t="shared" si="25"/>
        <v>32.470000000000255</v>
      </c>
      <c r="D264" s="2212">
        <v>79</v>
      </c>
      <c r="E264" s="2219"/>
      <c r="F264" s="2213"/>
      <c r="G264" s="2219"/>
      <c r="H264" s="2213"/>
      <c r="I264" s="2213"/>
      <c r="J264" s="2213"/>
      <c r="K264" s="2213"/>
      <c r="L264" s="263"/>
      <c r="M264" s="2217">
        <f t="shared" si="26"/>
        <v>5.9756999999996872</v>
      </c>
      <c r="N264" s="2217">
        <f t="shared" si="22"/>
        <v>5673.1139999999996</v>
      </c>
      <c r="O264" s="2217">
        <f t="shared" si="27"/>
        <v>26.57799999999952</v>
      </c>
      <c r="P264" s="2212">
        <v>79</v>
      </c>
      <c r="Q264" s="2219"/>
      <c r="R264" s="2213"/>
      <c r="S264" s="2219"/>
      <c r="T264" s="2213"/>
      <c r="U264" s="2213"/>
      <c r="V264" s="2213"/>
      <c r="W264" s="2213"/>
      <c r="X264" s="2213"/>
    </row>
    <row r="265" spans="1:24">
      <c r="A265" s="2217">
        <f t="shared" si="23"/>
        <v>13.187499999999044</v>
      </c>
      <c r="B265" s="2217">
        <f t="shared" si="24"/>
        <v>7087.24</v>
      </c>
      <c r="C265" s="2217">
        <f t="shared" si="25"/>
        <v>32.649999999998727</v>
      </c>
      <c r="D265" s="2212">
        <v>78</v>
      </c>
      <c r="E265" s="2219"/>
      <c r="F265" s="2213"/>
      <c r="G265" s="2219"/>
      <c r="H265" s="2213"/>
      <c r="I265" s="2213"/>
      <c r="J265" s="2213"/>
      <c r="K265" s="2213"/>
      <c r="L265" s="263"/>
      <c r="M265" s="2217">
        <f t="shared" si="26"/>
        <v>6.0355000000000487</v>
      </c>
      <c r="N265" s="2217">
        <f t="shared" si="22"/>
        <v>5646.5360000000001</v>
      </c>
      <c r="O265" s="2217">
        <f t="shared" si="27"/>
        <v>26.670000000000073</v>
      </c>
      <c r="P265" s="2212">
        <v>78</v>
      </c>
      <c r="Q265" s="2219"/>
      <c r="R265" s="2213"/>
      <c r="S265" s="2219"/>
      <c r="T265" s="2213"/>
      <c r="U265" s="2213"/>
      <c r="V265" s="2213"/>
      <c r="W265" s="2213"/>
      <c r="X265" s="2213"/>
    </row>
    <row r="266" spans="1:24">
      <c r="A266" s="2217">
        <f t="shared" si="23"/>
        <v>13.322500000000627</v>
      </c>
      <c r="B266" s="2217">
        <f t="shared" si="24"/>
        <v>7054.5900000000011</v>
      </c>
      <c r="C266" s="2217">
        <f t="shared" si="25"/>
        <v>32.830000000000837</v>
      </c>
      <c r="D266" s="2212">
        <v>77</v>
      </c>
      <c r="E266" s="2219"/>
      <c r="F266" s="2213"/>
      <c r="G266" s="2219"/>
      <c r="H266" s="2213"/>
      <c r="I266" s="2213"/>
      <c r="J266" s="2213"/>
      <c r="K266" s="2213"/>
      <c r="L266" s="263"/>
      <c r="M266" s="2217">
        <f t="shared" si="26"/>
        <v>6.0953000000004067</v>
      </c>
      <c r="N266" s="2217">
        <f t="shared" si="22"/>
        <v>5619.866</v>
      </c>
      <c r="O266" s="2217">
        <f t="shared" si="27"/>
        <v>26.762000000000626</v>
      </c>
      <c r="P266" s="2212">
        <v>77</v>
      </c>
      <c r="Q266" s="2219"/>
      <c r="R266" s="2213"/>
      <c r="S266" s="2219"/>
      <c r="T266" s="2213"/>
      <c r="U266" s="2213"/>
      <c r="V266" s="2213"/>
      <c r="W266" s="2213"/>
      <c r="X266" s="2213"/>
    </row>
    <row r="267" spans="1:24">
      <c r="A267" s="2217">
        <f t="shared" si="23"/>
        <v>13.457500000000163</v>
      </c>
      <c r="B267" s="2217">
        <f t="shared" si="24"/>
        <v>7021.76</v>
      </c>
      <c r="C267" s="2217">
        <f t="shared" si="25"/>
        <v>33.010000000000218</v>
      </c>
      <c r="D267" s="2212">
        <v>76</v>
      </c>
      <c r="E267" s="2219"/>
      <c r="F267" s="2213"/>
      <c r="G267" s="2219"/>
      <c r="H267" s="2213"/>
      <c r="I267" s="2213"/>
      <c r="J267" s="2213"/>
      <c r="K267" s="2213"/>
      <c r="L267" s="263"/>
      <c r="M267" s="2217">
        <f t="shared" si="26"/>
        <v>6.1550999999995852</v>
      </c>
      <c r="N267" s="2217">
        <f t="shared" si="22"/>
        <v>5593.1039999999994</v>
      </c>
      <c r="O267" s="2217">
        <f t="shared" si="27"/>
        <v>26.85399999999936</v>
      </c>
      <c r="P267" s="2212">
        <v>76</v>
      </c>
      <c r="Q267" s="2219"/>
      <c r="R267" s="2213"/>
      <c r="S267" s="2219"/>
      <c r="T267" s="2213"/>
      <c r="U267" s="2213"/>
      <c r="V267" s="2213"/>
      <c r="W267" s="2213"/>
      <c r="X267" s="2213"/>
    </row>
    <row r="268" spans="1:24">
      <c r="A268" s="2217">
        <f t="shared" si="23"/>
        <v>13.592500000000381</v>
      </c>
      <c r="B268" s="2217">
        <f t="shared" si="24"/>
        <v>6988.75</v>
      </c>
      <c r="C268" s="2217">
        <f t="shared" si="25"/>
        <v>33.190000000000509</v>
      </c>
      <c r="D268" s="2212">
        <v>75</v>
      </c>
      <c r="E268" s="2219"/>
      <c r="F268" s="2213"/>
      <c r="G268" s="2219"/>
      <c r="H268" s="2213"/>
      <c r="I268" s="2213"/>
      <c r="J268" s="2213"/>
      <c r="K268" s="2213"/>
      <c r="L268" s="263"/>
      <c r="M268" s="2217">
        <f t="shared" si="26"/>
        <v>6.2148999999999432</v>
      </c>
      <c r="N268" s="2217">
        <f t="shared" si="22"/>
        <v>5566.25</v>
      </c>
      <c r="O268" s="2217">
        <f t="shared" si="27"/>
        <v>26.945999999999913</v>
      </c>
      <c r="P268" s="2212">
        <v>75</v>
      </c>
      <c r="Q268" s="2219"/>
      <c r="R268" s="2213"/>
      <c r="S268" s="2219"/>
      <c r="T268" s="2213"/>
      <c r="U268" s="2213"/>
      <c r="V268" s="2213"/>
      <c r="W268" s="2213"/>
      <c r="X268" s="2213"/>
    </row>
    <row r="269" spans="1:24">
      <c r="A269" s="2217">
        <f t="shared" si="23"/>
        <v>13.727499999999235</v>
      </c>
      <c r="B269" s="2217">
        <f t="shared" si="24"/>
        <v>6955.5599999999995</v>
      </c>
      <c r="C269" s="2217">
        <f t="shared" si="25"/>
        <v>33.369999999998981</v>
      </c>
      <c r="D269" s="2212">
        <v>74</v>
      </c>
      <c r="E269" s="2219"/>
      <c r="F269" s="2213"/>
      <c r="G269" s="2219"/>
      <c r="H269" s="2213"/>
      <c r="I269" s="2213"/>
      <c r="J269" s="2213"/>
      <c r="K269" s="2213"/>
      <c r="L269" s="263"/>
      <c r="M269" s="2217">
        <f t="shared" si="26"/>
        <v>6.2747000000003013</v>
      </c>
      <c r="N269" s="2217">
        <f t="shared" si="22"/>
        <v>5539.3040000000001</v>
      </c>
      <c r="O269" s="2217">
        <f t="shared" si="27"/>
        <v>27.038000000000466</v>
      </c>
      <c r="P269" s="2212">
        <v>74</v>
      </c>
      <c r="Q269" s="2219"/>
      <c r="R269" s="2213"/>
      <c r="S269" s="2219"/>
      <c r="T269" s="2213"/>
      <c r="U269" s="2213"/>
      <c r="V269" s="2213"/>
      <c r="W269" s="2213"/>
      <c r="X269" s="2213"/>
    </row>
    <row r="270" spans="1:24">
      <c r="A270" s="2217">
        <f t="shared" si="23"/>
        <v>13.862500000000136</v>
      </c>
      <c r="B270" s="2217">
        <f t="shared" si="24"/>
        <v>6922.1900000000005</v>
      </c>
      <c r="C270" s="2217">
        <f t="shared" si="25"/>
        <v>33.550000000000182</v>
      </c>
      <c r="D270" s="2212">
        <v>73</v>
      </c>
      <c r="E270" s="2219"/>
      <c r="F270" s="2213"/>
      <c r="G270" s="2219"/>
      <c r="H270" s="2213"/>
      <c r="I270" s="2213"/>
      <c r="J270" s="2213"/>
      <c r="K270" s="2213"/>
      <c r="L270" s="263"/>
      <c r="M270" s="2217">
        <f t="shared" si="26"/>
        <v>6.3344999999994798</v>
      </c>
      <c r="N270" s="2217">
        <f t="shared" si="22"/>
        <v>5512.2659999999996</v>
      </c>
      <c r="O270" s="2217">
        <f t="shared" si="27"/>
        <v>27.1299999999992</v>
      </c>
      <c r="P270" s="2212">
        <v>73</v>
      </c>
      <c r="Q270" s="2219"/>
      <c r="R270" s="2213"/>
      <c r="S270" s="2219"/>
      <c r="T270" s="2213"/>
      <c r="U270" s="2213"/>
      <c r="V270" s="2213"/>
      <c r="W270" s="2213"/>
      <c r="X270" s="2213"/>
    </row>
    <row r="271" spans="1:24">
      <c r="A271" s="2217">
        <f t="shared" si="23"/>
        <v>13.997499999999672</v>
      </c>
      <c r="B271" s="2217">
        <f t="shared" si="24"/>
        <v>6888.64</v>
      </c>
      <c r="C271" s="2217">
        <f t="shared" si="25"/>
        <v>33.729999999999563</v>
      </c>
      <c r="D271" s="2212">
        <v>72</v>
      </c>
      <c r="E271" s="2219"/>
      <c r="F271" s="2213"/>
      <c r="G271" s="2219"/>
      <c r="H271" s="2213"/>
      <c r="I271" s="2213"/>
      <c r="J271" s="2213"/>
      <c r="K271" s="2213"/>
      <c r="L271" s="263"/>
      <c r="M271" s="2217">
        <f t="shared" si="26"/>
        <v>6.3943000000010208</v>
      </c>
      <c r="N271" s="2217">
        <f t="shared" si="22"/>
        <v>5485.1360000000004</v>
      </c>
      <c r="O271" s="2217">
        <f t="shared" si="27"/>
        <v>27.222000000001572</v>
      </c>
      <c r="P271" s="2212">
        <v>72</v>
      </c>
      <c r="Q271" s="2219"/>
      <c r="R271" s="2213"/>
      <c r="S271" s="2219"/>
      <c r="T271" s="2213"/>
      <c r="U271" s="2213"/>
      <c r="V271" s="2213"/>
      <c r="W271" s="2213"/>
      <c r="X271" s="2213"/>
    </row>
    <row r="272" spans="1:24">
      <c r="A272" s="2217">
        <f t="shared" si="23"/>
        <v>14.132500000000572</v>
      </c>
      <c r="B272" s="2217">
        <f t="shared" si="24"/>
        <v>6854.9100000000008</v>
      </c>
      <c r="C272" s="2217">
        <f t="shared" si="25"/>
        <v>33.910000000000764</v>
      </c>
      <c r="D272" s="2212">
        <v>71</v>
      </c>
      <c r="E272" s="2219"/>
      <c r="F272" s="2213"/>
      <c r="G272" s="2219"/>
      <c r="H272" s="2213"/>
      <c r="I272" s="2213"/>
      <c r="J272" s="2213"/>
      <c r="K272" s="2213"/>
      <c r="L272" s="263"/>
      <c r="M272" s="2217">
        <f t="shared" si="26"/>
        <v>6.4540999999990163</v>
      </c>
      <c r="N272" s="2217">
        <f t="shared" si="22"/>
        <v>5457.9139999999989</v>
      </c>
      <c r="O272" s="2217">
        <f t="shared" si="27"/>
        <v>27.313999999998487</v>
      </c>
      <c r="P272" s="2212">
        <v>71</v>
      </c>
      <c r="Q272" s="2219"/>
      <c r="R272" s="2213"/>
      <c r="S272" s="2219"/>
      <c r="T272" s="2213"/>
      <c r="U272" s="2213"/>
      <c r="V272" s="2213"/>
      <c r="W272" s="2213"/>
      <c r="X272" s="2213"/>
    </row>
    <row r="273" spans="1:24">
      <c r="A273" s="2217">
        <f t="shared" si="23"/>
        <v>14.267500000000108</v>
      </c>
      <c r="B273" s="2217">
        <f t="shared" si="24"/>
        <v>6821</v>
      </c>
      <c r="C273" s="2217">
        <f t="shared" si="25"/>
        <v>34.090000000000146</v>
      </c>
      <c r="D273" s="2212">
        <v>70</v>
      </c>
      <c r="E273" s="2219"/>
      <c r="F273" s="2213"/>
      <c r="G273" s="2219"/>
      <c r="H273" s="2213"/>
      <c r="I273" s="2213"/>
      <c r="J273" s="2213"/>
      <c r="K273" s="2213"/>
      <c r="L273" s="263"/>
      <c r="M273" s="2217">
        <f t="shared" si="26"/>
        <v>6.5139000000005574</v>
      </c>
      <c r="N273" s="2217">
        <f t="shared" si="22"/>
        <v>5430.6</v>
      </c>
      <c r="O273" s="2217">
        <f t="shared" si="27"/>
        <v>27.406000000000859</v>
      </c>
      <c r="P273" s="2212">
        <v>70</v>
      </c>
      <c r="Q273" s="2219"/>
      <c r="R273" s="2213"/>
      <c r="S273" s="2219"/>
      <c r="T273" s="2213"/>
      <c r="U273" s="2213"/>
      <c r="V273" s="2213"/>
      <c r="W273" s="2213"/>
      <c r="X273" s="2213"/>
    </row>
    <row r="274" spans="1:24">
      <c r="A274" s="2217">
        <f t="shared" si="23"/>
        <v>14.402499999999645</v>
      </c>
      <c r="B274" s="2217">
        <f t="shared" si="24"/>
        <v>6786.91</v>
      </c>
      <c r="C274" s="2217">
        <f t="shared" si="25"/>
        <v>34.269999999999527</v>
      </c>
      <c r="D274" s="2212">
        <v>69</v>
      </c>
      <c r="E274" s="2219"/>
      <c r="F274" s="2213"/>
      <c r="G274" s="2219"/>
      <c r="H274" s="2213"/>
      <c r="I274" s="2213"/>
      <c r="J274" s="2213"/>
      <c r="K274" s="2213"/>
      <c r="L274" s="263"/>
      <c r="M274" s="2217">
        <f t="shared" si="26"/>
        <v>6.5736999999997359</v>
      </c>
      <c r="N274" s="2217">
        <f t="shared" si="22"/>
        <v>5403.1939999999995</v>
      </c>
      <c r="O274" s="2217">
        <f t="shared" si="27"/>
        <v>27.497999999999593</v>
      </c>
      <c r="P274" s="2212">
        <v>69</v>
      </c>
      <c r="Q274" s="2219"/>
      <c r="R274" s="2213"/>
      <c r="S274" s="2219"/>
      <c r="T274" s="2213"/>
      <c r="U274" s="2213"/>
      <c r="V274" s="2213"/>
      <c r="W274" s="2213"/>
      <c r="X274" s="2213"/>
    </row>
    <row r="275" spans="1:24">
      <c r="A275" s="2217">
        <f t="shared" si="23"/>
        <v>14.537499999999863</v>
      </c>
      <c r="B275" s="2217">
        <f t="shared" si="24"/>
        <v>6752.64</v>
      </c>
      <c r="C275" s="2217">
        <f t="shared" si="25"/>
        <v>34.449999999999818</v>
      </c>
      <c r="D275" s="2212">
        <v>68</v>
      </c>
      <c r="E275" s="2219"/>
      <c r="F275" s="2213"/>
      <c r="G275" s="2219"/>
      <c r="H275" s="2213"/>
      <c r="I275" s="2213"/>
      <c r="J275" s="2213"/>
      <c r="K275" s="2213"/>
      <c r="L275" s="263"/>
      <c r="M275" s="2217">
        <f t="shared" si="26"/>
        <v>6.6334999999995041</v>
      </c>
      <c r="N275" s="2217">
        <f t="shared" si="22"/>
        <v>5375.6959999999999</v>
      </c>
      <c r="O275" s="2217">
        <f t="shared" si="27"/>
        <v>27.589999999999236</v>
      </c>
      <c r="P275" s="2212">
        <v>68</v>
      </c>
      <c r="Q275" s="2219"/>
      <c r="R275" s="2213"/>
      <c r="S275" s="2219"/>
      <c r="T275" s="2213"/>
      <c r="U275" s="2213"/>
      <c r="V275" s="2213"/>
      <c r="W275" s="2213"/>
      <c r="X275" s="2213"/>
    </row>
    <row r="276" spans="1:24">
      <c r="A276" s="2217">
        <f t="shared" si="23"/>
        <v>14.672500000000081</v>
      </c>
      <c r="B276" s="2217">
        <f t="shared" si="24"/>
        <v>6718.1900000000005</v>
      </c>
      <c r="C276" s="2217">
        <f t="shared" si="25"/>
        <v>34.630000000000109</v>
      </c>
      <c r="D276" s="2212">
        <v>67</v>
      </c>
      <c r="E276" s="2219"/>
      <c r="F276" s="2213"/>
      <c r="G276" s="2219"/>
      <c r="H276" s="2213"/>
      <c r="I276" s="2213"/>
      <c r="J276" s="2213"/>
      <c r="K276" s="2213"/>
      <c r="L276" s="263"/>
      <c r="M276" s="2217">
        <f t="shared" si="26"/>
        <v>6.6933000000010452</v>
      </c>
      <c r="N276" s="2217">
        <f t="shared" si="22"/>
        <v>5348.1060000000007</v>
      </c>
      <c r="O276" s="2217">
        <f t="shared" si="27"/>
        <v>27.682000000001608</v>
      </c>
      <c r="P276" s="2212">
        <v>67</v>
      </c>
      <c r="Q276" s="2219"/>
      <c r="R276" s="2213"/>
      <c r="S276" s="2219"/>
      <c r="T276" s="2213"/>
      <c r="U276" s="2213"/>
      <c r="V276" s="2213"/>
      <c r="W276" s="2213"/>
      <c r="X276" s="2213"/>
    </row>
    <row r="277" spans="1:24">
      <c r="A277" s="2217">
        <f t="shared" si="23"/>
        <v>14.807500000000299</v>
      </c>
      <c r="B277" s="2217">
        <f t="shared" si="24"/>
        <v>6683.56</v>
      </c>
      <c r="C277" s="2217">
        <f t="shared" si="25"/>
        <v>34.8100000000004</v>
      </c>
      <c r="D277" s="2212">
        <v>66</v>
      </c>
      <c r="E277" s="2219"/>
      <c r="F277" s="2213"/>
      <c r="G277" s="2219"/>
      <c r="H277" s="2213"/>
      <c r="I277" s="2213"/>
      <c r="J277" s="2213"/>
      <c r="K277" s="2213"/>
      <c r="L277" s="263"/>
      <c r="M277" s="2217">
        <f t="shared" si="26"/>
        <v>6.7530999999996304</v>
      </c>
      <c r="N277" s="2217">
        <f t="shared" si="22"/>
        <v>5320.4239999999991</v>
      </c>
      <c r="O277" s="2217">
        <f t="shared" si="27"/>
        <v>27.773999999999432</v>
      </c>
      <c r="P277" s="2212">
        <v>66</v>
      </c>
      <c r="Q277" s="2219"/>
      <c r="R277" s="2213"/>
      <c r="S277" s="2219"/>
      <c r="T277" s="2213"/>
      <c r="U277" s="2213"/>
      <c r="V277" s="2213"/>
      <c r="W277" s="2213"/>
      <c r="X277" s="2213"/>
    </row>
    <row r="278" spans="1:24">
      <c r="A278" s="2217">
        <f t="shared" si="23"/>
        <v>14.942500000000518</v>
      </c>
      <c r="B278" s="2217">
        <f t="shared" si="24"/>
        <v>6648.75</v>
      </c>
      <c r="C278" s="2217">
        <f t="shared" si="25"/>
        <v>34.990000000000691</v>
      </c>
      <c r="D278" s="2212">
        <v>65</v>
      </c>
      <c r="E278" s="2219"/>
      <c r="F278" s="2213"/>
      <c r="G278" s="2219"/>
      <c r="H278" s="2213"/>
      <c r="I278" s="2213"/>
      <c r="J278" s="2213"/>
      <c r="K278" s="2213"/>
      <c r="L278" s="263"/>
      <c r="M278" s="2217">
        <f t="shared" si="26"/>
        <v>6.812899999999992</v>
      </c>
      <c r="N278" s="2217">
        <f t="shared" si="22"/>
        <v>5292.65</v>
      </c>
      <c r="O278" s="2217">
        <f t="shared" si="27"/>
        <v>27.865999999999985</v>
      </c>
      <c r="P278" s="2212">
        <v>65</v>
      </c>
      <c r="Q278" s="2219"/>
      <c r="R278" s="2213"/>
      <c r="S278" s="2219"/>
      <c r="T278" s="2213"/>
      <c r="U278" s="2213"/>
      <c r="V278" s="2213"/>
      <c r="W278" s="2213"/>
      <c r="X278" s="2213"/>
    </row>
    <row r="279" spans="1:24">
      <c r="A279" s="2217">
        <f t="shared" si="23"/>
        <v>15.077499999999372</v>
      </c>
      <c r="B279" s="2217">
        <f t="shared" si="24"/>
        <v>6613.7599999999993</v>
      </c>
      <c r="C279" s="2217">
        <f t="shared" si="25"/>
        <v>35.169999999999163</v>
      </c>
      <c r="D279" s="2212">
        <v>64</v>
      </c>
      <c r="E279" s="2219"/>
      <c r="F279" s="2213"/>
      <c r="G279" s="2219"/>
      <c r="H279" s="2213"/>
      <c r="I279" s="2213"/>
      <c r="J279" s="2213"/>
      <c r="K279" s="2213"/>
      <c r="L279" s="263"/>
      <c r="M279" s="2217">
        <f t="shared" si="26"/>
        <v>6.8726999999997602</v>
      </c>
      <c r="N279" s="2217">
        <f t="shared" si="22"/>
        <v>5264.7839999999997</v>
      </c>
      <c r="O279" s="2217">
        <f t="shared" si="27"/>
        <v>27.957999999999629</v>
      </c>
      <c r="P279" s="2212">
        <v>64</v>
      </c>
      <c r="Q279" s="2219"/>
      <c r="R279" s="2213"/>
      <c r="S279" s="2219"/>
      <c r="T279" s="2213"/>
      <c r="U279" s="2213"/>
      <c r="V279" s="2213"/>
      <c r="W279" s="2213"/>
      <c r="X279" s="2213"/>
    </row>
    <row r="280" spans="1:24">
      <c r="A280" s="2217">
        <f t="shared" si="23"/>
        <v>15.21249999999959</v>
      </c>
      <c r="B280" s="2217">
        <f t="shared" si="24"/>
        <v>6578.59</v>
      </c>
      <c r="C280" s="2217">
        <f t="shared" si="25"/>
        <v>35.349999999999454</v>
      </c>
      <c r="D280" s="2212">
        <v>63</v>
      </c>
      <c r="E280" s="2219"/>
      <c r="F280" s="2213"/>
      <c r="G280" s="2219"/>
      <c r="H280" s="2213"/>
      <c r="I280" s="2213"/>
      <c r="J280" s="2213"/>
      <c r="K280" s="2213"/>
      <c r="L280" s="263"/>
      <c r="M280" s="2217">
        <f t="shared" si="26"/>
        <v>6.9324999999995285</v>
      </c>
      <c r="N280" s="2217">
        <f t="shared" si="22"/>
        <v>5236.826</v>
      </c>
      <c r="O280" s="2217">
        <f t="shared" si="27"/>
        <v>28.049999999999272</v>
      </c>
      <c r="P280" s="2212">
        <v>63</v>
      </c>
      <c r="Q280" s="2219"/>
      <c r="R280" s="2213"/>
      <c r="S280" s="2219"/>
      <c r="T280" s="2213"/>
      <c r="U280" s="2213"/>
      <c r="V280" s="2213"/>
      <c r="W280" s="2213"/>
      <c r="X280" s="2213"/>
    </row>
    <row r="281" spans="1:24">
      <c r="A281" s="2217">
        <f t="shared" si="23"/>
        <v>15.34750000000049</v>
      </c>
      <c r="B281" s="2217">
        <f t="shared" si="24"/>
        <v>6543.2400000000007</v>
      </c>
      <c r="C281" s="2217">
        <f t="shared" si="25"/>
        <v>35.530000000000655</v>
      </c>
      <c r="D281" s="2212">
        <v>62</v>
      </c>
      <c r="E281" s="2219"/>
      <c r="F281" s="2213"/>
      <c r="G281" s="2219"/>
      <c r="H281" s="2213"/>
      <c r="I281" s="2213"/>
      <c r="J281" s="2213"/>
      <c r="K281" s="2213"/>
      <c r="L281" s="263"/>
      <c r="M281" s="2217">
        <f t="shared" si="26"/>
        <v>6.9923000000010695</v>
      </c>
      <c r="N281" s="2217">
        <f t="shared" si="22"/>
        <v>5208.7760000000007</v>
      </c>
      <c r="O281" s="2217">
        <f t="shared" si="27"/>
        <v>28.142000000001644</v>
      </c>
      <c r="P281" s="2212">
        <v>62</v>
      </c>
      <c r="Q281" s="2219"/>
      <c r="R281" s="2213"/>
      <c r="S281" s="2219"/>
      <c r="T281" s="2213"/>
      <c r="U281" s="2213"/>
      <c r="V281" s="2213"/>
      <c r="W281" s="2213"/>
      <c r="X281" s="2213"/>
    </row>
    <row r="282" spans="1:24">
      <c r="A282" s="2217">
        <f t="shared" si="23"/>
        <v>15.482500000000027</v>
      </c>
      <c r="B282" s="2217">
        <f t="shared" si="24"/>
        <v>6507.71</v>
      </c>
      <c r="C282" s="2217">
        <f t="shared" si="25"/>
        <v>35.710000000000036</v>
      </c>
      <c r="D282" s="2212">
        <v>61</v>
      </c>
      <c r="E282" s="2219"/>
      <c r="F282" s="2213"/>
      <c r="G282" s="2219"/>
      <c r="H282" s="2213"/>
      <c r="I282" s="2213"/>
      <c r="J282" s="2213"/>
      <c r="K282" s="2213"/>
      <c r="L282" s="263"/>
      <c r="M282" s="2217">
        <f t="shared" si="26"/>
        <v>7.0520999999996548</v>
      </c>
      <c r="N282" s="2217">
        <f t="shared" si="22"/>
        <v>5180.6339999999991</v>
      </c>
      <c r="O282" s="2217">
        <f t="shared" si="27"/>
        <v>28.233999999999469</v>
      </c>
      <c r="P282" s="2212">
        <v>61</v>
      </c>
      <c r="Q282" s="2219"/>
      <c r="R282" s="2213"/>
      <c r="S282" s="2219"/>
      <c r="T282" s="2213"/>
      <c r="U282" s="2213"/>
      <c r="V282" s="2213"/>
      <c r="W282" s="2213"/>
      <c r="X282" s="2213"/>
    </row>
    <row r="283" spans="1:24">
      <c r="A283" s="2217">
        <f t="shared" si="23"/>
        <v>15.617500000000245</v>
      </c>
      <c r="B283" s="2217">
        <f t="shared" si="24"/>
        <v>6472</v>
      </c>
      <c r="C283" s="2217">
        <f t="shared" si="25"/>
        <v>35.890000000000327</v>
      </c>
      <c r="D283" s="2212">
        <v>60</v>
      </c>
      <c r="E283" s="2219"/>
      <c r="F283" s="2213"/>
      <c r="G283" s="2219"/>
      <c r="H283" s="2213"/>
      <c r="I283" s="2213"/>
      <c r="J283" s="2213"/>
      <c r="K283" s="2213"/>
      <c r="L283" s="263"/>
      <c r="M283" s="2217">
        <f t="shared" si="26"/>
        <v>7.1119000000000128</v>
      </c>
      <c r="N283" s="2217">
        <f t="shared" si="22"/>
        <v>5152.3999999999996</v>
      </c>
      <c r="O283" s="2217">
        <f t="shared" si="27"/>
        <v>28.326000000000022</v>
      </c>
      <c r="P283" s="2212">
        <v>60</v>
      </c>
      <c r="Q283" s="2219"/>
      <c r="R283" s="2213"/>
      <c r="S283" s="2219"/>
      <c r="T283" s="2213"/>
      <c r="U283" s="2213"/>
      <c r="V283" s="2213"/>
      <c r="W283" s="2213"/>
      <c r="X283" s="2213"/>
    </row>
    <row r="284" spans="1:24">
      <c r="A284" s="2217">
        <f t="shared" si="23"/>
        <v>15.752499999999781</v>
      </c>
      <c r="B284" s="2217">
        <f t="shared" si="24"/>
        <v>6436.11</v>
      </c>
      <c r="C284" s="2217">
        <f t="shared" si="25"/>
        <v>36.069999999999709</v>
      </c>
      <c r="D284" s="2212">
        <v>59</v>
      </c>
      <c r="E284" s="2219"/>
      <c r="F284" s="2213"/>
      <c r="G284" s="2219"/>
      <c r="H284" s="2213"/>
      <c r="I284" s="2213"/>
      <c r="J284" s="2213"/>
      <c r="K284" s="2213"/>
      <c r="L284" s="263"/>
      <c r="M284" s="2217">
        <f t="shared" si="26"/>
        <v>7.171699999999781</v>
      </c>
      <c r="N284" s="2217">
        <f t="shared" si="22"/>
        <v>5124.0739999999996</v>
      </c>
      <c r="O284" s="2217">
        <f t="shared" si="27"/>
        <v>28.417999999999665</v>
      </c>
      <c r="P284" s="2212">
        <v>59</v>
      </c>
      <c r="Q284" s="2219"/>
      <c r="R284" s="2213"/>
      <c r="S284" s="2219"/>
      <c r="T284" s="2213"/>
      <c r="U284" s="2213"/>
      <c r="V284" s="2213"/>
      <c r="W284" s="2213"/>
      <c r="X284" s="2213"/>
    </row>
    <row r="285" spans="1:24">
      <c r="A285" s="2217">
        <f t="shared" si="23"/>
        <v>15.887499999999317</v>
      </c>
      <c r="B285" s="2217">
        <f t="shared" si="24"/>
        <v>6400.04</v>
      </c>
      <c r="C285" s="2217">
        <f t="shared" si="25"/>
        <v>36.249999999999091</v>
      </c>
      <c r="D285" s="2212">
        <v>58</v>
      </c>
      <c r="E285" s="2219"/>
      <c r="F285" s="2213"/>
      <c r="G285" s="2219"/>
      <c r="H285" s="2213"/>
      <c r="I285" s="2213"/>
      <c r="J285" s="2213"/>
      <c r="K285" s="2213"/>
      <c r="L285" s="263"/>
      <c r="M285" s="2217">
        <f t="shared" si="26"/>
        <v>7.2314999999995493</v>
      </c>
      <c r="N285" s="2217">
        <f t="shared" si="22"/>
        <v>5095.6559999999999</v>
      </c>
      <c r="O285" s="2217">
        <f t="shared" si="27"/>
        <v>28.509999999999309</v>
      </c>
      <c r="P285" s="2212">
        <v>58</v>
      </c>
      <c r="Q285" s="2219"/>
      <c r="R285" s="2213"/>
      <c r="S285" s="2219"/>
      <c r="T285" s="2213"/>
      <c r="U285" s="2213"/>
      <c r="V285" s="2213"/>
      <c r="W285" s="2213"/>
      <c r="X285" s="2213"/>
    </row>
    <row r="286" spans="1:24">
      <c r="A286" s="2217">
        <f t="shared" si="23"/>
        <v>16.022500000000218</v>
      </c>
      <c r="B286" s="2217">
        <f t="shared" si="24"/>
        <v>6363.7900000000009</v>
      </c>
      <c r="C286" s="2217">
        <f t="shared" si="25"/>
        <v>36.430000000000291</v>
      </c>
      <c r="D286" s="2212">
        <v>57</v>
      </c>
      <c r="E286" s="2219"/>
      <c r="F286" s="2213"/>
      <c r="G286" s="2219"/>
      <c r="H286" s="2213"/>
      <c r="I286" s="2213"/>
      <c r="J286" s="2213"/>
      <c r="K286" s="2213"/>
      <c r="L286" s="263"/>
      <c r="M286" s="2217">
        <f t="shared" si="26"/>
        <v>7.2913000000010939</v>
      </c>
      <c r="N286" s="2217">
        <f t="shared" si="22"/>
        <v>5067.1460000000006</v>
      </c>
      <c r="O286" s="2217">
        <f t="shared" si="27"/>
        <v>28.602000000001681</v>
      </c>
      <c r="P286" s="2212">
        <v>57</v>
      </c>
      <c r="Q286" s="2219"/>
      <c r="R286" s="2213"/>
      <c r="S286" s="2219"/>
      <c r="T286" s="2213"/>
      <c r="U286" s="2213"/>
      <c r="V286" s="2213"/>
      <c r="W286" s="2213"/>
      <c r="X286" s="2213"/>
    </row>
    <row r="287" spans="1:24">
      <c r="A287" s="2217">
        <f t="shared" si="23"/>
        <v>16.157500000000436</v>
      </c>
      <c r="B287" s="2217">
        <f t="shared" si="24"/>
        <v>6327.3600000000006</v>
      </c>
      <c r="C287" s="2217">
        <f t="shared" si="25"/>
        <v>36.610000000000582</v>
      </c>
      <c r="D287" s="2212">
        <v>56</v>
      </c>
      <c r="E287" s="2219"/>
      <c r="F287" s="2213"/>
      <c r="G287" s="2219"/>
      <c r="H287" s="2213"/>
      <c r="I287" s="2213"/>
      <c r="J287" s="2213"/>
      <c r="K287" s="2213"/>
      <c r="L287" s="263"/>
      <c r="M287" s="2217">
        <f t="shared" si="26"/>
        <v>7.3510999999990858</v>
      </c>
      <c r="N287" s="2217">
        <f t="shared" si="22"/>
        <v>5038.543999999999</v>
      </c>
      <c r="O287" s="2217">
        <f t="shared" si="27"/>
        <v>28.693999999998596</v>
      </c>
      <c r="P287" s="2212">
        <v>56</v>
      </c>
      <c r="Q287" s="2219"/>
      <c r="R287" s="2213"/>
      <c r="S287" s="2219"/>
      <c r="T287" s="2213"/>
      <c r="U287" s="2213"/>
      <c r="V287" s="2213"/>
      <c r="W287" s="2213"/>
      <c r="X287" s="2213"/>
    </row>
    <row r="288" spans="1:24">
      <c r="A288" s="2217">
        <f t="shared" si="23"/>
        <v>16.292499999999972</v>
      </c>
      <c r="B288" s="2217">
        <f t="shared" si="24"/>
        <v>6290.75</v>
      </c>
      <c r="C288" s="2217">
        <f t="shared" si="25"/>
        <v>36.789999999999964</v>
      </c>
      <c r="D288" s="2212">
        <v>55</v>
      </c>
      <c r="E288" s="2219"/>
      <c r="F288" s="2213"/>
      <c r="G288" s="2219"/>
      <c r="H288" s="2213"/>
      <c r="I288" s="2213"/>
      <c r="J288" s="2213"/>
      <c r="K288" s="2213"/>
      <c r="L288" s="263"/>
      <c r="M288" s="2217">
        <f t="shared" si="26"/>
        <v>7.4109000000006304</v>
      </c>
      <c r="N288" s="2217">
        <f t="shared" si="22"/>
        <v>5009.8500000000004</v>
      </c>
      <c r="O288" s="2217">
        <f t="shared" si="27"/>
        <v>28.786000000000968</v>
      </c>
      <c r="P288" s="2212">
        <v>55</v>
      </c>
      <c r="Q288" s="2219"/>
      <c r="R288" s="2213"/>
      <c r="S288" s="2219"/>
      <c r="T288" s="2213"/>
      <c r="U288" s="2213"/>
      <c r="V288" s="2213"/>
      <c r="W288" s="2213"/>
      <c r="X288" s="2213"/>
    </row>
    <row r="289" spans="1:24">
      <c r="A289" s="2217">
        <f t="shared" si="23"/>
        <v>16.42750000000019</v>
      </c>
      <c r="B289" s="2217">
        <f t="shared" si="24"/>
        <v>6253.96</v>
      </c>
      <c r="C289" s="2217">
        <f t="shared" si="25"/>
        <v>36.970000000000255</v>
      </c>
      <c r="D289" s="2212">
        <v>54</v>
      </c>
      <c r="E289" s="2219"/>
      <c r="F289" s="2213"/>
      <c r="G289" s="2219"/>
      <c r="H289" s="2213"/>
      <c r="I289" s="2213"/>
      <c r="J289" s="2213"/>
      <c r="K289" s="2213"/>
      <c r="L289" s="263"/>
      <c r="M289" s="2217">
        <f t="shared" si="26"/>
        <v>7.4706999999998054</v>
      </c>
      <c r="N289" s="2217">
        <f t="shared" si="22"/>
        <v>4981.0639999999994</v>
      </c>
      <c r="O289" s="2217">
        <f t="shared" si="27"/>
        <v>28.877999999999702</v>
      </c>
      <c r="P289" s="2212">
        <v>54</v>
      </c>
      <c r="Q289" s="2219"/>
      <c r="R289" s="2213"/>
      <c r="S289" s="2219"/>
      <c r="T289" s="2213"/>
      <c r="U289" s="2213"/>
      <c r="V289" s="2213"/>
      <c r="W289" s="2213"/>
      <c r="X289" s="2213"/>
    </row>
    <row r="290" spans="1:24">
      <c r="A290" s="2217">
        <f t="shared" si="23"/>
        <v>16.562499999999044</v>
      </c>
      <c r="B290" s="2217">
        <f t="shared" si="24"/>
        <v>6216.99</v>
      </c>
      <c r="C290" s="2217">
        <f t="shared" si="25"/>
        <v>37.149999999998727</v>
      </c>
      <c r="D290" s="2212">
        <v>53</v>
      </c>
      <c r="E290" s="2219"/>
      <c r="F290" s="2213"/>
      <c r="G290" s="2219"/>
      <c r="H290" s="2213"/>
      <c r="I290" s="2213"/>
      <c r="J290" s="2213"/>
      <c r="K290" s="2213"/>
      <c r="L290" s="263"/>
      <c r="M290" s="2217">
        <f t="shared" si="26"/>
        <v>7.5304999999995736</v>
      </c>
      <c r="N290" s="2217">
        <f t="shared" si="22"/>
        <v>4952.1859999999997</v>
      </c>
      <c r="O290" s="2217">
        <f t="shared" si="27"/>
        <v>28.969999999999345</v>
      </c>
      <c r="P290" s="2212">
        <v>53</v>
      </c>
      <c r="Q290" s="2219"/>
      <c r="R290" s="2213"/>
      <c r="S290" s="2219"/>
      <c r="T290" s="2213"/>
      <c r="U290" s="2213"/>
      <c r="V290" s="2213"/>
      <c r="W290" s="2213"/>
      <c r="X290" s="2213"/>
    </row>
    <row r="291" spans="1:24">
      <c r="A291" s="2217">
        <f t="shared" si="23"/>
        <v>16.697500000000627</v>
      </c>
      <c r="B291" s="2217">
        <f t="shared" si="24"/>
        <v>6179.8400000000011</v>
      </c>
      <c r="C291" s="2217">
        <f t="shared" si="25"/>
        <v>37.330000000000837</v>
      </c>
      <c r="D291" s="2212">
        <v>52</v>
      </c>
      <c r="E291" s="2219"/>
      <c r="F291" s="2213"/>
      <c r="G291" s="2219"/>
      <c r="H291" s="2213"/>
      <c r="I291" s="2213"/>
      <c r="J291" s="2213"/>
      <c r="K291" s="2213"/>
      <c r="L291" s="263"/>
      <c r="M291" s="2217">
        <f t="shared" si="26"/>
        <v>7.5902999999999352</v>
      </c>
      <c r="N291" s="2217">
        <f t="shared" si="22"/>
        <v>4923.2160000000003</v>
      </c>
      <c r="O291" s="2217">
        <f t="shared" si="27"/>
        <v>29.061999999999898</v>
      </c>
      <c r="P291" s="2212">
        <v>52</v>
      </c>
      <c r="Q291" s="2219"/>
      <c r="R291" s="2213"/>
      <c r="S291" s="2219"/>
      <c r="T291" s="2213"/>
      <c r="U291" s="2213"/>
      <c r="V291" s="2213"/>
      <c r="W291" s="2213"/>
      <c r="X291" s="2213"/>
    </row>
    <row r="292" spans="1:24">
      <c r="A292" s="2217">
        <f t="shared" si="23"/>
        <v>16.832500000000163</v>
      </c>
      <c r="B292" s="2217">
        <f t="shared" si="24"/>
        <v>6142.51</v>
      </c>
      <c r="C292" s="2217">
        <f t="shared" si="25"/>
        <v>37.510000000000218</v>
      </c>
      <c r="D292" s="2212">
        <v>51</v>
      </c>
      <c r="E292" s="2219"/>
      <c r="F292" s="2213"/>
      <c r="G292" s="2219"/>
      <c r="H292" s="2213"/>
      <c r="I292" s="2213"/>
      <c r="J292" s="2213"/>
      <c r="K292" s="2213"/>
      <c r="L292" s="263"/>
      <c r="M292" s="2217">
        <f t="shared" si="26"/>
        <v>7.6501000000002932</v>
      </c>
      <c r="N292" s="2217">
        <f t="shared" si="22"/>
        <v>4894.1540000000005</v>
      </c>
      <c r="O292" s="2217">
        <f t="shared" si="27"/>
        <v>29.154000000000451</v>
      </c>
      <c r="P292" s="2212">
        <v>51</v>
      </c>
      <c r="Q292" s="2219"/>
      <c r="R292" s="2213"/>
      <c r="S292" s="2219"/>
      <c r="T292" s="2213"/>
      <c r="U292" s="2213"/>
      <c r="V292" s="2213"/>
      <c r="W292" s="2213"/>
      <c r="X292" s="2213"/>
    </row>
    <row r="293" spans="1:24">
      <c r="A293" s="2217">
        <f t="shared" si="23"/>
        <v>16.967500000000381</v>
      </c>
      <c r="B293" s="2217">
        <f t="shared" si="24"/>
        <v>6105</v>
      </c>
      <c r="C293" s="2217">
        <f t="shared" si="25"/>
        <v>37.690000000000509</v>
      </c>
      <c r="D293" s="2212">
        <v>50</v>
      </c>
      <c r="E293" s="2219"/>
      <c r="F293" s="2213"/>
      <c r="G293" s="2219"/>
      <c r="H293" s="2213"/>
      <c r="I293" s="2213"/>
      <c r="J293" s="2213"/>
      <c r="K293" s="2213"/>
      <c r="L293" s="263"/>
      <c r="M293" s="2217">
        <f t="shared" si="26"/>
        <v>7.7099000000000615</v>
      </c>
      <c r="N293" s="2217">
        <f t="shared" si="22"/>
        <v>4865</v>
      </c>
      <c r="O293" s="2217">
        <f t="shared" si="27"/>
        <v>29.246000000000095</v>
      </c>
      <c r="P293" s="2212">
        <v>50</v>
      </c>
      <c r="Q293" s="2219"/>
      <c r="R293" s="2213"/>
      <c r="S293" s="2219"/>
      <c r="T293" s="2213"/>
      <c r="U293" s="2213"/>
      <c r="V293" s="2213"/>
      <c r="W293" s="2213"/>
      <c r="X293" s="2213"/>
    </row>
    <row r="294" spans="1:24">
      <c r="A294" s="2217">
        <f t="shared" si="23"/>
        <v>17.102499999999235</v>
      </c>
      <c r="B294" s="2217">
        <f t="shared" si="24"/>
        <v>6067.3099999999995</v>
      </c>
      <c r="C294" s="2217">
        <f t="shared" si="25"/>
        <v>37.869999999998981</v>
      </c>
      <c r="D294" s="2212">
        <v>49</v>
      </c>
      <c r="E294" s="2219"/>
      <c r="F294" s="2213"/>
      <c r="G294" s="2219"/>
      <c r="H294" s="2213"/>
      <c r="I294" s="2213"/>
      <c r="J294" s="2213"/>
      <c r="K294" s="2213"/>
      <c r="L294" s="263"/>
      <c r="M294" s="2217">
        <f t="shared" si="26"/>
        <v>7.7697000000004195</v>
      </c>
      <c r="N294" s="2217">
        <f t="shared" si="22"/>
        <v>4835.7539999999999</v>
      </c>
      <c r="O294" s="2217">
        <f t="shared" si="27"/>
        <v>29.338000000000648</v>
      </c>
      <c r="P294" s="2212">
        <v>49</v>
      </c>
      <c r="Q294" s="2219"/>
      <c r="R294" s="2213"/>
      <c r="S294" s="2219"/>
      <c r="T294" s="2213"/>
      <c r="U294" s="2213"/>
      <c r="V294" s="2213"/>
      <c r="W294" s="2213"/>
      <c r="X294" s="2213"/>
    </row>
    <row r="295" spans="1:24">
      <c r="A295" s="2217">
        <f t="shared" si="23"/>
        <v>17.237500000000136</v>
      </c>
      <c r="B295" s="2217">
        <f t="shared" si="24"/>
        <v>6029.4400000000005</v>
      </c>
      <c r="C295" s="2217">
        <f t="shared" si="25"/>
        <v>38.050000000000182</v>
      </c>
      <c r="D295" s="2212">
        <v>48</v>
      </c>
      <c r="E295" s="2219"/>
      <c r="F295" s="2213"/>
      <c r="G295" s="2219"/>
      <c r="H295" s="2213"/>
      <c r="I295" s="2213"/>
      <c r="J295" s="2213"/>
      <c r="K295" s="2213"/>
      <c r="L295" s="263"/>
      <c r="M295" s="2217">
        <f t="shared" si="26"/>
        <v>7.8294999999990083</v>
      </c>
      <c r="N295" s="2217">
        <f t="shared" si="22"/>
        <v>4806.4159999999993</v>
      </c>
      <c r="O295" s="2217">
        <f t="shared" si="27"/>
        <v>29.429999999998472</v>
      </c>
      <c r="P295" s="2212">
        <v>48</v>
      </c>
      <c r="Q295" s="2219"/>
      <c r="R295" s="2213"/>
      <c r="S295" s="2219"/>
      <c r="T295" s="2213"/>
      <c r="U295" s="2213"/>
      <c r="V295" s="2213"/>
      <c r="W295" s="2213"/>
      <c r="X295" s="2213"/>
    </row>
    <row r="296" spans="1:24">
      <c r="A296" s="2217">
        <f t="shared" si="23"/>
        <v>17.372499999999672</v>
      </c>
      <c r="B296" s="2217">
        <f t="shared" si="24"/>
        <v>5991.39</v>
      </c>
      <c r="C296" s="2217">
        <f t="shared" si="25"/>
        <v>38.229999999999563</v>
      </c>
      <c r="D296" s="2212">
        <v>47</v>
      </c>
      <c r="E296" s="2219"/>
      <c r="F296" s="2213"/>
      <c r="G296" s="2219"/>
      <c r="H296" s="2213"/>
      <c r="I296" s="2213"/>
      <c r="J296" s="2213"/>
      <c r="K296" s="2213"/>
      <c r="L296" s="263"/>
      <c r="M296" s="2217">
        <f t="shared" si="26"/>
        <v>7.8893000000005493</v>
      </c>
      <c r="N296" s="2217">
        <f t="shared" si="22"/>
        <v>4776.9860000000008</v>
      </c>
      <c r="O296" s="2217">
        <f t="shared" si="27"/>
        <v>29.522000000000844</v>
      </c>
      <c r="P296" s="2212">
        <v>47</v>
      </c>
      <c r="Q296" s="2219"/>
      <c r="R296" s="2213"/>
      <c r="S296" s="2219"/>
      <c r="T296" s="2213"/>
      <c r="U296" s="2213"/>
      <c r="V296" s="2213"/>
      <c r="W296" s="2213"/>
      <c r="X296" s="2213"/>
    </row>
    <row r="297" spans="1:24">
      <c r="A297" s="2217">
        <f t="shared" si="23"/>
        <v>17.507500000000572</v>
      </c>
      <c r="B297" s="2217">
        <f t="shared" si="24"/>
        <v>5953.1600000000008</v>
      </c>
      <c r="C297" s="2217">
        <f t="shared" si="25"/>
        <v>38.410000000000764</v>
      </c>
      <c r="D297" s="2212">
        <v>46</v>
      </c>
      <c r="E297" s="2219"/>
      <c r="F297" s="2213"/>
      <c r="G297" s="2219"/>
      <c r="H297" s="2213"/>
      <c r="I297" s="2213"/>
      <c r="J297" s="2213"/>
      <c r="K297" s="2213"/>
      <c r="L297" s="263"/>
      <c r="M297" s="2217">
        <f t="shared" si="26"/>
        <v>7.9490999999997243</v>
      </c>
      <c r="N297" s="2217">
        <f t="shared" si="22"/>
        <v>4747.4639999999999</v>
      </c>
      <c r="O297" s="2217">
        <f t="shared" si="27"/>
        <v>29.613999999999578</v>
      </c>
      <c r="P297" s="2212">
        <v>46</v>
      </c>
      <c r="Q297" s="2219"/>
      <c r="R297" s="2213"/>
      <c r="S297" s="2219"/>
      <c r="T297" s="2213"/>
      <c r="U297" s="2213"/>
      <c r="V297" s="2213"/>
      <c r="W297" s="2213"/>
      <c r="X297" s="2213"/>
    </row>
    <row r="298" spans="1:24">
      <c r="A298" s="2217">
        <f t="shared" si="23"/>
        <v>17.642500000000108</v>
      </c>
      <c r="B298" s="2217">
        <f t="shared" si="24"/>
        <v>5914.75</v>
      </c>
      <c r="C298" s="2217">
        <f t="shared" si="25"/>
        <v>38.590000000000146</v>
      </c>
      <c r="D298" s="2212">
        <v>45</v>
      </c>
      <c r="E298" s="2219"/>
      <c r="F298" s="2213"/>
      <c r="G298" s="2219"/>
      <c r="H298" s="2213"/>
      <c r="I298" s="2213"/>
      <c r="J298" s="2213"/>
      <c r="K298" s="2213"/>
      <c r="L298" s="263"/>
      <c r="M298" s="2217">
        <f t="shared" si="26"/>
        <v>8.0089000000000858</v>
      </c>
      <c r="N298" s="2217">
        <f t="shared" si="22"/>
        <v>4717.8500000000004</v>
      </c>
      <c r="O298" s="2217">
        <f t="shared" si="27"/>
        <v>29.706000000000131</v>
      </c>
      <c r="P298" s="2212">
        <v>45</v>
      </c>
      <c r="Q298" s="2219"/>
      <c r="R298" s="2213"/>
      <c r="S298" s="2219"/>
      <c r="T298" s="2213"/>
      <c r="U298" s="2213"/>
      <c r="V298" s="2213"/>
      <c r="W298" s="2213"/>
      <c r="X298" s="2213"/>
    </row>
    <row r="299" spans="1:24">
      <c r="A299" s="2217">
        <f t="shared" si="23"/>
        <v>17.777499999999645</v>
      </c>
      <c r="B299" s="2217">
        <f t="shared" si="24"/>
        <v>5876.16</v>
      </c>
      <c r="C299" s="2217">
        <f t="shared" si="25"/>
        <v>38.769999999999527</v>
      </c>
      <c r="D299" s="2212">
        <v>44</v>
      </c>
      <c r="E299" s="2219"/>
      <c r="F299" s="2213"/>
      <c r="G299" s="2219"/>
      <c r="H299" s="2213"/>
      <c r="I299" s="2213"/>
      <c r="J299" s="2213"/>
      <c r="K299" s="2213"/>
      <c r="L299" s="263"/>
      <c r="M299" s="2217">
        <f t="shared" si="26"/>
        <v>8.0687000000004439</v>
      </c>
      <c r="N299" s="2217">
        <f t="shared" ref="N299:N343" si="28">N$33+(N$32*P299)-(N$31*(P299^2))+(N$30*(P299^3))</f>
        <v>4688.1440000000002</v>
      </c>
      <c r="O299" s="2217">
        <f t="shared" si="27"/>
        <v>29.798000000000684</v>
      </c>
      <c r="P299" s="2212">
        <v>44</v>
      </c>
      <c r="Q299" s="2219"/>
      <c r="R299" s="2213"/>
      <c r="S299" s="2219"/>
      <c r="T299" s="2213"/>
      <c r="U299" s="2213"/>
      <c r="V299" s="2213"/>
      <c r="W299" s="2213"/>
      <c r="X299" s="2213"/>
    </row>
    <row r="300" spans="1:24">
      <c r="A300" s="2217">
        <f t="shared" ref="A300:A343" si="29">(C300*(B$8-B$10))-B$9</f>
        <v>17.912500000000545</v>
      </c>
      <c r="B300" s="2217">
        <f t="shared" ref="B300:B343" si="30">B$33+(B$32*D300)-(B$31*(D300^2))+(B$30*(D300^3))</f>
        <v>5837.39</v>
      </c>
      <c r="C300" s="2217">
        <f t="shared" ref="C300:C341" si="31">B300-B301</f>
        <v>38.950000000000728</v>
      </c>
      <c r="D300" s="2212">
        <v>43</v>
      </c>
      <c r="E300" s="2219"/>
      <c r="F300" s="2213"/>
      <c r="G300" s="2219"/>
      <c r="H300" s="2213"/>
      <c r="I300" s="2213"/>
      <c r="J300" s="2213"/>
      <c r="K300" s="2213"/>
      <c r="L300" s="263"/>
      <c r="M300" s="2217">
        <f t="shared" ref="M300:M343" si="32">(O300*(N$8-N$10))-N$9</f>
        <v>8.1284999999996224</v>
      </c>
      <c r="N300" s="2217">
        <f t="shared" si="28"/>
        <v>4658.3459999999995</v>
      </c>
      <c r="O300" s="2217">
        <f t="shared" ref="O300:O341" si="33">N300-N301</f>
        <v>29.889999999999418</v>
      </c>
      <c r="P300" s="2212">
        <v>43</v>
      </c>
      <c r="Q300" s="2219"/>
      <c r="R300" s="2213"/>
      <c r="S300" s="2219"/>
      <c r="T300" s="2213"/>
      <c r="U300" s="2213"/>
      <c r="V300" s="2213"/>
      <c r="W300" s="2213"/>
      <c r="X300" s="2213"/>
    </row>
    <row r="301" spans="1:24">
      <c r="A301" s="2217">
        <f t="shared" si="29"/>
        <v>18.047499999999399</v>
      </c>
      <c r="B301" s="2217">
        <f t="shared" si="30"/>
        <v>5798.44</v>
      </c>
      <c r="C301" s="2217">
        <f t="shared" si="31"/>
        <v>39.1299999999992</v>
      </c>
      <c r="D301" s="2212">
        <v>42</v>
      </c>
      <c r="E301" s="2219"/>
      <c r="F301" s="2213"/>
      <c r="G301" s="2219"/>
      <c r="H301" s="2213"/>
      <c r="I301" s="2213"/>
      <c r="J301" s="2213"/>
      <c r="K301" s="2213"/>
      <c r="L301" s="263"/>
      <c r="M301" s="2217">
        <f t="shared" si="32"/>
        <v>8.1882999999999804</v>
      </c>
      <c r="N301" s="2217">
        <f t="shared" si="28"/>
        <v>4628.4560000000001</v>
      </c>
      <c r="O301" s="2217">
        <f t="shared" si="33"/>
        <v>29.981999999999971</v>
      </c>
      <c r="P301" s="2212">
        <v>42</v>
      </c>
      <c r="Q301" s="2219"/>
      <c r="R301" s="2213"/>
      <c r="S301" s="2219"/>
      <c r="T301" s="2213"/>
      <c r="U301" s="2213"/>
      <c r="V301" s="2213"/>
      <c r="W301" s="2213"/>
      <c r="X301" s="2213"/>
    </row>
    <row r="302" spans="1:24">
      <c r="A302" s="2217">
        <f t="shared" si="29"/>
        <v>18.182500000000299</v>
      </c>
      <c r="B302" s="2217">
        <f t="shared" si="30"/>
        <v>5759.31</v>
      </c>
      <c r="C302" s="2217">
        <f t="shared" si="31"/>
        <v>39.3100000000004</v>
      </c>
      <c r="D302" s="2212">
        <v>41</v>
      </c>
      <c r="E302" s="2219"/>
      <c r="F302" s="2213"/>
      <c r="G302" s="2219"/>
      <c r="H302" s="2213"/>
      <c r="I302" s="2213"/>
      <c r="J302" s="2213"/>
      <c r="K302" s="2213"/>
      <c r="L302" s="263"/>
      <c r="M302" s="2217">
        <f t="shared" si="32"/>
        <v>8.2481000000003419</v>
      </c>
      <c r="N302" s="2217">
        <f t="shared" si="28"/>
        <v>4598.4740000000002</v>
      </c>
      <c r="O302" s="2217">
        <f t="shared" si="33"/>
        <v>30.074000000000524</v>
      </c>
      <c r="P302" s="2212">
        <v>41</v>
      </c>
      <c r="Q302" s="2219"/>
      <c r="R302" s="2213"/>
      <c r="S302" s="2219"/>
      <c r="T302" s="2213"/>
      <c r="U302" s="2213"/>
      <c r="V302" s="2213"/>
      <c r="W302" s="2213"/>
      <c r="X302" s="2213"/>
    </row>
    <row r="303" spans="1:24">
      <c r="A303" s="2217">
        <f t="shared" si="29"/>
        <v>18.317500000000518</v>
      </c>
      <c r="B303" s="2217">
        <f t="shared" si="30"/>
        <v>5720</v>
      </c>
      <c r="C303" s="2217">
        <f t="shared" si="31"/>
        <v>39.490000000000691</v>
      </c>
      <c r="D303" s="2212">
        <v>40</v>
      </c>
      <c r="E303" s="2219"/>
      <c r="F303" s="2213"/>
      <c r="G303" s="2219"/>
      <c r="H303" s="2213"/>
      <c r="I303" s="2213"/>
      <c r="J303" s="2213"/>
      <c r="K303" s="2213"/>
      <c r="L303" s="263"/>
      <c r="M303" s="2217">
        <f t="shared" si="32"/>
        <v>8.3079000000001102</v>
      </c>
      <c r="N303" s="2217">
        <f t="shared" si="28"/>
        <v>4568.3999999999996</v>
      </c>
      <c r="O303" s="2217">
        <f t="shared" si="33"/>
        <v>30.166000000000167</v>
      </c>
      <c r="P303" s="2212">
        <v>40</v>
      </c>
      <c r="Q303" s="2219"/>
      <c r="R303" s="2213"/>
      <c r="S303" s="2219"/>
      <c r="T303" s="2213"/>
      <c r="U303" s="2213"/>
      <c r="V303" s="2213"/>
      <c r="W303" s="2213"/>
      <c r="X303" s="2213"/>
    </row>
    <row r="304" spans="1:24">
      <c r="A304" s="2217">
        <f t="shared" si="29"/>
        <v>18.452499999999372</v>
      </c>
      <c r="B304" s="2217">
        <f t="shared" si="30"/>
        <v>5680.5099999999993</v>
      </c>
      <c r="C304" s="2217">
        <f t="shared" si="31"/>
        <v>39.669999999999163</v>
      </c>
      <c r="D304" s="2212">
        <v>39</v>
      </c>
      <c r="E304" s="2219"/>
      <c r="F304" s="2213"/>
      <c r="G304" s="2219"/>
      <c r="H304" s="2213"/>
      <c r="I304" s="2213"/>
      <c r="J304" s="2213"/>
      <c r="K304" s="2213"/>
      <c r="L304" s="263"/>
      <c r="M304" s="2217">
        <f t="shared" si="32"/>
        <v>8.3676999999998785</v>
      </c>
      <c r="N304" s="2217">
        <f t="shared" si="28"/>
        <v>4538.2339999999995</v>
      </c>
      <c r="O304" s="2217">
        <f t="shared" si="33"/>
        <v>30.257999999999811</v>
      </c>
      <c r="P304" s="2212">
        <v>39</v>
      </c>
      <c r="Q304" s="2219"/>
      <c r="R304" s="2213"/>
      <c r="S304" s="2219"/>
      <c r="T304" s="2213"/>
      <c r="U304" s="2213"/>
      <c r="V304" s="2213"/>
      <c r="W304" s="2213"/>
      <c r="X304" s="2213"/>
    </row>
    <row r="305" spans="1:24">
      <c r="A305" s="2217">
        <f t="shared" si="29"/>
        <v>18.587500000000272</v>
      </c>
      <c r="B305" s="2217">
        <f t="shared" si="30"/>
        <v>5640.84</v>
      </c>
      <c r="C305" s="2217">
        <f t="shared" si="31"/>
        <v>39.850000000000364</v>
      </c>
      <c r="D305" s="2212">
        <v>38</v>
      </c>
      <c r="E305" s="2219"/>
      <c r="F305" s="2213"/>
      <c r="G305" s="2219"/>
      <c r="H305" s="2213"/>
      <c r="I305" s="2213"/>
      <c r="J305" s="2213"/>
      <c r="K305" s="2213"/>
      <c r="L305" s="263"/>
      <c r="M305" s="2217">
        <f t="shared" si="32"/>
        <v>8.4274999999996467</v>
      </c>
      <c r="N305" s="2217">
        <f t="shared" si="28"/>
        <v>4507.9759999999997</v>
      </c>
      <c r="O305" s="2217">
        <f t="shared" si="33"/>
        <v>30.349999999999454</v>
      </c>
      <c r="P305" s="2212">
        <v>38</v>
      </c>
      <c r="Q305" s="2219"/>
      <c r="R305" s="2213"/>
      <c r="S305" s="2219"/>
      <c r="T305" s="2213"/>
      <c r="U305" s="2213"/>
      <c r="V305" s="2213"/>
      <c r="W305" s="2213"/>
      <c r="X305" s="2213"/>
    </row>
    <row r="306" spans="1:24">
      <c r="A306" s="2217">
        <f t="shared" si="29"/>
        <v>18.722499999999808</v>
      </c>
      <c r="B306" s="2217">
        <f t="shared" si="30"/>
        <v>5600.99</v>
      </c>
      <c r="C306" s="2217">
        <f t="shared" si="31"/>
        <v>40.029999999999745</v>
      </c>
      <c r="D306" s="2212">
        <v>37</v>
      </c>
      <c r="E306" s="2219"/>
      <c r="F306" s="2213"/>
      <c r="G306" s="2219"/>
      <c r="H306" s="2213"/>
      <c r="I306" s="2213"/>
      <c r="J306" s="2213"/>
      <c r="K306" s="2213"/>
      <c r="L306" s="263"/>
      <c r="M306" s="2217">
        <f t="shared" si="32"/>
        <v>8.4873000000000047</v>
      </c>
      <c r="N306" s="2217">
        <f t="shared" si="28"/>
        <v>4477.6260000000002</v>
      </c>
      <c r="O306" s="2217">
        <f t="shared" si="33"/>
        <v>30.442000000000007</v>
      </c>
      <c r="P306" s="2212">
        <v>37</v>
      </c>
      <c r="Q306" s="2219"/>
      <c r="R306" s="2213"/>
      <c r="S306" s="2219"/>
      <c r="T306" s="2213"/>
      <c r="U306" s="2213"/>
      <c r="V306" s="2213"/>
      <c r="W306" s="2213"/>
      <c r="X306" s="2213"/>
    </row>
    <row r="307" spans="1:24">
      <c r="A307" s="2217">
        <f t="shared" si="29"/>
        <v>18.857500000000027</v>
      </c>
      <c r="B307" s="2217">
        <f t="shared" si="30"/>
        <v>5560.96</v>
      </c>
      <c r="C307" s="2217">
        <f t="shared" si="31"/>
        <v>40.210000000000036</v>
      </c>
      <c r="D307" s="2212">
        <v>36</v>
      </c>
      <c r="E307" s="2219"/>
      <c r="F307" s="2213"/>
      <c r="G307" s="2219"/>
      <c r="H307" s="2213"/>
      <c r="I307" s="2213"/>
      <c r="J307" s="2213"/>
      <c r="K307" s="2213"/>
      <c r="L307" s="263"/>
      <c r="M307" s="2217">
        <f t="shared" si="32"/>
        <v>8.5471000000003627</v>
      </c>
      <c r="N307" s="2217">
        <f t="shared" si="28"/>
        <v>4447.1840000000002</v>
      </c>
      <c r="O307" s="2217">
        <f t="shared" si="33"/>
        <v>30.53400000000056</v>
      </c>
      <c r="P307" s="2212">
        <v>36</v>
      </c>
      <c r="Q307" s="2219"/>
      <c r="R307" s="2213"/>
      <c r="S307" s="2219"/>
      <c r="T307" s="2213"/>
      <c r="U307" s="2213"/>
      <c r="V307" s="2213"/>
      <c r="W307" s="2213"/>
      <c r="X307" s="2213"/>
    </row>
    <row r="308" spans="1:24">
      <c r="A308" s="2217">
        <f t="shared" si="29"/>
        <v>18.992500000000245</v>
      </c>
      <c r="B308" s="2217">
        <f t="shared" si="30"/>
        <v>5520.75</v>
      </c>
      <c r="C308" s="2217">
        <f t="shared" si="31"/>
        <v>40.390000000000327</v>
      </c>
      <c r="D308" s="2212">
        <v>35</v>
      </c>
      <c r="E308" s="2219"/>
      <c r="F308" s="2213"/>
      <c r="G308" s="2219"/>
      <c r="H308" s="2213"/>
      <c r="I308" s="2213"/>
      <c r="J308" s="2213"/>
      <c r="K308" s="2213"/>
      <c r="L308" s="263"/>
      <c r="M308" s="2217">
        <f t="shared" si="32"/>
        <v>8.606900000000131</v>
      </c>
      <c r="N308" s="2217">
        <f t="shared" si="28"/>
        <v>4416.6499999999996</v>
      </c>
      <c r="O308" s="2217">
        <f t="shared" si="33"/>
        <v>30.626000000000204</v>
      </c>
      <c r="P308" s="2212">
        <v>35</v>
      </c>
      <c r="Q308" s="2219"/>
      <c r="R308" s="2213"/>
      <c r="S308" s="2219"/>
      <c r="T308" s="2213"/>
      <c r="U308" s="2213"/>
      <c r="V308" s="2213"/>
      <c r="W308" s="2213"/>
      <c r="X308" s="2213"/>
    </row>
    <row r="309" spans="1:24">
      <c r="A309" s="2217">
        <f t="shared" si="29"/>
        <v>19.127499999999781</v>
      </c>
      <c r="B309" s="2217">
        <f t="shared" si="30"/>
        <v>5480.36</v>
      </c>
      <c r="C309" s="2217">
        <f t="shared" si="31"/>
        <v>40.569999999999709</v>
      </c>
      <c r="D309" s="2212">
        <v>34</v>
      </c>
      <c r="E309" s="2219"/>
      <c r="F309" s="2213"/>
      <c r="G309" s="2219"/>
      <c r="H309" s="2213"/>
      <c r="I309" s="2213"/>
      <c r="J309" s="2213"/>
      <c r="K309" s="2213"/>
      <c r="L309" s="263"/>
      <c r="M309" s="2217">
        <f t="shared" si="32"/>
        <v>8.6666999999998993</v>
      </c>
      <c r="N309" s="2217">
        <f t="shared" si="28"/>
        <v>4386.0239999999994</v>
      </c>
      <c r="O309" s="2217">
        <f t="shared" si="33"/>
        <v>30.717999999999847</v>
      </c>
      <c r="P309" s="2212">
        <v>34</v>
      </c>
      <c r="Q309" s="2219"/>
      <c r="R309" s="2213"/>
      <c r="S309" s="2219"/>
      <c r="T309" s="2213"/>
      <c r="U309" s="2213"/>
      <c r="V309" s="2213"/>
      <c r="W309" s="2213"/>
      <c r="X309" s="2213"/>
    </row>
    <row r="310" spans="1:24">
      <c r="A310" s="2217">
        <f t="shared" si="29"/>
        <v>19.262499999999999</v>
      </c>
      <c r="B310" s="2217">
        <f t="shared" si="30"/>
        <v>5439.79</v>
      </c>
      <c r="C310" s="2217">
        <f t="shared" si="31"/>
        <v>40.75</v>
      </c>
      <c r="D310" s="2212">
        <v>33</v>
      </c>
      <c r="E310" s="2219"/>
      <c r="F310" s="2213"/>
      <c r="G310" s="2219"/>
      <c r="H310" s="2213"/>
      <c r="I310" s="2213"/>
      <c r="J310" s="2213"/>
      <c r="K310" s="2213"/>
      <c r="L310" s="263"/>
      <c r="M310" s="2217">
        <f t="shared" si="32"/>
        <v>8.7264999999996675</v>
      </c>
      <c r="N310" s="2217">
        <f t="shared" si="28"/>
        <v>4355.3059999999996</v>
      </c>
      <c r="O310" s="2217">
        <f t="shared" si="33"/>
        <v>30.809999999999491</v>
      </c>
      <c r="P310" s="2212">
        <v>33</v>
      </c>
      <c r="Q310" s="2219"/>
      <c r="R310" s="2213"/>
      <c r="S310" s="2219"/>
      <c r="T310" s="2213"/>
      <c r="U310" s="2213"/>
      <c r="V310" s="2213"/>
      <c r="W310" s="2213"/>
      <c r="X310" s="2213"/>
    </row>
    <row r="311" spans="1:24">
      <c r="A311" s="2217">
        <f t="shared" si="29"/>
        <v>19.397499999999535</v>
      </c>
      <c r="B311" s="2217">
        <f t="shared" si="30"/>
        <v>5399.04</v>
      </c>
      <c r="C311" s="2217">
        <f t="shared" si="31"/>
        <v>40.929999999999382</v>
      </c>
      <c r="D311" s="2212">
        <v>32</v>
      </c>
      <c r="E311" s="2219"/>
      <c r="F311" s="2213"/>
      <c r="G311" s="2219"/>
      <c r="H311" s="2213"/>
      <c r="I311" s="2213"/>
      <c r="J311" s="2213"/>
      <c r="K311" s="2213"/>
      <c r="L311" s="263"/>
      <c r="M311" s="2217">
        <f t="shared" si="32"/>
        <v>8.7863000000000291</v>
      </c>
      <c r="N311" s="2217">
        <f t="shared" si="28"/>
        <v>4324.4960000000001</v>
      </c>
      <c r="O311" s="2217">
        <f t="shared" si="33"/>
        <v>30.902000000000044</v>
      </c>
      <c r="P311" s="2212">
        <v>32</v>
      </c>
      <c r="Q311" s="2219"/>
      <c r="R311" s="2213"/>
      <c r="S311" s="2219"/>
      <c r="T311" s="2213"/>
      <c r="U311" s="2213"/>
      <c r="V311" s="2213"/>
      <c r="W311" s="2213"/>
      <c r="X311" s="2213"/>
    </row>
    <row r="312" spans="1:24">
      <c r="A312" s="2217">
        <f t="shared" si="29"/>
        <v>19.532500000000436</v>
      </c>
      <c r="B312" s="2217">
        <f t="shared" si="30"/>
        <v>5358.1100000000006</v>
      </c>
      <c r="C312" s="2217">
        <f t="shared" si="31"/>
        <v>41.110000000000582</v>
      </c>
      <c r="D312" s="2212">
        <v>31</v>
      </c>
      <c r="E312" s="2219"/>
      <c r="F312" s="2213"/>
      <c r="G312" s="2219"/>
      <c r="H312" s="2213"/>
      <c r="I312" s="2213"/>
      <c r="J312" s="2213"/>
      <c r="K312" s="2213"/>
      <c r="L312" s="263"/>
      <c r="M312" s="2217">
        <f t="shared" si="32"/>
        <v>8.8460999999997973</v>
      </c>
      <c r="N312" s="2217">
        <f t="shared" si="28"/>
        <v>4293.5940000000001</v>
      </c>
      <c r="O312" s="2217">
        <f t="shared" si="33"/>
        <v>30.993999999999687</v>
      </c>
      <c r="P312" s="2212">
        <v>31</v>
      </c>
      <c r="Q312" s="2219"/>
      <c r="R312" s="2213"/>
      <c r="S312" s="2219"/>
      <c r="T312" s="2213"/>
      <c r="U312" s="2213"/>
      <c r="V312" s="2213"/>
      <c r="W312" s="2213"/>
      <c r="X312" s="2213"/>
    </row>
    <row r="313" spans="1:24">
      <c r="A313" s="2217">
        <f t="shared" si="29"/>
        <v>19.667499999999972</v>
      </c>
      <c r="B313" s="2217">
        <f t="shared" si="30"/>
        <v>5317</v>
      </c>
      <c r="C313" s="2217">
        <f t="shared" si="31"/>
        <v>41.289999999999964</v>
      </c>
      <c r="D313" s="2212">
        <v>30</v>
      </c>
      <c r="E313" s="2219"/>
      <c r="F313" s="2213"/>
      <c r="G313" s="2219"/>
      <c r="H313" s="2213"/>
      <c r="I313" s="2213"/>
      <c r="J313" s="2213"/>
      <c r="K313" s="2213"/>
      <c r="L313" s="263"/>
      <c r="M313" s="2217">
        <f t="shared" si="32"/>
        <v>8.9059000000001554</v>
      </c>
      <c r="N313" s="2217">
        <f t="shared" si="28"/>
        <v>4262.6000000000004</v>
      </c>
      <c r="O313" s="2217">
        <f t="shared" si="33"/>
        <v>31.08600000000024</v>
      </c>
      <c r="P313" s="2212">
        <v>30</v>
      </c>
      <c r="Q313" s="2219"/>
      <c r="R313" s="2213"/>
      <c r="S313" s="2219"/>
      <c r="T313" s="2213"/>
      <c r="U313" s="2213"/>
      <c r="V313" s="2213"/>
      <c r="W313" s="2213"/>
      <c r="X313" s="2213"/>
    </row>
    <row r="314" spans="1:24">
      <c r="A314" s="2217">
        <f t="shared" si="29"/>
        <v>19.80250000000019</v>
      </c>
      <c r="B314" s="2217">
        <f t="shared" si="30"/>
        <v>5275.71</v>
      </c>
      <c r="C314" s="2217">
        <f t="shared" si="31"/>
        <v>41.470000000000255</v>
      </c>
      <c r="D314" s="2212">
        <v>29</v>
      </c>
      <c r="E314" s="2219"/>
      <c r="F314" s="2213"/>
      <c r="G314" s="2219"/>
      <c r="H314" s="2213"/>
      <c r="I314" s="2213"/>
      <c r="J314" s="2213"/>
      <c r="K314" s="2213"/>
      <c r="L314" s="263"/>
      <c r="M314" s="2217">
        <f t="shared" si="32"/>
        <v>8.9657000000005169</v>
      </c>
      <c r="N314" s="2217">
        <f t="shared" si="28"/>
        <v>4231.5140000000001</v>
      </c>
      <c r="O314" s="2217">
        <f t="shared" si="33"/>
        <v>31.178000000000793</v>
      </c>
      <c r="P314" s="2212">
        <v>29</v>
      </c>
      <c r="Q314" s="2219"/>
      <c r="R314" s="2213"/>
      <c r="S314" s="2219"/>
      <c r="T314" s="2213"/>
      <c r="U314" s="2213"/>
      <c r="V314" s="2213"/>
      <c r="W314" s="2213"/>
      <c r="X314" s="2213"/>
    </row>
    <row r="315" spans="1:24">
      <c r="A315" s="2217">
        <f t="shared" si="29"/>
        <v>19.937499999999726</v>
      </c>
      <c r="B315" s="2217">
        <f t="shared" si="30"/>
        <v>5234.24</v>
      </c>
      <c r="C315" s="2217">
        <f t="shared" si="31"/>
        <v>41.649999999999636</v>
      </c>
      <c r="D315" s="2212">
        <v>28</v>
      </c>
      <c r="E315" s="2219"/>
      <c r="F315" s="2213"/>
      <c r="G315" s="2219"/>
      <c r="H315" s="2213"/>
      <c r="I315" s="2213"/>
      <c r="J315" s="2213"/>
      <c r="K315" s="2213"/>
      <c r="L315" s="263"/>
      <c r="M315" s="2217">
        <f t="shared" si="32"/>
        <v>9.0254999999991021</v>
      </c>
      <c r="N315" s="2217">
        <f t="shared" si="28"/>
        <v>4200.3359999999993</v>
      </c>
      <c r="O315" s="2217">
        <f t="shared" si="33"/>
        <v>31.269999999998618</v>
      </c>
      <c r="P315" s="2212">
        <v>28</v>
      </c>
      <c r="Q315" s="2219"/>
      <c r="R315" s="2213"/>
      <c r="S315" s="2219"/>
      <c r="T315" s="2213"/>
      <c r="U315" s="2213"/>
      <c r="V315" s="2213"/>
      <c r="W315" s="2213"/>
      <c r="X315" s="2213"/>
    </row>
    <row r="316" spans="1:24">
      <c r="A316" s="2217">
        <f t="shared" si="29"/>
        <v>20.072499999999945</v>
      </c>
      <c r="B316" s="2217">
        <f t="shared" si="30"/>
        <v>5192.59</v>
      </c>
      <c r="C316" s="2217">
        <f t="shared" si="31"/>
        <v>41.829999999999927</v>
      </c>
      <c r="D316" s="2212">
        <v>27</v>
      </c>
      <c r="E316" s="2219"/>
      <c r="F316" s="2213"/>
      <c r="G316" s="2219"/>
      <c r="H316" s="2213"/>
      <c r="I316" s="2213"/>
      <c r="J316" s="2213"/>
      <c r="K316" s="2213"/>
      <c r="L316" s="263"/>
      <c r="M316" s="2217">
        <f t="shared" si="32"/>
        <v>9.0853000000000534</v>
      </c>
      <c r="N316" s="2217">
        <f t="shared" si="28"/>
        <v>4169.0660000000007</v>
      </c>
      <c r="O316" s="2217">
        <f t="shared" si="33"/>
        <v>31.36200000000008</v>
      </c>
      <c r="P316" s="2212">
        <v>27</v>
      </c>
      <c r="Q316" s="2219"/>
      <c r="R316" s="2213"/>
      <c r="S316" s="2219"/>
      <c r="T316" s="2213"/>
      <c r="U316" s="2213"/>
      <c r="V316" s="2213"/>
      <c r="W316" s="2213"/>
      <c r="X316" s="2213"/>
    </row>
    <row r="317" spans="1:24">
      <c r="A317" s="2217">
        <f t="shared" si="29"/>
        <v>20.207500000000163</v>
      </c>
      <c r="B317" s="2217">
        <f t="shared" si="30"/>
        <v>5150.76</v>
      </c>
      <c r="C317" s="2217">
        <f t="shared" si="31"/>
        <v>42.010000000000218</v>
      </c>
      <c r="D317" s="2212">
        <v>26</v>
      </c>
      <c r="E317" s="2219"/>
      <c r="F317" s="2213"/>
      <c r="G317" s="2219"/>
      <c r="H317" s="2213"/>
      <c r="I317" s="2213"/>
      <c r="J317" s="2213"/>
      <c r="K317" s="2213"/>
      <c r="L317" s="263"/>
      <c r="M317" s="2217">
        <f t="shared" si="32"/>
        <v>9.1451000000004115</v>
      </c>
      <c r="N317" s="2217">
        <f t="shared" si="28"/>
        <v>4137.7040000000006</v>
      </c>
      <c r="O317" s="2217">
        <f t="shared" si="33"/>
        <v>31.454000000000633</v>
      </c>
      <c r="P317" s="2212">
        <v>26</v>
      </c>
      <c r="Q317" s="2219"/>
      <c r="R317" s="2213"/>
      <c r="S317" s="2219"/>
      <c r="T317" s="2213"/>
      <c r="U317" s="2213"/>
      <c r="V317" s="2213"/>
      <c r="W317" s="2213"/>
      <c r="X317" s="2213"/>
    </row>
    <row r="318" spans="1:24">
      <c r="A318" s="2217">
        <f t="shared" si="29"/>
        <v>20.342500000000381</v>
      </c>
      <c r="B318" s="2217">
        <f t="shared" si="30"/>
        <v>5108.75</v>
      </c>
      <c r="C318" s="2217">
        <f t="shared" si="31"/>
        <v>42.190000000000509</v>
      </c>
      <c r="D318" s="2212">
        <v>25</v>
      </c>
      <c r="E318" s="2219"/>
      <c r="F318" s="2213"/>
      <c r="G318" s="2219"/>
      <c r="H318" s="2213"/>
      <c r="I318" s="2213"/>
      <c r="J318" s="2213"/>
      <c r="K318" s="2213"/>
      <c r="L318" s="263"/>
      <c r="M318" s="2217">
        <f t="shared" si="32"/>
        <v>9.2049000000001797</v>
      </c>
      <c r="N318" s="2217">
        <f t="shared" si="28"/>
        <v>4106.25</v>
      </c>
      <c r="O318" s="2217">
        <f t="shared" si="33"/>
        <v>31.546000000000276</v>
      </c>
      <c r="P318" s="2212">
        <v>25</v>
      </c>
      <c r="Q318" s="2219"/>
      <c r="R318" s="2213"/>
      <c r="S318" s="2219"/>
      <c r="T318" s="2213"/>
      <c r="U318" s="2213"/>
      <c r="V318" s="2213"/>
      <c r="W318" s="2213"/>
      <c r="X318" s="2213"/>
    </row>
    <row r="319" spans="1:24">
      <c r="A319" s="2217">
        <f t="shared" si="29"/>
        <v>20.477499999999235</v>
      </c>
      <c r="B319" s="2217">
        <f t="shared" si="30"/>
        <v>5066.5599999999995</v>
      </c>
      <c r="C319" s="2217">
        <f t="shared" si="31"/>
        <v>42.369999999998981</v>
      </c>
      <c r="D319" s="2212">
        <v>24</v>
      </c>
      <c r="E319" s="2219"/>
      <c r="F319" s="2213"/>
      <c r="G319" s="2219"/>
      <c r="H319" s="2213"/>
      <c r="I319" s="2213"/>
      <c r="J319" s="2213"/>
      <c r="K319" s="2213"/>
      <c r="L319" s="263"/>
      <c r="M319" s="2217">
        <f t="shared" si="32"/>
        <v>9.2646999999996531</v>
      </c>
      <c r="N319" s="2217">
        <f t="shared" si="28"/>
        <v>4074.7039999999997</v>
      </c>
      <c r="O319" s="2217">
        <f t="shared" si="33"/>
        <v>31.637999999999465</v>
      </c>
      <c r="P319" s="2212">
        <v>24</v>
      </c>
      <c r="Q319" s="2219"/>
      <c r="R319" s="2213"/>
      <c r="S319" s="2219"/>
      <c r="T319" s="2213"/>
      <c r="U319" s="2213"/>
      <c r="V319" s="2213"/>
      <c r="W319" s="2213"/>
      <c r="X319" s="2213"/>
    </row>
    <row r="320" spans="1:24">
      <c r="A320" s="2217">
        <f t="shared" si="29"/>
        <v>20.612500000000818</v>
      </c>
      <c r="B320" s="2217">
        <f t="shared" si="30"/>
        <v>5024.1900000000005</v>
      </c>
      <c r="C320" s="2217">
        <f t="shared" si="31"/>
        <v>42.550000000001091</v>
      </c>
      <c r="D320" s="2212">
        <v>23</v>
      </c>
      <c r="E320" s="2219"/>
      <c r="F320" s="2213"/>
      <c r="G320" s="2219"/>
      <c r="H320" s="2213"/>
      <c r="I320" s="2213"/>
      <c r="J320" s="2213"/>
      <c r="K320" s="2213"/>
      <c r="L320" s="263"/>
      <c r="M320" s="2217">
        <f t="shared" si="32"/>
        <v>9.324500000000306</v>
      </c>
      <c r="N320" s="2217">
        <f t="shared" si="28"/>
        <v>4043.0660000000003</v>
      </c>
      <c r="O320" s="2217">
        <f t="shared" si="33"/>
        <v>31.730000000000473</v>
      </c>
      <c r="P320" s="2212">
        <v>23</v>
      </c>
      <c r="Q320" s="2219"/>
      <c r="R320" s="2213"/>
      <c r="S320" s="2219"/>
      <c r="T320" s="2213"/>
      <c r="U320" s="2213"/>
      <c r="V320" s="2213"/>
      <c r="W320" s="2213"/>
      <c r="X320" s="2213"/>
    </row>
    <row r="321" spans="1:24">
      <c r="A321" s="2217">
        <f t="shared" si="29"/>
        <v>20.74749999999899</v>
      </c>
      <c r="B321" s="2217">
        <f t="shared" si="30"/>
        <v>4981.6399999999994</v>
      </c>
      <c r="C321" s="2217">
        <f t="shared" si="31"/>
        <v>42.729999999998654</v>
      </c>
      <c r="D321" s="2212">
        <v>22</v>
      </c>
      <c r="E321" s="2219"/>
      <c r="F321" s="2213"/>
      <c r="G321" s="2219"/>
      <c r="H321" s="2213"/>
      <c r="I321" s="2213"/>
      <c r="J321" s="2213"/>
      <c r="K321" s="2213"/>
      <c r="L321" s="263"/>
      <c r="M321" s="2217">
        <f t="shared" si="32"/>
        <v>9.3842999999997794</v>
      </c>
      <c r="N321" s="2217">
        <f t="shared" si="28"/>
        <v>4011.3359999999998</v>
      </c>
      <c r="O321" s="2217">
        <f t="shared" si="33"/>
        <v>31.821999999999662</v>
      </c>
      <c r="P321" s="2212">
        <v>22</v>
      </c>
      <c r="Q321" s="2219"/>
      <c r="R321" s="2213"/>
      <c r="S321" s="2219"/>
      <c r="T321" s="2213"/>
      <c r="U321" s="2213"/>
      <c r="V321" s="2213"/>
      <c r="W321" s="2213"/>
      <c r="X321" s="2213"/>
    </row>
    <row r="322" spans="1:24">
      <c r="A322" s="2217">
        <f t="shared" si="29"/>
        <v>20.882500000000572</v>
      </c>
      <c r="B322" s="2217">
        <f t="shared" si="30"/>
        <v>4938.9100000000008</v>
      </c>
      <c r="C322" s="2217">
        <f t="shared" si="31"/>
        <v>42.910000000000764</v>
      </c>
      <c r="D322" s="2212">
        <v>21</v>
      </c>
      <c r="E322" s="2219"/>
      <c r="F322" s="2213"/>
      <c r="G322" s="2219"/>
      <c r="H322" s="2213"/>
      <c r="I322" s="2213"/>
      <c r="J322" s="2213"/>
      <c r="K322" s="2213"/>
      <c r="L322" s="263"/>
      <c r="M322" s="2217">
        <f t="shared" si="32"/>
        <v>9.4441000000001409</v>
      </c>
      <c r="N322" s="2217">
        <f t="shared" si="28"/>
        <v>3979.5140000000001</v>
      </c>
      <c r="O322" s="2217">
        <f t="shared" si="33"/>
        <v>31.914000000000215</v>
      </c>
      <c r="P322" s="2212">
        <v>21</v>
      </c>
      <c r="Q322" s="2219"/>
      <c r="R322" s="2213"/>
      <c r="S322" s="2219"/>
      <c r="T322" s="2213"/>
      <c r="U322" s="2213"/>
      <c r="V322" s="2213"/>
      <c r="W322" s="2213"/>
      <c r="X322" s="2213"/>
    </row>
    <row r="323" spans="1:24">
      <c r="A323" s="2217">
        <f t="shared" si="29"/>
        <v>21.017500000000108</v>
      </c>
      <c r="B323" s="2217">
        <f t="shared" si="30"/>
        <v>4896</v>
      </c>
      <c r="C323" s="2217">
        <f t="shared" si="31"/>
        <v>43.090000000000146</v>
      </c>
      <c r="D323" s="2212">
        <v>20</v>
      </c>
      <c r="E323" s="2219"/>
      <c r="F323" s="2213"/>
      <c r="G323" s="2219"/>
      <c r="H323" s="2213"/>
      <c r="I323" s="2213"/>
      <c r="J323" s="2213"/>
      <c r="K323" s="2213"/>
      <c r="L323" s="263"/>
      <c r="M323" s="2217">
        <f t="shared" si="32"/>
        <v>9.5039000000002041</v>
      </c>
      <c r="N323" s="2217">
        <f t="shared" si="28"/>
        <v>3947.6</v>
      </c>
      <c r="O323" s="2217">
        <f t="shared" si="33"/>
        <v>32.006000000000313</v>
      </c>
      <c r="P323" s="2212">
        <v>20</v>
      </c>
      <c r="Q323" s="2219"/>
      <c r="R323" s="2213"/>
      <c r="S323" s="2219"/>
      <c r="T323" s="2213"/>
      <c r="U323" s="2213"/>
      <c r="V323" s="2213"/>
      <c r="W323" s="2213"/>
      <c r="X323" s="2213"/>
    </row>
    <row r="324" spans="1:24">
      <c r="A324" s="2217">
        <f t="shared" si="29"/>
        <v>21.152499999999645</v>
      </c>
      <c r="B324" s="2217">
        <f t="shared" si="30"/>
        <v>4852.91</v>
      </c>
      <c r="C324" s="2217">
        <f t="shared" si="31"/>
        <v>43.269999999999527</v>
      </c>
      <c r="D324" s="2212">
        <v>19</v>
      </c>
      <c r="E324" s="2219"/>
      <c r="F324" s="2213"/>
      <c r="G324" s="2219"/>
      <c r="H324" s="2213"/>
      <c r="I324" s="2213"/>
      <c r="J324" s="2213"/>
      <c r="K324" s="2213"/>
      <c r="L324" s="263"/>
      <c r="M324" s="2217">
        <f t="shared" si="32"/>
        <v>9.5636999999996775</v>
      </c>
      <c r="N324" s="2217">
        <f t="shared" si="28"/>
        <v>3915.5939999999996</v>
      </c>
      <c r="O324" s="2217">
        <f t="shared" si="33"/>
        <v>32.097999999999502</v>
      </c>
      <c r="P324" s="2212">
        <v>19</v>
      </c>
      <c r="Q324" s="2219"/>
      <c r="R324" s="2213"/>
      <c r="S324" s="2219"/>
      <c r="T324" s="2213"/>
      <c r="U324" s="2213"/>
      <c r="V324" s="2213"/>
      <c r="W324" s="2213"/>
      <c r="X324" s="2213"/>
    </row>
    <row r="325" spans="1:24">
      <c r="A325" s="2217">
        <f t="shared" si="29"/>
        <v>21.287500000000545</v>
      </c>
      <c r="B325" s="2217">
        <f t="shared" si="30"/>
        <v>4809.6400000000003</v>
      </c>
      <c r="C325" s="2217">
        <f t="shared" si="31"/>
        <v>43.450000000000728</v>
      </c>
      <c r="D325" s="2212">
        <v>18</v>
      </c>
      <c r="E325" s="2219"/>
      <c r="F325" s="2213"/>
      <c r="G325" s="2219"/>
      <c r="H325" s="2213"/>
      <c r="I325" s="2213"/>
      <c r="J325" s="2213"/>
      <c r="K325" s="2213"/>
      <c r="L325" s="263"/>
      <c r="M325" s="2217">
        <f t="shared" si="32"/>
        <v>9.6235000000000355</v>
      </c>
      <c r="N325" s="2217">
        <f t="shared" si="28"/>
        <v>3883.4960000000001</v>
      </c>
      <c r="O325" s="2217">
        <f t="shared" si="33"/>
        <v>32.190000000000055</v>
      </c>
      <c r="P325" s="2212">
        <v>18</v>
      </c>
      <c r="Q325" s="2219"/>
      <c r="R325" s="2213"/>
      <c r="S325" s="2219"/>
      <c r="T325" s="2213"/>
      <c r="U325" s="2213"/>
      <c r="V325" s="2213"/>
      <c r="W325" s="2213"/>
      <c r="X325" s="2213"/>
    </row>
    <row r="326" spans="1:24">
      <c r="A326" s="2217">
        <f t="shared" si="29"/>
        <v>21.422499999999399</v>
      </c>
      <c r="B326" s="2217">
        <f t="shared" si="30"/>
        <v>4766.1899999999996</v>
      </c>
      <c r="C326" s="2217">
        <f t="shared" si="31"/>
        <v>43.6299999999992</v>
      </c>
      <c r="D326" s="2212">
        <v>17</v>
      </c>
      <c r="E326" s="2219"/>
      <c r="F326" s="2213"/>
      <c r="G326" s="2219"/>
      <c r="H326" s="2213"/>
      <c r="I326" s="2213"/>
      <c r="J326" s="2213"/>
      <c r="K326" s="2213"/>
      <c r="L326" s="263"/>
      <c r="M326" s="2217">
        <f t="shared" si="32"/>
        <v>9.6832999999998037</v>
      </c>
      <c r="N326" s="2217">
        <f t="shared" si="28"/>
        <v>3851.306</v>
      </c>
      <c r="O326" s="2217">
        <f t="shared" si="33"/>
        <v>32.281999999999698</v>
      </c>
      <c r="P326" s="2212">
        <v>17</v>
      </c>
      <c r="Q326" s="2219"/>
      <c r="R326" s="2213"/>
      <c r="S326" s="2219"/>
      <c r="T326" s="2213"/>
      <c r="U326" s="2213"/>
      <c r="V326" s="2213"/>
      <c r="W326" s="2213"/>
      <c r="X326" s="2213"/>
    </row>
    <row r="327" spans="1:24">
      <c r="A327" s="2217">
        <f t="shared" si="29"/>
        <v>21.557500000000299</v>
      </c>
      <c r="B327" s="2217">
        <f t="shared" si="30"/>
        <v>4722.5600000000004</v>
      </c>
      <c r="C327" s="2217">
        <f t="shared" si="31"/>
        <v>43.8100000000004</v>
      </c>
      <c r="D327" s="2212">
        <v>16</v>
      </c>
      <c r="E327" s="2219"/>
      <c r="F327" s="2213"/>
      <c r="G327" s="2219"/>
      <c r="H327" s="2213"/>
      <c r="I327" s="2213"/>
      <c r="J327" s="2213"/>
      <c r="K327" s="2213"/>
      <c r="L327" s="263"/>
      <c r="M327" s="2217">
        <f t="shared" si="32"/>
        <v>9.7431000000001617</v>
      </c>
      <c r="N327" s="2217">
        <f t="shared" si="28"/>
        <v>3819.0240000000003</v>
      </c>
      <c r="O327" s="2217">
        <f t="shared" si="33"/>
        <v>32.374000000000251</v>
      </c>
      <c r="P327" s="2212">
        <v>16</v>
      </c>
      <c r="Q327" s="2219"/>
      <c r="R327" s="2213"/>
      <c r="S327" s="2219"/>
      <c r="T327" s="2213"/>
      <c r="U327" s="2213"/>
      <c r="V327" s="2213"/>
      <c r="W327" s="2213"/>
      <c r="X327" s="2213"/>
    </row>
    <row r="328" spans="1:24">
      <c r="A328" s="2217">
        <f t="shared" si="29"/>
        <v>21.692500000000518</v>
      </c>
      <c r="B328" s="2217">
        <f t="shared" si="30"/>
        <v>4678.75</v>
      </c>
      <c r="C328" s="2217">
        <f t="shared" si="31"/>
        <v>43.990000000000691</v>
      </c>
      <c r="D328" s="2212">
        <v>15</v>
      </c>
      <c r="E328" s="2219"/>
      <c r="F328" s="2213"/>
      <c r="G328" s="2219"/>
      <c r="H328" s="2213"/>
      <c r="I328" s="2213"/>
      <c r="J328" s="2213"/>
      <c r="K328" s="2213"/>
      <c r="L328" s="263"/>
      <c r="M328" s="2217">
        <f t="shared" si="32"/>
        <v>9.8029000000002284</v>
      </c>
      <c r="N328" s="2217">
        <f t="shared" si="28"/>
        <v>3786.65</v>
      </c>
      <c r="O328" s="2217">
        <f t="shared" si="33"/>
        <v>32.466000000000349</v>
      </c>
      <c r="P328" s="2212">
        <v>15</v>
      </c>
      <c r="Q328" s="2219"/>
      <c r="R328" s="2213"/>
      <c r="S328" s="2219"/>
      <c r="T328" s="2213"/>
      <c r="U328" s="2213"/>
      <c r="V328" s="2213"/>
      <c r="W328" s="2213"/>
      <c r="X328" s="2213"/>
    </row>
    <row r="329" spans="1:24">
      <c r="A329" s="2217">
        <f t="shared" si="29"/>
        <v>21.827499999999372</v>
      </c>
      <c r="B329" s="2217">
        <f t="shared" si="30"/>
        <v>4634.7599999999993</v>
      </c>
      <c r="C329" s="2217">
        <f t="shared" si="31"/>
        <v>44.169999999999163</v>
      </c>
      <c r="D329" s="2212">
        <v>14</v>
      </c>
      <c r="E329" s="2219"/>
      <c r="F329" s="2213"/>
      <c r="G329" s="2219"/>
      <c r="H329" s="2213"/>
      <c r="I329" s="2213"/>
      <c r="J329" s="2213"/>
      <c r="K329" s="2213"/>
      <c r="L329" s="263"/>
      <c r="M329" s="2217">
        <f t="shared" si="32"/>
        <v>9.8626999999996983</v>
      </c>
      <c r="N329" s="2217">
        <f t="shared" si="28"/>
        <v>3754.1839999999997</v>
      </c>
      <c r="O329" s="2217">
        <f t="shared" si="33"/>
        <v>32.557999999999538</v>
      </c>
      <c r="P329" s="2212">
        <v>14</v>
      </c>
      <c r="Q329" s="2219"/>
      <c r="R329" s="2213"/>
      <c r="S329" s="2219"/>
      <c r="T329" s="2213"/>
      <c r="U329" s="2213"/>
      <c r="V329" s="2213"/>
      <c r="W329" s="2213"/>
      <c r="X329" s="2213"/>
    </row>
    <row r="330" spans="1:24">
      <c r="A330" s="2217">
        <f t="shared" si="29"/>
        <v>21.962500000000272</v>
      </c>
      <c r="B330" s="2217">
        <f t="shared" si="30"/>
        <v>4590.59</v>
      </c>
      <c r="C330" s="2217">
        <f t="shared" si="31"/>
        <v>44.350000000000364</v>
      </c>
      <c r="D330" s="2212">
        <v>13</v>
      </c>
      <c r="E330" s="2219"/>
      <c r="F330" s="2213"/>
      <c r="G330" s="2219"/>
      <c r="H330" s="2213"/>
      <c r="I330" s="2213"/>
      <c r="J330" s="2213"/>
      <c r="K330" s="2213"/>
      <c r="L330" s="263"/>
      <c r="M330" s="2217">
        <f t="shared" si="32"/>
        <v>9.9225000000000598</v>
      </c>
      <c r="N330" s="2217">
        <f t="shared" si="28"/>
        <v>3721.6260000000002</v>
      </c>
      <c r="O330" s="2217">
        <f t="shared" si="33"/>
        <v>32.650000000000091</v>
      </c>
      <c r="P330" s="2212">
        <v>13</v>
      </c>
      <c r="Q330" s="2219"/>
      <c r="R330" s="2213"/>
      <c r="S330" s="2219"/>
      <c r="T330" s="2213"/>
      <c r="U330" s="2213"/>
      <c r="V330" s="2213"/>
      <c r="W330" s="2213"/>
      <c r="X330" s="2213"/>
    </row>
    <row r="331" spans="1:24">
      <c r="A331" s="2217">
        <f t="shared" si="29"/>
        <v>22.097499999999808</v>
      </c>
      <c r="B331" s="2217">
        <f t="shared" si="30"/>
        <v>4546.24</v>
      </c>
      <c r="C331" s="2217">
        <f t="shared" si="31"/>
        <v>44.529999999999745</v>
      </c>
      <c r="D331" s="2212">
        <v>12</v>
      </c>
      <c r="E331" s="2219"/>
      <c r="F331" s="2213"/>
      <c r="G331" s="2219"/>
      <c r="H331" s="2213"/>
      <c r="I331" s="2213"/>
      <c r="J331" s="2213"/>
      <c r="K331" s="2213"/>
      <c r="L331" s="263"/>
      <c r="M331" s="2217">
        <f t="shared" si="32"/>
        <v>9.9822999999998281</v>
      </c>
      <c r="N331" s="2217">
        <f t="shared" si="28"/>
        <v>3688.9760000000001</v>
      </c>
      <c r="O331" s="2217">
        <f t="shared" si="33"/>
        <v>32.741999999999734</v>
      </c>
      <c r="P331" s="2212">
        <v>12</v>
      </c>
      <c r="Q331" s="2219"/>
      <c r="R331" s="2213"/>
      <c r="S331" s="2219"/>
      <c r="T331" s="2213"/>
      <c r="U331" s="2213"/>
      <c r="V331" s="2213"/>
      <c r="W331" s="2213"/>
      <c r="X331" s="2213"/>
    </row>
    <row r="332" spans="1:24">
      <c r="A332" s="2217">
        <f t="shared" si="29"/>
        <v>22.232500000000027</v>
      </c>
      <c r="B332" s="2217">
        <f t="shared" si="30"/>
        <v>4501.71</v>
      </c>
      <c r="C332" s="2217">
        <f t="shared" si="31"/>
        <v>44.710000000000036</v>
      </c>
      <c r="D332" s="2212">
        <v>11</v>
      </c>
      <c r="E332" s="2219"/>
      <c r="F332" s="2213"/>
      <c r="G332" s="2219"/>
      <c r="H332" s="2213"/>
      <c r="I332" s="2213"/>
      <c r="J332" s="2213"/>
      <c r="K332" s="2213"/>
      <c r="L332" s="263"/>
      <c r="M332" s="2217">
        <f t="shared" si="32"/>
        <v>10.042100000000186</v>
      </c>
      <c r="N332" s="2217">
        <f t="shared" si="28"/>
        <v>3656.2340000000004</v>
      </c>
      <c r="O332" s="2217">
        <f t="shared" si="33"/>
        <v>32.834000000000287</v>
      </c>
      <c r="P332" s="2212">
        <v>11</v>
      </c>
      <c r="Q332" s="2219"/>
      <c r="R332" s="2213"/>
      <c r="S332" s="2219"/>
      <c r="T332" s="2213"/>
      <c r="U332" s="2213"/>
      <c r="V332" s="2213"/>
      <c r="W332" s="2213"/>
      <c r="X332" s="2213"/>
    </row>
    <row r="333" spans="1:24">
      <c r="A333" s="2217">
        <f t="shared" si="29"/>
        <v>22.367500000000245</v>
      </c>
      <c r="B333" s="2217">
        <f t="shared" si="30"/>
        <v>4457</v>
      </c>
      <c r="C333" s="2217">
        <f t="shared" si="31"/>
        <v>44.890000000000327</v>
      </c>
      <c r="D333" s="2212">
        <v>10</v>
      </c>
      <c r="E333" s="2219"/>
      <c r="F333" s="2213"/>
      <c r="G333" s="2219"/>
      <c r="H333" s="2213"/>
      <c r="I333" s="2213"/>
      <c r="J333" s="2213"/>
      <c r="K333" s="2213"/>
      <c r="L333" s="263"/>
      <c r="M333" s="2217">
        <f t="shared" si="32"/>
        <v>10.101900000000249</v>
      </c>
      <c r="N333" s="2217">
        <f t="shared" si="28"/>
        <v>3623.4</v>
      </c>
      <c r="O333" s="2217">
        <f t="shared" si="33"/>
        <v>32.926000000000386</v>
      </c>
      <c r="P333" s="2212">
        <v>10</v>
      </c>
      <c r="Q333" s="2219"/>
      <c r="R333" s="2213"/>
      <c r="S333" s="2219"/>
      <c r="T333" s="2213"/>
      <c r="U333" s="2213"/>
      <c r="V333" s="2213"/>
      <c r="W333" s="2213"/>
      <c r="X333" s="2213"/>
    </row>
    <row r="334" spans="1:24">
      <c r="A334" s="2217">
        <f t="shared" si="29"/>
        <v>22.502499999999781</v>
      </c>
      <c r="B334" s="2217">
        <f t="shared" si="30"/>
        <v>4412.1099999999997</v>
      </c>
      <c r="C334" s="2217">
        <f t="shared" si="31"/>
        <v>45.069999999999709</v>
      </c>
      <c r="D334" s="2212">
        <v>9</v>
      </c>
      <c r="E334" s="2219"/>
      <c r="F334" s="2213"/>
      <c r="G334" s="2219"/>
      <c r="H334" s="2213"/>
      <c r="I334" s="2213"/>
      <c r="J334" s="2213"/>
      <c r="K334" s="2213"/>
      <c r="L334" s="263"/>
      <c r="M334" s="2217">
        <f t="shared" si="32"/>
        <v>10.161699999999723</v>
      </c>
      <c r="N334" s="2217">
        <f t="shared" si="28"/>
        <v>3590.4739999999997</v>
      </c>
      <c r="O334" s="2217">
        <f t="shared" si="33"/>
        <v>33.017999999999574</v>
      </c>
      <c r="P334" s="2212">
        <v>9</v>
      </c>
      <c r="Q334" s="2219"/>
      <c r="R334" s="2213"/>
      <c r="S334" s="2219"/>
      <c r="T334" s="2213"/>
      <c r="U334" s="2213"/>
      <c r="V334" s="2213"/>
      <c r="W334" s="2213"/>
      <c r="X334" s="2213"/>
    </row>
    <row r="335" spans="1:24">
      <c r="A335" s="2217">
        <f t="shared" si="29"/>
        <v>22.637499999999999</v>
      </c>
      <c r="B335" s="2217">
        <f t="shared" si="30"/>
        <v>4367.04</v>
      </c>
      <c r="C335" s="2217">
        <f t="shared" si="31"/>
        <v>45.25</v>
      </c>
      <c r="D335" s="2212">
        <v>8</v>
      </c>
      <c r="E335" s="2219"/>
      <c r="F335" s="2213"/>
      <c r="G335" s="2219"/>
      <c r="H335" s="2213"/>
      <c r="I335" s="2213"/>
      <c r="J335" s="2213"/>
      <c r="K335" s="2213"/>
      <c r="L335" s="263"/>
      <c r="M335" s="2217">
        <f t="shared" si="32"/>
        <v>10.221500000000084</v>
      </c>
      <c r="N335" s="2217">
        <f t="shared" si="28"/>
        <v>3557.4560000000001</v>
      </c>
      <c r="O335" s="2217">
        <f t="shared" si="33"/>
        <v>33.110000000000127</v>
      </c>
      <c r="P335" s="2212">
        <v>8</v>
      </c>
      <c r="Q335" s="2219"/>
      <c r="R335" s="2213"/>
      <c r="S335" s="2219"/>
      <c r="T335" s="2213"/>
      <c r="U335" s="2213"/>
      <c r="V335" s="2213"/>
      <c r="W335" s="2213"/>
      <c r="X335" s="2213"/>
    </row>
    <row r="336" spans="1:24">
      <c r="A336" s="2217">
        <f t="shared" si="29"/>
        <v>22.772499999999535</v>
      </c>
      <c r="B336" s="2217">
        <f t="shared" si="30"/>
        <v>4321.79</v>
      </c>
      <c r="C336" s="2217">
        <f t="shared" si="31"/>
        <v>45.429999999999382</v>
      </c>
      <c r="D336" s="2212">
        <v>7</v>
      </c>
      <c r="E336" s="2219"/>
      <c r="F336" s="2213"/>
      <c r="G336" s="2219"/>
      <c r="H336" s="2213"/>
      <c r="I336" s="2213"/>
      <c r="J336" s="2213"/>
      <c r="K336" s="2213"/>
      <c r="L336" s="263"/>
      <c r="M336" s="2217">
        <f t="shared" si="32"/>
        <v>10.281299999999852</v>
      </c>
      <c r="N336" s="2217">
        <f t="shared" si="28"/>
        <v>3524.346</v>
      </c>
      <c r="O336" s="2217">
        <f t="shared" si="33"/>
        <v>33.201999999999771</v>
      </c>
      <c r="P336" s="2212">
        <v>7</v>
      </c>
      <c r="Q336" s="2219"/>
      <c r="R336" s="2213"/>
      <c r="S336" s="2219"/>
      <c r="T336" s="2213"/>
      <c r="U336" s="2213"/>
      <c r="V336" s="2213"/>
      <c r="W336" s="2213"/>
      <c r="X336" s="2213"/>
    </row>
    <row r="337" spans="1:24">
      <c r="A337" s="2217">
        <f t="shared" si="29"/>
        <v>22.907500000000436</v>
      </c>
      <c r="B337" s="2217">
        <f t="shared" si="30"/>
        <v>4276.3600000000006</v>
      </c>
      <c r="C337" s="2217">
        <f t="shared" si="31"/>
        <v>45.610000000000582</v>
      </c>
      <c r="D337" s="2212">
        <v>6</v>
      </c>
      <c r="E337" s="2219"/>
      <c r="F337" s="2213"/>
      <c r="G337" s="2219"/>
      <c r="H337" s="2213"/>
      <c r="I337" s="2213"/>
      <c r="J337" s="2213"/>
      <c r="K337" s="2213"/>
      <c r="L337" s="263"/>
      <c r="M337" s="2217">
        <f t="shared" si="32"/>
        <v>10.34110000000021</v>
      </c>
      <c r="N337" s="2217">
        <f t="shared" si="28"/>
        <v>3491.1440000000002</v>
      </c>
      <c r="O337" s="2217">
        <f t="shared" si="33"/>
        <v>33.294000000000324</v>
      </c>
      <c r="P337" s="2212">
        <v>6</v>
      </c>
      <c r="Q337" s="2219"/>
      <c r="R337" s="2213"/>
      <c r="S337" s="2219"/>
      <c r="T337" s="2213"/>
      <c r="U337" s="2213"/>
      <c r="V337" s="2213"/>
      <c r="W337" s="2213"/>
      <c r="X337" s="2213"/>
    </row>
    <row r="338" spans="1:24">
      <c r="A338" s="2217">
        <f t="shared" si="29"/>
        <v>23.042499999999972</v>
      </c>
      <c r="B338" s="2217">
        <f t="shared" si="30"/>
        <v>4230.75</v>
      </c>
      <c r="C338" s="2217">
        <f t="shared" si="31"/>
        <v>45.789999999999964</v>
      </c>
      <c r="D338" s="2212">
        <v>5</v>
      </c>
      <c r="E338" s="2219"/>
      <c r="F338" s="2213"/>
      <c r="G338" s="2219"/>
      <c r="H338" s="2213"/>
      <c r="I338" s="2213"/>
      <c r="J338" s="2213"/>
      <c r="K338" s="2213"/>
      <c r="L338" s="263"/>
      <c r="M338" s="2217">
        <f t="shared" si="32"/>
        <v>10.400899999999979</v>
      </c>
      <c r="N338" s="2217">
        <f t="shared" si="28"/>
        <v>3457.85</v>
      </c>
      <c r="O338" s="2217">
        <f t="shared" si="33"/>
        <v>33.385999999999967</v>
      </c>
      <c r="P338" s="2212">
        <v>5</v>
      </c>
      <c r="Q338" s="2219"/>
      <c r="R338" s="2213"/>
      <c r="S338" s="2219"/>
      <c r="T338" s="2213"/>
      <c r="U338" s="2213"/>
      <c r="V338" s="2213"/>
      <c r="W338" s="2213"/>
      <c r="X338" s="2213"/>
    </row>
    <row r="339" spans="1:24">
      <c r="A339" s="2217">
        <f t="shared" si="29"/>
        <v>23.17750000000019</v>
      </c>
      <c r="B339" s="2217">
        <f t="shared" si="30"/>
        <v>4184.96</v>
      </c>
      <c r="C339" s="2217">
        <f t="shared" si="31"/>
        <v>45.970000000000255</v>
      </c>
      <c r="D339" s="2212">
        <v>4</v>
      </c>
      <c r="E339" s="2219"/>
      <c r="F339" s="2213"/>
      <c r="G339" s="2219"/>
      <c r="H339" s="2213"/>
      <c r="I339" s="2213"/>
      <c r="J339" s="2213"/>
      <c r="K339" s="2213"/>
      <c r="L339" s="263"/>
      <c r="M339" s="2217">
        <f t="shared" si="32"/>
        <v>10.460700000000042</v>
      </c>
      <c r="N339" s="2217">
        <f t="shared" si="28"/>
        <v>3424.4639999999999</v>
      </c>
      <c r="O339" s="2217">
        <f t="shared" si="33"/>
        <v>33.478000000000065</v>
      </c>
      <c r="P339" s="2212">
        <v>4</v>
      </c>
      <c r="Q339" s="2219"/>
      <c r="R339" s="2213"/>
      <c r="S339" s="2219"/>
      <c r="T339" s="2213"/>
      <c r="U339" s="2213"/>
      <c r="V339" s="2213"/>
      <c r="W339" s="2213"/>
      <c r="X339" s="2213"/>
    </row>
    <row r="340" spans="1:24">
      <c r="A340" s="2217">
        <f t="shared" si="29"/>
        <v>23.312500000000068</v>
      </c>
      <c r="B340" s="2217">
        <f t="shared" si="30"/>
        <v>4138.99</v>
      </c>
      <c r="C340" s="2217">
        <f t="shared" si="31"/>
        <v>46.150000000000091</v>
      </c>
      <c r="D340" s="2212">
        <v>3</v>
      </c>
      <c r="E340" s="2219"/>
      <c r="F340" s="2213"/>
      <c r="G340" s="2219"/>
      <c r="H340" s="2213"/>
      <c r="I340" s="2213"/>
      <c r="J340" s="2213"/>
      <c r="K340" s="2213"/>
      <c r="L340" s="263"/>
      <c r="M340" s="2217">
        <f t="shared" si="32"/>
        <v>10.520500000000105</v>
      </c>
      <c r="N340" s="2217">
        <f t="shared" si="28"/>
        <v>3390.9859999999999</v>
      </c>
      <c r="O340" s="2217">
        <f t="shared" si="33"/>
        <v>33.570000000000164</v>
      </c>
      <c r="P340" s="2212">
        <v>3</v>
      </c>
      <c r="Q340" s="2219"/>
      <c r="R340" s="2213"/>
      <c r="S340" s="2219"/>
      <c r="T340" s="2213"/>
      <c r="U340" s="2213"/>
      <c r="V340" s="2213"/>
      <c r="W340" s="2213"/>
      <c r="X340" s="2213"/>
    </row>
    <row r="341" spans="1:24">
      <c r="A341" s="2217">
        <f t="shared" si="29"/>
        <v>23.447499999999945</v>
      </c>
      <c r="B341" s="2217">
        <f t="shared" si="30"/>
        <v>4092.8399999999997</v>
      </c>
      <c r="C341" s="2217">
        <f t="shared" si="31"/>
        <v>46.329999999999927</v>
      </c>
      <c r="D341" s="2212">
        <v>2</v>
      </c>
      <c r="E341" s="2219"/>
      <c r="F341" s="2213"/>
      <c r="G341" s="2219"/>
      <c r="H341" s="2213"/>
      <c r="I341" s="2213"/>
      <c r="J341" s="2213"/>
      <c r="K341" s="2213"/>
      <c r="L341" s="263"/>
      <c r="M341" s="2217">
        <f t="shared" si="32"/>
        <v>10.580299999999578</v>
      </c>
      <c r="N341" s="2217">
        <f t="shared" si="28"/>
        <v>3357.4159999999997</v>
      </c>
      <c r="O341" s="2217">
        <f t="shared" si="33"/>
        <v>33.661999999999352</v>
      </c>
      <c r="P341" s="2212">
        <v>2</v>
      </c>
      <c r="Q341" s="2219"/>
      <c r="R341" s="2213"/>
      <c r="S341" s="2219"/>
      <c r="T341" s="2213"/>
      <c r="U341" s="2213"/>
      <c r="V341" s="2213"/>
      <c r="W341" s="2213"/>
      <c r="X341" s="2213"/>
    </row>
    <row r="342" spans="1:24">
      <c r="A342" s="2217">
        <f t="shared" si="29"/>
        <v>23.582499999999822</v>
      </c>
      <c r="B342" s="2217">
        <f t="shared" si="30"/>
        <v>4046.5099999999998</v>
      </c>
      <c r="C342" s="2217">
        <f>B342-B343</f>
        <v>46.509999999999764</v>
      </c>
      <c r="D342" s="2212">
        <v>1</v>
      </c>
      <c r="E342" s="2219"/>
      <c r="F342" s="2213"/>
      <c r="G342" s="2219"/>
      <c r="H342" s="2213"/>
      <c r="I342" s="2213"/>
      <c r="J342" s="2213"/>
      <c r="K342" s="2213"/>
      <c r="L342" s="263"/>
      <c r="M342" s="2217">
        <f t="shared" si="32"/>
        <v>10.640100000000235</v>
      </c>
      <c r="N342" s="2217">
        <f t="shared" si="28"/>
        <v>3323.7540000000004</v>
      </c>
      <c r="O342" s="2217">
        <f>N342-N343</f>
        <v>33.75400000000036</v>
      </c>
      <c r="P342" s="2212">
        <v>1</v>
      </c>
      <c r="Q342" s="2219"/>
      <c r="R342" s="2213"/>
      <c r="S342" s="2219"/>
      <c r="T342" s="2213"/>
      <c r="U342" s="2213"/>
      <c r="V342" s="2213"/>
      <c r="W342" s="2213"/>
      <c r="X342" s="2213"/>
    </row>
    <row r="343" spans="1:24">
      <c r="A343" s="2217">
        <f t="shared" si="29"/>
        <v>26.95</v>
      </c>
      <c r="B343" s="2217">
        <f t="shared" si="30"/>
        <v>4000</v>
      </c>
      <c r="C343" s="2217">
        <v>51</v>
      </c>
      <c r="D343" s="2212">
        <v>0</v>
      </c>
      <c r="E343" s="2219"/>
      <c r="F343" s="2213"/>
      <c r="G343" s="2219"/>
      <c r="H343" s="2213"/>
      <c r="I343" s="2213"/>
      <c r="J343" s="2213"/>
      <c r="K343" s="2213"/>
      <c r="L343" s="263"/>
      <c r="M343" s="2217">
        <f t="shared" si="32"/>
        <v>21.849999999999998</v>
      </c>
      <c r="N343" s="2217">
        <f t="shared" si="28"/>
        <v>3290</v>
      </c>
      <c r="O343" s="2217">
        <v>51</v>
      </c>
      <c r="P343" s="2212">
        <v>0</v>
      </c>
      <c r="Q343" s="2219"/>
      <c r="R343" s="2213"/>
      <c r="S343" s="2219"/>
      <c r="T343" s="2213"/>
      <c r="U343" s="2213"/>
      <c r="V343" s="2213"/>
      <c r="W343" s="2213"/>
      <c r="X343" s="2213"/>
    </row>
  </sheetData>
  <protectedRanges>
    <protectedRange sqref="B14 B17 B30:B33 B38 F30:F32 N14 N17 N30:N33 N38 R30:R32" name="Område2_1"/>
  </protectedRanges>
  <pageMargins left="0.75" right="0.75" top="1" bottom="1" header="0.5" footer="0.5"/>
  <pageSetup paperSize="9" orientation="portrait" r:id="rId1"/>
  <headerFooter alignWithMargins="0"/>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6"/>
  <dimension ref="A1:F38"/>
  <sheetViews>
    <sheetView workbookViewId="0">
      <selection activeCell="I19" sqref="I19"/>
    </sheetView>
  </sheetViews>
  <sheetFormatPr defaultColWidth="9.140625" defaultRowHeight="12.75"/>
  <cols>
    <col min="1" max="1" width="20.42578125" style="1827" customWidth="1"/>
    <col min="2" max="3" width="9.140625" style="1827"/>
    <col min="4" max="4" width="10.140625" style="1827" customWidth="1"/>
    <col min="5" max="16384" width="9.140625" style="1827"/>
  </cols>
  <sheetData>
    <row r="1" spans="1:6">
      <c r="A1" s="1926" t="s">
        <v>1225</v>
      </c>
      <c r="B1" s="1843"/>
      <c r="C1" s="1843"/>
      <c r="D1" s="1843"/>
      <c r="E1" s="1843"/>
      <c r="F1" s="1843"/>
    </row>
    <row r="2" spans="1:6">
      <c r="A2" s="1843"/>
      <c r="B2" s="1843"/>
      <c r="C2" s="1843"/>
      <c r="D2" s="1843"/>
      <c r="E2" s="1843"/>
      <c r="F2" s="1843"/>
    </row>
    <row r="3" spans="1:6">
      <c r="A3" s="1927"/>
      <c r="B3" s="3039" t="s">
        <v>53</v>
      </c>
      <c r="C3" s="3040"/>
      <c r="D3" s="3040" t="s">
        <v>1226</v>
      </c>
      <c r="E3" s="3040"/>
      <c r="F3" s="1843"/>
    </row>
    <row r="4" spans="1:6">
      <c r="A4" s="1928" t="s">
        <v>154</v>
      </c>
      <c r="B4" s="1929" t="s">
        <v>727</v>
      </c>
      <c r="C4" s="1930" t="s">
        <v>1124</v>
      </c>
      <c r="D4" s="1931" t="s">
        <v>727</v>
      </c>
      <c r="E4" s="1931" t="s">
        <v>1124</v>
      </c>
      <c r="F4" s="1843"/>
    </row>
    <row r="5" spans="1:6">
      <c r="A5" s="1843" t="s">
        <v>1227</v>
      </c>
      <c r="B5" s="1843"/>
      <c r="C5" s="1843"/>
      <c r="D5" s="1843"/>
      <c r="E5" s="1843"/>
      <c r="F5" s="1843"/>
    </row>
    <row r="6" spans="1:6">
      <c r="A6" s="1932" t="s">
        <v>359</v>
      </c>
      <c r="B6" s="1930">
        <v>40</v>
      </c>
      <c r="C6" s="1930">
        <v>8</v>
      </c>
      <c r="D6" s="1931">
        <v>40</v>
      </c>
      <c r="E6" s="1931">
        <v>5</v>
      </c>
      <c r="F6" s="1843"/>
    </row>
    <row r="7" spans="1:6">
      <c r="A7" s="1933" t="s">
        <v>1228</v>
      </c>
      <c r="B7" s="1930">
        <v>35</v>
      </c>
      <c r="C7" s="1930">
        <v>10</v>
      </c>
      <c r="D7" s="1931">
        <v>25</v>
      </c>
      <c r="E7" s="1931">
        <v>5</v>
      </c>
      <c r="F7" s="1843"/>
    </row>
    <row r="8" spans="1:6">
      <c r="A8" s="1933" t="s">
        <v>1229</v>
      </c>
      <c r="B8" s="1930">
        <v>15</v>
      </c>
      <c r="C8" s="1930">
        <v>4</v>
      </c>
      <c r="D8" s="1931">
        <v>15</v>
      </c>
      <c r="E8" s="1931">
        <v>2</v>
      </c>
      <c r="F8" s="1843"/>
    </row>
    <row r="9" spans="1:6">
      <c r="A9" s="1933" t="s">
        <v>169</v>
      </c>
      <c r="B9" s="1930">
        <v>0</v>
      </c>
      <c r="C9" s="1930">
        <v>7</v>
      </c>
      <c r="D9" s="1931">
        <v>0</v>
      </c>
      <c r="E9" s="1931">
        <v>0</v>
      </c>
      <c r="F9" s="1843"/>
    </row>
    <row r="10" spans="1:6">
      <c r="A10" s="1933" t="s">
        <v>353</v>
      </c>
      <c r="B10" s="1930">
        <v>40</v>
      </c>
      <c r="C10" s="1930">
        <v>12</v>
      </c>
      <c r="D10" s="1931">
        <v>20</v>
      </c>
      <c r="E10" s="1931">
        <v>8</v>
      </c>
      <c r="F10" s="1843"/>
    </row>
    <row r="11" spans="1:6">
      <c r="A11" s="1934" t="s">
        <v>1090</v>
      </c>
      <c r="B11" s="1935">
        <v>0</v>
      </c>
      <c r="C11" s="1935">
        <v>0</v>
      </c>
      <c r="D11" s="1936">
        <v>0</v>
      </c>
      <c r="E11" s="1936">
        <v>0</v>
      </c>
      <c r="F11" s="1843"/>
    </row>
    <row r="12" spans="1:6">
      <c r="A12" s="1933" t="s">
        <v>337</v>
      </c>
      <c r="B12" s="1930">
        <v>10</v>
      </c>
      <c r="C12" s="1930">
        <v>8</v>
      </c>
      <c r="D12" s="1931">
        <v>10</v>
      </c>
      <c r="E12" s="1931">
        <v>8</v>
      </c>
      <c r="F12" s="1843"/>
    </row>
    <row r="13" spans="1:6">
      <c r="A13" s="1933" t="s">
        <v>171</v>
      </c>
      <c r="B13" s="1930">
        <v>25</v>
      </c>
      <c r="C13" s="1930">
        <v>5</v>
      </c>
      <c r="D13" s="1931">
        <v>20</v>
      </c>
      <c r="E13" s="1931">
        <v>8</v>
      </c>
      <c r="F13" s="1843"/>
    </row>
    <row r="14" spans="1:6">
      <c r="A14" s="1934" t="s">
        <v>25</v>
      </c>
      <c r="B14" s="1936">
        <v>20</v>
      </c>
      <c r="C14" s="1936">
        <v>7</v>
      </c>
      <c r="D14" s="1936">
        <v>10</v>
      </c>
      <c r="E14" s="1936">
        <v>5</v>
      </c>
      <c r="F14" s="1843"/>
    </row>
    <row r="15" spans="1:6">
      <c r="A15" s="1933" t="s">
        <v>1230</v>
      </c>
      <c r="B15" s="1930">
        <v>20</v>
      </c>
      <c r="C15" s="1930">
        <v>8</v>
      </c>
      <c r="D15" s="1931">
        <v>20</v>
      </c>
      <c r="E15" s="1931">
        <v>5</v>
      </c>
      <c r="F15" s="1843"/>
    </row>
    <row r="16" spans="1:6">
      <c r="A16" s="1933" t="s">
        <v>1029</v>
      </c>
      <c r="B16" s="1930">
        <v>25</v>
      </c>
      <c r="C16" s="1930">
        <v>7</v>
      </c>
      <c r="D16" s="1931">
        <v>25</v>
      </c>
      <c r="E16" s="1931">
        <v>7</v>
      </c>
      <c r="F16" s="1843"/>
    </row>
    <row r="17" spans="1:6">
      <c r="A17" s="1843"/>
      <c r="B17" s="1843"/>
      <c r="C17" s="1843"/>
      <c r="D17" s="1843"/>
      <c r="E17" s="1843"/>
      <c r="F17" s="1843"/>
    </row>
    <row r="18" spans="1:6">
      <c r="A18" s="1930" t="s">
        <v>1231</v>
      </c>
      <c r="B18" s="1843"/>
      <c r="C18" s="1843"/>
      <c r="D18" s="1843"/>
      <c r="E18" s="1843"/>
      <c r="F18" s="1843"/>
    </row>
    <row r="19" spans="1:6">
      <c r="A19" s="1932" t="s">
        <v>1090</v>
      </c>
      <c r="B19" s="1843"/>
      <c r="C19" s="1843"/>
      <c r="D19" s="1843"/>
      <c r="E19" s="1843"/>
      <c r="F19" s="1843"/>
    </row>
    <row r="20" spans="1:6">
      <c r="A20" s="1933" t="s">
        <v>169</v>
      </c>
      <c r="B20" s="1843"/>
      <c r="C20" s="1843"/>
      <c r="D20" s="1843"/>
      <c r="E20" s="1843"/>
      <c r="F20" s="1843"/>
    </row>
    <row r="21" spans="1:6">
      <c r="A21" s="1933" t="s">
        <v>1229</v>
      </c>
      <c r="B21" s="1843"/>
      <c r="C21" s="1843"/>
      <c r="D21" s="1843"/>
      <c r="E21" s="1843"/>
      <c r="F21" s="1843"/>
    </row>
    <row r="22" spans="1:6">
      <c r="A22" s="1933" t="s">
        <v>359</v>
      </c>
      <c r="B22" s="1843"/>
      <c r="C22" s="1843"/>
      <c r="D22" s="1843"/>
      <c r="E22" s="1843"/>
      <c r="F22" s="1843"/>
    </row>
    <row r="23" spans="1:6">
      <c r="A23" s="1933" t="s">
        <v>1228</v>
      </c>
      <c r="B23" s="1843"/>
      <c r="C23" s="1843"/>
      <c r="D23" s="1843"/>
      <c r="E23" s="1843"/>
      <c r="F23" s="1843"/>
    </row>
    <row r="24" spans="1:6">
      <c r="A24" s="1934" t="s">
        <v>1029</v>
      </c>
      <c r="B24" s="1843"/>
      <c r="C24" s="1843"/>
      <c r="D24" s="1843"/>
      <c r="E24" s="1843"/>
      <c r="F24" s="1843"/>
    </row>
    <row r="25" spans="1:6">
      <c r="A25" s="1933" t="s">
        <v>353</v>
      </c>
      <c r="B25" s="1843"/>
      <c r="C25" s="1843"/>
      <c r="D25" s="1843"/>
      <c r="E25" s="1843"/>
      <c r="F25" s="1843"/>
    </row>
    <row r="26" spans="1:6">
      <c r="A26" s="1933" t="s">
        <v>1230</v>
      </c>
      <c r="B26" s="1843"/>
      <c r="C26" s="1843"/>
      <c r="D26" s="1843"/>
      <c r="E26" s="1843"/>
      <c r="F26" s="1843"/>
    </row>
    <row r="27" spans="1:6">
      <c r="A27" s="1934" t="s">
        <v>171</v>
      </c>
      <c r="B27" s="1843"/>
      <c r="C27" s="1843"/>
      <c r="D27" s="1843"/>
      <c r="E27" s="1843"/>
      <c r="F27" s="1843"/>
    </row>
    <row r="28" spans="1:6">
      <c r="A28" s="1933" t="s">
        <v>337</v>
      </c>
      <c r="B28" s="1843"/>
      <c r="C28" s="1843"/>
      <c r="D28" s="1843"/>
      <c r="E28" s="1843"/>
      <c r="F28" s="1843"/>
    </row>
    <row r="29" spans="1:6">
      <c r="A29" s="1933" t="s">
        <v>25</v>
      </c>
      <c r="B29" s="1843"/>
      <c r="C29" s="1843"/>
      <c r="D29" s="1843"/>
      <c r="E29" s="1843"/>
      <c r="F29" s="1843"/>
    </row>
    <row r="30" spans="1:6">
      <c r="A30" s="1843"/>
      <c r="B30" s="1843"/>
      <c r="C30" s="1843"/>
      <c r="D30" s="1843"/>
      <c r="E30" s="1843"/>
      <c r="F30" s="1843"/>
    </row>
    <row r="31" spans="1:6">
      <c r="A31" s="1930" t="s">
        <v>1232</v>
      </c>
      <c r="B31" s="1843"/>
      <c r="C31" s="1843"/>
      <c r="D31" s="1843"/>
      <c r="E31" s="1843"/>
      <c r="F31" s="1843"/>
    </row>
    <row r="32" spans="1:6">
      <c r="A32" s="1932" t="s">
        <v>1090</v>
      </c>
      <c r="B32" s="1843"/>
      <c r="C32" s="1843"/>
      <c r="D32" s="1843"/>
      <c r="E32" s="1843"/>
      <c r="F32" s="1843"/>
    </row>
    <row r="33" spans="1:6">
      <c r="A33" s="1933" t="s">
        <v>169</v>
      </c>
      <c r="B33" s="1843"/>
      <c r="C33" s="1843"/>
      <c r="D33" s="1843"/>
      <c r="E33" s="1843"/>
      <c r="F33" s="1843"/>
    </row>
    <row r="34" spans="1:6">
      <c r="A34" s="1933" t="s">
        <v>1229</v>
      </c>
      <c r="B34" s="1843"/>
      <c r="C34" s="1843"/>
      <c r="D34" s="1843"/>
      <c r="E34" s="1843"/>
      <c r="F34" s="1843"/>
    </row>
    <row r="35" spans="1:6">
      <c r="A35" s="1933" t="s">
        <v>359</v>
      </c>
      <c r="B35" s="1843"/>
      <c r="C35" s="1843"/>
      <c r="D35" s="1843"/>
      <c r="E35" s="1843"/>
      <c r="F35" s="1843"/>
    </row>
    <row r="36" spans="1:6">
      <c r="A36" s="1933" t="s">
        <v>1228</v>
      </c>
      <c r="B36" s="1843"/>
      <c r="C36" s="1843"/>
      <c r="D36" s="1843"/>
      <c r="E36" s="1843"/>
      <c r="F36" s="1843"/>
    </row>
    <row r="37" spans="1:6">
      <c r="A37" s="1933" t="s">
        <v>25</v>
      </c>
      <c r="B37" s="1843"/>
      <c r="C37" s="1843"/>
      <c r="D37" s="1843"/>
      <c r="E37" s="1843"/>
      <c r="F37" s="1843"/>
    </row>
    <row r="38" spans="1:6">
      <c r="A38" s="1843"/>
      <c r="B38" s="1843"/>
      <c r="C38" s="1843"/>
      <c r="D38" s="1843"/>
      <c r="E38" s="1843"/>
      <c r="F38" s="1843"/>
    </row>
  </sheetData>
  <mergeCells count="2">
    <mergeCell ref="B3:C3"/>
    <mergeCell ref="D3:E3"/>
  </mergeCells>
  <pageMargins left="0.75" right="0.75" top="1" bottom="1" header="0.5" footer="0.5"/>
  <pageSetup paperSize="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7"/>
  <dimension ref="A1:F16"/>
  <sheetViews>
    <sheetView workbookViewId="0">
      <selection activeCell="I19" sqref="I19"/>
    </sheetView>
  </sheetViews>
  <sheetFormatPr defaultColWidth="9.140625" defaultRowHeight="12.75"/>
  <cols>
    <col min="1" max="1" width="9.140625" style="1827"/>
    <col min="2" max="2" width="11.140625" style="1942" customWidth="1"/>
    <col min="3" max="3" width="9.140625" style="1827"/>
    <col min="4" max="4" width="9.140625" style="1857" customWidth="1"/>
    <col min="5" max="5" width="5.85546875" style="1857" customWidth="1"/>
    <col min="6" max="6" width="9.140625" style="1857" customWidth="1"/>
    <col min="7" max="16384" width="9.140625" style="1827"/>
  </cols>
  <sheetData>
    <row r="1" spans="1:4">
      <c r="A1" s="1843"/>
      <c r="B1" s="1937"/>
      <c r="C1" s="1843"/>
      <c r="D1" s="1938"/>
    </row>
    <row r="2" spans="1:4" ht="15.75">
      <c r="A2" s="1939" t="s">
        <v>1233</v>
      </c>
      <c r="B2" s="1937"/>
      <c r="C2" s="1843"/>
      <c r="D2" s="1938"/>
    </row>
    <row r="3" spans="1:4">
      <c r="A3" s="1843"/>
      <c r="B3" s="1937"/>
      <c r="C3" s="1843"/>
      <c r="D3" s="1938"/>
    </row>
    <row r="4" spans="1:4">
      <c r="A4" s="1940" t="s">
        <v>1082</v>
      </c>
      <c r="B4" s="1839" t="s">
        <v>1234</v>
      </c>
      <c r="C4" s="1839" t="s">
        <v>1235</v>
      </c>
      <c r="D4" s="1938"/>
    </row>
    <row r="5" spans="1:4">
      <c r="A5" s="1940"/>
      <c r="B5" s="1839"/>
      <c r="C5" s="1839"/>
      <c r="D5" s="1938"/>
    </row>
    <row r="6" spans="1:4">
      <c r="A6" s="1941">
        <v>0.2</v>
      </c>
      <c r="B6" s="1839">
        <v>4</v>
      </c>
      <c r="C6" s="1839">
        <v>3</v>
      </c>
      <c r="D6" s="1938"/>
    </row>
    <row r="7" spans="1:4">
      <c r="A7" s="1941"/>
      <c r="B7" s="1839"/>
      <c r="C7" s="1839"/>
      <c r="D7" s="1938"/>
    </row>
    <row r="8" spans="1:4">
      <c r="A8" s="1941">
        <v>0.4</v>
      </c>
      <c r="B8" s="1839">
        <v>8</v>
      </c>
      <c r="C8" s="1839">
        <v>6</v>
      </c>
      <c r="D8" s="1938"/>
    </row>
    <row r="9" spans="1:4">
      <c r="A9" s="1941"/>
      <c r="B9" s="1839"/>
      <c r="C9" s="1839"/>
      <c r="D9" s="1938"/>
    </row>
    <row r="10" spans="1:4">
      <c r="A10" s="1941">
        <v>0.6</v>
      </c>
      <c r="B10" s="1839">
        <v>12</v>
      </c>
      <c r="C10" s="1839">
        <v>9</v>
      </c>
      <c r="D10" s="1938"/>
    </row>
    <row r="11" spans="1:4">
      <c r="A11" s="1941"/>
      <c r="B11" s="1839"/>
      <c r="C11" s="1839"/>
      <c r="D11" s="1938"/>
    </row>
    <row r="12" spans="1:4">
      <c r="A12" s="1941">
        <v>0.8</v>
      </c>
      <c r="B12" s="1839">
        <v>16</v>
      </c>
      <c r="C12" s="1839">
        <v>12</v>
      </c>
      <c r="D12" s="1938"/>
    </row>
    <row r="13" spans="1:4">
      <c r="A13" s="1941"/>
      <c r="B13" s="1839"/>
      <c r="C13" s="1839"/>
      <c r="D13" s="1938"/>
    </row>
    <row r="14" spans="1:4">
      <c r="A14" s="1941">
        <v>1</v>
      </c>
      <c r="B14" s="1839">
        <v>20</v>
      </c>
      <c r="C14" s="1839">
        <v>15</v>
      </c>
      <c r="D14" s="1938"/>
    </row>
    <row r="15" spans="1:4">
      <c r="A15" s="1843"/>
      <c r="B15" s="1937"/>
      <c r="C15" s="1843"/>
      <c r="D15" s="1938"/>
    </row>
    <row r="16" spans="1:4">
      <c r="A16" s="1843"/>
      <c r="B16" s="1937"/>
      <c r="C16" s="1843"/>
      <c r="D16" s="1938"/>
    </row>
  </sheetData>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8"/>
  <dimension ref="A1:E27"/>
  <sheetViews>
    <sheetView workbookViewId="0">
      <selection activeCell="I13" sqref="I13"/>
    </sheetView>
  </sheetViews>
  <sheetFormatPr defaultColWidth="9.140625" defaultRowHeight="12.75"/>
  <cols>
    <col min="1" max="1" width="23.42578125" style="1827" bestFit="1" customWidth="1"/>
    <col min="2" max="2" width="9.140625" style="1827"/>
    <col min="3" max="3" width="18.28515625" style="1827" bestFit="1" customWidth="1"/>
    <col min="4" max="16384" width="9.140625" style="1827"/>
  </cols>
  <sheetData>
    <row r="1" spans="1:5">
      <c r="A1" s="1909" t="s">
        <v>1236</v>
      </c>
      <c r="B1" s="1843"/>
      <c r="C1" s="1910" t="s">
        <v>1237</v>
      </c>
      <c r="D1" s="1839" t="s">
        <v>1124</v>
      </c>
      <c r="E1" s="1843"/>
    </row>
    <row r="2" spans="1:5">
      <c r="A2" s="1839" t="s">
        <v>1238</v>
      </c>
      <c r="B2" s="1843"/>
      <c r="C2" s="1943" t="s">
        <v>1089</v>
      </c>
      <c r="D2" s="1842">
        <v>39</v>
      </c>
      <c r="E2" s="1843"/>
    </row>
    <row r="3" spans="1:5">
      <c r="A3" s="1839" t="s">
        <v>1053</v>
      </c>
      <c r="B3" s="1843"/>
      <c r="C3" s="1943"/>
      <c r="D3" s="1842"/>
      <c r="E3" s="1843"/>
    </row>
    <row r="4" spans="1:5">
      <c r="A4" s="1843"/>
      <c r="B4" s="1843"/>
      <c r="C4" s="1943" t="s">
        <v>1091</v>
      </c>
      <c r="D4" s="1842">
        <v>39</v>
      </c>
      <c r="E4" s="1843"/>
    </row>
    <row r="5" spans="1:5">
      <c r="A5" s="1909" t="s">
        <v>1239</v>
      </c>
      <c r="B5" s="1843"/>
      <c r="C5" s="1943" t="s">
        <v>1092</v>
      </c>
      <c r="D5" s="1842">
        <v>39</v>
      </c>
      <c r="E5" s="1843"/>
    </row>
    <row r="6" spans="1:5">
      <c r="A6" s="1839">
        <v>2</v>
      </c>
      <c r="B6" s="1843"/>
      <c r="C6" s="1943" t="s">
        <v>1093</v>
      </c>
      <c r="D6" s="1842">
        <v>39</v>
      </c>
      <c r="E6" s="1843"/>
    </row>
    <row r="7" spans="1:5">
      <c r="A7" s="1839">
        <v>3</v>
      </c>
      <c r="B7" s="1843"/>
      <c r="C7" s="1943" t="s">
        <v>1094</v>
      </c>
      <c r="D7" s="1842">
        <v>29</v>
      </c>
      <c r="E7" s="1843"/>
    </row>
    <row r="8" spans="1:5">
      <c r="A8" s="1839">
        <v>4</v>
      </c>
      <c r="B8" s="1843"/>
      <c r="C8" s="1943" t="s">
        <v>1095</v>
      </c>
      <c r="D8" s="1842">
        <v>29</v>
      </c>
      <c r="E8" s="1843"/>
    </row>
    <row r="9" spans="1:5">
      <c r="A9" s="1843"/>
      <c r="B9" s="1843"/>
      <c r="C9" s="1943" t="s">
        <v>1096</v>
      </c>
      <c r="D9" s="1842">
        <v>29</v>
      </c>
      <c r="E9" s="1843"/>
    </row>
    <row r="10" spans="1:5">
      <c r="A10" s="1909" t="s">
        <v>1209</v>
      </c>
      <c r="B10" s="1843"/>
      <c r="C10" s="1943" t="s">
        <v>1097</v>
      </c>
      <c r="D10" s="1842">
        <v>39</v>
      </c>
      <c r="E10" s="1843"/>
    </row>
    <row r="11" spans="1:5">
      <c r="A11" s="1839">
        <v>20</v>
      </c>
      <c r="B11" s="1843"/>
      <c r="C11" s="1943" t="s">
        <v>1098</v>
      </c>
      <c r="D11" s="1842">
        <v>29</v>
      </c>
      <c r="E11" s="1843"/>
    </row>
    <row r="12" spans="1:5">
      <c r="A12" s="1839">
        <v>40</v>
      </c>
      <c r="B12" s="1843"/>
      <c r="C12" s="1943" t="s">
        <v>1099</v>
      </c>
      <c r="D12" s="1842">
        <v>19</v>
      </c>
      <c r="E12" s="1843"/>
    </row>
    <row r="13" spans="1:5">
      <c r="A13" s="1843"/>
      <c r="B13" s="1843"/>
      <c r="C13" s="1943" t="s">
        <v>1100</v>
      </c>
      <c r="D13" s="1842">
        <v>14</v>
      </c>
      <c r="E13" s="1843"/>
    </row>
    <row r="14" spans="1:5">
      <c r="A14" s="1909" t="s">
        <v>1240</v>
      </c>
      <c r="B14" s="1843"/>
      <c r="C14" s="1843"/>
      <c r="D14" s="1938" t="s">
        <v>320</v>
      </c>
      <c r="E14" s="1843"/>
    </row>
    <row r="15" spans="1:5">
      <c r="A15" s="1931"/>
      <c r="B15" s="1843"/>
      <c r="C15" s="1931" t="s">
        <v>171</v>
      </c>
      <c r="D15" s="1842">
        <v>34</v>
      </c>
      <c r="E15" s="1843"/>
    </row>
    <row r="16" spans="1:5">
      <c r="A16" s="1839">
        <v>6</v>
      </c>
      <c r="B16" s="1843"/>
      <c r="C16" s="1931" t="s">
        <v>1241</v>
      </c>
      <c r="D16" s="1944">
        <v>9</v>
      </c>
      <c r="E16" s="1843"/>
    </row>
    <row r="17" spans="1:5">
      <c r="A17" s="1839">
        <v>7</v>
      </c>
      <c r="B17" s="1843"/>
      <c r="C17" s="1931" t="s">
        <v>203</v>
      </c>
      <c r="D17" s="1842">
        <v>24</v>
      </c>
      <c r="E17" s="1843"/>
    </row>
    <row r="18" spans="1:5">
      <c r="A18" s="1839">
        <v>8</v>
      </c>
      <c r="B18" s="1843"/>
      <c r="C18" s="1931" t="s">
        <v>1242</v>
      </c>
      <c r="D18" s="1944">
        <v>39</v>
      </c>
      <c r="E18" s="1843"/>
    </row>
    <row r="19" spans="1:5">
      <c r="A19" s="1839">
        <v>9</v>
      </c>
      <c r="B19" s="1843"/>
      <c r="C19" s="1843"/>
      <c r="D19" s="1843" t="s">
        <v>974</v>
      </c>
      <c r="E19" s="1843"/>
    </row>
    <row r="20" spans="1:5">
      <c r="A20" s="1839">
        <v>10</v>
      </c>
      <c r="B20" s="1843"/>
      <c r="C20" s="1931" t="s">
        <v>1110</v>
      </c>
      <c r="D20" s="1842">
        <v>5.5</v>
      </c>
      <c r="E20" s="1843"/>
    </row>
    <row r="21" spans="1:5">
      <c r="A21" s="1839">
        <v>11</v>
      </c>
      <c r="B21" s="1843"/>
      <c r="C21" s="1931" t="s">
        <v>1111</v>
      </c>
      <c r="D21" s="1842">
        <v>5.5</v>
      </c>
      <c r="E21" s="1843"/>
    </row>
    <row r="22" spans="1:5">
      <c r="A22" s="1843"/>
      <c r="B22" s="1843"/>
      <c r="C22" s="1931" t="s">
        <v>1200</v>
      </c>
      <c r="D22" s="1842">
        <v>5.5</v>
      </c>
      <c r="E22" s="1843"/>
    </row>
    <row r="23" spans="1:5">
      <c r="A23" s="1909" t="s">
        <v>1243</v>
      </c>
      <c r="B23" s="1843"/>
      <c r="C23" s="1843"/>
      <c r="D23" s="1945"/>
      <c r="E23" s="1843"/>
    </row>
    <row r="24" spans="1:5">
      <c r="A24" s="1839" t="s">
        <v>1244</v>
      </c>
      <c r="B24" s="1843"/>
      <c r="C24" s="1843"/>
      <c r="D24" s="1921"/>
      <c r="E24" s="1843"/>
    </row>
    <row r="25" spans="1:5">
      <c r="A25" s="1839" t="s">
        <v>1245</v>
      </c>
      <c r="B25" s="1843"/>
      <c r="C25" s="1843"/>
      <c r="D25" s="1843"/>
      <c r="E25" s="1843"/>
    </row>
    <row r="26" spans="1:5">
      <c r="A26" s="1843"/>
      <c r="B26" s="1843"/>
      <c r="C26" s="1843"/>
      <c r="D26" s="1843"/>
      <c r="E26" s="1843"/>
    </row>
    <row r="27" spans="1:5">
      <c r="A27" s="1843"/>
      <c r="B27" s="1843"/>
      <c r="C27" s="1843"/>
      <c r="D27" s="1843"/>
      <c r="E27" s="1843"/>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9"/>
  <dimension ref="B2:C26"/>
  <sheetViews>
    <sheetView workbookViewId="0">
      <selection activeCell="U50" sqref="U50"/>
    </sheetView>
  </sheetViews>
  <sheetFormatPr defaultColWidth="9.140625" defaultRowHeight="12.75"/>
  <cols>
    <col min="1" max="16384" width="9.140625" style="1827"/>
  </cols>
  <sheetData>
    <row r="2" spans="2:3">
      <c r="B2" s="1827" t="s">
        <v>1246</v>
      </c>
    </row>
    <row r="3" spans="2:3">
      <c r="B3" s="1827" t="s">
        <v>1247</v>
      </c>
      <c r="C3" s="1827" t="s">
        <v>149</v>
      </c>
    </row>
    <row r="4" spans="2:3">
      <c r="B4" s="1827">
        <v>0</v>
      </c>
      <c r="C4" s="1827">
        <v>1</v>
      </c>
    </row>
    <row r="5" spans="2:3">
      <c r="B5" s="1827">
        <v>20</v>
      </c>
      <c r="C5" s="1827">
        <v>0.7</v>
      </c>
    </row>
    <row r="6" spans="2:3">
      <c r="B6" s="1827">
        <v>40</v>
      </c>
      <c r="C6" s="1827">
        <v>0.3</v>
      </c>
    </row>
    <row r="22" spans="2:3">
      <c r="B22" s="1827" t="s">
        <v>1248</v>
      </c>
    </row>
    <row r="23" spans="2:3">
      <c r="B23" s="1827" t="s">
        <v>1247</v>
      </c>
      <c r="C23" s="1827" t="s">
        <v>149</v>
      </c>
    </row>
    <row r="24" spans="2:3">
      <c r="B24" s="1827">
        <v>0</v>
      </c>
      <c r="C24" s="1827">
        <v>1</v>
      </c>
    </row>
    <row r="25" spans="2:3">
      <c r="B25" s="1827">
        <v>20</v>
      </c>
      <c r="C25" s="1827">
        <v>0.75</v>
      </c>
    </row>
    <row r="26" spans="2:3">
      <c r="B26" s="1827">
        <v>40</v>
      </c>
      <c r="C26" s="1827">
        <v>0.45</v>
      </c>
    </row>
  </sheetData>
  <pageMargins left="0.75" right="0.75" top="1" bottom="1" header="0.5" footer="0.5"/>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0"/>
  <dimension ref="A2:B37"/>
  <sheetViews>
    <sheetView topLeftCell="A21" workbookViewId="0">
      <selection activeCell="B25" sqref="B25"/>
    </sheetView>
  </sheetViews>
  <sheetFormatPr defaultRowHeight="12.75"/>
  <cols>
    <col min="1" max="1" width="9.140625" style="104"/>
    <col min="2" max="2" width="173.140625" customWidth="1"/>
  </cols>
  <sheetData>
    <row r="2" spans="1:2">
      <c r="A2" s="104" t="s">
        <v>1311</v>
      </c>
    </row>
    <row r="3" spans="1:2">
      <c r="A3" s="104">
        <v>10</v>
      </c>
      <c r="B3" t="s">
        <v>1310</v>
      </c>
    </row>
    <row r="4" spans="1:2">
      <c r="A4" s="104">
        <v>11</v>
      </c>
      <c r="B4" t="s">
        <v>1309</v>
      </c>
    </row>
    <row r="5" spans="1:2">
      <c r="A5" s="104">
        <v>12</v>
      </c>
      <c r="B5" t="s">
        <v>1312</v>
      </c>
    </row>
    <row r="6" spans="1:2">
      <c r="A6" s="104">
        <v>13</v>
      </c>
      <c r="B6" t="s">
        <v>1321</v>
      </c>
    </row>
    <row r="7" spans="1:2">
      <c r="A7" s="104">
        <v>14</v>
      </c>
      <c r="B7" t="s">
        <v>1328</v>
      </c>
    </row>
    <row r="8" spans="1:2">
      <c r="A8" s="104">
        <v>15</v>
      </c>
      <c r="B8" t="s">
        <v>1330</v>
      </c>
    </row>
    <row r="9" spans="1:2">
      <c r="A9" s="104">
        <v>16</v>
      </c>
      <c r="B9" t="s">
        <v>1331</v>
      </c>
    </row>
    <row r="10" spans="1:2">
      <c r="A10" s="104">
        <v>17</v>
      </c>
      <c r="B10" t="s">
        <v>1332</v>
      </c>
    </row>
    <row r="11" spans="1:2">
      <c r="A11" s="104">
        <v>18</v>
      </c>
      <c r="B11" t="s">
        <v>1544</v>
      </c>
    </row>
    <row r="12" spans="1:2">
      <c r="A12" s="104">
        <v>19</v>
      </c>
      <c r="B12" t="s">
        <v>1545</v>
      </c>
    </row>
    <row r="13" spans="1:2">
      <c r="A13" s="104">
        <v>20</v>
      </c>
      <c r="B13" t="s">
        <v>1546</v>
      </c>
    </row>
    <row r="14" spans="1:2">
      <c r="A14" s="104">
        <v>21</v>
      </c>
      <c r="B14" t="s">
        <v>1549</v>
      </c>
    </row>
    <row r="15" spans="1:2">
      <c r="A15" s="104">
        <v>22</v>
      </c>
    </row>
    <row r="16" spans="1:2">
      <c r="A16" s="104">
        <v>23</v>
      </c>
    </row>
    <row r="17" spans="1:2">
      <c r="A17" s="104">
        <v>24</v>
      </c>
    </row>
    <row r="18" spans="1:2">
      <c r="A18" s="104">
        <v>25</v>
      </c>
      <c r="B18" t="s">
        <v>1662</v>
      </c>
    </row>
    <row r="19" spans="1:2">
      <c r="A19" s="104">
        <v>26</v>
      </c>
    </row>
    <row r="20" spans="1:2">
      <c r="A20" s="104">
        <v>28</v>
      </c>
    </row>
    <row r="21" spans="1:2">
      <c r="A21" s="104">
        <v>29</v>
      </c>
      <c r="B21" t="s">
        <v>1661</v>
      </c>
    </row>
    <row r="22" spans="1:2">
      <c r="A22" s="104">
        <v>30</v>
      </c>
    </row>
    <row r="23" spans="1:2">
      <c r="A23" s="104">
        <v>31</v>
      </c>
    </row>
    <row r="24" spans="1:2">
      <c r="A24" s="104">
        <v>32</v>
      </c>
    </row>
    <row r="25" spans="1:2">
      <c r="A25" s="104">
        <v>33</v>
      </c>
      <c r="B25" t="s">
        <v>1696</v>
      </c>
    </row>
    <row r="26" spans="1:2">
      <c r="A26" s="104">
        <v>34</v>
      </c>
    </row>
    <row r="27" spans="1:2">
      <c r="A27" s="104">
        <v>35</v>
      </c>
      <c r="B27" t="s">
        <v>1695</v>
      </c>
    </row>
    <row r="28" spans="1:2">
      <c r="A28" s="104">
        <v>36</v>
      </c>
      <c r="B28" t="s">
        <v>1724</v>
      </c>
    </row>
    <row r="29" spans="1:2">
      <c r="A29" s="104">
        <v>37</v>
      </c>
      <c r="B29" t="s">
        <v>1725</v>
      </c>
    </row>
    <row r="30" spans="1:2">
      <c r="A30" s="104" t="s">
        <v>1743</v>
      </c>
    </row>
    <row r="31" spans="1:2">
      <c r="A31" s="104" t="s">
        <v>1746</v>
      </c>
      <c r="B31" t="s">
        <v>1745</v>
      </c>
    </row>
    <row r="32" spans="1:2">
      <c r="A32" s="104" t="s">
        <v>1747</v>
      </c>
      <c r="B32" t="s">
        <v>1772</v>
      </c>
    </row>
    <row r="33" spans="1:2">
      <c r="A33" s="104" t="s">
        <v>1773</v>
      </c>
      <c r="B33" t="s">
        <v>1774</v>
      </c>
    </row>
    <row r="34" spans="1:2">
      <c r="A34" s="104" t="s">
        <v>1775</v>
      </c>
      <c r="B34" t="s">
        <v>1778</v>
      </c>
    </row>
    <row r="35" spans="1:2">
      <c r="A35" s="104" t="s">
        <v>1776</v>
      </c>
      <c r="B35" t="s">
        <v>1777</v>
      </c>
    </row>
    <row r="36" spans="1:2">
      <c r="A36" s="104">
        <v>3.08</v>
      </c>
      <c r="B36" t="s">
        <v>1876</v>
      </c>
    </row>
    <row r="37" spans="1:2">
      <c r="A37" s="104" t="s">
        <v>1802</v>
      </c>
      <c r="B37" t="s">
        <v>1870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
    <tabColor rgb="FF37ED05"/>
  </sheetPr>
  <dimension ref="A1:N138"/>
  <sheetViews>
    <sheetView zoomScale="90" zoomScaleNormal="90" workbookViewId="0">
      <selection activeCell="B43" sqref="B43"/>
    </sheetView>
  </sheetViews>
  <sheetFormatPr defaultRowHeight="12.75"/>
  <cols>
    <col min="1" max="1" width="14.140625" customWidth="1"/>
    <col min="2" max="2" width="13" customWidth="1"/>
    <col min="3" max="3" width="12.5703125" customWidth="1"/>
    <col min="4" max="5" width="10.7109375" customWidth="1"/>
    <col min="6" max="6" width="12.85546875" customWidth="1"/>
    <col min="7" max="7" width="13.28515625" customWidth="1"/>
    <col min="8" max="8" width="5.7109375" style="26" customWidth="1"/>
    <col min="9" max="9" width="11.7109375" customWidth="1"/>
    <col min="10" max="10" width="10.28515625" customWidth="1"/>
    <col min="12" max="12" width="12.7109375" customWidth="1"/>
    <col min="13" max="13" width="12.85546875" customWidth="1"/>
  </cols>
  <sheetData>
    <row r="1" spans="1:14" ht="18">
      <c r="A1" s="1" t="s">
        <v>374</v>
      </c>
      <c r="B1" s="2"/>
      <c r="C1" s="2"/>
      <c r="D1" s="3"/>
      <c r="E1" s="4"/>
      <c r="F1" s="2"/>
      <c r="G1" s="2"/>
      <c r="H1" s="27"/>
      <c r="I1" s="2"/>
      <c r="J1" s="2"/>
      <c r="K1" s="2"/>
      <c r="L1" s="2"/>
      <c r="M1" s="2"/>
    </row>
    <row r="2" spans="1:14" ht="15.75">
      <c r="B2" s="2"/>
      <c r="C2" s="28"/>
      <c r="D2" s="4"/>
      <c r="E2" s="2"/>
      <c r="F2" s="2"/>
      <c r="G2" s="2"/>
      <c r="H2" s="27"/>
      <c r="I2" s="2"/>
      <c r="J2" s="2"/>
      <c r="K2" s="2"/>
      <c r="L2" s="2"/>
      <c r="M2" s="2"/>
    </row>
    <row r="3" spans="1:14">
      <c r="A3" s="667" t="s">
        <v>379</v>
      </c>
      <c r="B3" s="1526"/>
      <c r="C3" s="1526"/>
      <c r="D3" s="1526"/>
      <c r="E3" s="1526"/>
      <c r="F3" s="1526"/>
      <c r="G3" s="1526"/>
      <c r="H3" s="1526"/>
      <c r="I3" s="1042"/>
      <c r="J3" s="1533"/>
      <c r="K3" s="1527"/>
      <c r="L3" s="2"/>
      <c r="M3" s="2"/>
    </row>
    <row r="4" spans="1:14">
      <c r="A4" s="1528" t="s">
        <v>89</v>
      </c>
      <c r="B4" s="1529"/>
      <c r="C4" s="1529"/>
      <c r="D4" s="1529"/>
      <c r="E4" s="1529"/>
      <c r="F4" s="1529"/>
      <c r="G4" s="1529"/>
      <c r="H4" s="1529"/>
      <c r="I4" s="1043"/>
      <c r="J4" s="1534"/>
      <c r="K4" s="1530"/>
      <c r="L4" s="2"/>
      <c r="M4" s="2"/>
    </row>
    <row r="5" spans="1:14">
      <c r="A5" s="1039" t="s">
        <v>100</v>
      </c>
      <c r="B5" s="1529"/>
      <c r="C5" s="1529"/>
      <c r="D5" s="1529"/>
      <c r="E5" s="1529"/>
      <c r="F5" s="1529"/>
      <c r="G5" s="1529"/>
      <c r="H5" s="1529"/>
      <c r="I5" s="1043"/>
      <c r="J5" s="1534"/>
      <c r="K5" s="1530"/>
      <c r="L5" s="2"/>
      <c r="M5" s="2"/>
    </row>
    <row r="6" spans="1:14">
      <c r="A6" s="670"/>
      <c r="B6" s="1531"/>
      <c r="C6" s="1531"/>
      <c r="D6" s="1531"/>
      <c r="E6" s="1531"/>
      <c r="F6" s="1531"/>
      <c r="G6" s="1531"/>
      <c r="H6" s="1531"/>
      <c r="I6" s="1046"/>
      <c r="J6" s="1535"/>
      <c r="K6" s="1532"/>
      <c r="L6" s="2"/>
      <c r="M6" s="2"/>
    </row>
    <row r="7" spans="1:14">
      <c r="B7" s="9"/>
      <c r="C7" s="9"/>
      <c r="D7" s="2"/>
      <c r="E7" s="2"/>
      <c r="F7" s="2"/>
      <c r="G7" s="2"/>
      <c r="H7" s="27"/>
      <c r="I7" s="2"/>
      <c r="J7" s="2"/>
      <c r="K7" s="2"/>
      <c r="L7" s="2"/>
      <c r="M7" s="2"/>
    </row>
    <row r="8" spans="1:14">
      <c r="A8" s="304" t="s">
        <v>138</v>
      </c>
      <c r="B8" s="304" t="s">
        <v>154</v>
      </c>
      <c r="C8" s="304" t="s">
        <v>71</v>
      </c>
      <c r="D8" s="305" t="s">
        <v>351</v>
      </c>
      <c r="E8" s="305" t="s">
        <v>72</v>
      </c>
      <c r="F8" s="304" t="s">
        <v>376</v>
      </c>
      <c r="G8" s="263"/>
      <c r="H8" s="268"/>
      <c r="I8" s="269"/>
      <c r="J8" s="269"/>
      <c r="K8" s="269"/>
      <c r="L8" s="269"/>
      <c r="M8" s="270"/>
      <c r="N8" s="73"/>
    </row>
    <row r="9" spans="1:14">
      <c r="A9" s="306"/>
      <c r="B9" s="306"/>
      <c r="C9" s="307" t="s">
        <v>350</v>
      </c>
      <c r="D9" s="308"/>
      <c r="E9" s="310" t="s">
        <v>375</v>
      </c>
      <c r="F9" s="310" t="s">
        <v>71</v>
      </c>
      <c r="G9" s="263"/>
      <c r="H9" s="271"/>
      <c r="I9" s="33"/>
      <c r="J9" s="33"/>
      <c r="K9" s="33"/>
      <c r="L9" s="33"/>
      <c r="M9" s="272"/>
    </row>
    <row r="10" spans="1:14">
      <c r="A10" s="304" t="s">
        <v>155</v>
      </c>
      <c r="B10" s="306" t="s">
        <v>352</v>
      </c>
      <c r="C10" s="305">
        <v>0</v>
      </c>
      <c r="D10" s="305">
        <v>0</v>
      </c>
      <c r="E10" s="307">
        <v>0</v>
      </c>
      <c r="F10" s="307"/>
      <c r="G10" s="263"/>
      <c r="H10" s="271"/>
      <c r="I10" s="36" t="s">
        <v>156</v>
      </c>
      <c r="J10" s="33"/>
      <c r="K10" s="33"/>
      <c r="L10" s="33"/>
      <c r="M10" s="272"/>
    </row>
    <row r="11" spans="1:14">
      <c r="A11" s="304"/>
      <c r="B11" s="306" t="s">
        <v>169</v>
      </c>
      <c r="C11" s="305">
        <v>700</v>
      </c>
      <c r="D11" s="305"/>
      <c r="E11" s="307">
        <v>700</v>
      </c>
      <c r="F11" s="307"/>
      <c r="G11" s="263"/>
      <c r="H11" s="271"/>
      <c r="I11" s="39" t="s">
        <v>157</v>
      </c>
      <c r="J11" s="33"/>
      <c r="K11" s="33"/>
      <c r="L11" s="33"/>
      <c r="M11" s="272"/>
    </row>
    <row r="12" spans="1:14">
      <c r="A12" s="304"/>
      <c r="B12" s="306" t="s">
        <v>353</v>
      </c>
      <c r="C12" s="305">
        <v>1200</v>
      </c>
      <c r="D12" s="305">
        <v>15</v>
      </c>
      <c r="E12" s="307" t="s">
        <v>354</v>
      </c>
      <c r="F12" s="307">
        <v>200</v>
      </c>
      <c r="G12" s="263"/>
      <c r="H12" s="271"/>
      <c r="I12" s="33"/>
      <c r="J12" s="33"/>
      <c r="K12" s="33"/>
      <c r="L12" s="33"/>
      <c r="M12" s="272"/>
    </row>
    <row r="13" spans="1:14">
      <c r="A13" s="304"/>
      <c r="B13" s="306" t="s">
        <v>355</v>
      </c>
      <c r="C13" s="305">
        <v>800</v>
      </c>
      <c r="D13" s="305">
        <v>0</v>
      </c>
      <c r="E13" s="307" t="s">
        <v>356</v>
      </c>
      <c r="F13" s="307"/>
      <c r="G13" s="263"/>
      <c r="H13" s="271"/>
      <c r="I13" s="33"/>
      <c r="J13" s="33"/>
      <c r="K13" s="33"/>
      <c r="L13" s="33"/>
      <c r="M13" s="272"/>
    </row>
    <row r="14" spans="1:14">
      <c r="A14" s="304"/>
      <c r="B14" s="306" t="s">
        <v>202</v>
      </c>
      <c r="C14" s="305">
        <v>1000</v>
      </c>
      <c r="D14" s="305">
        <v>10</v>
      </c>
      <c r="E14" s="307">
        <v>1000</v>
      </c>
      <c r="F14" s="307">
        <v>200</v>
      </c>
      <c r="G14" s="263"/>
      <c r="H14" s="271"/>
      <c r="I14" s="33"/>
      <c r="J14" s="33"/>
      <c r="K14" s="33"/>
      <c r="L14" s="33"/>
      <c r="M14" s="272"/>
    </row>
    <row r="15" spans="1:14">
      <c r="A15" s="304"/>
      <c r="B15" s="306" t="s">
        <v>357</v>
      </c>
      <c r="C15" s="305">
        <v>700</v>
      </c>
      <c r="D15" s="305"/>
      <c r="E15" s="307"/>
      <c r="F15" s="307"/>
      <c r="G15" s="263"/>
      <c r="H15" s="271"/>
      <c r="I15" s="40" t="s">
        <v>159</v>
      </c>
      <c r="J15" s="40" t="s">
        <v>160</v>
      </c>
      <c r="K15" s="40"/>
      <c r="L15" s="33"/>
      <c r="M15" s="272"/>
    </row>
    <row r="16" spans="1:14">
      <c r="A16" s="304"/>
      <c r="B16" s="306" t="s">
        <v>337</v>
      </c>
      <c r="C16" s="305">
        <v>800</v>
      </c>
      <c r="D16" s="305"/>
      <c r="E16" s="307"/>
      <c r="F16" s="307"/>
      <c r="G16" s="263"/>
      <c r="H16" s="271"/>
      <c r="I16" s="41"/>
      <c r="J16" s="41" t="s">
        <v>161</v>
      </c>
      <c r="K16" s="41" t="s">
        <v>162</v>
      </c>
      <c r="L16" s="33"/>
      <c r="M16" s="272"/>
    </row>
    <row r="17" spans="1:13">
      <c r="A17" s="304"/>
      <c r="B17" s="306" t="s">
        <v>171</v>
      </c>
      <c r="C17" s="305">
        <v>1000</v>
      </c>
      <c r="D17" s="305">
        <v>5</v>
      </c>
      <c r="E17" s="307" t="s">
        <v>358</v>
      </c>
      <c r="F17" s="307"/>
      <c r="G17" s="263"/>
      <c r="H17" s="271"/>
      <c r="I17" s="42" t="s">
        <v>163</v>
      </c>
      <c r="J17" s="43">
        <v>0</v>
      </c>
      <c r="K17" s="43">
        <v>0</v>
      </c>
      <c r="L17" s="33"/>
      <c r="M17" s="272"/>
    </row>
    <row r="18" spans="1:13">
      <c r="A18" s="304"/>
      <c r="B18" s="306" t="s">
        <v>359</v>
      </c>
      <c r="C18" s="305">
        <v>800</v>
      </c>
      <c r="D18" s="305">
        <v>15</v>
      </c>
      <c r="E18" s="307">
        <v>900</v>
      </c>
      <c r="F18" s="307"/>
      <c r="G18" s="263"/>
      <c r="H18" s="271"/>
      <c r="I18" s="42" t="s">
        <v>164</v>
      </c>
      <c r="J18" s="43">
        <v>15</v>
      </c>
      <c r="K18" s="43">
        <v>10</v>
      </c>
      <c r="L18" s="33"/>
      <c r="M18" s="272"/>
    </row>
    <row r="19" spans="1:13">
      <c r="A19" s="304"/>
      <c r="B19" s="306" t="s">
        <v>360</v>
      </c>
      <c r="C19" s="305">
        <v>400</v>
      </c>
      <c r="D19" s="305">
        <v>0</v>
      </c>
      <c r="E19" s="307" t="s">
        <v>158</v>
      </c>
      <c r="F19" s="307">
        <v>200</v>
      </c>
      <c r="G19" s="263"/>
      <c r="H19" s="271"/>
      <c r="I19" s="42" t="s">
        <v>165</v>
      </c>
      <c r="J19" s="43">
        <v>25</v>
      </c>
      <c r="K19" s="43">
        <v>35</v>
      </c>
      <c r="L19" s="33"/>
      <c r="M19" s="272"/>
    </row>
    <row r="20" spans="1:13">
      <c r="A20" s="304"/>
      <c r="B20" s="306" t="s">
        <v>361</v>
      </c>
      <c r="C20" s="305"/>
      <c r="D20" s="305">
        <v>25</v>
      </c>
      <c r="E20" s="307" t="s">
        <v>356</v>
      </c>
      <c r="F20" s="310" t="s">
        <v>380</v>
      </c>
      <c r="G20" s="263"/>
      <c r="H20" s="271"/>
      <c r="I20" s="33"/>
      <c r="J20" s="44"/>
      <c r="K20" s="44"/>
      <c r="L20" s="33"/>
      <c r="M20" s="272"/>
    </row>
    <row r="21" spans="1:13">
      <c r="A21" s="304"/>
      <c r="B21" s="398" t="s">
        <v>377</v>
      </c>
      <c r="C21" s="305">
        <v>700</v>
      </c>
      <c r="D21" s="305">
        <v>40</v>
      </c>
      <c r="E21" s="307"/>
      <c r="F21" s="307"/>
      <c r="G21" s="263"/>
      <c r="H21" s="271"/>
      <c r="I21" s="33"/>
      <c r="J21" s="44"/>
      <c r="K21" s="44"/>
      <c r="L21" s="33"/>
      <c r="M21" s="272"/>
    </row>
    <row r="22" spans="1:13">
      <c r="A22" s="304"/>
      <c r="B22" s="398" t="s">
        <v>378</v>
      </c>
      <c r="C22" s="305">
        <v>0</v>
      </c>
      <c r="D22" s="305"/>
      <c r="E22" s="307"/>
      <c r="F22" s="307"/>
      <c r="G22" s="263"/>
      <c r="H22" s="271"/>
      <c r="I22" s="33"/>
      <c r="J22" s="44"/>
      <c r="K22" s="44"/>
      <c r="L22" s="33"/>
      <c r="M22" s="272"/>
    </row>
    <row r="23" spans="1:13">
      <c r="A23" s="399" t="s">
        <v>362</v>
      </c>
      <c r="B23" s="398"/>
      <c r="C23" s="400" t="s">
        <v>363</v>
      </c>
      <c r="D23" s="305"/>
      <c r="E23" s="307"/>
      <c r="F23" s="307"/>
      <c r="G23" s="263"/>
      <c r="H23" s="271"/>
      <c r="I23" s="40" t="s">
        <v>166</v>
      </c>
      <c r="J23" s="40" t="s">
        <v>160</v>
      </c>
      <c r="K23" s="40"/>
      <c r="L23" s="33"/>
      <c r="M23" s="272"/>
    </row>
    <row r="24" spans="1:13">
      <c r="A24" s="304" t="s">
        <v>54</v>
      </c>
      <c r="B24" s="306" t="s">
        <v>352</v>
      </c>
      <c r="C24" s="305">
        <v>0</v>
      </c>
      <c r="D24" s="305">
        <v>0</v>
      </c>
      <c r="E24" s="307">
        <v>0</v>
      </c>
      <c r="F24" s="307"/>
      <c r="G24" s="263"/>
      <c r="H24" s="271"/>
      <c r="I24" s="41"/>
      <c r="J24" s="41" t="s">
        <v>161</v>
      </c>
      <c r="K24" s="41" t="s">
        <v>162</v>
      </c>
      <c r="L24" s="33"/>
      <c r="M24" s="272"/>
    </row>
    <row r="25" spans="1:13">
      <c r="A25" s="306"/>
      <c r="B25" s="306" t="s">
        <v>169</v>
      </c>
      <c r="C25" s="305">
        <v>0</v>
      </c>
      <c r="D25" s="305"/>
      <c r="E25" s="307" t="s">
        <v>364</v>
      </c>
      <c r="F25" s="307"/>
      <c r="G25" s="263"/>
      <c r="H25" s="271"/>
      <c r="I25" s="42" t="s">
        <v>167</v>
      </c>
      <c r="J25" s="43">
        <v>0</v>
      </c>
      <c r="K25" s="43">
        <v>0</v>
      </c>
      <c r="L25" s="33"/>
      <c r="M25" s="272"/>
    </row>
    <row r="26" spans="1:13">
      <c r="A26" s="306"/>
      <c r="B26" s="306" t="s">
        <v>353</v>
      </c>
      <c r="C26" s="305"/>
      <c r="D26" s="305"/>
      <c r="E26" s="307"/>
      <c r="F26" s="307">
        <v>200</v>
      </c>
      <c r="G26" s="263"/>
      <c r="H26" s="271"/>
      <c r="I26" s="42" t="s">
        <v>164</v>
      </c>
      <c r="J26" s="43">
        <v>40</v>
      </c>
      <c r="K26" s="43">
        <v>50</v>
      </c>
      <c r="L26" s="33"/>
      <c r="M26" s="272"/>
    </row>
    <row r="27" spans="1:13">
      <c r="A27" s="306"/>
      <c r="B27" s="306" t="s">
        <v>355</v>
      </c>
      <c r="C27" s="305">
        <v>500</v>
      </c>
      <c r="D27" s="305"/>
      <c r="E27" s="307" t="s">
        <v>168</v>
      </c>
      <c r="F27" s="307"/>
      <c r="G27" s="263"/>
      <c r="H27" s="271"/>
      <c r="I27" s="42" t="s">
        <v>165</v>
      </c>
      <c r="J27" s="43">
        <v>60</v>
      </c>
      <c r="K27" s="43">
        <v>70</v>
      </c>
      <c r="L27" s="33"/>
      <c r="M27" s="272"/>
    </row>
    <row r="28" spans="1:13">
      <c r="A28" s="306"/>
      <c r="B28" s="306" t="s">
        <v>202</v>
      </c>
      <c r="C28" s="305">
        <v>500</v>
      </c>
      <c r="D28" s="305">
        <v>10</v>
      </c>
      <c r="E28" s="307" t="s">
        <v>365</v>
      </c>
      <c r="F28" s="307"/>
      <c r="G28" s="263"/>
      <c r="H28" s="271"/>
      <c r="I28" s="33"/>
      <c r="J28" s="33"/>
      <c r="K28" s="33"/>
      <c r="L28" s="33"/>
      <c r="M28" s="272"/>
    </row>
    <row r="29" spans="1:13">
      <c r="A29" s="306"/>
      <c r="B29" s="306" t="s">
        <v>357</v>
      </c>
      <c r="C29" s="305">
        <v>700</v>
      </c>
      <c r="D29" s="305">
        <v>10</v>
      </c>
      <c r="E29" s="307" t="s">
        <v>366</v>
      </c>
      <c r="F29" s="307"/>
      <c r="G29" s="263"/>
      <c r="H29" s="271"/>
      <c r="I29" s="33"/>
      <c r="J29" s="33"/>
      <c r="K29" s="33"/>
      <c r="L29" s="33"/>
      <c r="M29" s="272"/>
    </row>
    <row r="30" spans="1:13">
      <c r="A30" s="306"/>
      <c r="B30" s="306" t="s">
        <v>337</v>
      </c>
      <c r="C30" s="305">
        <v>800</v>
      </c>
      <c r="D30" s="305">
        <v>0</v>
      </c>
      <c r="E30" s="307" t="s">
        <v>367</v>
      </c>
      <c r="F30" s="307"/>
      <c r="G30" s="263"/>
      <c r="H30" s="273"/>
      <c r="I30" s="274"/>
      <c r="J30" s="274"/>
      <c r="K30" s="274"/>
      <c r="L30" s="274"/>
      <c r="M30" s="275"/>
    </row>
    <row r="31" spans="1:13">
      <c r="A31" s="306"/>
      <c r="B31" s="306" t="s">
        <v>171</v>
      </c>
      <c r="C31" s="305">
        <v>1000</v>
      </c>
      <c r="D31" s="305">
        <v>0</v>
      </c>
      <c r="E31" s="307" t="s">
        <v>168</v>
      </c>
      <c r="F31" s="307"/>
      <c r="G31" s="263"/>
      <c r="H31" s="267"/>
      <c r="I31" s="267"/>
      <c r="J31" s="2"/>
      <c r="K31" s="2"/>
      <c r="L31" s="2"/>
      <c r="M31" s="2"/>
    </row>
    <row r="32" spans="1:13">
      <c r="A32" s="306"/>
      <c r="B32" s="306" t="s">
        <v>359</v>
      </c>
      <c r="C32" s="305">
        <v>500</v>
      </c>
      <c r="D32" s="305">
        <v>20</v>
      </c>
      <c r="E32" s="307">
        <v>500</v>
      </c>
      <c r="F32" s="307"/>
      <c r="G32" s="263"/>
      <c r="H32" s="319"/>
      <c r="I32" s="320"/>
      <c r="J32" s="321"/>
      <c r="K32" s="321"/>
      <c r="L32" s="321"/>
      <c r="M32" s="322"/>
    </row>
    <row r="33" spans="1:13">
      <c r="A33" s="306"/>
      <c r="B33" s="306" t="s">
        <v>360</v>
      </c>
      <c r="C33" s="305">
        <v>200</v>
      </c>
      <c r="D33" s="305">
        <v>0</v>
      </c>
      <c r="E33" s="307" t="s">
        <v>368</v>
      </c>
      <c r="F33" s="307">
        <v>100</v>
      </c>
      <c r="G33" s="263"/>
      <c r="H33" s="323"/>
      <c r="I33" s="331" t="s">
        <v>90</v>
      </c>
      <c r="J33" s="332"/>
      <c r="K33" s="332"/>
      <c r="L33" s="324"/>
      <c r="M33" s="325"/>
    </row>
    <row r="34" spans="1:13">
      <c r="A34" s="306"/>
      <c r="B34" s="306" t="s">
        <v>361</v>
      </c>
      <c r="C34" s="305"/>
      <c r="D34" s="305">
        <v>30</v>
      </c>
      <c r="E34" s="307" t="s">
        <v>369</v>
      </c>
      <c r="F34" s="307">
        <v>500</v>
      </c>
      <c r="G34" s="263"/>
      <c r="H34" s="323"/>
      <c r="I34" s="316" t="s">
        <v>91</v>
      </c>
      <c r="J34" s="333" t="s">
        <v>92</v>
      </c>
      <c r="K34" s="334"/>
      <c r="L34" s="324"/>
      <c r="M34" s="325"/>
    </row>
    <row r="35" spans="1:13">
      <c r="A35" s="306"/>
      <c r="B35" s="316" t="s">
        <v>377</v>
      </c>
      <c r="C35" s="305">
        <v>500</v>
      </c>
      <c r="D35" s="305">
        <v>20</v>
      </c>
      <c r="E35" s="307"/>
      <c r="F35" s="307"/>
      <c r="G35" s="263"/>
      <c r="H35" s="323"/>
      <c r="I35" s="316" t="s">
        <v>93</v>
      </c>
      <c r="J35" s="333" t="s">
        <v>92</v>
      </c>
      <c r="K35" s="334"/>
      <c r="L35" s="324"/>
      <c r="M35" s="325"/>
    </row>
    <row r="36" spans="1:13">
      <c r="A36" s="306"/>
      <c r="B36" s="316" t="s">
        <v>378</v>
      </c>
      <c r="C36" s="305">
        <v>0</v>
      </c>
      <c r="D36" s="305"/>
      <c r="E36" s="307"/>
      <c r="F36" s="307"/>
      <c r="G36" s="263"/>
      <c r="H36" s="323"/>
      <c r="I36" s="316" t="s">
        <v>94</v>
      </c>
      <c r="J36" s="333" t="s">
        <v>95</v>
      </c>
      <c r="K36" s="334"/>
      <c r="L36" s="324"/>
      <c r="M36" s="325"/>
    </row>
    <row r="37" spans="1:13">
      <c r="A37" s="304" t="s">
        <v>171</v>
      </c>
      <c r="B37" s="401" t="s">
        <v>370</v>
      </c>
      <c r="C37" s="399" t="s">
        <v>371</v>
      </c>
      <c r="D37" s="304"/>
      <c r="E37" s="306"/>
      <c r="F37" s="306"/>
      <c r="G37" s="263"/>
      <c r="H37" s="323"/>
      <c r="I37" s="326"/>
      <c r="J37" s="324"/>
      <c r="K37" s="324"/>
      <c r="L37" s="324"/>
      <c r="M37" s="325"/>
    </row>
    <row r="38" spans="1:13">
      <c r="A38" s="398"/>
      <c r="B38" s="401" t="s">
        <v>372</v>
      </c>
      <c r="C38" s="399" t="s">
        <v>373</v>
      </c>
      <c r="D38" s="304"/>
      <c r="E38" s="306"/>
      <c r="F38" s="306"/>
      <c r="G38" s="263"/>
      <c r="H38" s="327"/>
      <c r="I38" s="328"/>
      <c r="J38" s="329"/>
      <c r="K38" s="329"/>
      <c r="L38" s="329"/>
      <c r="M38" s="330"/>
    </row>
    <row r="39" spans="1:13">
      <c r="A39" s="306"/>
      <c r="B39" s="306"/>
      <c r="C39" s="316" t="s">
        <v>85</v>
      </c>
      <c r="D39" s="304"/>
      <c r="E39" s="306"/>
      <c r="F39" s="307"/>
      <c r="G39" s="263"/>
      <c r="H39" s="264"/>
      <c r="I39" s="267"/>
      <c r="J39" s="267"/>
      <c r="K39" s="2"/>
      <c r="L39" s="2"/>
      <c r="M39" s="2"/>
    </row>
    <row r="40" spans="1:13">
      <c r="A40" s="304" t="s">
        <v>353</v>
      </c>
      <c r="B40" s="316" t="s">
        <v>377</v>
      </c>
      <c r="C40" s="305">
        <v>500</v>
      </c>
      <c r="D40" s="305">
        <v>50</v>
      </c>
      <c r="E40" s="306"/>
      <c r="F40" s="307"/>
      <c r="G40" s="263"/>
      <c r="H40" s="266"/>
      <c r="I40" s="267"/>
      <c r="J40" s="267"/>
      <c r="K40" s="2"/>
      <c r="L40" s="2"/>
      <c r="M40" s="2"/>
    </row>
    <row r="41" spans="1:13">
      <c r="A41" s="263"/>
      <c r="B41" s="265"/>
      <c r="C41" s="263"/>
      <c r="D41" s="263"/>
      <c r="E41" s="263"/>
      <c r="F41" s="263"/>
      <c r="G41" s="264"/>
      <c r="H41" s="266"/>
      <c r="I41" s="267"/>
      <c r="J41" s="267"/>
      <c r="K41" s="2"/>
      <c r="L41" s="2"/>
      <c r="M41" s="2"/>
    </row>
    <row r="42" spans="1:13">
      <c r="A42" s="319"/>
      <c r="B42" s="340"/>
      <c r="C42" s="320"/>
      <c r="D42" s="320"/>
      <c r="E42" s="320"/>
      <c r="F42" s="320"/>
      <c r="G42" s="341"/>
      <c r="H42" s="342"/>
      <c r="I42" s="320"/>
      <c r="J42" s="320"/>
      <c r="K42" s="322"/>
      <c r="L42" s="2"/>
      <c r="M42" s="2"/>
    </row>
    <row r="43" spans="1:13" ht="15.75">
      <c r="A43" s="323"/>
      <c r="B43" s="337" t="s">
        <v>96</v>
      </c>
      <c r="C43" s="326"/>
      <c r="D43" s="326"/>
      <c r="E43" s="326"/>
      <c r="F43" s="326"/>
      <c r="G43" s="335"/>
      <c r="H43" s="336"/>
      <c r="I43" s="331"/>
      <c r="J43" s="331"/>
      <c r="K43" s="325"/>
      <c r="L43" s="2"/>
      <c r="M43" s="2"/>
    </row>
    <row r="44" spans="1:13">
      <c r="A44" s="323"/>
      <c r="B44" s="326" t="s">
        <v>97</v>
      </c>
      <c r="C44" s="335"/>
      <c r="D44" s="335"/>
      <c r="E44" s="335"/>
      <c r="F44" s="335"/>
      <c r="G44" s="335"/>
      <c r="H44" s="336"/>
      <c r="I44" s="331"/>
      <c r="J44" s="331"/>
      <c r="K44" s="325"/>
      <c r="L44" s="2"/>
      <c r="M44" s="2"/>
    </row>
    <row r="45" spans="1:13">
      <c r="A45" s="323"/>
      <c r="B45" s="326" t="s">
        <v>383</v>
      </c>
      <c r="C45" s="335"/>
      <c r="D45" s="335"/>
      <c r="E45" s="335"/>
      <c r="F45" s="335"/>
      <c r="G45" s="335"/>
      <c r="H45" s="336"/>
      <c r="I45" s="326"/>
      <c r="J45" s="326"/>
      <c r="K45" s="325"/>
      <c r="L45" s="2"/>
      <c r="M45" s="2"/>
    </row>
    <row r="46" spans="1:13">
      <c r="A46" s="323"/>
      <c r="B46" s="326"/>
      <c r="C46" s="335"/>
      <c r="D46" s="335"/>
      <c r="E46" s="335"/>
      <c r="F46" s="335"/>
      <c r="G46" s="335"/>
      <c r="H46" s="336"/>
      <c r="I46" s="326"/>
      <c r="J46" s="326"/>
      <c r="K46" s="325"/>
      <c r="L46" s="2"/>
      <c r="M46" s="2"/>
    </row>
    <row r="47" spans="1:13">
      <c r="A47" s="323"/>
      <c r="B47" s="326"/>
      <c r="C47" s="335"/>
      <c r="D47" s="335"/>
      <c r="E47" s="335"/>
      <c r="F47" s="335"/>
      <c r="G47" s="335"/>
      <c r="H47" s="336"/>
      <c r="I47" s="326"/>
      <c r="J47" s="326"/>
      <c r="K47" s="325"/>
      <c r="L47" s="2"/>
      <c r="M47" s="2"/>
    </row>
    <row r="48" spans="1:13">
      <c r="A48" s="323"/>
      <c r="B48" s="2998" t="s">
        <v>384</v>
      </c>
      <c r="C48" s="2999"/>
      <c r="D48" s="2999"/>
      <c r="E48" s="2999"/>
      <c r="F48" s="3000"/>
      <c r="G48" s="335"/>
      <c r="H48" s="336"/>
      <c r="I48" s="326"/>
      <c r="J48" s="326"/>
      <c r="K48" s="325"/>
      <c r="L48" s="2"/>
      <c r="M48" s="2"/>
    </row>
    <row r="49" spans="1:13">
      <c r="A49" s="323"/>
      <c r="B49" s="304"/>
      <c r="C49" s="305" t="s">
        <v>211</v>
      </c>
      <c r="D49" s="305" t="s">
        <v>385</v>
      </c>
      <c r="E49" s="305" t="s">
        <v>386</v>
      </c>
      <c r="F49" s="305" t="s">
        <v>386</v>
      </c>
      <c r="G49" s="335"/>
      <c r="H49" s="336"/>
      <c r="I49" s="326"/>
      <c r="J49" s="326"/>
      <c r="K49" s="325"/>
      <c r="L49" s="2"/>
      <c r="M49" s="2"/>
    </row>
    <row r="50" spans="1:13">
      <c r="A50" s="323"/>
      <c r="B50" s="304" t="s">
        <v>154</v>
      </c>
      <c r="C50" s="305"/>
      <c r="D50" s="305" t="s">
        <v>387</v>
      </c>
      <c r="E50" s="305" t="s">
        <v>388</v>
      </c>
      <c r="F50" s="305" t="s">
        <v>389</v>
      </c>
      <c r="G50" s="335"/>
      <c r="H50" s="336"/>
      <c r="I50" s="326"/>
      <c r="J50" s="326"/>
      <c r="K50" s="325"/>
      <c r="L50" s="2"/>
      <c r="M50" s="2"/>
    </row>
    <row r="51" spans="1:13">
      <c r="A51" s="323"/>
      <c r="B51" s="306" t="s">
        <v>390</v>
      </c>
      <c r="C51" s="307">
        <v>-460</v>
      </c>
      <c r="D51" s="307">
        <v>-1310</v>
      </c>
      <c r="E51" s="307">
        <v>-1920</v>
      </c>
      <c r="F51" s="307">
        <v>-2140</v>
      </c>
      <c r="G51" s="335"/>
      <c r="H51" s="336"/>
      <c r="I51" s="326"/>
      <c r="J51" s="326"/>
      <c r="K51" s="325"/>
      <c r="L51" s="2"/>
      <c r="M51" s="2"/>
    </row>
    <row r="52" spans="1:13">
      <c r="A52" s="323"/>
      <c r="B52" s="306" t="s">
        <v>391</v>
      </c>
      <c r="C52" s="307">
        <v>-10</v>
      </c>
      <c r="D52" s="307">
        <v>-620</v>
      </c>
      <c r="E52" s="307">
        <v>-1140</v>
      </c>
      <c r="F52" s="307">
        <v>-1390</v>
      </c>
      <c r="G52" s="335"/>
      <c r="H52" s="336"/>
      <c r="I52" s="326"/>
      <c r="J52" s="326"/>
      <c r="K52" s="325"/>
      <c r="L52" s="2"/>
      <c r="M52" s="2"/>
    </row>
    <row r="53" spans="1:13">
      <c r="A53" s="323"/>
      <c r="B53" s="306" t="s">
        <v>169</v>
      </c>
      <c r="C53" s="307">
        <v>330</v>
      </c>
      <c r="D53" s="307">
        <v>-250</v>
      </c>
      <c r="E53" s="307">
        <v>-440</v>
      </c>
      <c r="F53" s="307">
        <v>-700</v>
      </c>
      <c r="G53" s="335"/>
      <c r="H53" s="336"/>
      <c r="I53" s="326"/>
      <c r="J53" s="326"/>
      <c r="K53" s="325"/>
      <c r="L53" s="2"/>
      <c r="M53" s="2"/>
    </row>
    <row r="54" spans="1:13">
      <c r="A54" s="323"/>
      <c r="B54" s="306" t="s">
        <v>392</v>
      </c>
      <c r="C54" s="307">
        <v>770</v>
      </c>
      <c r="D54" s="307">
        <v>510</v>
      </c>
      <c r="E54" s="307">
        <v>570</v>
      </c>
      <c r="F54" s="307">
        <v>390</v>
      </c>
      <c r="G54" s="335"/>
      <c r="H54" s="336"/>
      <c r="I54" s="326"/>
      <c r="J54" s="326"/>
      <c r="K54" s="325"/>
      <c r="L54" s="2"/>
      <c r="M54" s="2"/>
    </row>
    <row r="55" spans="1:13">
      <c r="A55" s="323"/>
      <c r="B55" s="306" t="s">
        <v>170</v>
      </c>
      <c r="C55" s="307">
        <v>900</v>
      </c>
      <c r="D55" s="307">
        <v>660</v>
      </c>
      <c r="E55" s="307">
        <v>570</v>
      </c>
      <c r="F55" s="307">
        <v>600</v>
      </c>
      <c r="G55" s="335"/>
      <c r="H55" s="336"/>
      <c r="I55" s="326"/>
      <c r="J55" s="326"/>
      <c r="K55" s="325"/>
      <c r="L55" s="2"/>
      <c r="M55" s="2"/>
    </row>
    <row r="56" spans="1:13">
      <c r="A56" s="323"/>
      <c r="B56" s="326"/>
      <c r="C56" s="335"/>
      <c r="D56" s="335"/>
      <c r="E56" s="338"/>
      <c r="F56" s="335"/>
      <c r="G56" s="335"/>
      <c r="H56" s="336"/>
      <c r="I56" s="326"/>
      <c r="J56" s="326"/>
      <c r="K56" s="325"/>
      <c r="L56" s="2"/>
      <c r="M56" s="2"/>
    </row>
    <row r="57" spans="1:13">
      <c r="A57" s="323"/>
      <c r="B57" s="326"/>
      <c r="C57" s="335"/>
      <c r="D57" s="335"/>
      <c r="E57" s="338"/>
      <c r="F57" s="335"/>
      <c r="G57" s="335"/>
      <c r="H57" s="336"/>
      <c r="I57" s="326"/>
      <c r="J57" s="326"/>
      <c r="K57" s="325"/>
      <c r="L57" s="2"/>
      <c r="M57" s="2"/>
    </row>
    <row r="58" spans="1:13">
      <c r="A58" s="323"/>
      <c r="B58" s="326"/>
      <c r="C58" s="335"/>
      <c r="D58" s="335"/>
      <c r="E58" s="338"/>
      <c r="F58" s="335"/>
      <c r="G58" s="335"/>
      <c r="H58" s="336"/>
      <c r="I58" s="326"/>
      <c r="J58" s="326"/>
      <c r="K58" s="325"/>
      <c r="L58" s="2"/>
      <c r="M58" s="2"/>
    </row>
    <row r="59" spans="1:13">
      <c r="A59" s="323"/>
      <c r="B59" s="326"/>
      <c r="C59" s="335"/>
      <c r="D59" s="335"/>
      <c r="E59" s="338"/>
      <c r="F59" s="335"/>
      <c r="G59" s="335"/>
      <c r="H59" s="336"/>
      <c r="I59" s="326"/>
      <c r="J59" s="326"/>
      <c r="K59" s="325"/>
      <c r="L59" s="2"/>
      <c r="M59" s="2"/>
    </row>
    <row r="60" spans="1:13">
      <c r="A60" s="323"/>
      <c r="B60" s="326"/>
      <c r="C60" s="339"/>
      <c r="D60" s="339"/>
      <c r="E60" s="338"/>
      <c r="F60" s="339"/>
      <c r="G60" s="339"/>
      <c r="H60" s="336"/>
      <c r="I60" s="326"/>
      <c r="J60" s="326"/>
      <c r="K60" s="325"/>
      <c r="L60" s="2"/>
      <c r="M60" s="2"/>
    </row>
    <row r="61" spans="1:13">
      <c r="A61" s="343"/>
      <c r="B61" s="336"/>
      <c r="C61" s="339"/>
      <c r="D61" s="339"/>
      <c r="E61" s="339"/>
      <c r="F61" s="339"/>
      <c r="G61" s="339"/>
      <c r="H61" s="336"/>
      <c r="I61" s="326"/>
      <c r="J61" s="326"/>
      <c r="K61" s="325"/>
      <c r="L61" s="2"/>
      <c r="M61" s="2"/>
    </row>
    <row r="62" spans="1:13">
      <c r="A62" s="343"/>
      <c r="B62" s="336"/>
      <c r="C62" s="339"/>
      <c r="D62" s="339"/>
      <c r="E62" s="339"/>
      <c r="F62" s="339"/>
      <c r="G62" s="339"/>
      <c r="H62" s="336"/>
      <c r="I62" s="326"/>
      <c r="J62" s="326"/>
      <c r="K62" s="325"/>
      <c r="L62" s="2"/>
      <c r="M62" s="2"/>
    </row>
    <row r="63" spans="1:13">
      <c r="A63" s="343"/>
      <c r="B63" s="336"/>
      <c r="C63" s="339"/>
      <c r="D63" s="339"/>
      <c r="E63" s="339"/>
      <c r="F63" s="339"/>
      <c r="G63" s="339"/>
      <c r="H63" s="336"/>
      <c r="I63" s="326"/>
      <c r="J63" s="326"/>
      <c r="K63" s="325"/>
      <c r="L63" s="2"/>
      <c r="M63" s="2"/>
    </row>
    <row r="64" spans="1:13">
      <c r="A64" s="343"/>
      <c r="B64" s="336"/>
      <c r="C64" s="339"/>
      <c r="D64" s="339"/>
      <c r="E64" s="339"/>
      <c r="F64" s="339"/>
      <c r="G64" s="339"/>
      <c r="H64" s="336"/>
      <c r="I64" s="326"/>
      <c r="J64" s="326"/>
      <c r="K64" s="325"/>
      <c r="L64" s="2"/>
      <c r="M64" s="2"/>
    </row>
    <row r="65" spans="1:13">
      <c r="A65" s="343"/>
      <c r="B65" s="336"/>
      <c r="C65" s="339"/>
      <c r="D65" s="339"/>
      <c r="E65" s="339"/>
      <c r="F65" s="339"/>
      <c r="G65" s="339"/>
      <c r="H65" s="336"/>
      <c r="I65" s="326"/>
      <c r="J65" s="326"/>
      <c r="K65" s="325"/>
      <c r="L65" s="2"/>
      <c r="M65" s="2"/>
    </row>
    <row r="66" spans="1:13">
      <c r="A66" s="343"/>
      <c r="B66" s="336"/>
      <c r="C66" s="339"/>
      <c r="D66" s="339"/>
      <c r="E66" s="339"/>
      <c r="F66" s="339"/>
      <c r="G66" s="339"/>
      <c r="H66" s="336"/>
      <c r="I66" s="326"/>
      <c r="J66" s="326"/>
      <c r="K66" s="325"/>
      <c r="L66" s="2"/>
      <c r="M66" s="2"/>
    </row>
    <row r="67" spans="1:13">
      <c r="A67" s="343"/>
      <c r="B67" s="336"/>
      <c r="C67" s="338"/>
      <c r="D67" s="339"/>
      <c r="E67" s="339"/>
      <c r="F67" s="339"/>
      <c r="G67" s="339"/>
      <c r="H67" s="336"/>
      <c r="I67" s="326"/>
      <c r="J67" s="326"/>
      <c r="K67" s="325"/>
      <c r="L67" s="2"/>
      <c r="M67" s="2"/>
    </row>
    <row r="68" spans="1:13">
      <c r="A68" s="343"/>
      <c r="B68" s="336"/>
      <c r="C68" s="339"/>
      <c r="D68" s="339"/>
      <c r="E68" s="339"/>
      <c r="F68" s="339"/>
      <c r="G68" s="339"/>
      <c r="H68" s="336"/>
      <c r="I68" s="326"/>
      <c r="J68" s="326"/>
      <c r="K68" s="325"/>
      <c r="L68" s="2"/>
      <c r="M68" s="2"/>
    </row>
    <row r="69" spans="1:13">
      <c r="A69" s="343"/>
      <c r="B69" s="336"/>
      <c r="C69" s="339"/>
      <c r="D69" s="339"/>
      <c r="E69" s="339"/>
      <c r="F69" s="339"/>
      <c r="G69" s="339"/>
      <c r="H69" s="336"/>
      <c r="I69" s="326"/>
      <c r="J69" s="326"/>
      <c r="K69" s="325"/>
      <c r="L69" s="2"/>
      <c r="M69" s="2"/>
    </row>
    <row r="70" spans="1:13">
      <c r="A70" s="343"/>
      <c r="B70" s="336"/>
      <c r="C70" s="339"/>
      <c r="D70" s="339"/>
      <c r="E70" s="339"/>
      <c r="F70" s="339"/>
      <c r="G70" s="339"/>
      <c r="H70" s="336"/>
      <c r="I70" s="326"/>
      <c r="J70" s="326"/>
      <c r="K70" s="325"/>
      <c r="L70" s="2"/>
      <c r="M70" s="2"/>
    </row>
    <row r="71" spans="1:13">
      <c r="A71" s="343"/>
      <c r="B71" s="336"/>
      <c r="C71" s="339"/>
      <c r="D71" s="339"/>
      <c r="E71" s="339"/>
      <c r="F71" s="339"/>
      <c r="G71" s="339"/>
      <c r="H71" s="336"/>
      <c r="I71" s="326"/>
      <c r="J71" s="326"/>
      <c r="K71" s="325"/>
      <c r="L71" s="2"/>
      <c r="M71" s="2"/>
    </row>
    <row r="72" spans="1:13">
      <c r="A72" s="343"/>
      <c r="B72" s="336"/>
      <c r="C72" s="339"/>
      <c r="D72" s="339"/>
      <c r="E72" s="339"/>
      <c r="F72" s="339"/>
      <c r="G72" s="339"/>
      <c r="H72" s="336"/>
      <c r="I72" s="326"/>
      <c r="J72" s="326"/>
      <c r="K72" s="325"/>
      <c r="L72" s="2"/>
      <c r="M72" s="2"/>
    </row>
    <row r="73" spans="1:13">
      <c r="A73" s="343"/>
      <c r="B73" s="336"/>
      <c r="C73" s="339"/>
      <c r="D73" s="339"/>
      <c r="E73" s="339"/>
      <c r="F73" s="339"/>
      <c r="G73" s="339"/>
      <c r="H73" s="336"/>
      <c r="I73" s="331"/>
      <c r="J73" s="331"/>
      <c r="K73" s="344"/>
      <c r="L73" s="2"/>
      <c r="M73" s="2"/>
    </row>
    <row r="74" spans="1:13">
      <c r="A74" s="343"/>
      <c r="B74" s="336"/>
      <c r="C74" s="339"/>
      <c r="D74" s="339"/>
      <c r="E74" s="339"/>
      <c r="F74" s="339"/>
      <c r="G74" s="339"/>
      <c r="H74" s="336"/>
      <c r="I74" s="331"/>
      <c r="J74" s="331"/>
      <c r="K74" s="325"/>
      <c r="L74" s="2"/>
      <c r="M74" s="2"/>
    </row>
    <row r="75" spans="1:13">
      <c r="A75" s="343"/>
      <c r="B75" s="336"/>
      <c r="C75" s="339"/>
      <c r="D75" s="339"/>
      <c r="E75" s="339"/>
      <c r="F75" s="339"/>
      <c r="G75" s="339"/>
      <c r="H75" s="336"/>
      <c r="I75" s="326"/>
      <c r="J75" s="326"/>
      <c r="K75" s="325"/>
      <c r="L75" s="2"/>
      <c r="M75" s="2"/>
    </row>
    <row r="76" spans="1:13">
      <c r="A76" s="343"/>
      <c r="B76" s="336"/>
      <c r="C76" s="339"/>
      <c r="D76" s="339"/>
      <c r="E76" s="339"/>
      <c r="F76" s="339"/>
      <c r="G76" s="339"/>
      <c r="H76" s="336"/>
      <c r="I76" s="326"/>
      <c r="J76" s="326"/>
      <c r="K76" s="325"/>
      <c r="L76" s="2"/>
      <c r="M76" s="2"/>
    </row>
    <row r="77" spans="1:13">
      <c r="A77" s="343"/>
      <c r="B77" s="336"/>
      <c r="C77" s="339"/>
      <c r="D77" s="339"/>
      <c r="E77" s="339"/>
      <c r="F77" s="339"/>
      <c r="G77" s="339"/>
      <c r="H77" s="336"/>
      <c r="I77" s="326"/>
      <c r="J77" s="326"/>
      <c r="K77" s="325"/>
      <c r="L77" s="2"/>
      <c r="M77" s="2"/>
    </row>
    <row r="78" spans="1:13">
      <c r="A78" s="343"/>
      <c r="B78" s="336"/>
      <c r="C78" s="339"/>
      <c r="D78" s="339"/>
      <c r="E78" s="339"/>
      <c r="F78" s="339"/>
      <c r="G78" s="339"/>
      <c r="H78" s="336"/>
      <c r="I78" s="326"/>
      <c r="J78" s="326"/>
      <c r="K78" s="325"/>
      <c r="L78" s="2"/>
      <c r="M78" s="2"/>
    </row>
    <row r="79" spans="1:13">
      <c r="A79" s="343"/>
      <c r="B79" s="336"/>
      <c r="C79" s="339"/>
      <c r="D79" s="339"/>
      <c r="E79" s="339"/>
      <c r="F79" s="339"/>
      <c r="G79" s="339"/>
      <c r="H79" s="336"/>
      <c r="I79" s="326"/>
      <c r="J79" s="326"/>
      <c r="K79" s="325"/>
      <c r="L79" s="2"/>
      <c r="M79" s="2"/>
    </row>
    <row r="80" spans="1:13">
      <c r="A80" s="343"/>
      <c r="B80" s="336"/>
      <c r="C80" s="339"/>
      <c r="D80" s="339"/>
      <c r="E80" s="339"/>
      <c r="F80" s="339"/>
      <c r="G80" s="339"/>
      <c r="H80" s="336"/>
      <c r="I80" s="331"/>
      <c r="J80" s="331"/>
      <c r="K80" s="325"/>
      <c r="L80" s="2"/>
      <c r="M80" s="2"/>
    </row>
    <row r="81" spans="1:13">
      <c r="A81" s="345"/>
      <c r="B81" s="346"/>
      <c r="C81" s="347"/>
      <c r="D81" s="347"/>
      <c r="E81" s="347"/>
      <c r="F81" s="347"/>
      <c r="G81" s="347"/>
      <c r="H81" s="346"/>
      <c r="I81" s="348"/>
      <c r="J81" s="348"/>
      <c r="K81" s="330"/>
      <c r="L81" s="2"/>
      <c r="M81" s="2"/>
    </row>
    <row r="82" spans="1:13">
      <c r="A82" s="153"/>
      <c r="B82" s="153"/>
      <c r="C82" s="151"/>
      <c r="D82" s="151"/>
      <c r="E82" s="151"/>
      <c r="F82" s="151"/>
      <c r="G82" s="151"/>
      <c r="H82" s="153"/>
      <c r="I82" s="74"/>
      <c r="J82" s="74"/>
      <c r="K82" s="2"/>
      <c r="L82" s="2"/>
      <c r="M82" s="2"/>
    </row>
    <row r="83" spans="1:13">
      <c r="A83" s="153"/>
      <c r="B83" s="153"/>
      <c r="C83" s="151"/>
      <c r="D83" s="159"/>
      <c r="E83" s="151"/>
      <c r="F83" s="151"/>
      <c r="G83" s="151"/>
      <c r="H83" s="153"/>
      <c r="I83" s="74"/>
      <c r="J83" s="74"/>
      <c r="K83" s="2"/>
      <c r="L83" s="2"/>
      <c r="M83" s="2"/>
    </row>
    <row r="84" spans="1:13">
      <c r="A84" s="153"/>
      <c r="B84" s="153"/>
      <c r="C84" s="151"/>
      <c r="D84" s="151"/>
      <c r="E84" s="151"/>
      <c r="F84" s="151"/>
      <c r="G84" s="151"/>
      <c r="H84" s="153"/>
      <c r="I84" s="74"/>
      <c r="J84" s="74"/>
      <c r="K84" s="2"/>
      <c r="L84" s="2"/>
      <c r="M84" s="2"/>
    </row>
    <row r="85" spans="1:13">
      <c r="A85" s="153"/>
      <c r="B85" s="153"/>
      <c r="C85" s="151"/>
      <c r="D85" s="151"/>
      <c r="E85" s="151"/>
      <c r="F85" s="151"/>
      <c r="G85" s="151"/>
      <c r="H85" s="153"/>
      <c r="I85" s="74"/>
      <c r="J85" s="74"/>
      <c r="K85" s="2"/>
      <c r="L85" s="2"/>
      <c r="M85" s="2"/>
    </row>
    <row r="86" spans="1:13">
      <c r="A86" s="153"/>
      <c r="B86" s="153"/>
      <c r="C86" s="151"/>
      <c r="D86" s="159"/>
      <c r="E86" s="151"/>
      <c r="F86" s="151"/>
      <c r="G86" s="151"/>
      <c r="H86" s="153"/>
      <c r="I86" s="74"/>
      <c r="J86" s="74"/>
      <c r="K86" s="2"/>
      <c r="L86" s="2"/>
      <c r="M86" s="2"/>
    </row>
    <row r="87" spans="1:13">
      <c r="A87" s="153"/>
      <c r="B87" s="153"/>
      <c r="C87" s="151"/>
      <c r="D87" s="151"/>
      <c r="E87" s="151"/>
      <c r="F87" s="151"/>
      <c r="G87" s="151"/>
      <c r="H87" s="153"/>
      <c r="I87" s="74"/>
      <c r="J87" s="74"/>
      <c r="K87" s="2"/>
      <c r="L87" s="2"/>
      <c r="M87" s="2"/>
    </row>
    <row r="88" spans="1:13">
      <c r="A88" s="153"/>
      <c r="B88" s="153"/>
      <c r="C88" s="151"/>
      <c r="D88" s="151"/>
      <c r="E88" s="151"/>
      <c r="F88" s="151"/>
      <c r="G88" s="151"/>
      <c r="H88" s="153"/>
      <c r="I88" s="74"/>
      <c r="J88" s="74"/>
      <c r="K88" s="2"/>
      <c r="L88" s="2"/>
      <c r="M88" s="2"/>
    </row>
    <row r="89" spans="1:13">
      <c r="A89" s="153"/>
      <c r="B89" s="153"/>
      <c r="C89" s="152"/>
      <c r="D89" s="151"/>
      <c r="E89" s="151"/>
      <c r="F89" s="151"/>
      <c r="G89" s="151"/>
      <c r="H89" s="153"/>
      <c r="I89" s="74"/>
      <c r="J89" s="74"/>
      <c r="K89" s="2"/>
      <c r="L89" s="2"/>
      <c r="M89" s="2"/>
    </row>
    <row r="90" spans="1:13">
      <c r="A90" s="153"/>
      <c r="B90" s="153"/>
      <c r="C90" s="151"/>
      <c r="D90" s="151"/>
      <c r="E90" s="151"/>
      <c r="F90" s="151"/>
      <c r="G90" s="151"/>
      <c r="H90" s="153"/>
      <c r="I90" s="74"/>
      <c r="J90" s="74"/>
      <c r="K90" s="2"/>
      <c r="L90" s="2"/>
      <c r="M90" s="2"/>
    </row>
    <row r="91" spans="1:13">
      <c r="A91" s="153"/>
      <c r="B91" s="153"/>
      <c r="C91" s="151"/>
      <c r="D91" s="151"/>
      <c r="E91" s="151"/>
      <c r="F91" s="151"/>
      <c r="G91" s="151"/>
      <c r="H91" s="153"/>
      <c r="I91" s="74"/>
      <c r="J91" s="74"/>
      <c r="K91" s="2"/>
      <c r="L91" s="2"/>
      <c r="M91" s="2"/>
    </row>
    <row r="92" spans="1:13">
      <c r="A92" s="153"/>
      <c r="B92" s="153"/>
      <c r="C92" s="158"/>
      <c r="D92" s="151"/>
      <c r="E92" s="151"/>
      <c r="F92" s="151"/>
      <c r="G92" s="151"/>
      <c r="H92" s="153"/>
      <c r="I92" s="74"/>
      <c r="J92" s="74"/>
      <c r="K92" s="2"/>
      <c r="L92" s="2"/>
      <c r="M92" s="2"/>
    </row>
    <row r="93" spans="1:13">
      <c r="A93" s="153"/>
      <c r="B93" s="153"/>
      <c r="C93" s="151"/>
      <c r="D93" s="151"/>
      <c r="E93" s="151"/>
      <c r="F93" s="151"/>
      <c r="G93" s="151"/>
      <c r="H93" s="153"/>
      <c r="I93" s="74"/>
      <c r="J93" s="74"/>
      <c r="K93" s="2"/>
      <c r="L93" s="2"/>
      <c r="M93" s="2"/>
    </row>
    <row r="94" spans="1:13">
      <c r="A94" s="153"/>
      <c r="B94" s="153"/>
      <c r="C94" s="152"/>
      <c r="D94" s="151"/>
      <c r="E94" s="151"/>
      <c r="F94" s="151"/>
      <c r="G94" s="151"/>
      <c r="H94" s="153"/>
      <c r="I94" s="74"/>
      <c r="J94" s="74"/>
      <c r="K94" s="2"/>
      <c r="L94" s="2"/>
      <c r="M94" s="2"/>
    </row>
    <row r="95" spans="1:13">
      <c r="A95" s="153"/>
      <c r="B95" s="153"/>
      <c r="C95" s="158"/>
      <c r="D95" s="151"/>
      <c r="E95" s="151"/>
      <c r="F95" s="151"/>
      <c r="G95" s="151"/>
      <c r="H95" s="153"/>
      <c r="I95" s="74"/>
      <c r="J95" s="74"/>
      <c r="K95" s="2"/>
      <c r="L95" s="2"/>
      <c r="M95" s="2"/>
    </row>
    <row r="96" spans="1:13">
      <c r="A96" s="153"/>
      <c r="B96" s="153"/>
      <c r="C96" s="158"/>
      <c r="D96" s="151"/>
      <c r="E96" s="151"/>
      <c r="F96" s="151"/>
      <c r="G96" s="151"/>
      <c r="H96" s="153"/>
      <c r="I96" s="74"/>
      <c r="J96" s="74"/>
      <c r="K96" s="2"/>
      <c r="L96" s="2"/>
      <c r="M96" s="2"/>
    </row>
    <row r="97" spans="1:13">
      <c r="A97" s="74"/>
      <c r="B97" s="74"/>
      <c r="C97" s="74"/>
      <c r="D97" s="74"/>
      <c r="E97" s="74"/>
      <c r="F97" s="74"/>
      <c r="G97" s="74"/>
      <c r="H97" s="153"/>
      <c r="I97" s="74"/>
      <c r="J97" s="74"/>
      <c r="K97" s="2"/>
      <c r="L97" s="2"/>
      <c r="M97" s="2"/>
    </row>
    <row r="98" spans="1:13">
      <c r="A98" s="74"/>
      <c r="B98" s="74"/>
      <c r="C98" s="152"/>
      <c r="D98" s="156"/>
      <c r="E98" s="156"/>
      <c r="F98" s="156"/>
      <c r="G98" s="156"/>
      <c r="H98" s="153"/>
      <c r="I98" s="74"/>
      <c r="J98" s="74"/>
      <c r="K98" s="2"/>
      <c r="L98" s="2"/>
      <c r="M98" s="2"/>
    </row>
    <row r="99" spans="1:13">
      <c r="A99" s="74"/>
      <c r="B99" s="74"/>
      <c r="C99" s="156"/>
      <c r="D99" s="156"/>
      <c r="E99" s="156"/>
      <c r="F99" s="156"/>
      <c r="G99" s="156"/>
      <c r="H99" s="153"/>
      <c r="I99" s="74"/>
      <c r="J99" s="74"/>
      <c r="K99" s="2"/>
      <c r="L99" s="2"/>
      <c r="M99" s="2"/>
    </row>
    <row r="100" spans="1:13">
      <c r="A100" s="74"/>
      <c r="B100" s="74"/>
      <c r="C100" s="152"/>
      <c r="D100" s="156"/>
      <c r="E100" s="156"/>
      <c r="F100" s="156"/>
      <c r="G100" s="156"/>
      <c r="H100" s="153"/>
      <c r="I100" s="74"/>
      <c r="J100" s="74"/>
      <c r="K100" s="2"/>
      <c r="L100" s="2"/>
      <c r="M100" s="2"/>
    </row>
    <row r="101" spans="1:13">
      <c r="A101" s="74"/>
      <c r="B101" s="74"/>
      <c r="C101" s="151"/>
      <c r="D101" s="151"/>
      <c r="E101" s="151"/>
      <c r="F101" s="151"/>
      <c r="G101" s="151"/>
      <c r="H101" s="153"/>
      <c r="I101" s="74"/>
      <c r="J101" s="74"/>
      <c r="K101" s="2"/>
      <c r="L101" s="2"/>
      <c r="M101" s="2"/>
    </row>
    <row r="102" spans="1:13">
      <c r="A102" s="153"/>
      <c r="B102" s="153"/>
      <c r="C102" s="151"/>
      <c r="D102" s="151"/>
      <c r="E102" s="151"/>
      <c r="F102" s="151"/>
      <c r="G102" s="151"/>
      <c r="H102" s="153"/>
      <c r="I102" s="74"/>
      <c r="J102" s="74"/>
      <c r="K102" s="2"/>
      <c r="L102" s="2"/>
      <c r="M102" s="2"/>
    </row>
    <row r="103" spans="1:13">
      <c r="A103" s="153"/>
      <c r="B103" s="153"/>
      <c r="C103" s="151"/>
      <c r="D103" s="151"/>
      <c r="E103" s="151"/>
      <c r="F103" s="151"/>
      <c r="G103" s="151"/>
      <c r="H103" s="153"/>
      <c r="I103" s="74"/>
      <c r="J103" s="74"/>
      <c r="K103" s="2"/>
      <c r="L103" s="2"/>
      <c r="M103" s="2"/>
    </row>
    <row r="104" spans="1:13">
      <c r="A104" s="74"/>
      <c r="B104" s="74"/>
      <c r="C104" s="151"/>
      <c r="D104" s="151"/>
      <c r="E104" s="151"/>
      <c r="F104" s="151"/>
      <c r="G104" s="151"/>
      <c r="H104" s="153"/>
      <c r="I104" s="74"/>
      <c r="J104" s="74"/>
      <c r="K104" s="2"/>
      <c r="L104" s="2"/>
      <c r="M104" s="2"/>
    </row>
    <row r="105" spans="1:13">
      <c r="A105" s="74"/>
      <c r="B105" s="74"/>
      <c r="C105" s="156"/>
      <c r="D105" s="156"/>
      <c r="E105" s="156"/>
      <c r="F105" s="156"/>
      <c r="G105" s="156"/>
      <c r="H105" s="153"/>
      <c r="I105" s="74"/>
      <c r="J105" s="74"/>
      <c r="K105" s="9"/>
      <c r="L105" s="2"/>
      <c r="M105" s="2"/>
    </row>
    <row r="106" spans="1:13">
      <c r="A106" s="74"/>
      <c r="B106" s="74"/>
      <c r="C106" s="151"/>
      <c r="D106" s="151"/>
      <c r="E106" s="151"/>
      <c r="F106" s="151"/>
      <c r="G106" s="151"/>
      <c r="H106" s="153"/>
      <c r="I106" s="74"/>
      <c r="J106" s="74"/>
      <c r="K106" s="9"/>
      <c r="L106" s="2"/>
      <c r="M106" s="2"/>
    </row>
    <row r="107" spans="1:13">
      <c r="A107" s="153"/>
      <c r="B107" s="153"/>
      <c r="C107" s="151"/>
      <c r="D107" s="151"/>
      <c r="E107" s="151"/>
      <c r="F107" s="151"/>
      <c r="G107" s="151"/>
      <c r="H107" s="153"/>
      <c r="I107" s="74"/>
      <c r="J107" s="74"/>
      <c r="K107" s="9"/>
      <c r="L107" s="2"/>
      <c r="M107" s="2"/>
    </row>
    <row r="108" spans="1:13">
      <c r="A108" s="74"/>
      <c r="B108" s="74"/>
      <c r="C108" s="151"/>
      <c r="D108" s="151"/>
      <c r="E108" s="151"/>
      <c r="F108" s="151"/>
      <c r="G108" s="151"/>
      <c r="H108" s="153"/>
      <c r="I108" s="74"/>
      <c r="J108" s="74"/>
      <c r="K108" s="9"/>
      <c r="L108" s="2"/>
      <c r="M108" s="2"/>
    </row>
    <row r="109" spans="1:13">
      <c r="A109" s="157"/>
      <c r="B109" s="74"/>
      <c r="C109" s="151"/>
      <c r="D109" s="151"/>
      <c r="E109" s="151"/>
      <c r="F109" s="151"/>
      <c r="G109" s="151"/>
      <c r="H109" s="153"/>
      <c r="I109" s="74"/>
      <c r="J109" s="74"/>
      <c r="K109" s="9"/>
      <c r="L109" s="2"/>
      <c r="M109" s="2"/>
    </row>
    <row r="110" spans="1:13">
      <c r="A110" s="153"/>
      <c r="B110" s="74"/>
      <c r="C110" s="74"/>
      <c r="D110" s="74"/>
      <c r="E110" s="74"/>
      <c r="F110" s="74"/>
      <c r="G110" s="74"/>
      <c r="H110" s="153"/>
      <c r="I110" s="74"/>
      <c r="J110" s="74"/>
      <c r="K110" s="9"/>
      <c r="L110" s="2"/>
      <c r="M110" s="2"/>
    </row>
    <row r="111" spans="1:13">
      <c r="A111" s="153"/>
      <c r="B111" s="74"/>
      <c r="C111" s="74"/>
      <c r="D111" s="74"/>
      <c r="E111" s="74"/>
      <c r="F111" s="74"/>
      <c r="G111" s="74"/>
      <c r="H111" s="153"/>
      <c r="I111" s="74"/>
      <c r="J111" s="74"/>
      <c r="K111" s="9"/>
      <c r="L111" s="2"/>
      <c r="M111" s="2"/>
    </row>
    <row r="112" spans="1:13">
      <c r="A112" s="74"/>
      <c r="B112" s="74"/>
      <c r="C112" s="20"/>
      <c r="D112" s="20"/>
      <c r="E112" s="20"/>
      <c r="F112" s="20"/>
      <c r="G112" s="20"/>
      <c r="H112" s="148"/>
      <c r="I112" s="20"/>
      <c r="J112" s="20"/>
      <c r="K112" s="2"/>
      <c r="L112" s="2"/>
      <c r="M112" s="2"/>
    </row>
    <row r="113" spans="1:13">
      <c r="A113" s="20"/>
      <c r="B113" s="20"/>
      <c r="C113" s="20"/>
      <c r="D113" s="20"/>
      <c r="E113" s="20"/>
      <c r="F113" s="20"/>
      <c r="G113" s="20"/>
      <c r="H113" s="148"/>
      <c r="I113" s="20"/>
      <c r="J113" s="20"/>
      <c r="K113" s="2"/>
      <c r="L113" s="2"/>
      <c r="M113" s="2"/>
    </row>
    <row r="114" spans="1:13">
      <c r="A114" s="20"/>
      <c r="B114" s="20"/>
      <c r="C114" s="20"/>
      <c r="D114" s="20"/>
      <c r="E114" s="20"/>
      <c r="F114" s="20"/>
      <c r="G114" s="20"/>
      <c r="H114" s="148"/>
      <c r="I114" s="20"/>
      <c r="J114" s="20"/>
      <c r="K114" s="2"/>
      <c r="L114" s="2"/>
      <c r="M114" s="2"/>
    </row>
    <row r="115" spans="1:13">
      <c r="A115" s="154"/>
      <c r="B115" s="146"/>
      <c r="C115" s="146"/>
      <c r="D115" s="146"/>
      <c r="E115" s="146"/>
      <c r="F115" s="146"/>
      <c r="G115" s="146"/>
      <c r="H115" s="160"/>
      <c r="I115" s="146"/>
      <c r="J115" s="147"/>
      <c r="K115" s="2"/>
      <c r="L115" s="2"/>
      <c r="M115" s="2"/>
    </row>
    <row r="116" spans="1:13">
      <c r="A116" s="161"/>
      <c r="B116" s="153"/>
      <c r="C116" s="153"/>
      <c r="D116" s="153"/>
      <c r="E116" s="153"/>
      <c r="F116" s="153"/>
      <c r="G116" s="153"/>
      <c r="H116" s="153"/>
      <c r="I116" s="153"/>
      <c r="J116" s="155"/>
      <c r="K116" s="2"/>
      <c r="L116" s="2"/>
      <c r="M116" s="2"/>
    </row>
    <row r="117" spans="1:13">
      <c r="A117" s="161"/>
      <c r="B117" s="153"/>
      <c r="C117" s="153"/>
      <c r="D117" s="153"/>
      <c r="E117" s="153"/>
      <c r="F117" s="153"/>
      <c r="G117" s="153"/>
      <c r="H117" s="153"/>
      <c r="I117" s="153"/>
      <c r="J117" s="155"/>
      <c r="K117" s="2"/>
      <c r="L117" s="2"/>
      <c r="M117" s="2"/>
    </row>
    <row r="118" spans="1:13">
      <c r="A118" s="161"/>
      <c r="B118" s="153"/>
      <c r="C118" s="153"/>
      <c r="D118" s="153"/>
      <c r="E118" s="153"/>
      <c r="F118" s="153"/>
      <c r="G118" s="153"/>
      <c r="H118" s="153"/>
      <c r="I118" s="153"/>
      <c r="J118" s="155"/>
      <c r="K118" s="2"/>
      <c r="L118" s="2"/>
      <c r="M118" s="2"/>
    </row>
    <row r="119" spans="1:13">
      <c r="A119" s="161"/>
      <c r="B119" s="153"/>
      <c r="C119" s="153"/>
      <c r="D119" s="153"/>
      <c r="E119" s="153"/>
      <c r="F119" s="153"/>
      <c r="G119" s="153"/>
      <c r="H119" s="153"/>
      <c r="I119" s="153"/>
      <c r="J119" s="155"/>
      <c r="K119" s="2"/>
      <c r="L119" s="2"/>
      <c r="M119" s="2"/>
    </row>
    <row r="120" spans="1:13">
      <c r="A120" s="161"/>
      <c r="B120" s="153"/>
      <c r="C120" s="153"/>
      <c r="D120" s="153"/>
      <c r="E120" s="153"/>
      <c r="F120" s="153"/>
      <c r="G120" s="153"/>
      <c r="H120" s="153"/>
      <c r="I120" s="153"/>
      <c r="J120" s="155"/>
      <c r="K120" s="2"/>
      <c r="L120" s="2"/>
      <c r="M120" s="2"/>
    </row>
    <row r="121" spans="1:13">
      <c r="A121" s="161"/>
      <c r="B121" s="153"/>
      <c r="C121" s="153"/>
      <c r="D121" s="153"/>
      <c r="E121" s="153"/>
      <c r="F121" s="153"/>
      <c r="G121" s="153"/>
      <c r="H121" s="153"/>
      <c r="I121" s="153"/>
      <c r="J121" s="155"/>
      <c r="K121" s="2"/>
      <c r="L121" s="2"/>
      <c r="M121" s="2"/>
    </row>
    <row r="122" spans="1:13">
      <c r="A122" s="161"/>
      <c r="B122" s="153"/>
      <c r="C122" s="153"/>
      <c r="D122" s="153"/>
      <c r="E122" s="153"/>
      <c r="F122" s="153"/>
      <c r="G122" s="153"/>
      <c r="H122" s="153"/>
      <c r="I122" s="153"/>
      <c r="J122" s="155"/>
      <c r="K122" s="2"/>
      <c r="L122" s="2"/>
      <c r="M122" s="2"/>
    </row>
    <row r="123" spans="1:13">
      <c r="A123" s="161"/>
      <c r="B123" s="153"/>
      <c r="C123" s="153"/>
      <c r="D123" s="153"/>
      <c r="E123" s="153"/>
      <c r="F123" s="153"/>
      <c r="G123" s="153"/>
      <c r="H123" s="153"/>
      <c r="I123" s="153"/>
      <c r="J123" s="155"/>
      <c r="K123" s="2"/>
      <c r="L123" s="2"/>
      <c r="M123" s="2"/>
    </row>
    <row r="124" spans="1:13">
      <c r="A124" s="161"/>
      <c r="B124" s="153"/>
      <c r="C124" s="153"/>
      <c r="D124" s="153"/>
      <c r="E124" s="153"/>
      <c r="F124" s="153"/>
      <c r="G124" s="153"/>
      <c r="H124" s="153"/>
      <c r="I124" s="153"/>
      <c r="J124" s="155"/>
      <c r="K124" s="2"/>
      <c r="L124" s="2"/>
      <c r="M124" s="2"/>
    </row>
    <row r="125" spans="1:13">
      <c r="A125" s="161"/>
      <c r="B125" s="153"/>
      <c r="C125" s="153"/>
      <c r="D125" s="153"/>
      <c r="E125" s="153"/>
      <c r="F125" s="153"/>
      <c r="G125" s="153"/>
      <c r="H125" s="153"/>
      <c r="I125" s="153"/>
      <c r="J125" s="155"/>
      <c r="K125" s="2"/>
      <c r="L125" s="2"/>
      <c r="M125" s="2"/>
    </row>
    <row r="126" spans="1:13">
      <c r="A126" s="161"/>
      <c r="B126" s="153"/>
      <c r="C126" s="153"/>
      <c r="D126" s="153"/>
      <c r="E126" s="153"/>
      <c r="F126" s="153"/>
      <c r="G126" s="153"/>
      <c r="H126" s="153"/>
      <c r="I126" s="153"/>
      <c r="J126" s="155"/>
      <c r="K126" s="2"/>
      <c r="L126" s="2"/>
      <c r="M126" s="2"/>
    </row>
    <row r="127" spans="1:13">
      <c r="A127" s="161"/>
      <c r="B127" s="153"/>
      <c r="C127" s="153"/>
      <c r="D127" s="153"/>
      <c r="E127" s="153"/>
      <c r="F127" s="153"/>
      <c r="G127" s="153"/>
      <c r="H127" s="153"/>
      <c r="I127" s="153"/>
      <c r="J127" s="155"/>
      <c r="K127" s="2"/>
      <c r="L127" s="2"/>
      <c r="M127" s="2"/>
    </row>
    <row r="128" spans="1:13">
      <c r="A128" s="161"/>
      <c r="B128" s="153"/>
      <c r="C128" s="153"/>
      <c r="D128" s="153"/>
      <c r="E128" s="153"/>
      <c r="F128" s="153"/>
      <c r="G128" s="153"/>
      <c r="H128" s="153"/>
      <c r="I128" s="153"/>
      <c r="J128" s="155"/>
      <c r="K128" s="2"/>
      <c r="L128" s="2"/>
      <c r="M128" s="2"/>
    </row>
    <row r="129" spans="1:13">
      <c r="A129" s="161"/>
      <c r="B129" s="153"/>
      <c r="C129" s="153"/>
      <c r="D129" s="153"/>
      <c r="E129" s="153"/>
      <c r="F129" s="153"/>
      <c r="G129" s="153"/>
      <c r="H129" s="153"/>
      <c r="I129" s="153"/>
      <c r="J129" s="155"/>
      <c r="K129" s="2"/>
      <c r="L129" s="2"/>
      <c r="M129" s="2"/>
    </row>
    <row r="130" spans="1:13">
      <c r="A130" s="161"/>
      <c r="B130" s="153"/>
      <c r="C130" s="153"/>
      <c r="D130" s="153"/>
      <c r="E130" s="153"/>
      <c r="F130" s="153"/>
      <c r="G130" s="153"/>
      <c r="H130" s="153"/>
      <c r="I130" s="153"/>
      <c r="J130" s="155"/>
      <c r="K130" s="2"/>
      <c r="L130" s="2"/>
      <c r="M130" s="2"/>
    </row>
    <row r="131" spans="1:13">
      <c r="A131" s="161"/>
      <c r="B131" s="153"/>
      <c r="C131" s="153"/>
      <c r="D131" s="153"/>
      <c r="E131" s="153"/>
      <c r="F131" s="153"/>
      <c r="G131" s="153"/>
      <c r="H131" s="153"/>
      <c r="I131" s="153"/>
      <c r="J131" s="155"/>
      <c r="K131" s="2"/>
      <c r="L131" s="2"/>
      <c r="M131" s="2"/>
    </row>
    <row r="132" spans="1:13">
      <c r="A132" s="161"/>
      <c r="B132" s="153"/>
      <c r="C132" s="153"/>
      <c r="D132" s="153"/>
      <c r="E132" s="153"/>
      <c r="F132" s="153"/>
      <c r="G132" s="153"/>
      <c r="H132" s="153"/>
      <c r="I132" s="153"/>
      <c r="J132" s="155"/>
      <c r="K132" s="2"/>
      <c r="L132" s="2"/>
      <c r="M132" s="2"/>
    </row>
    <row r="133" spans="1:13">
      <c r="A133" s="161"/>
      <c r="B133" s="153"/>
      <c r="C133" s="153"/>
      <c r="D133" s="153"/>
      <c r="E133" s="153"/>
      <c r="F133" s="153"/>
      <c r="G133" s="153"/>
      <c r="H133" s="153"/>
      <c r="I133" s="153"/>
      <c r="J133" s="155"/>
      <c r="K133" s="2"/>
      <c r="L133" s="2"/>
      <c r="M133" s="2"/>
    </row>
    <row r="134" spans="1:13">
      <c r="A134" s="161"/>
      <c r="B134" s="153"/>
      <c r="C134" s="153"/>
      <c r="D134" s="153"/>
      <c r="E134" s="153"/>
      <c r="F134" s="153"/>
      <c r="G134" s="153"/>
      <c r="H134" s="153"/>
      <c r="I134" s="153"/>
      <c r="J134" s="155"/>
      <c r="K134" s="2"/>
      <c r="L134" s="2"/>
      <c r="M134" s="2"/>
    </row>
    <row r="135" spans="1:13">
      <c r="A135" s="149"/>
      <c r="B135" s="162"/>
      <c r="C135" s="162"/>
      <c r="D135" s="162"/>
      <c r="E135" s="162"/>
      <c r="F135" s="162"/>
      <c r="G135" s="162"/>
      <c r="H135" s="163"/>
      <c r="I135" s="162"/>
      <c r="J135" s="150"/>
      <c r="K135" s="2"/>
      <c r="L135" s="2"/>
      <c r="M135" s="2"/>
    </row>
    <row r="136" spans="1:13">
      <c r="A136" s="2"/>
      <c r="B136" s="2"/>
      <c r="C136" s="2"/>
      <c r="D136" s="2"/>
      <c r="E136" s="2"/>
      <c r="F136" s="2"/>
      <c r="G136" s="2"/>
      <c r="H136" s="27"/>
      <c r="I136" s="2"/>
      <c r="J136" s="2"/>
      <c r="K136" s="2"/>
      <c r="L136" s="2"/>
      <c r="M136" s="2"/>
    </row>
    <row r="137" spans="1:13">
      <c r="A137" s="2"/>
      <c r="B137" s="2"/>
      <c r="C137" s="2"/>
      <c r="D137" s="2"/>
      <c r="E137" s="2"/>
      <c r="F137" s="2"/>
      <c r="G137" s="2"/>
      <c r="H137" s="27"/>
      <c r="I137" s="2"/>
      <c r="J137" s="2"/>
      <c r="K137" s="2"/>
      <c r="L137" s="2"/>
      <c r="M137" s="2"/>
    </row>
    <row r="138" spans="1:13">
      <c r="A138" s="2"/>
      <c r="B138" s="2"/>
      <c r="C138" s="2"/>
      <c r="D138" s="2"/>
      <c r="E138" s="2"/>
      <c r="F138" s="2"/>
      <c r="G138" s="2"/>
      <c r="H138" s="27"/>
      <c r="I138" s="2"/>
      <c r="J138" s="2"/>
      <c r="K138" s="2"/>
      <c r="L138" s="2"/>
      <c r="M138" s="2"/>
    </row>
  </sheetData>
  <sheetProtection sheet="1" objects="1" scenarios="1"/>
  <mergeCells count="1">
    <mergeCell ref="B48:F48"/>
  </mergeCells>
  <phoneticPr fontId="24"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4">
    <tabColor rgb="FF37ED05"/>
  </sheetPr>
  <dimension ref="A1:AC77"/>
  <sheetViews>
    <sheetView showZeros="0" zoomScale="90" zoomScaleNormal="90" workbookViewId="0">
      <selection activeCell="U10" sqref="U10"/>
    </sheetView>
  </sheetViews>
  <sheetFormatPr defaultRowHeight="12.75"/>
  <cols>
    <col min="2" max="2" width="15.7109375" customWidth="1"/>
    <col min="3" max="3" width="11" customWidth="1"/>
    <col min="4" max="4" width="13.7109375" customWidth="1"/>
    <col min="5" max="5" width="12.85546875" customWidth="1"/>
    <col min="6" max="6" width="13.85546875" customWidth="1"/>
    <col min="7" max="7" width="10.140625" customWidth="1"/>
    <col min="8" max="8" width="10.42578125" customWidth="1"/>
    <col min="9" max="9" width="8.85546875" customWidth="1"/>
    <col min="10" max="10" width="10.140625" customWidth="1"/>
    <col min="11" max="11" width="10.28515625" customWidth="1"/>
    <col min="13" max="13" width="12.5703125" customWidth="1"/>
    <col min="14" max="14" width="10.140625" customWidth="1"/>
    <col min="15" max="15" width="13.140625" customWidth="1"/>
    <col min="16" max="16" width="9.28515625" customWidth="1"/>
    <col min="17" max="17" width="11" customWidth="1"/>
    <col min="19" max="19" width="12.42578125" customWidth="1"/>
    <col min="20" max="20" width="15.140625" bestFit="1" customWidth="1"/>
    <col min="26" max="26" width="13.42578125" bestFit="1" customWidth="1"/>
  </cols>
  <sheetData>
    <row r="1" spans="1:29" ht="18">
      <c r="A1" s="1" t="s">
        <v>172</v>
      </c>
      <c r="B1" s="2"/>
      <c r="C1" s="4"/>
      <c r="D1" s="4"/>
      <c r="E1" s="4"/>
      <c r="F1" s="1174"/>
      <c r="G1" s="485"/>
      <c r="H1" s="485"/>
      <c r="I1" s="1174"/>
      <c r="J1" s="1174"/>
      <c r="K1" s="1174"/>
      <c r="L1" s="1174"/>
      <c r="M1" s="486"/>
      <c r="N1" s="486"/>
      <c r="O1" s="485"/>
      <c r="P1" s="486"/>
      <c r="Q1" s="486"/>
      <c r="R1" s="486"/>
      <c r="S1" s="486"/>
      <c r="T1" s="486"/>
      <c r="U1" s="486"/>
      <c r="V1" s="486"/>
      <c r="W1" s="486"/>
      <c r="X1" s="486"/>
      <c r="Y1" s="486"/>
      <c r="Z1" s="486"/>
      <c r="AA1" s="486"/>
    </row>
    <row r="2" spans="1:29" ht="15.75">
      <c r="A2" s="2025" t="s">
        <v>1617</v>
      </c>
      <c r="B2" s="2026" t="s">
        <v>1715</v>
      </c>
      <c r="C2" s="4"/>
      <c r="D2" s="4"/>
      <c r="E2" s="4"/>
      <c r="F2" s="1174"/>
      <c r="G2" s="485"/>
      <c r="H2" s="485"/>
      <c r="I2" s="1174"/>
      <c r="J2" s="1174"/>
      <c r="K2" s="1174"/>
      <c r="L2" s="1174"/>
      <c r="M2" s="1364"/>
      <c r="N2" s="1173"/>
      <c r="O2" s="485"/>
      <c r="P2" s="486"/>
      <c r="Q2" s="486"/>
      <c r="R2" s="486"/>
      <c r="S2" s="486"/>
      <c r="T2" s="486"/>
      <c r="U2" s="486"/>
      <c r="V2" s="486"/>
      <c r="W2" s="486"/>
      <c r="X2" s="486"/>
      <c r="Y2" s="486"/>
      <c r="Z2" s="486"/>
      <c r="AA2" s="486"/>
    </row>
    <row r="3" spans="1:29">
      <c r="C3" s="486"/>
      <c r="D3" s="486"/>
      <c r="E3" s="486"/>
      <c r="F3" s="486"/>
      <c r="G3" s="486"/>
      <c r="H3" s="486"/>
      <c r="I3" s="486"/>
      <c r="J3" s="486"/>
      <c r="K3" s="486"/>
      <c r="L3" s="486"/>
      <c r="M3" s="486"/>
      <c r="N3" s="486"/>
      <c r="O3" s="486"/>
      <c r="P3" s="486"/>
      <c r="Q3" s="486"/>
      <c r="R3" s="486"/>
      <c r="S3" s="486"/>
      <c r="T3" s="486"/>
      <c r="U3" s="486"/>
      <c r="V3" s="486"/>
      <c r="W3" s="486"/>
      <c r="X3" s="486"/>
      <c r="Y3" s="486"/>
      <c r="Z3" s="486"/>
      <c r="AA3" s="486"/>
    </row>
    <row r="4" spans="1:29" ht="13.5" thickBot="1">
      <c r="C4" s="486"/>
      <c r="D4" s="486"/>
      <c r="E4" s="486"/>
      <c r="F4" s="486"/>
      <c r="G4" s="486"/>
      <c r="H4" s="486"/>
      <c r="I4" s="486"/>
      <c r="J4" s="486"/>
      <c r="K4" s="486"/>
      <c r="L4" s="486"/>
      <c r="M4" s="486"/>
      <c r="N4" s="486"/>
      <c r="O4" s="486"/>
      <c r="P4" s="486"/>
      <c r="Q4" s="486"/>
      <c r="R4" s="486"/>
      <c r="S4" s="486"/>
      <c r="T4" s="486"/>
      <c r="U4" s="486"/>
      <c r="V4" s="486"/>
      <c r="W4" s="486"/>
      <c r="X4" s="486"/>
      <c r="Y4" s="486"/>
      <c r="Z4" s="486"/>
      <c r="AA4" s="486"/>
    </row>
    <row r="5" spans="1:29">
      <c r="A5" s="733"/>
      <c r="B5" s="734"/>
      <c r="C5" s="734"/>
      <c r="D5" s="734"/>
      <c r="E5" s="734"/>
      <c r="F5" s="529"/>
      <c r="G5" s="529"/>
      <c r="H5" s="529"/>
      <c r="I5" s="715"/>
      <c r="J5" s="715"/>
      <c r="K5" s="715"/>
      <c r="L5" s="715"/>
      <c r="M5" s="715"/>
      <c r="N5" s="715"/>
      <c r="O5" s="529"/>
      <c r="P5" s="529"/>
      <c r="Q5" s="530"/>
      <c r="R5" s="710"/>
      <c r="S5" s="1430"/>
      <c r="T5" s="1431"/>
      <c r="U5" s="1431"/>
      <c r="V5" s="1431"/>
      <c r="W5" s="1431"/>
      <c r="X5" s="1432"/>
      <c r="Y5" s="486"/>
      <c r="Z5" s="486"/>
      <c r="AA5" s="486"/>
    </row>
    <row r="6" spans="1:29" ht="18">
      <c r="A6" s="737"/>
      <c r="B6" s="14" t="s">
        <v>133</v>
      </c>
      <c r="C6" s="8"/>
      <c r="D6" s="24" t="str">
        <f>Huvudinmatning!C10</f>
        <v>Antal år:</v>
      </c>
      <c r="E6" s="24">
        <f>+Huvudinmatning!D10</f>
        <v>7</v>
      </c>
      <c r="F6" s="526"/>
      <c r="G6" s="526"/>
      <c r="H6" s="526"/>
      <c r="I6" s="526"/>
      <c r="J6" s="526"/>
      <c r="K6" s="526"/>
      <c r="L6" s="526"/>
      <c r="M6" s="526"/>
      <c r="N6" s="526"/>
      <c r="O6" s="526"/>
      <c r="P6" s="526"/>
      <c r="Q6" s="794"/>
      <c r="R6" s="1049"/>
      <c r="S6" s="1179"/>
      <c r="T6" s="1427" t="s">
        <v>135</v>
      </c>
      <c r="U6" s="1113" t="s">
        <v>136</v>
      </c>
      <c r="V6" s="1113"/>
      <c r="W6" s="1113"/>
      <c r="X6" s="1433"/>
      <c r="Y6" s="486"/>
      <c r="Z6" s="486"/>
      <c r="AA6" s="486"/>
    </row>
    <row r="7" spans="1:29" ht="15">
      <c r="A7" s="737"/>
      <c r="B7" s="8"/>
      <c r="C7" s="8"/>
      <c r="D7" s="8"/>
      <c r="E7" s="8"/>
      <c r="F7" s="526"/>
      <c r="G7" s="526"/>
      <c r="H7" s="526"/>
      <c r="I7" s="526"/>
      <c r="J7" s="526"/>
      <c r="K7" s="526"/>
      <c r="L7" s="526"/>
      <c r="M7" s="526"/>
      <c r="N7" s="526"/>
      <c r="O7" s="526"/>
      <c r="P7" s="526"/>
      <c r="Q7" s="794"/>
      <c r="R7" s="888"/>
      <c r="S7" s="1434"/>
      <c r="T7" s="1417"/>
      <c r="U7" s="1417"/>
      <c r="V7" s="1428"/>
      <c r="W7" s="1429"/>
      <c r="X7" s="1433"/>
      <c r="Y7" s="486"/>
      <c r="Z7" s="486"/>
      <c r="AA7" s="486"/>
    </row>
    <row r="8" spans="1:29" ht="15.75">
      <c r="A8" s="737"/>
      <c r="B8" s="780" t="s">
        <v>138</v>
      </c>
      <c r="C8" s="780" t="s">
        <v>139</v>
      </c>
      <c r="D8" s="812" t="s">
        <v>753</v>
      </c>
      <c r="E8" s="815" t="s">
        <v>751</v>
      </c>
      <c r="F8" s="819" t="s">
        <v>307</v>
      </c>
      <c r="G8" s="818" t="s">
        <v>173</v>
      </c>
      <c r="H8" s="700" t="s">
        <v>728</v>
      </c>
      <c r="I8" s="1083"/>
      <c r="J8" s="810"/>
      <c r="K8" s="1083"/>
      <c r="L8" s="810"/>
      <c r="M8" s="810"/>
      <c r="N8" s="810"/>
      <c r="O8" s="1084"/>
      <c r="P8" s="699" t="s">
        <v>141</v>
      </c>
      <c r="Q8" s="794"/>
      <c r="R8" s="888"/>
      <c r="S8" s="1122"/>
      <c r="T8" s="2038" t="s">
        <v>824</v>
      </c>
      <c r="U8" s="2011">
        <f>Z42</f>
        <v>0</v>
      </c>
      <c r="V8" s="1113" t="s">
        <v>143</v>
      </c>
      <c r="W8" s="1114"/>
      <c r="X8" s="1123"/>
      <c r="Y8" s="486"/>
      <c r="Z8" s="486"/>
      <c r="AA8" s="486"/>
    </row>
    <row r="9" spans="1:29" ht="15">
      <c r="A9" s="737"/>
      <c r="B9" s="781"/>
      <c r="C9" s="781" t="s">
        <v>133</v>
      </c>
      <c r="D9" s="813" t="s">
        <v>174</v>
      </c>
      <c r="E9" s="816" t="s">
        <v>752</v>
      </c>
      <c r="F9" s="820"/>
      <c r="G9" s="823" t="s">
        <v>757</v>
      </c>
      <c r="H9" s="834" t="s">
        <v>309</v>
      </c>
      <c r="I9" s="808" t="s">
        <v>770</v>
      </c>
      <c r="J9" s="834" t="s">
        <v>724</v>
      </c>
      <c r="K9" s="835" t="s">
        <v>759</v>
      </c>
      <c r="L9" s="836"/>
      <c r="M9" s="808" t="s">
        <v>803</v>
      </c>
      <c r="N9" s="822" t="s">
        <v>776</v>
      </c>
      <c r="O9" s="837" t="s">
        <v>804</v>
      </c>
      <c r="P9" s="796"/>
      <c r="Q9" s="794"/>
      <c r="R9" s="518"/>
      <c r="S9" s="1434"/>
      <c r="T9" s="2038" t="s">
        <v>1274</v>
      </c>
      <c r="U9" s="901">
        <f>Huvudinmatning!U32</f>
        <v>0</v>
      </c>
      <c r="V9" s="1113" t="s">
        <v>143</v>
      </c>
      <c r="W9" s="1114"/>
      <c r="X9" s="1433"/>
      <c r="Y9" s="486"/>
      <c r="Z9" s="486"/>
      <c r="AA9" s="486"/>
      <c r="AB9" s="153"/>
      <c r="AC9" s="74"/>
    </row>
    <row r="10" spans="1:29" ht="15">
      <c r="A10" s="737"/>
      <c r="B10" s="782"/>
      <c r="C10" s="782"/>
      <c r="D10" s="814"/>
      <c r="E10" s="817" t="s">
        <v>956</v>
      </c>
      <c r="F10" s="821" t="s">
        <v>143</v>
      </c>
      <c r="G10" s="824"/>
      <c r="H10" s="835"/>
      <c r="I10" s="838" t="s">
        <v>762</v>
      </c>
      <c r="J10" s="835" t="s">
        <v>762</v>
      </c>
      <c r="K10" s="755" t="s">
        <v>802</v>
      </c>
      <c r="L10" s="755" t="s">
        <v>762</v>
      </c>
      <c r="M10" s="838" t="s">
        <v>762</v>
      </c>
      <c r="N10" s="839" t="s">
        <v>762</v>
      </c>
      <c r="O10" s="836" t="s">
        <v>805</v>
      </c>
      <c r="P10" s="703" t="s">
        <v>143</v>
      </c>
      <c r="Q10" s="794"/>
      <c r="R10" s="2"/>
      <c r="S10" s="2012"/>
      <c r="T10" s="2038" t="s">
        <v>1275</v>
      </c>
      <c r="U10" s="912">
        <f>U8-U9</f>
        <v>0</v>
      </c>
      <c r="V10" s="1113" t="s">
        <v>143</v>
      </c>
      <c r="W10" s="1113" t="s">
        <v>144</v>
      </c>
      <c r="X10" s="1433"/>
      <c r="Y10" s="486"/>
      <c r="Z10" s="486"/>
      <c r="AA10" s="486"/>
      <c r="AB10" s="74"/>
      <c r="AC10" s="74"/>
    </row>
    <row r="11" spans="1:29" ht="15">
      <c r="A11" s="852"/>
      <c r="B11" s="765" t="str">
        <f>IF(Huvudinmatning!B14&gt;0,Huvudinmatning!B14," ")</f>
        <v xml:space="preserve">Höstraps </v>
      </c>
      <c r="C11" s="765">
        <f>IF(Huvudinmatning!C14&gt;0,Huvudinmatning!C14," ")</f>
        <v>3500</v>
      </c>
      <c r="D11" s="765">
        <f>IF(Huvudinmatning!P14&gt;0,Huvudinmatning!P14," ")</f>
        <v>14349.999999999998</v>
      </c>
      <c r="E11" s="731">
        <f>IF(B11=" "," ",INDEX('Tekniskt underlag'!$A$5:$E$33,MATCH(B11,'Tekniskt underlag'!$A$5:$A$33,0),4))</f>
        <v>11000</v>
      </c>
      <c r="F11" s="731">
        <f>IF(D11=" "," ",D11-E11)</f>
        <v>3349.9999999999982</v>
      </c>
      <c r="G11" s="768" t="str">
        <f>IF(Huvudinmatning!K14=TRUE,"ja "," ")</f>
        <v xml:space="preserve"> </v>
      </c>
      <c r="H11" s="473" t="str">
        <f>IF(Huvudinmatning!M14&gt;0,Huvudinmatning!M14," ")</f>
        <v xml:space="preserve"> </v>
      </c>
      <c r="I11" s="741" t="str">
        <f>IF(H11=" "," ",(INDEX(Stallgödseldata!B$16:L$32,MATCH(H11,Stallgödseldata!B$16:B$32,0),11)))</f>
        <v xml:space="preserve"> </v>
      </c>
      <c r="J11" s="805" t="str">
        <f>IF(H11=" "," ",(INDEX(Stallgödseldata!B$16:M$32,MATCH(H11,Stallgödseldata!B$16:B$32,0),12)))</f>
        <v xml:space="preserve"> </v>
      </c>
      <c r="K11" s="473" t="str">
        <f>IF(H11=" "," ",Huvudinmatning!O14)</f>
        <v xml:space="preserve"> </v>
      </c>
      <c r="L11" s="1099" t="str">
        <f>IF(H11=" "," ",IF(Stallgödseldata!AA9=1,(INDEX(Stallgödseldata!T$12:V$16,MATCH(Huvudinmatning!O14,Stallgödseldata!T$12:T$16,0),2)),IF(Stallgödseldata!AA9=2,(INDEX(Stallgödseldata!T$12:V$16,MATCH(Huvudinmatning!O14,Stallgödseldata!T$12:T$16,0),3)))))</f>
        <v xml:space="preserve"> </v>
      </c>
      <c r="M11" s="722"/>
      <c r="N11" s="722"/>
      <c r="O11" s="809">
        <f>IF(H11=" ",0,(I11-J11-L11-M11-N11)*Huvudinmatning!N14)</f>
        <v>0</v>
      </c>
      <c r="P11" s="809">
        <f>IF(B11=" "," ",D11-E11+O11)</f>
        <v>3349.9999999999982</v>
      </c>
      <c r="Q11" s="855"/>
      <c r="R11" s="2"/>
      <c r="S11" s="2013"/>
      <c r="T11" s="1428"/>
      <c r="U11" s="1177"/>
      <c r="V11" s="1177"/>
      <c r="W11" s="1177"/>
      <c r="X11" s="1433"/>
      <c r="Y11" s="486"/>
      <c r="Z11" s="486"/>
      <c r="AA11" s="486"/>
      <c r="AB11" s="153"/>
      <c r="AC11" s="74"/>
    </row>
    <row r="12" spans="1:29" ht="15">
      <c r="A12" s="852"/>
      <c r="B12" s="765" t="str">
        <f>IF(Huvudinmatning!B15&gt;0,Huvudinmatning!B15," ")</f>
        <v>Höstvete bröd</v>
      </c>
      <c r="C12" s="765">
        <f>IF(Huvudinmatning!C15&gt;0,Huvudinmatning!C15," ")</f>
        <v>8000</v>
      </c>
      <c r="D12" s="765">
        <f>IF(Huvudinmatning!P15&gt;0,Huvudinmatning!P15," ")</f>
        <v>11760</v>
      </c>
      <c r="E12" s="731">
        <f>IF(B12=" "," ",INDEX('Tekniskt underlag'!$A$5:$E$33,MATCH(B12,'Tekniskt underlag'!$A$5:$A$33,0),4))</f>
        <v>12000</v>
      </c>
      <c r="F12" s="731">
        <f t="shared" ref="F12:F20" si="0">IF(D12=" "," ",D12-E12)</f>
        <v>-240</v>
      </c>
      <c r="G12" s="768" t="str">
        <f>IF(Huvudinmatning!K15=TRUE,"ja "," ")</f>
        <v xml:space="preserve"> </v>
      </c>
      <c r="H12" s="473" t="str">
        <f>IF(Huvudinmatning!M15&gt;0,Huvudinmatning!M15," ")</f>
        <v xml:space="preserve"> </v>
      </c>
      <c r="I12" s="767" t="str">
        <f>IF(H12=" "," ",(INDEX(Stallgödseldata!B$16:L$27,MATCH(H12,Stallgödseldata!B$16:B$27,0),11)))</f>
        <v xml:space="preserve"> </v>
      </c>
      <c r="J12" s="805" t="str">
        <f>IF(H12=" "," ",(INDEX(Stallgödseldata!B$16:M$27,MATCH(H12,Stallgödseldata!B$16:B$27,0),12)))</f>
        <v xml:space="preserve"> </v>
      </c>
      <c r="K12" s="473" t="str">
        <f>IF(H12=" "," ",Huvudinmatning!O15)</f>
        <v xml:space="preserve"> </v>
      </c>
      <c r="L12" s="1099" t="str">
        <f>IF(H12=" "," ",IF(Stallgödseldata!AA10=1,(INDEX(Stallgödseldata!T$12:V$16,MATCH(Huvudinmatning!O15,Stallgödseldata!T$12:T$16,0),2)),IF(Stallgödseldata!AA10=2,(INDEX(Stallgödseldata!T$12:V$16,MATCH(Huvudinmatning!O15,Stallgödseldata!T$12:T$16,0),3)))))</f>
        <v xml:space="preserve"> </v>
      </c>
      <c r="M12" s="722"/>
      <c r="N12" s="722"/>
      <c r="O12" s="809">
        <f>IF(H12=" ",0,(I12-J12-L12-M12-N12)*Huvudinmatning!N15)</f>
        <v>0</v>
      </c>
      <c r="P12" s="809">
        <f t="shared" ref="P12:P20" si="1">IF(B12=" "," ",D12-E12+O12)</f>
        <v>-240</v>
      </c>
      <c r="Q12" s="855"/>
      <c r="R12" s="55"/>
      <c r="S12" s="1125"/>
      <c r="T12" s="1426" t="s">
        <v>896</v>
      </c>
      <c r="U12" s="1426"/>
      <c r="V12" s="1424" t="s">
        <v>890</v>
      </c>
      <c r="W12" s="1426" t="s">
        <v>888</v>
      </c>
      <c r="X12" s="1123"/>
      <c r="Y12" s="486"/>
      <c r="Z12" s="486"/>
      <c r="AA12" s="486"/>
      <c r="AB12" s="74"/>
      <c r="AC12" s="74"/>
    </row>
    <row r="13" spans="1:29" ht="15.75">
      <c r="A13" s="852"/>
      <c r="B13" s="765" t="str">
        <f>IF(Huvudinmatning!B16&gt;0,Huvudinmatning!B16," ")</f>
        <v>Höstvete bröd</v>
      </c>
      <c r="C13" s="765">
        <f>IF(Huvudinmatning!C16&gt;0,Huvudinmatning!C16," ")</f>
        <v>8000</v>
      </c>
      <c r="D13" s="765">
        <f>IF(Huvudinmatning!P16&gt;0,Huvudinmatning!P16," ")</f>
        <v>11760</v>
      </c>
      <c r="E13" s="731">
        <f>IF(B13=" "," ",INDEX('Tekniskt underlag'!$A$5:$E$33,MATCH(B13,'Tekniskt underlag'!$A$5:$A$33,0),4))</f>
        <v>12000</v>
      </c>
      <c r="F13" s="731">
        <f t="shared" si="0"/>
        <v>-240</v>
      </c>
      <c r="G13" s="768" t="str">
        <f>IF(Huvudinmatning!K16=TRUE,"ja "," ")</f>
        <v xml:space="preserve"> </v>
      </c>
      <c r="H13" s="473" t="str">
        <f>IF(Huvudinmatning!M16&gt;0,Huvudinmatning!M16," ")</f>
        <v xml:space="preserve"> </v>
      </c>
      <c r="I13" s="767" t="str">
        <f>IF(H13=" "," ",(INDEX(Stallgödseldata!B$16:L$27,MATCH(H13,Stallgödseldata!B$16:B$27,0),11)))</f>
        <v xml:space="preserve"> </v>
      </c>
      <c r="J13" s="805" t="str">
        <f>IF(H13=" "," ",(INDEX(Stallgödseldata!B$16:M$27,MATCH(H13,Stallgödseldata!B$16:B$27,0),12)))</f>
        <v xml:space="preserve"> </v>
      </c>
      <c r="K13" s="473" t="str">
        <f>IF(H13=" "," ",Huvudinmatning!O16)</f>
        <v xml:space="preserve"> </v>
      </c>
      <c r="L13" s="1099" t="str">
        <f>IF(H13=" "," ",IF(Stallgödseldata!AA11=1,(INDEX(Stallgödseldata!T$12:V$16,MATCH(Huvudinmatning!O16,Stallgödseldata!T$12:T$16,0),2)),IF(Stallgödseldata!AA11=2,(INDEX(Stallgödseldata!T$12:V$16,MATCH(Huvudinmatning!O16,Stallgödseldata!T$12:T$16,0),3)))))</f>
        <v xml:space="preserve"> </v>
      </c>
      <c r="M13" s="722"/>
      <c r="N13" s="722"/>
      <c r="O13" s="809">
        <f>IF(H13=" ",0,(I13-J13-L13-M13-N13)*Huvudinmatning!N16)</f>
        <v>0</v>
      </c>
      <c r="P13" s="809">
        <f t="shared" si="1"/>
        <v>-240</v>
      </c>
      <c r="Q13" s="855"/>
      <c r="R13" s="56"/>
      <c r="S13" s="1435"/>
      <c r="T13" s="1426" t="s">
        <v>897</v>
      </c>
      <c r="U13" s="1114"/>
      <c r="V13" s="1114" t="s">
        <v>891</v>
      </c>
      <c r="W13" s="1114" t="s">
        <v>889</v>
      </c>
      <c r="X13" s="1123"/>
      <c r="Y13" s="486"/>
      <c r="Z13" s="486"/>
      <c r="AA13" s="486"/>
      <c r="AB13" s="74"/>
      <c r="AC13" s="74"/>
    </row>
    <row r="14" spans="1:29" ht="15">
      <c r="A14" s="852"/>
      <c r="B14" s="765" t="str">
        <f>IF(Huvudinmatning!B17&gt;0,Huvudinmatning!B17," ")</f>
        <v>Foderärt</v>
      </c>
      <c r="C14" s="765">
        <f>IF(Huvudinmatning!C17&gt;0,Huvudinmatning!C17," ")</f>
        <v>4000</v>
      </c>
      <c r="D14" s="765">
        <f>IF(Huvudinmatning!P17&gt;0,Huvudinmatning!P17," ")</f>
        <v>7320</v>
      </c>
      <c r="E14" s="731">
        <f>IF(B14=" "," ",INDEX('Tekniskt underlag'!$A$5:$E$33,MATCH(B14,'Tekniskt underlag'!$A$5:$A$33,0),4))</f>
        <v>4100</v>
      </c>
      <c r="F14" s="731">
        <f t="shared" si="0"/>
        <v>3220</v>
      </c>
      <c r="G14" s="768" t="str">
        <f>IF(Huvudinmatning!K17=TRUE,"ja "," ")</f>
        <v xml:space="preserve"> </v>
      </c>
      <c r="H14" s="473" t="str">
        <f>IF(Huvudinmatning!M17&gt;0,Huvudinmatning!M17," ")</f>
        <v xml:space="preserve"> </v>
      </c>
      <c r="I14" s="767" t="str">
        <f>IF(H14=" "," ",(INDEX(Stallgödseldata!B$16:L$27,MATCH(H14,Stallgödseldata!B$16:B$27,0),11)))</f>
        <v xml:space="preserve"> </v>
      </c>
      <c r="J14" s="805" t="str">
        <f>IF(H14=" "," ",(INDEX(Stallgödseldata!B$16:M$27,MATCH(H14,Stallgödseldata!B$16:B$27,0),12)))</f>
        <v xml:space="preserve"> </v>
      </c>
      <c r="K14" s="473" t="str">
        <f>IF(H14=" "," ",Huvudinmatning!O17)</f>
        <v xml:space="preserve"> </v>
      </c>
      <c r="L14" s="1099" t="str">
        <f>IF(H14=" "," ",IF(Stallgödseldata!AA12=1,(INDEX(Stallgödseldata!T$12:V$16,MATCH(Huvudinmatning!O17,Stallgödseldata!T$12:T$16,0),2)),IF(Stallgödseldata!AA12=2,(INDEX(Stallgödseldata!T$12:V$16,MATCH(Huvudinmatning!O17,Stallgödseldata!T$12:T$16,0),3)))))</f>
        <v xml:space="preserve"> </v>
      </c>
      <c r="M14" s="722"/>
      <c r="N14" s="722"/>
      <c r="O14" s="809">
        <f>IF(H14=" ",0,(I14-J14-L14-M14-N14)*Huvudinmatning!N17)</f>
        <v>0</v>
      </c>
      <c r="P14" s="809">
        <f t="shared" si="1"/>
        <v>3220</v>
      </c>
      <c r="Q14" s="856"/>
      <c r="R14" s="2"/>
      <c r="S14" s="1436"/>
      <c r="T14" s="1437">
        <f>Huvudinmatning!M7</f>
        <v>0</v>
      </c>
      <c r="U14" s="1424" t="s">
        <v>823</v>
      </c>
      <c r="V14" s="1052">
        <f>Huvudinmatning!O5</f>
        <v>37.085628571428565</v>
      </c>
      <c r="W14" s="1420">
        <f>Huvudinmatning!P5</f>
        <v>2079.6185950411914</v>
      </c>
      <c r="X14" s="1123"/>
      <c r="Y14" s="486"/>
      <c r="Z14" s="486"/>
      <c r="AA14" s="486"/>
      <c r="AB14" s="74"/>
      <c r="AC14" s="74"/>
    </row>
    <row r="15" spans="1:29" ht="15">
      <c r="A15" s="852"/>
      <c r="B15" s="765" t="str">
        <f>IF(Huvudinmatning!B18&gt;0,Huvudinmatning!B18," ")</f>
        <v>Höstvete bröd</v>
      </c>
      <c r="C15" s="765">
        <f>IF(Huvudinmatning!C18&gt;0,Huvudinmatning!C18," ")</f>
        <v>8000</v>
      </c>
      <c r="D15" s="765">
        <f>IF(Huvudinmatning!P18&gt;0,Huvudinmatning!P18," ")</f>
        <v>11760</v>
      </c>
      <c r="E15" s="731">
        <f>IF(B15=" "," ",INDEX('Tekniskt underlag'!$A$5:$E$33,MATCH(B15,'Tekniskt underlag'!$A$5:$A$33,0),4))</f>
        <v>12000</v>
      </c>
      <c r="F15" s="731">
        <f t="shared" si="0"/>
        <v>-240</v>
      </c>
      <c r="G15" s="768" t="str">
        <f>IF(Huvudinmatning!K18=TRUE,"ja "," ")</f>
        <v xml:space="preserve"> </v>
      </c>
      <c r="H15" s="473" t="str">
        <f>IF(Huvudinmatning!M18&gt;0,Huvudinmatning!M18," ")</f>
        <v xml:space="preserve"> </v>
      </c>
      <c r="I15" s="767" t="str">
        <f>IF(H15=" "," ",(INDEX(Stallgödseldata!B$16:L$27,MATCH(H15,Stallgödseldata!B$16:B$27,0),11)))</f>
        <v xml:space="preserve"> </v>
      </c>
      <c r="J15" s="805" t="str">
        <f>IF(H15=" "," ",(INDEX(Stallgödseldata!B$16:M$27,MATCH(H15,Stallgödseldata!B$16:B$27,0),12)))</f>
        <v xml:space="preserve"> </v>
      </c>
      <c r="K15" s="473" t="str">
        <f>IF(H15=" "," ",Huvudinmatning!O18)</f>
        <v xml:space="preserve"> </v>
      </c>
      <c r="L15" s="1099" t="str">
        <f>IF(H15=" "," ",IF(Stallgödseldata!AA13=1,(INDEX(Stallgödseldata!T$12:V$16,MATCH(Huvudinmatning!O18,Stallgödseldata!T$12:T$16,0),2)),IF(Stallgödseldata!AA13=2,(INDEX(Stallgödseldata!T$12:V$16,MATCH(Huvudinmatning!O18,Stallgödseldata!T$12:T$16,0),3)))))</f>
        <v xml:space="preserve"> </v>
      </c>
      <c r="M15" s="722"/>
      <c r="N15" s="722"/>
      <c r="O15" s="809">
        <f>IF(H15=" ",0,(I15-J15-L15-M15-N15)*Huvudinmatning!N18)</f>
        <v>0</v>
      </c>
      <c r="P15" s="809">
        <f t="shared" si="1"/>
        <v>-240</v>
      </c>
      <c r="Q15" s="855"/>
      <c r="R15" s="2"/>
      <c r="S15" s="1436"/>
      <c r="T15" s="1114"/>
      <c r="U15" s="1424" t="s">
        <v>872</v>
      </c>
      <c r="V15" s="1052">
        <f>Huvudinmatning!O6</f>
        <v>37.085628571428565</v>
      </c>
      <c r="W15" s="1420">
        <f>Huvudinmatning!P6</f>
        <v>2079.6185950411914</v>
      </c>
      <c r="X15" s="1123"/>
      <c r="Y15" s="486"/>
      <c r="Z15" s="486"/>
      <c r="AA15" s="486"/>
    </row>
    <row r="16" spans="1:29" ht="15">
      <c r="A16" s="852"/>
      <c r="B16" s="765" t="str">
        <f>IF(Huvudinmatning!B19&gt;0,Huvudinmatning!B19," ")</f>
        <v>Höstvete bröd</v>
      </c>
      <c r="C16" s="765">
        <f>IF(Huvudinmatning!C19&gt;0,Huvudinmatning!C19," ")</f>
        <v>8000</v>
      </c>
      <c r="D16" s="765">
        <f>IF(Huvudinmatning!P19&gt;0,Huvudinmatning!P19," ")</f>
        <v>11760</v>
      </c>
      <c r="E16" s="731">
        <f>IF(B16=" "," ",INDEX('Tekniskt underlag'!$A$5:$E$33,MATCH(B16,'Tekniskt underlag'!$A$5:$A$33,0),4))</f>
        <v>12000</v>
      </c>
      <c r="F16" s="731">
        <f t="shared" si="0"/>
        <v>-240</v>
      </c>
      <c r="G16" s="768" t="str">
        <f>IF(Huvudinmatning!K19=TRUE,"ja "," ")</f>
        <v xml:space="preserve"> </v>
      </c>
      <c r="H16" s="473" t="str">
        <f>IF(Huvudinmatning!M19&gt;0,Huvudinmatning!M19," ")</f>
        <v xml:space="preserve"> </v>
      </c>
      <c r="I16" s="767" t="str">
        <f>IF(H16=" "," ",(INDEX(Stallgödseldata!B$16:L$27,MATCH(H16,Stallgödseldata!B$16:B$27,0),11)))</f>
        <v xml:space="preserve"> </v>
      </c>
      <c r="J16" s="805" t="str">
        <f>IF(H16=" "," ",(INDEX(Stallgödseldata!B$16:M$27,MATCH(H16,Stallgödseldata!B$16:B$27,0),12)))</f>
        <v xml:space="preserve"> </v>
      </c>
      <c r="K16" s="473" t="str">
        <f>IF(H16=" "," ",Huvudinmatning!O19)</f>
        <v xml:space="preserve"> </v>
      </c>
      <c r="L16" s="1099" t="str">
        <f>IF(H16=" "," ",IF(Stallgödseldata!AA14=1,(INDEX(Stallgödseldata!T$12:V$16,MATCH(Huvudinmatning!O19,Stallgödseldata!T$12:T$16,0),2)),IF(Stallgödseldata!AA14=2,(INDEX(Stallgödseldata!T$12:V$16,MATCH(Huvudinmatning!O19,Stallgödseldata!T$12:T$16,0),3)))))</f>
        <v xml:space="preserve"> </v>
      </c>
      <c r="M16" s="722"/>
      <c r="N16" s="722"/>
      <c r="O16" s="809">
        <f>IF(H16=" ",0,(I16-J16-L16-M16-N16)*Huvudinmatning!N19)</f>
        <v>0</v>
      </c>
      <c r="P16" s="809">
        <f t="shared" si="1"/>
        <v>-240</v>
      </c>
      <c r="Q16" s="857"/>
      <c r="R16" s="2"/>
      <c r="S16" s="1435"/>
      <c r="T16" s="1114"/>
      <c r="U16" s="1424" t="s">
        <v>10</v>
      </c>
      <c r="V16" s="1052">
        <f>Huvudinmatning!O7</f>
        <v>0</v>
      </c>
      <c r="W16" s="1420">
        <f>Huvudinmatning!P7</f>
        <v>0</v>
      </c>
      <c r="X16" s="1123"/>
      <c r="Y16" s="486"/>
      <c r="Z16" s="486"/>
      <c r="AA16" s="486"/>
    </row>
    <row r="17" spans="1:27" ht="15.75" thickBot="1">
      <c r="A17" s="852"/>
      <c r="B17" s="765" t="str">
        <f>IF(Huvudinmatning!B20&gt;0,Huvudinmatning!B20," ")</f>
        <v>Maltkorn</v>
      </c>
      <c r="C17" s="765">
        <f>IF(Huvudinmatning!C20&gt;0,Huvudinmatning!C20," ")</f>
        <v>5500</v>
      </c>
      <c r="D17" s="765">
        <f>IF(Huvudinmatning!P20&gt;0,Huvudinmatning!P20," ")</f>
        <v>8910</v>
      </c>
      <c r="E17" s="731">
        <f>IF(B17=" "," ",INDEX('Tekniskt underlag'!$A$5:$E$33,MATCH(B17,'Tekniskt underlag'!$A$5:$A$33,0),4))</f>
        <v>9500</v>
      </c>
      <c r="F17" s="731">
        <f t="shared" si="0"/>
        <v>-590</v>
      </c>
      <c r="G17" s="768" t="str">
        <f>IF(Huvudinmatning!K20=TRUE,"ja "," ")</f>
        <v xml:space="preserve"> </v>
      </c>
      <c r="H17" s="473" t="str">
        <f>IF(Huvudinmatning!M20&gt;0,Huvudinmatning!M20," ")</f>
        <v xml:space="preserve"> </v>
      </c>
      <c r="I17" s="767" t="str">
        <f>IF(H17=" "," ",(INDEX(Stallgödseldata!B$16:L$27,MATCH(H17,Stallgödseldata!B$16:B$27,0),11)))</f>
        <v xml:space="preserve"> </v>
      </c>
      <c r="J17" s="805" t="str">
        <f>IF(H17=" "," ",(INDEX(Stallgödseldata!B$16:M$27,MATCH(H17,Stallgödseldata!B$16:B$27,0),12)))</f>
        <v xml:space="preserve"> </v>
      </c>
      <c r="K17" s="473" t="str">
        <f>IF(H17=" "," ",Huvudinmatning!O20)</f>
        <v xml:space="preserve"> </v>
      </c>
      <c r="L17" s="1099" t="str">
        <f>IF(H17=" "," ",IF(Stallgödseldata!AA15=1,(INDEX(Stallgödseldata!T$12:V$16,MATCH(Huvudinmatning!O20,Stallgödseldata!T$12:T$16,0),2)),IF(Stallgödseldata!AA15=2,(INDEX(Stallgödseldata!T$12:V$16,MATCH(Huvudinmatning!O20,Stallgödseldata!T$12:T$16,0),3)))))</f>
        <v xml:space="preserve"> </v>
      </c>
      <c r="M17" s="722"/>
      <c r="N17" s="722"/>
      <c r="O17" s="809">
        <f>IF(H17=" ",0,(I17-J17-L17-M17-N17)*Huvudinmatning!N20)</f>
        <v>0</v>
      </c>
      <c r="P17" s="809">
        <f t="shared" si="1"/>
        <v>-590</v>
      </c>
      <c r="Q17" s="857"/>
      <c r="R17" s="486"/>
      <c r="S17" s="1192"/>
      <c r="T17" s="1193"/>
      <c r="U17" s="1128"/>
      <c r="V17" s="1128"/>
      <c r="W17" s="1128"/>
      <c r="X17" s="1129"/>
      <c r="Y17" s="486"/>
      <c r="Z17" s="486"/>
      <c r="AA17" s="486"/>
    </row>
    <row r="18" spans="1:27" ht="15">
      <c r="A18" s="852"/>
      <c r="B18" s="765" t="str">
        <f>IF(Huvudinmatning!B21&gt;0,Huvudinmatning!B21," ")</f>
        <v xml:space="preserve"> </v>
      </c>
      <c r="C18" s="765" t="str">
        <f>IF(Huvudinmatning!C21&gt;0,Huvudinmatning!C21," ")</f>
        <v xml:space="preserve"> </v>
      </c>
      <c r="D18" s="765" t="str">
        <f>IF(Huvudinmatning!P21&gt;0,Huvudinmatning!P21," ")</f>
        <v xml:space="preserve"> </v>
      </c>
      <c r="E18" s="731" t="str">
        <f>IF(B18=" "," ",INDEX('Tekniskt underlag'!$A$5:$E$33,MATCH(B18,'Tekniskt underlag'!$A$5:$A$33,0),4))</f>
        <v xml:space="preserve"> </v>
      </c>
      <c r="F18" s="731" t="str">
        <f t="shared" si="0"/>
        <v xml:space="preserve"> </v>
      </c>
      <c r="G18" s="768" t="str">
        <f>IF(Huvudinmatning!K21=TRUE,"ja "," ")</f>
        <v xml:space="preserve"> </v>
      </c>
      <c r="H18" s="473" t="str">
        <f>IF(Huvudinmatning!M21&gt;0,Huvudinmatning!M21," ")</f>
        <v xml:space="preserve"> </v>
      </c>
      <c r="I18" s="767" t="str">
        <f>IF(H18=" "," ",(INDEX(Stallgödseldata!B$16:L$27,MATCH(H18,Stallgödseldata!B$16:B$27,0),11)))</f>
        <v xml:space="preserve"> </v>
      </c>
      <c r="J18" s="805" t="str">
        <f>IF(H18=" "," ",(INDEX(Stallgödseldata!B$16:M$27,MATCH(H18,Stallgödseldata!B$16:B$27,0),12)))</f>
        <v xml:space="preserve"> </v>
      </c>
      <c r="K18" s="473" t="str">
        <f>IF(H18=" "," ",Huvudinmatning!O21)</f>
        <v xml:space="preserve"> </v>
      </c>
      <c r="L18" s="1099" t="str">
        <f>IF(H18=" "," ",IF(Stallgödseldata!AA16=1,(INDEX(Stallgödseldata!T$12:V$16,MATCH(Huvudinmatning!O21,Stallgödseldata!T$12:T$16,0),2)),IF(Stallgödseldata!AA16=2,(INDEX(Stallgödseldata!T$12:V$16,MATCH(Huvudinmatning!O21,Stallgödseldata!T$12:T$16,0),3)))))</f>
        <v xml:space="preserve"> </v>
      </c>
      <c r="M18" s="722"/>
      <c r="N18" s="722"/>
      <c r="O18" s="809">
        <f>IF(H18=" ",0,(I18-J18-L18-M18-N18)*Huvudinmatning!N21)</f>
        <v>0</v>
      </c>
      <c r="P18" s="809" t="str">
        <f t="shared" si="1"/>
        <v xml:space="preserve"> </v>
      </c>
      <c r="Q18" s="857"/>
      <c r="R18" s="486"/>
      <c r="S18" s="486"/>
      <c r="T18" s="486"/>
      <c r="U18" s="486"/>
      <c r="V18" s="486"/>
      <c r="W18" s="486"/>
      <c r="X18" s="486"/>
      <c r="Y18" s="486"/>
      <c r="Z18" s="486"/>
      <c r="AA18" s="486"/>
    </row>
    <row r="19" spans="1:27" ht="15">
      <c r="A19" s="852"/>
      <c r="B19" s="765" t="str">
        <f>IF(Huvudinmatning!B22&gt;0,Huvudinmatning!B22," ")</f>
        <v xml:space="preserve"> </v>
      </c>
      <c r="C19" s="765" t="str">
        <f>IF(Huvudinmatning!C22&gt;0,Huvudinmatning!C22," ")</f>
        <v xml:space="preserve"> </v>
      </c>
      <c r="D19" s="765" t="str">
        <f>IF(Huvudinmatning!P22&gt;0,Huvudinmatning!P22," ")</f>
        <v xml:space="preserve"> </v>
      </c>
      <c r="E19" s="731" t="str">
        <f>IF(B19=" "," ",INDEX('Tekniskt underlag'!$A$5:$E$33,MATCH(B19,'Tekniskt underlag'!$A$5:$A$33,0),4))</f>
        <v xml:space="preserve"> </v>
      </c>
      <c r="F19" s="731" t="str">
        <f t="shared" si="0"/>
        <v xml:space="preserve"> </v>
      </c>
      <c r="G19" s="768" t="str">
        <f>IF(Huvudinmatning!K22=TRUE,"ja "," ")</f>
        <v xml:space="preserve"> </v>
      </c>
      <c r="H19" s="473" t="str">
        <f>IF(Huvudinmatning!M22&gt;0,Huvudinmatning!M22," ")</f>
        <v xml:space="preserve"> </v>
      </c>
      <c r="I19" s="767" t="str">
        <f>IF(H19=" "," ",(INDEX(Stallgödseldata!B$16:L$27,MATCH(H19,Stallgödseldata!B$16:B$27,0),11)))</f>
        <v xml:space="preserve"> </v>
      </c>
      <c r="J19" s="805" t="str">
        <f>IF(H19=" "," ",(INDEX(Stallgödseldata!B$16:M$27,MATCH(H19,Stallgödseldata!B$16:B$27,0),12)))</f>
        <v xml:space="preserve"> </v>
      </c>
      <c r="K19" s="473" t="str">
        <f>IF(H19=" "," ",Huvudinmatning!O22)</f>
        <v xml:space="preserve"> </v>
      </c>
      <c r="L19" s="1099" t="str">
        <f>IF(H19=" "," ",IF(Stallgödseldata!AA17=1,(INDEX(Stallgödseldata!T$12:V$16,MATCH(Huvudinmatning!O22,Stallgödseldata!T$12:T$16,0),2)),IF(Stallgödseldata!AA17=2,(INDEX(Stallgödseldata!T$12:V$16,MATCH(Huvudinmatning!O22,Stallgödseldata!T$12:T$16,0),3)))))</f>
        <v xml:space="preserve"> </v>
      </c>
      <c r="M19" s="722"/>
      <c r="N19" s="722"/>
      <c r="O19" s="809">
        <f>IF(H19=" ",0,(I19-J19-L19-M19-N19)*Huvudinmatning!N22)</f>
        <v>0</v>
      </c>
      <c r="P19" s="809" t="str">
        <f t="shared" si="1"/>
        <v xml:space="preserve"> </v>
      </c>
      <c r="Q19" s="857"/>
      <c r="R19" s="486"/>
      <c r="S19" s="486"/>
      <c r="T19" s="486"/>
      <c r="U19" s="486"/>
      <c r="V19" s="486"/>
      <c r="W19" s="486"/>
      <c r="X19" s="486"/>
      <c r="Y19" s="486"/>
      <c r="Z19" s="486"/>
      <c r="AA19" s="486"/>
    </row>
    <row r="20" spans="1:27">
      <c r="A20" s="737"/>
      <c r="B20" s="765" t="str">
        <f>IF(Huvudinmatning!B23&gt;0,Huvudinmatning!B23," ")</f>
        <v xml:space="preserve"> </v>
      </c>
      <c r="C20" s="765" t="str">
        <f>IF(Huvudinmatning!C23&gt;0,Huvudinmatning!C23," ")</f>
        <v xml:space="preserve"> </v>
      </c>
      <c r="D20" s="765" t="str">
        <f>IF(Huvudinmatning!P23&gt;0,Huvudinmatning!P23," ")</f>
        <v xml:space="preserve"> </v>
      </c>
      <c r="E20" s="731" t="str">
        <f>IF(B20=" "," ",INDEX('Tekniskt underlag'!$A$5:$E$33,MATCH(B20,'Tekniskt underlag'!$A$5:$A$33,0),4))</f>
        <v xml:space="preserve"> </v>
      </c>
      <c r="F20" s="731" t="str">
        <f t="shared" si="0"/>
        <v xml:space="preserve"> </v>
      </c>
      <c r="G20" s="768" t="str">
        <f>IF(Huvudinmatning!K23=TRUE,"ja "," ")</f>
        <v xml:space="preserve"> </v>
      </c>
      <c r="H20" s="473" t="str">
        <f>IF(Huvudinmatning!M23&gt;0,Huvudinmatning!M23," ")</f>
        <v xml:space="preserve"> </v>
      </c>
      <c r="I20" s="767" t="str">
        <f>IF(H20=" "," ",(INDEX(Stallgödseldata!B$16:L$27,MATCH(H20,Stallgödseldata!B$16:B$27,0),11)))</f>
        <v xml:space="preserve"> </v>
      </c>
      <c r="J20" s="805" t="str">
        <f>IF(H20=" "," ",(INDEX(Stallgödseldata!B$16:M$27,MATCH(H20,Stallgödseldata!B$16:B$27,0),12)))</f>
        <v xml:space="preserve"> </v>
      </c>
      <c r="K20" s="473" t="str">
        <f>IF(H20=" "," ",Huvudinmatning!O23)</f>
        <v xml:space="preserve"> </v>
      </c>
      <c r="L20" s="1099" t="str">
        <f>IF(H20=" "," ",IF(Stallgödseldata!AA18=1,(INDEX(Stallgödseldata!T$12:V$16,MATCH(Huvudinmatning!O23,Stallgödseldata!T$12:T$16,0),2)),IF(Stallgödseldata!AA18=2,(INDEX(Stallgödseldata!T$12:V$16,MATCH(Huvudinmatning!O23,Stallgödseldata!T$12:T$16,0),3)))))</f>
        <v xml:space="preserve"> </v>
      </c>
      <c r="M20" s="722"/>
      <c r="N20" s="722"/>
      <c r="O20" s="809">
        <f>IF(H20=" ",0,(I20-J20-L20-M20-N20)*Huvudinmatning!N23)</f>
        <v>0</v>
      </c>
      <c r="P20" s="809" t="str">
        <f t="shared" si="1"/>
        <v xml:space="preserve"> </v>
      </c>
      <c r="Q20" s="736"/>
      <c r="R20" s="486"/>
      <c r="S20" s="486"/>
      <c r="T20" s="486"/>
      <c r="U20" s="486"/>
      <c r="V20" s="486"/>
      <c r="W20" s="486"/>
      <c r="X20" s="486"/>
      <c r="Y20" s="486"/>
      <c r="Z20" s="486"/>
      <c r="AA20" s="486"/>
    </row>
    <row r="21" spans="1:27" ht="15">
      <c r="A21" s="852"/>
      <c r="B21" s="762"/>
      <c r="C21" s="811" t="s">
        <v>175</v>
      </c>
      <c r="D21" s="38">
        <f>SUM(D11:D20)</f>
        <v>77620</v>
      </c>
      <c r="E21" s="38">
        <f>SUM(E11:E20)</f>
        <v>72600</v>
      </c>
      <c r="F21" s="38">
        <f>SUM(F11:F20)</f>
        <v>5019.9999999999982</v>
      </c>
      <c r="G21" s="526"/>
      <c r="H21" s="526"/>
      <c r="I21" s="526"/>
      <c r="J21" s="526"/>
      <c r="K21" s="526"/>
      <c r="L21" s="526"/>
      <c r="M21" s="526"/>
      <c r="N21" s="16" t="s">
        <v>175</v>
      </c>
      <c r="O21" s="16"/>
      <c r="P21" s="1098">
        <f>SUM(P11:P20)/E6</f>
        <v>717.14285714285688</v>
      </c>
      <c r="Q21" s="857"/>
      <c r="R21" s="486"/>
      <c r="S21" s="486"/>
      <c r="T21" s="486"/>
      <c r="U21" s="486"/>
      <c r="V21" s="486"/>
      <c r="W21" s="486"/>
      <c r="X21" s="486"/>
      <c r="Y21" s="486"/>
      <c r="Z21" s="486"/>
      <c r="AA21" s="486"/>
    </row>
    <row r="22" spans="1:27" ht="16.5" thickBot="1">
      <c r="A22" s="854"/>
      <c r="B22" s="858"/>
      <c r="C22" s="859"/>
      <c r="D22" s="739"/>
      <c r="E22" s="860"/>
      <c r="F22" s="562"/>
      <c r="G22" s="562"/>
      <c r="H22" s="562"/>
      <c r="I22" s="562"/>
      <c r="J22" s="562"/>
      <c r="K22" s="562"/>
      <c r="L22" s="562"/>
      <c r="M22" s="562"/>
      <c r="N22" s="562"/>
      <c r="O22" s="562"/>
      <c r="P22" s="562"/>
      <c r="Q22" s="861"/>
      <c r="R22" s="486"/>
      <c r="S22" s="486"/>
      <c r="T22" s="486"/>
      <c r="U22" s="486"/>
      <c r="V22" s="486"/>
      <c r="W22" s="486"/>
      <c r="X22" s="486"/>
      <c r="Y22" s="486"/>
      <c r="Z22" s="486"/>
      <c r="AA22" s="486"/>
    </row>
    <row r="23" spans="1:27" ht="15.75" thickBot="1">
      <c r="A23" s="485"/>
      <c r="B23" s="485"/>
      <c r="C23" s="485"/>
      <c r="D23" s="485"/>
      <c r="E23" s="485"/>
      <c r="F23" s="485"/>
      <c r="G23" s="1209"/>
      <c r="H23" s="1209"/>
      <c r="I23" s="1209"/>
      <c r="J23" s="1209"/>
      <c r="K23" s="1209"/>
      <c r="L23" s="1209"/>
      <c r="M23" s="485"/>
      <c r="N23" s="485"/>
      <c r="O23" s="485"/>
      <c r="P23" s="486"/>
      <c r="Q23" s="486"/>
      <c r="R23" s="486"/>
      <c r="S23" s="486"/>
      <c r="T23" s="486"/>
      <c r="U23" s="486"/>
      <c r="V23" s="486"/>
      <c r="W23" s="486"/>
      <c r="X23" s="486"/>
      <c r="Y23" s="486"/>
      <c r="Z23" s="486"/>
      <c r="AA23" s="486"/>
    </row>
    <row r="24" spans="1:27" ht="15">
      <c r="A24" s="847"/>
      <c r="B24" s="715"/>
      <c r="C24" s="715"/>
      <c r="D24" s="715"/>
      <c r="E24" s="529"/>
      <c r="F24" s="529"/>
      <c r="G24" s="715"/>
      <c r="H24" s="848"/>
      <c r="I24" s="848"/>
      <c r="J24" s="848"/>
      <c r="K24" s="848"/>
      <c r="L24" s="848"/>
      <c r="M24" s="848"/>
      <c r="N24" s="848"/>
      <c r="O24" s="715"/>
      <c r="P24" s="715"/>
      <c r="Q24" s="529"/>
      <c r="R24" s="529"/>
      <c r="S24" s="529"/>
      <c r="T24" s="529"/>
      <c r="U24" s="529"/>
      <c r="V24" s="529"/>
      <c r="W24" s="529"/>
      <c r="X24" s="529"/>
      <c r="Y24" s="529"/>
      <c r="Z24" s="529"/>
      <c r="AA24" s="530"/>
    </row>
    <row r="25" spans="1:27" ht="15.75">
      <c r="A25" s="849"/>
      <c r="B25" s="830" t="s">
        <v>147</v>
      </c>
      <c r="C25" s="716"/>
      <c r="D25" s="831" t="str">
        <f>Huvudinmatning!C28</f>
        <v>Antal år:</v>
      </c>
      <c r="E25" s="833">
        <f>+Huvudinmatning!D28</f>
        <v>7</v>
      </c>
      <c r="F25" s="526"/>
      <c r="G25" s="665"/>
      <c r="H25" s="789"/>
      <c r="I25" s="832"/>
      <c r="J25" s="1096"/>
      <c r="K25" s="789"/>
      <c r="L25" s="789"/>
      <c r="M25" s="789"/>
      <c r="N25" s="789"/>
      <c r="O25" s="716"/>
      <c r="P25" s="716"/>
      <c r="Q25" s="526"/>
      <c r="R25" s="526"/>
      <c r="S25" s="526"/>
      <c r="T25" s="526"/>
      <c r="U25" s="526"/>
      <c r="V25" s="526"/>
      <c r="W25" s="526"/>
      <c r="X25" s="526"/>
      <c r="Y25" s="526"/>
      <c r="Z25" s="526"/>
      <c r="AA25" s="527"/>
    </row>
    <row r="26" spans="1:27" ht="15.75">
      <c r="A26" s="849"/>
      <c r="B26" s="526"/>
      <c r="C26" s="526"/>
      <c r="D26" s="526"/>
      <c r="E26" s="526"/>
      <c r="F26" s="526"/>
      <c r="G26" s="526"/>
      <c r="H26" s="526"/>
      <c r="I26" s="526"/>
      <c r="J26" s="825"/>
      <c r="K26" s="825"/>
      <c r="L26" s="825"/>
      <c r="M26" s="783"/>
      <c r="N26" s="783"/>
      <c r="O26" s="783"/>
      <c r="P26" s="526"/>
      <c r="Q26" s="526"/>
      <c r="R26" s="526"/>
      <c r="S26" s="789"/>
      <c r="T26" s="716"/>
      <c r="U26" s="789"/>
      <c r="V26" s="526"/>
      <c r="W26" s="716"/>
      <c r="X26" s="526"/>
      <c r="Y26" s="526"/>
      <c r="Z26" s="526"/>
      <c r="AA26" s="875"/>
    </row>
    <row r="27" spans="1:27" ht="15.75">
      <c r="A27" s="849"/>
      <c r="B27" s="819" t="s">
        <v>138</v>
      </c>
      <c r="C27" s="886" t="s">
        <v>139</v>
      </c>
      <c r="D27" s="1085" t="s">
        <v>753</v>
      </c>
      <c r="E27" s="2125" t="s">
        <v>751</v>
      </c>
      <c r="F27" s="1086" t="s">
        <v>756</v>
      </c>
      <c r="G27" s="810"/>
      <c r="H27" s="810"/>
      <c r="I27" s="1087"/>
      <c r="J27" s="810"/>
      <c r="K27" s="1083"/>
      <c r="L27" s="810"/>
      <c r="M27" s="810"/>
      <c r="N27" s="810"/>
      <c r="O27" s="810"/>
      <c r="P27" s="1083"/>
      <c r="Q27" s="1083"/>
      <c r="R27" s="2063"/>
      <c r="S27" s="2063"/>
      <c r="T27" s="2063"/>
      <c r="U27" s="2063"/>
      <c r="V27" s="2063"/>
      <c r="W27" s="2063"/>
      <c r="X27" s="2063"/>
      <c r="Y27" s="1521"/>
      <c r="Z27" s="840"/>
      <c r="AA27" s="875"/>
    </row>
    <row r="28" spans="1:27">
      <c r="A28" s="850"/>
      <c r="B28" s="1088"/>
      <c r="C28" s="1089" t="s">
        <v>147</v>
      </c>
      <c r="D28" s="1090" t="s">
        <v>174</v>
      </c>
      <c r="E28" s="674" t="s">
        <v>752</v>
      </c>
      <c r="F28" s="1091" t="s">
        <v>503</v>
      </c>
      <c r="G28" s="1092" t="s">
        <v>807</v>
      </c>
      <c r="H28" s="676"/>
      <c r="I28" s="1093"/>
      <c r="J28" s="675" t="s">
        <v>806</v>
      </c>
      <c r="K28" s="838"/>
      <c r="L28" s="676"/>
      <c r="M28" s="838"/>
      <c r="N28" s="676"/>
      <c r="O28" s="676"/>
      <c r="P28" s="676"/>
      <c r="Q28" s="838"/>
      <c r="R28" s="2064" t="s">
        <v>181</v>
      </c>
      <c r="S28" s="701"/>
      <c r="T28" s="701"/>
      <c r="U28" s="701"/>
      <c r="V28" s="701"/>
      <c r="W28" s="701"/>
      <c r="X28" s="701"/>
      <c r="Y28" s="2065"/>
      <c r="Z28" s="1090" t="s">
        <v>141</v>
      </c>
      <c r="AA28" s="794"/>
    </row>
    <row r="29" spans="1:27">
      <c r="A29" s="737"/>
      <c r="B29" s="879"/>
      <c r="C29" s="1090"/>
      <c r="D29" s="1090"/>
      <c r="E29" s="674" t="s">
        <v>956</v>
      </c>
      <c r="F29" s="1088" t="s">
        <v>894</v>
      </c>
      <c r="G29" s="808" t="s">
        <v>758</v>
      </c>
      <c r="H29" s="1094" t="s">
        <v>176</v>
      </c>
      <c r="I29" s="808" t="s">
        <v>182</v>
      </c>
      <c r="J29" s="840" t="s">
        <v>309</v>
      </c>
      <c r="K29" s="808" t="s">
        <v>770</v>
      </c>
      <c r="L29" s="834" t="s">
        <v>724</v>
      </c>
      <c r="M29" s="835" t="s">
        <v>759</v>
      </c>
      <c r="N29" s="836"/>
      <c r="O29" s="808" t="s">
        <v>803</v>
      </c>
      <c r="P29" s="822" t="s">
        <v>776</v>
      </c>
      <c r="Q29" s="808" t="s">
        <v>804</v>
      </c>
      <c r="R29" s="844"/>
      <c r="S29" s="826" t="s">
        <v>177</v>
      </c>
      <c r="T29" s="827" t="s">
        <v>178</v>
      </c>
      <c r="U29" s="827" t="s">
        <v>179</v>
      </c>
      <c r="V29" s="827" t="s">
        <v>180</v>
      </c>
      <c r="W29" s="827" t="s">
        <v>180</v>
      </c>
      <c r="X29" s="873" t="s">
        <v>1273</v>
      </c>
      <c r="Y29" s="829" t="s">
        <v>703</v>
      </c>
      <c r="Z29" s="1095"/>
      <c r="AA29" s="736"/>
    </row>
    <row r="30" spans="1:27">
      <c r="A30" s="737"/>
      <c r="B30" s="885"/>
      <c r="C30" s="1093"/>
      <c r="D30" s="1093"/>
      <c r="E30" s="676"/>
      <c r="F30" s="885"/>
      <c r="G30" s="808" t="s">
        <v>496</v>
      </c>
      <c r="H30" s="839"/>
      <c r="I30" s="808" t="s">
        <v>186</v>
      </c>
      <c r="J30" s="839"/>
      <c r="K30" s="808" t="s">
        <v>762</v>
      </c>
      <c r="L30" s="835" t="s">
        <v>762</v>
      </c>
      <c r="M30" s="755" t="s">
        <v>802</v>
      </c>
      <c r="N30" s="755" t="s">
        <v>762</v>
      </c>
      <c r="O30" s="838" t="s">
        <v>762</v>
      </c>
      <c r="P30" s="839" t="s">
        <v>762</v>
      </c>
      <c r="Q30" s="808" t="s">
        <v>805</v>
      </c>
      <c r="R30" s="845" t="s">
        <v>176</v>
      </c>
      <c r="S30" s="842" t="s">
        <v>182</v>
      </c>
      <c r="T30" s="827"/>
      <c r="U30" s="7" t="s">
        <v>183</v>
      </c>
      <c r="V30" s="828" t="s">
        <v>184</v>
      </c>
      <c r="W30" s="828" t="s">
        <v>185</v>
      </c>
      <c r="X30" s="874" t="s">
        <v>186</v>
      </c>
      <c r="Y30" s="874"/>
      <c r="Z30" s="753" t="s">
        <v>143</v>
      </c>
      <c r="AA30" s="736"/>
    </row>
    <row r="31" spans="1:27" ht="15.75">
      <c r="A31" s="851"/>
      <c r="B31" s="784" t="str">
        <f>IF(Huvudinmatning!B33&gt;0,IF(Huvudinmatning!D33&gt;0,Huvudinmatning!D33,Huvudinmatning!B33)," ")</f>
        <v xml:space="preserve">Höstraps </v>
      </c>
      <c r="C31" s="764">
        <f>IF(Huvudinmatning!H33&gt;0,Huvudinmatning!H33," ")</f>
        <v>3500</v>
      </c>
      <c r="D31" s="1462">
        <f>IF(Huvudinmatning!W33&gt;0,Huvudinmatning!W33," ")</f>
        <v>14349.999999999998</v>
      </c>
      <c r="E31" s="763">
        <f>IF(B31=" "," ",INDEX('Tekniskt underlag'!$A$5:$E$33,MATCH(B31,'Tekniskt underlag'!$A$5:$A$33,0),4))</f>
        <v>11000</v>
      </c>
      <c r="F31" s="767">
        <f>IF(Huvudinmatning!S65=" ",0,(Huvudinmatning!S65*Huvudinmatning!T65/1000))</f>
        <v>0</v>
      </c>
      <c r="G31" s="768" t="str">
        <f>IF(Huvudinmatning!O33=TRUE,"ja "," ")</f>
        <v xml:space="preserve"> </v>
      </c>
      <c r="H31" s="769"/>
      <c r="I31" s="2180"/>
      <c r="J31" s="473" t="str">
        <f>IF(Huvudinmatning!R33&gt;0,Huvudinmatning!R33," ")</f>
        <v xml:space="preserve"> </v>
      </c>
      <c r="K31" s="741" t="str">
        <f>IF(J31=" "," ",(INDEX(Stallgödseldata!B$16:N$27,MATCH(J31,Stallgödseldata!B$16:B$27,0),11)))</f>
        <v xml:space="preserve"> </v>
      </c>
      <c r="L31" s="805" t="str">
        <f>IF(J31=" "," ",(INDEX(Stallgödseldata!B$16:Q$27,MATCH(J31,Stallgödseldata!B$16:B$27,0),12)))</f>
        <v xml:space="preserve"> </v>
      </c>
      <c r="M31" s="473" t="str">
        <f>IF(J31=" "," ",Huvudinmatning!T33)</f>
        <v xml:space="preserve"> </v>
      </c>
      <c r="N31" s="1099" t="str">
        <f>IF(J31=" "," ",IF(Stallgödseldata!AA22=1,(INDEX(Stallgödseldata!T$12:V$16,MATCH(M31,Stallgödseldata!T$12:T$16,0),2)),IF(Stallgödseldata!AA22=2,(INDEX(Stallgödseldata!T$12:V$16,MATCH(M31,Stallgödseldata!T$12:T$16,0),3)))))</f>
        <v xml:space="preserve"> </v>
      </c>
      <c r="O31" s="769"/>
      <c r="P31" s="769"/>
      <c r="Q31" s="809">
        <f>IF(J31=" ",0,(K31-L31-N31-O31-P31)*Huvudinmatning!S33)</f>
        <v>0</v>
      </c>
      <c r="R31" s="843"/>
      <c r="S31" s="771"/>
      <c r="T31" s="771"/>
      <c r="U31" s="771"/>
      <c r="V31" s="771"/>
      <c r="W31" s="771"/>
      <c r="X31" s="771"/>
      <c r="Y31" s="772"/>
      <c r="Z31" s="876">
        <f>IF(B31=" "," ",IF(C31=0,0,(D31-E31-F31-H31-I31+Q31-R31-S31-T31-U31-V31-W31-X31-Y31)))</f>
        <v>3349.9999999999982</v>
      </c>
      <c r="AA31" s="736"/>
    </row>
    <row r="32" spans="1:27" ht="15.75">
      <c r="A32" s="851"/>
      <c r="B32" s="784" t="str">
        <f>IF(Huvudinmatning!B34&gt;0,IF(Huvudinmatning!D34&gt;0,Huvudinmatning!D34,Huvudinmatning!B34)," ")</f>
        <v>Höstvete bröd</v>
      </c>
      <c r="C32" s="764">
        <f>IF(Huvudinmatning!H34&gt;0,Huvudinmatning!H34," ")</f>
        <v>8000</v>
      </c>
      <c r="D32" s="1462">
        <f>IF(Huvudinmatning!W34&gt;0,Huvudinmatning!W34," ")</f>
        <v>11760</v>
      </c>
      <c r="E32" s="763">
        <f>IF(B32=" "," ",INDEX('Tekniskt underlag'!$A$5:$E$33,MATCH(B32,'Tekniskt underlag'!$A$5:$A$33,0),4))</f>
        <v>12000</v>
      </c>
      <c r="F32" s="767">
        <f>IF(Huvudinmatning!S66=" ",0,(Huvudinmatning!S66*Huvudinmatning!T66/1000))</f>
        <v>0</v>
      </c>
      <c r="G32" s="768" t="str">
        <f>IF(Huvudinmatning!O34=TRUE,"ja "," ")</f>
        <v xml:space="preserve"> </v>
      </c>
      <c r="H32" s="769"/>
      <c r="I32" s="2180"/>
      <c r="J32" s="473" t="str">
        <f>IF(Huvudinmatning!R34&gt;0,Huvudinmatning!R34," ")</f>
        <v xml:space="preserve"> </v>
      </c>
      <c r="K32" s="741" t="str">
        <f>IF(J32=" "," ",(INDEX(Stallgödseldata!B$16:N$27,MATCH(J32,Stallgödseldata!B$16:B$27,0),11)))</f>
        <v xml:space="preserve"> </v>
      </c>
      <c r="L32" s="805" t="str">
        <f>IF(J32=" "," ",(INDEX(Stallgödseldata!B$16:Q$27,MATCH(J32,Stallgödseldata!B$16:B$27,0),12)))</f>
        <v xml:space="preserve"> </v>
      </c>
      <c r="M32" s="473" t="str">
        <f>IF(J32=" "," ",Huvudinmatning!T34)</f>
        <v xml:space="preserve"> </v>
      </c>
      <c r="N32" s="1099" t="str">
        <f>IF(J32=" "," ",IF(Stallgödseldata!AA23=1,(INDEX(Stallgödseldata!T$12:V$16,MATCH(M32,Stallgödseldata!T$12:T$16,0),2)),IF(Stallgödseldata!AA23=2,(INDEX(Stallgödseldata!T$12:V$16,MATCH(M32,Stallgödseldata!T$12:T$16,0),3)))))</f>
        <v xml:space="preserve"> </v>
      </c>
      <c r="O32" s="769"/>
      <c r="P32" s="769"/>
      <c r="Q32" s="809">
        <f>IF(J32=" ",0,(K32-L32-N32-O32-P32)*Huvudinmatning!S34)</f>
        <v>0</v>
      </c>
      <c r="R32" s="770"/>
      <c r="S32" s="771"/>
      <c r="T32" s="771"/>
      <c r="U32" s="771"/>
      <c r="V32" s="771"/>
      <c r="W32" s="771"/>
      <c r="X32" s="771"/>
      <c r="Y32" s="2512"/>
      <c r="Z32" s="876">
        <f>IF(B32=" "," ",IF(C32=0,0,(D32-E32-F32-H32-I32+Q32-R32-S32-T32-U32-V32-W32-X32-Y32)))</f>
        <v>-240</v>
      </c>
      <c r="AA32" s="736"/>
    </row>
    <row r="33" spans="1:27" ht="15.75">
      <c r="A33" s="851"/>
      <c r="B33" s="784" t="str">
        <f>IF(Huvudinmatning!B35&gt;0,IF(Huvudinmatning!D35&gt;0,Huvudinmatning!D35,Huvudinmatning!B35)," ")</f>
        <v>Höstvete bröd</v>
      </c>
      <c r="C33" s="764">
        <f>IF(Huvudinmatning!H35&gt;0,Huvudinmatning!H35," ")</f>
        <v>8000</v>
      </c>
      <c r="D33" s="1462">
        <f>IF(Huvudinmatning!W35&gt;0,Huvudinmatning!W35," ")</f>
        <v>11760</v>
      </c>
      <c r="E33" s="763">
        <f>IF(B33=" "," ",INDEX('Tekniskt underlag'!$A$5:$E$33,MATCH(B33,'Tekniskt underlag'!$A$5:$A$33,0),4))</f>
        <v>12000</v>
      </c>
      <c r="F33" s="767">
        <f>IF(Huvudinmatning!S67=" ",0,(Huvudinmatning!S67*Huvudinmatning!T67/1000))</f>
        <v>0</v>
      </c>
      <c r="G33" s="768" t="str">
        <f>IF(Huvudinmatning!O35=TRUE,"ja "," ")</f>
        <v xml:space="preserve"> </v>
      </c>
      <c r="H33" s="769"/>
      <c r="I33" s="2180"/>
      <c r="J33" s="473" t="str">
        <f>IF(Huvudinmatning!R35&gt;0,Huvudinmatning!R35," ")</f>
        <v xml:space="preserve"> </v>
      </c>
      <c r="K33" s="741" t="str">
        <f>IF(J33=" "," ",(INDEX(Stallgödseldata!B$16:N$27,MATCH(J33,Stallgödseldata!B$16:B$27,0),11)))</f>
        <v xml:space="preserve"> </v>
      </c>
      <c r="L33" s="805" t="str">
        <f>IF(J33=" "," ",(INDEX(Stallgödseldata!B$16:Q$27,MATCH(J33,Stallgödseldata!B$16:B$27,0),12)))</f>
        <v xml:space="preserve"> </v>
      </c>
      <c r="M33" s="473" t="str">
        <f>IF(J33=" "," ",Huvudinmatning!T35)</f>
        <v xml:space="preserve"> </v>
      </c>
      <c r="N33" s="1099" t="str">
        <f>IF(J33=" "," ",IF(Stallgödseldata!AA24=1,(INDEX(Stallgödseldata!T$12:V$16,MATCH(M33,Stallgödseldata!T$12:T$16,0),2)),IF(Stallgödseldata!AA24=2,(INDEX(Stallgödseldata!T$12:V$16,MATCH(M33,Stallgödseldata!T$12:T$16,0),3)))))</f>
        <v xml:space="preserve"> </v>
      </c>
      <c r="O33" s="769"/>
      <c r="P33" s="769"/>
      <c r="Q33" s="809">
        <f>IF(J33=" ",0,(K33-L33-N33-O33-P33)*Huvudinmatning!S35)</f>
        <v>0</v>
      </c>
      <c r="R33" s="770"/>
      <c r="S33" s="771"/>
      <c r="T33" s="771"/>
      <c r="U33" s="771"/>
      <c r="V33" s="771"/>
      <c r="W33" s="771"/>
      <c r="X33" s="771"/>
      <c r="Y33" s="771"/>
      <c r="Z33" s="876">
        <f t="shared" ref="Z33:Z40" si="2">IF(B33=" "," ",IF(C33=0,0,(D33-E33-F33-H33-I33+Q33-R33-S33-T33-U33-V33-W33-X33-Y33)))</f>
        <v>-240</v>
      </c>
      <c r="AA33" s="736"/>
    </row>
    <row r="34" spans="1:27" ht="15.75">
      <c r="A34" s="851"/>
      <c r="B34" s="784" t="str">
        <f>IF(Huvudinmatning!B36&gt;0,IF(Huvudinmatning!D36&gt;0,Huvudinmatning!D36,Huvudinmatning!B36)," ")</f>
        <v>Foderärt</v>
      </c>
      <c r="C34" s="764">
        <f>IF(Huvudinmatning!H36&gt;0,Huvudinmatning!H36," ")</f>
        <v>4000</v>
      </c>
      <c r="D34" s="1462">
        <f>IF(Huvudinmatning!W36&gt;0,Huvudinmatning!W36," ")</f>
        <v>7320</v>
      </c>
      <c r="E34" s="763">
        <f>IF(B34=" "," ",INDEX('Tekniskt underlag'!$A$5:$E$33,MATCH(B34,'Tekniskt underlag'!$A$5:$A$33,0),4))</f>
        <v>4100</v>
      </c>
      <c r="F34" s="767">
        <f>IF(Huvudinmatning!S68=" ",0,(Huvudinmatning!S68*Huvudinmatning!T68/1000))</f>
        <v>0</v>
      </c>
      <c r="G34" s="768" t="str">
        <f>IF(Huvudinmatning!O36=TRUE,"ja "," ")</f>
        <v xml:space="preserve"> </v>
      </c>
      <c r="H34" s="769"/>
      <c r="I34" s="2180"/>
      <c r="J34" s="473" t="str">
        <f>IF(Huvudinmatning!R36&gt;0,Huvudinmatning!R36," ")</f>
        <v xml:space="preserve"> </v>
      </c>
      <c r="K34" s="741" t="str">
        <f>IF(J34=" "," ",(INDEX(Stallgödseldata!B$16:N$27,MATCH(J34,Stallgödseldata!B$16:B$27,0),11)))</f>
        <v xml:space="preserve"> </v>
      </c>
      <c r="L34" s="805" t="str">
        <f>IF(J34=" "," ",(INDEX(Stallgödseldata!B$16:Q$27,MATCH(J34,Stallgödseldata!B$16:B$27,0),12)))</f>
        <v xml:space="preserve"> </v>
      </c>
      <c r="M34" s="473" t="str">
        <f>IF(J34=" "," ",Huvudinmatning!T36)</f>
        <v xml:space="preserve"> </v>
      </c>
      <c r="N34" s="1099" t="str">
        <f>IF(J34=" "," ",IF(Stallgödseldata!AA25=1,(INDEX(Stallgödseldata!T$12:V$16,MATCH(M34,Stallgödseldata!T$12:T$16,0),2)),IF(Stallgödseldata!AA25=2,(INDEX(Stallgödseldata!T$12:V$16,MATCH(M34,Stallgödseldata!T$12:T$16,0),3)))))</f>
        <v xml:space="preserve"> </v>
      </c>
      <c r="O34" s="769"/>
      <c r="P34" s="769"/>
      <c r="Q34" s="809">
        <f>IF(J34=" ",0,(K34-L34-N34-O34-P34)*Huvudinmatning!S36)</f>
        <v>0</v>
      </c>
      <c r="R34" s="770"/>
      <c r="S34" s="771"/>
      <c r="T34" s="771"/>
      <c r="U34" s="771"/>
      <c r="V34" s="771"/>
      <c r="W34" s="771"/>
      <c r="X34" s="771"/>
      <c r="Y34" s="771"/>
      <c r="Z34" s="876">
        <f t="shared" si="2"/>
        <v>3220</v>
      </c>
      <c r="AA34" s="736"/>
    </row>
    <row r="35" spans="1:27" ht="15">
      <c r="A35" s="852"/>
      <c r="B35" s="784" t="str">
        <f>IF(Huvudinmatning!B37&gt;0,IF(Huvudinmatning!D37&gt;0,Huvudinmatning!D37,Huvudinmatning!B37)," ")</f>
        <v>Höstvete bröd</v>
      </c>
      <c r="C35" s="764">
        <f>IF(Huvudinmatning!H37&gt;0,Huvudinmatning!H37," ")</f>
        <v>8000</v>
      </c>
      <c r="D35" s="1462">
        <f>IF(Huvudinmatning!W37&gt;0,Huvudinmatning!W37," ")</f>
        <v>11760</v>
      </c>
      <c r="E35" s="763">
        <f>IF(B35=" "," ",INDEX('Tekniskt underlag'!$A$5:$E$33,MATCH(B35,'Tekniskt underlag'!$A$5:$A$33,0),4))</f>
        <v>12000</v>
      </c>
      <c r="F35" s="767">
        <f>IF(Huvudinmatning!S69=" ",0,(Huvudinmatning!S69*Huvudinmatning!T69/1000))</f>
        <v>0</v>
      </c>
      <c r="G35" s="768" t="str">
        <f>IF(Huvudinmatning!O37=TRUE,"ja "," ")</f>
        <v xml:space="preserve"> </v>
      </c>
      <c r="H35" s="769"/>
      <c r="I35" s="2180"/>
      <c r="J35" s="473" t="str">
        <f>IF(Huvudinmatning!R37&gt;0,Huvudinmatning!R37," ")</f>
        <v xml:space="preserve"> </v>
      </c>
      <c r="K35" s="741" t="str">
        <f>IF(J35=" "," ",(INDEX(Stallgödseldata!B$16:N$27,MATCH(J35,Stallgödseldata!B$16:B$27,0),11)))</f>
        <v xml:space="preserve"> </v>
      </c>
      <c r="L35" s="805" t="str">
        <f>IF(J35=" "," ",(INDEX(Stallgödseldata!B$16:Q$27,MATCH(J35,Stallgödseldata!B$16:B$27,0),12)))</f>
        <v xml:space="preserve"> </v>
      </c>
      <c r="M35" s="473" t="str">
        <f>IF(J35=" "," ",Huvudinmatning!T37)</f>
        <v xml:space="preserve"> </v>
      </c>
      <c r="N35" s="1099" t="str">
        <f>IF(J35=" "," ",IF(Stallgödseldata!AA26=1,(INDEX(Stallgödseldata!T$12:V$16,MATCH(M35,Stallgödseldata!T$12:T$16,0),2)),IF(Stallgödseldata!AA26=2,(INDEX(Stallgödseldata!T$12:V$16,MATCH(M35,Stallgödseldata!T$12:T$16,0),3)))))</f>
        <v xml:space="preserve"> </v>
      </c>
      <c r="O35" s="769"/>
      <c r="P35" s="769"/>
      <c r="Q35" s="809">
        <f>IF(J35=" ",0,(K35-L35-N35-O35-P35)*Huvudinmatning!S37)</f>
        <v>0</v>
      </c>
      <c r="R35" s="770"/>
      <c r="S35" s="771"/>
      <c r="T35" s="771"/>
      <c r="U35" s="771"/>
      <c r="V35" s="771"/>
      <c r="W35" s="771"/>
      <c r="X35" s="771"/>
      <c r="Y35" s="771"/>
      <c r="Z35" s="876">
        <f t="shared" si="2"/>
        <v>-240</v>
      </c>
      <c r="AA35" s="736"/>
    </row>
    <row r="36" spans="1:27" ht="15">
      <c r="A36" s="852"/>
      <c r="B36" s="784" t="str">
        <f>IF(Huvudinmatning!B38&gt;0,IF(Huvudinmatning!D38&gt;0,Huvudinmatning!D38,Huvudinmatning!B38)," ")</f>
        <v>Höstvete bröd</v>
      </c>
      <c r="C36" s="764">
        <f>IF(Huvudinmatning!H38&gt;0,Huvudinmatning!H38," ")</f>
        <v>8000</v>
      </c>
      <c r="D36" s="1462">
        <f>IF(Huvudinmatning!W38&gt;0,Huvudinmatning!W38," ")</f>
        <v>11760</v>
      </c>
      <c r="E36" s="763">
        <f>IF(B36=" "," ",INDEX('Tekniskt underlag'!$A$5:$E$33,MATCH(B36,'Tekniskt underlag'!$A$5:$A$33,0),4))</f>
        <v>12000</v>
      </c>
      <c r="F36" s="767">
        <f>IF(Huvudinmatning!S70=" ",0,(Huvudinmatning!S70*Huvudinmatning!T70/1000))</f>
        <v>0</v>
      </c>
      <c r="G36" s="768" t="str">
        <f>IF(Huvudinmatning!O38=TRUE,"ja "," ")</f>
        <v xml:space="preserve"> </v>
      </c>
      <c r="H36" s="769"/>
      <c r="I36" s="2180"/>
      <c r="J36" s="473" t="str">
        <f>IF(Huvudinmatning!R38&gt;0,Huvudinmatning!R38," ")</f>
        <v xml:space="preserve"> </v>
      </c>
      <c r="K36" s="741" t="str">
        <f>IF(J36=" "," ",(INDEX(Stallgödseldata!B$16:N$27,MATCH(J36,Stallgödseldata!B$16:B$27,0),11)))</f>
        <v xml:space="preserve"> </v>
      </c>
      <c r="L36" s="805" t="str">
        <f>IF(J36=" "," ",(INDEX(Stallgödseldata!B$16:Q$27,MATCH(J36,Stallgödseldata!B$16:B$27,0),12)))</f>
        <v xml:space="preserve"> </v>
      </c>
      <c r="M36" s="473" t="str">
        <f>IF(J36=" "," ",Huvudinmatning!T38)</f>
        <v xml:space="preserve"> </v>
      </c>
      <c r="N36" s="1099" t="str">
        <f>IF(J36=" "," ",IF(Stallgödseldata!AA27=1,(INDEX(Stallgödseldata!T$12:V$16,MATCH(M36,Stallgödseldata!T$12:T$16,0),2)),IF(Stallgödseldata!AA27=2,(INDEX(Stallgödseldata!T$12:V$16,MATCH(M36,Stallgödseldata!T$12:T$16,0),3)))))</f>
        <v xml:space="preserve"> </v>
      </c>
      <c r="O36" s="769"/>
      <c r="P36" s="769"/>
      <c r="Q36" s="809">
        <f>IF(J36=" ",0,(K36-L36-N36-O36-P36)*Huvudinmatning!S38)</f>
        <v>0</v>
      </c>
      <c r="R36" s="770"/>
      <c r="S36" s="771"/>
      <c r="T36" s="771"/>
      <c r="U36" s="771"/>
      <c r="V36" s="771"/>
      <c r="W36" s="771"/>
      <c r="X36" s="771"/>
      <c r="Y36" s="771"/>
      <c r="Z36" s="876">
        <f t="shared" si="2"/>
        <v>-240</v>
      </c>
      <c r="AA36" s="736"/>
    </row>
    <row r="37" spans="1:27" ht="15">
      <c r="A37" s="852"/>
      <c r="B37" s="784" t="str">
        <f>IF(Huvudinmatning!B39&gt;0,IF(Huvudinmatning!D39&gt;0,Huvudinmatning!D39,Huvudinmatning!B39)," ")</f>
        <v>Maltkorn</v>
      </c>
      <c r="C37" s="764">
        <f>IF(Huvudinmatning!H39&gt;0,Huvudinmatning!H39," ")</f>
        <v>5500</v>
      </c>
      <c r="D37" s="1462">
        <f>IF(Huvudinmatning!W39&gt;0,Huvudinmatning!W39," ")</f>
        <v>8910</v>
      </c>
      <c r="E37" s="763">
        <f>IF(B37=" "," ",INDEX('Tekniskt underlag'!$A$5:$E$33,MATCH(B37,'Tekniskt underlag'!$A$5:$A$33,0),4))</f>
        <v>9500</v>
      </c>
      <c r="F37" s="767">
        <f>IF(Huvudinmatning!S71=" ",0,(Huvudinmatning!S71*Huvudinmatning!T71/1000))</f>
        <v>0</v>
      </c>
      <c r="G37" s="768" t="str">
        <f>IF(Huvudinmatning!O39=TRUE,"ja "," ")</f>
        <v xml:space="preserve"> </v>
      </c>
      <c r="H37" s="769"/>
      <c r="I37" s="2180"/>
      <c r="J37" s="473" t="str">
        <f>IF(Huvudinmatning!R39&gt;0,Huvudinmatning!R39," ")</f>
        <v xml:space="preserve"> </v>
      </c>
      <c r="K37" s="741" t="str">
        <f>IF(J37=" "," ",(INDEX(Stallgödseldata!B$16:N$27,MATCH(J37,Stallgödseldata!B$16:B$27,0),11)))</f>
        <v xml:space="preserve"> </v>
      </c>
      <c r="L37" s="805" t="str">
        <f>IF(J37=" "," ",(INDEX(Stallgödseldata!B$16:Q$27,MATCH(J37,Stallgödseldata!B$16:B$27,0),12)))</f>
        <v xml:space="preserve"> </v>
      </c>
      <c r="M37" s="473" t="str">
        <f>IF(J37=" "," ",Huvudinmatning!T39)</f>
        <v xml:space="preserve"> </v>
      </c>
      <c r="N37" s="1099" t="str">
        <f>IF(J37=" "," ",IF(Stallgödseldata!AA28=1,(INDEX(Stallgödseldata!T$12:V$16,MATCH(M37,Stallgödseldata!T$12:T$16,0),2)),IF(Stallgödseldata!AA28=2,(INDEX(Stallgödseldata!T$12:V$16,MATCH(M37,Stallgödseldata!T$12:T$16,0),3)))))</f>
        <v xml:space="preserve"> </v>
      </c>
      <c r="O37" s="769"/>
      <c r="P37" s="769"/>
      <c r="Q37" s="809">
        <f>IF(J37=" ",0,(K37-L37-N37-O37-P37)*Huvudinmatning!S39)</f>
        <v>0</v>
      </c>
      <c r="R37" s="770"/>
      <c r="S37" s="771"/>
      <c r="T37" s="771"/>
      <c r="U37" s="771"/>
      <c r="V37" s="771"/>
      <c r="W37" s="771"/>
      <c r="X37" s="771"/>
      <c r="Y37" s="771"/>
      <c r="Z37" s="876">
        <f t="shared" si="2"/>
        <v>-590</v>
      </c>
      <c r="AA37" s="736"/>
    </row>
    <row r="38" spans="1:27" ht="15">
      <c r="A38" s="852"/>
      <c r="B38" s="784" t="str">
        <f>IF(Huvudinmatning!B40&gt;0,IF(Huvudinmatning!D40&gt;0,Huvudinmatning!D40,Huvudinmatning!B40)," ")</f>
        <v xml:space="preserve"> </v>
      </c>
      <c r="C38" s="764" t="str">
        <f>IF(Huvudinmatning!H40&gt;0,Huvudinmatning!H40," ")</f>
        <v xml:space="preserve"> </v>
      </c>
      <c r="D38" s="1462" t="str">
        <f>IF(Huvudinmatning!W40&gt;0,Huvudinmatning!W40," ")</f>
        <v xml:space="preserve"> </v>
      </c>
      <c r="E38" s="763" t="str">
        <f>IF(B38=" "," ",INDEX('Tekniskt underlag'!$A$5:$E$33,MATCH(B38,'Tekniskt underlag'!$A$5:$A$33,0),4))</f>
        <v xml:space="preserve"> </v>
      </c>
      <c r="F38" s="767">
        <f>IF(Huvudinmatning!S72=" ",0,(Huvudinmatning!S72*Huvudinmatning!T72/1000))</f>
        <v>0</v>
      </c>
      <c r="G38" s="768" t="str">
        <f>IF(Huvudinmatning!O40=TRUE,"ja "," ")</f>
        <v xml:space="preserve"> </v>
      </c>
      <c r="H38" s="769"/>
      <c r="I38" s="769"/>
      <c r="J38" s="473" t="str">
        <f>IF(Huvudinmatning!R40&gt;0,Huvudinmatning!R40," ")</f>
        <v xml:space="preserve"> </v>
      </c>
      <c r="K38" s="741" t="str">
        <f>IF(J38=" "," ",(INDEX(Stallgödseldata!B$16:N$27,MATCH(J38,Stallgödseldata!B$16:B$27,0),11)))</f>
        <v xml:space="preserve"> </v>
      </c>
      <c r="L38" s="805" t="str">
        <f>IF(J38=" "," ",(INDEX(Stallgödseldata!B$16:Q$27,MATCH(J38,Stallgödseldata!B$16:B$27,0),12)))</f>
        <v xml:space="preserve"> </v>
      </c>
      <c r="M38" s="473" t="str">
        <f>IF(J38=" "," ",Huvudinmatning!T40)</f>
        <v xml:space="preserve"> </v>
      </c>
      <c r="N38" s="1099" t="str">
        <f>IF(J38=" "," ",IF(Stallgödseldata!AA29=1,(INDEX(Stallgödseldata!T$12:V$16,MATCH(M38,Stallgödseldata!T$12:T$16,0),2)),IF(Stallgödseldata!AA29=2,(INDEX(Stallgödseldata!T$12:V$16,MATCH(M38,Stallgödseldata!T$12:T$16,0),3)))))</f>
        <v xml:space="preserve"> </v>
      </c>
      <c r="O38" s="769"/>
      <c r="P38" s="769"/>
      <c r="Q38" s="809">
        <f>IF(J38=" ",0,(K38-L38-N38-O38-P38)*Huvudinmatning!S40)</f>
        <v>0</v>
      </c>
      <c r="R38" s="770"/>
      <c r="S38" s="771"/>
      <c r="T38" s="771"/>
      <c r="U38" s="771"/>
      <c r="V38" s="771"/>
      <c r="W38" s="771"/>
      <c r="X38" s="771"/>
      <c r="Y38" s="771"/>
      <c r="Z38" s="876" t="str">
        <f t="shared" si="2"/>
        <v xml:space="preserve"> </v>
      </c>
      <c r="AA38" s="736"/>
    </row>
    <row r="39" spans="1:27" ht="15">
      <c r="A39" s="852"/>
      <c r="B39" s="784" t="str">
        <f>IF(Huvudinmatning!B41&gt;0,IF(Huvudinmatning!D41&gt;0,Huvudinmatning!D41,Huvudinmatning!B41)," ")</f>
        <v xml:space="preserve"> </v>
      </c>
      <c r="C39" s="764" t="str">
        <f>IF(Huvudinmatning!H41&gt;0,Huvudinmatning!H41," ")</f>
        <v xml:space="preserve"> </v>
      </c>
      <c r="D39" s="1462" t="str">
        <f>IF(Huvudinmatning!W41&gt;0,Huvudinmatning!W41," ")</f>
        <v xml:space="preserve"> </v>
      </c>
      <c r="E39" s="763" t="str">
        <f>IF(B39=" "," ",INDEX('Tekniskt underlag'!$A$5:$E$33,MATCH(B39,'Tekniskt underlag'!$A$5:$A$33,0),4))</f>
        <v xml:space="preserve"> </v>
      </c>
      <c r="F39" s="767">
        <f>IF(Huvudinmatning!S73=" ",0,(Huvudinmatning!S73*Huvudinmatning!T73/1000))</f>
        <v>0</v>
      </c>
      <c r="G39" s="768" t="str">
        <f>IF(Huvudinmatning!O41=TRUE,"ja "," ")</f>
        <v xml:space="preserve"> </v>
      </c>
      <c r="H39" s="769"/>
      <c r="I39" s="769"/>
      <c r="J39" s="473" t="str">
        <f>IF(Huvudinmatning!R41&gt;0,Huvudinmatning!R41," ")</f>
        <v xml:space="preserve"> </v>
      </c>
      <c r="K39" s="741" t="str">
        <f>IF(J39=" "," ",(INDEX(Stallgödseldata!B$16:N$27,MATCH(J39,Stallgödseldata!B$16:B$27,0),11)))</f>
        <v xml:space="preserve"> </v>
      </c>
      <c r="L39" s="805" t="str">
        <f>IF(J39=" "," ",(INDEX(Stallgödseldata!B$16:Q$27,MATCH(J39,Stallgödseldata!B$16:B$27,0),12)))</f>
        <v xml:space="preserve"> </v>
      </c>
      <c r="M39" s="473" t="str">
        <f>IF(J39=" "," ",Huvudinmatning!T41)</f>
        <v xml:space="preserve"> </v>
      </c>
      <c r="N39" s="1099" t="str">
        <f>IF(J39=" "," ",IF(Stallgödseldata!AA30=1,(INDEX(Stallgödseldata!T$12:V$16,MATCH(M39,Stallgödseldata!T$12:T$16,0),2)),IF(Stallgödseldata!AA30=2,(INDEX(Stallgödseldata!T$12:V$16,MATCH(M39,Stallgödseldata!T$12:T$16,0),3)))))</f>
        <v xml:space="preserve"> </v>
      </c>
      <c r="O39" s="769"/>
      <c r="P39" s="769"/>
      <c r="Q39" s="809">
        <f>IF(J39=" ",0,(K39-L39-N39-O39-P39)*Huvudinmatning!S41)</f>
        <v>0</v>
      </c>
      <c r="R39" s="770"/>
      <c r="S39" s="771"/>
      <c r="T39" s="771"/>
      <c r="U39" s="771"/>
      <c r="V39" s="771"/>
      <c r="W39" s="771"/>
      <c r="X39" s="771"/>
      <c r="Y39" s="771"/>
      <c r="Z39" s="876" t="str">
        <f t="shared" si="2"/>
        <v xml:space="preserve"> </v>
      </c>
      <c r="AA39" s="736"/>
    </row>
    <row r="40" spans="1:27" ht="15">
      <c r="A40" s="852"/>
      <c r="B40" s="784" t="str">
        <f>IF(Huvudinmatning!B42&gt;0,IF(Huvudinmatning!D42&gt;0,Huvudinmatning!D42,Huvudinmatning!B42)," ")</f>
        <v xml:space="preserve"> </v>
      </c>
      <c r="C40" s="764" t="str">
        <f>IF(Huvudinmatning!H42&gt;0,Huvudinmatning!H42," ")</f>
        <v xml:space="preserve"> </v>
      </c>
      <c r="D40" s="1463" t="str">
        <f>IF(Huvudinmatning!W42&gt;0,Huvudinmatning!W42," ")</f>
        <v xml:space="preserve"> </v>
      </c>
      <c r="E40" s="763" t="str">
        <f>IF(B40=" "," ",INDEX('Tekniskt underlag'!$A$5:$E$33,MATCH(B40,'Tekniskt underlag'!$A$5:$A$33,0),4))</f>
        <v xml:space="preserve"> </v>
      </c>
      <c r="F40" s="767">
        <f>IF(Huvudinmatning!S74=" ",0,(Huvudinmatning!S74*Huvudinmatning!T74/1000))</f>
        <v>0</v>
      </c>
      <c r="G40" s="768" t="str">
        <f>IF(Huvudinmatning!O42=TRUE,"ja "," ")</f>
        <v xml:space="preserve"> </v>
      </c>
      <c r="H40" s="769"/>
      <c r="I40" s="769"/>
      <c r="J40" s="473" t="str">
        <f>IF(Huvudinmatning!R42&gt;0,Huvudinmatning!R42," ")</f>
        <v xml:space="preserve"> </v>
      </c>
      <c r="K40" s="741" t="str">
        <f>IF(J40=" "," ",(INDEX(Stallgödseldata!B$16:N$27,MATCH(J40,Stallgödseldata!B$16:B$27,0),11)))</f>
        <v xml:space="preserve"> </v>
      </c>
      <c r="L40" s="805" t="str">
        <f>IF(J40=" "," ",(INDEX(Stallgödseldata!B$16:Q$27,MATCH(J40,Stallgödseldata!B$16:B$27,0),12)))</f>
        <v xml:space="preserve"> </v>
      </c>
      <c r="M40" s="473" t="str">
        <f>IF(J40=" "," ",Huvudinmatning!T42)</f>
        <v xml:space="preserve"> </v>
      </c>
      <c r="N40" s="1099" t="str">
        <f>IF(J40=" "," ",IF(Stallgödseldata!AA31=1,(INDEX(Stallgödseldata!T$12:V$16,MATCH(M40,Stallgödseldata!T$12:T$16,0),2)),IF(Stallgödseldata!AA31=2,(INDEX(Stallgödseldata!T$12:V$16,MATCH(M40,Stallgödseldata!T$12:T$16,0),3)))))</f>
        <v xml:space="preserve"> </v>
      </c>
      <c r="O40" s="769"/>
      <c r="P40" s="769"/>
      <c r="Q40" s="809">
        <f>IF(J40=" ",0,(K40-L40-N40-O40-P40)*Huvudinmatning!S42)</f>
        <v>0</v>
      </c>
      <c r="R40" s="770"/>
      <c r="S40" s="771"/>
      <c r="T40" s="771"/>
      <c r="U40" s="771"/>
      <c r="V40" s="771"/>
      <c r="W40" s="771"/>
      <c r="X40" s="771"/>
      <c r="Y40" s="771"/>
      <c r="Z40" s="876" t="str">
        <f t="shared" si="2"/>
        <v xml:space="preserve"> </v>
      </c>
      <c r="AA40" s="736"/>
    </row>
    <row r="41" spans="1:27" ht="16.5" thickBot="1">
      <c r="A41" s="852"/>
      <c r="B41" s="853"/>
      <c r="C41" s="21"/>
      <c r="D41" s="876">
        <f>SUM(D31:D40)</f>
        <v>77620</v>
      </c>
      <c r="E41" s="85">
        <f>SUM(E31:E40)</f>
        <v>72600</v>
      </c>
      <c r="F41" s="526"/>
      <c r="G41" s="526"/>
      <c r="H41" s="526"/>
      <c r="I41" s="526"/>
      <c r="J41" s="526"/>
      <c r="K41" s="526"/>
      <c r="L41" s="526"/>
      <c r="M41" s="526"/>
      <c r="N41" s="526"/>
      <c r="O41" s="526"/>
      <c r="P41" s="526"/>
      <c r="Q41" s="1097">
        <f>SUM(Q31:Q40)</f>
        <v>0</v>
      </c>
      <c r="R41" s="21"/>
      <c r="S41" s="21"/>
      <c r="T41" s="8"/>
      <c r="U41" s="8"/>
      <c r="V41" s="8"/>
      <c r="W41" s="8"/>
      <c r="X41" s="16" t="s">
        <v>175</v>
      </c>
      <c r="Y41" s="16"/>
      <c r="Z41" s="61">
        <f>SUM(Z31:Z40)/E25</f>
        <v>717.14285714285688</v>
      </c>
      <c r="AA41" s="736"/>
    </row>
    <row r="42" spans="1:27" ht="16.5" thickBot="1">
      <c r="A42" s="852"/>
      <c r="B42" s="21"/>
      <c r="C42" s="21"/>
      <c r="D42" s="21"/>
      <c r="E42" s="526"/>
      <c r="F42" s="526"/>
      <c r="G42" s="526"/>
      <c r="H42" s="526"/>
      <c r="I42" s="526"/>
      <c r="J42" s="526"/>
      <c r="K42" s="526"/>
      <c r="L42" s="526"/>
      <c r="M42" s="526"/>
      <c r="N42" s="526"/>
      <c r="O42" s="526"/>
      <c r="P42" s="526"/>
      <c r="Q42" s="526"/>
      <c r="R42" s="21"/>
      <c r="S42" s="21"/>
      <c r="T42" s="8"/>
      <c r="U42" s="8"/>
      <c r="V42" s="8"/>
      <c r="W42" s="8"/>
      <c r="X42" s="14" t="s">
        <v>187</v>
      </c>
      <c r="Y42" s="8"/>
      <c r="Z42" s="62">
        <f>Z41-P21</f>
        <v>0</v>
      </c>
      <c r="AA42" s="736" t="s">
        <v>143</v>
      </c>
    </row>
    <row r="43" spans="1:27" ht="15.75" thickBot="1">
      <c r="A43" s="854"/>
      <c r="B43" s="739"/>
      <c r="C43" s="739"/>
      <c r="D43" s="739"/>
      <c r="E43" s="562"/>
      <c r="F43" s="562"/>
      <c r="G43" s="562"/>
      <c r="H43" s="562"/>
      <c r="I43" s="562"/>
      <c r="J43" s="562"/>
      <c r="K43" s="562"/>
      <c r="L43" s="562"/>
      <c r="M43" s="562"/>
      <c r="N43" s="562"/>
      <c r="O43" s="562"/>
      <c r="P43" s="562"/>
      <c r="Q43" s="562"/>
      <c r="R43" s="739"/>
      <c r="S43" s="739"/>
      <c r="T43" s="739"/>
      <c r="U43" s="739"/>
      <c r="V43" s="739"/>
      <c r="W43" s="739"/>
      <c r="X43" s="739"/>
      <c r="Y43" s="739"/>
      <c r="Z43" s="739"/>
      <c r="AA43" s="740"/>
    </row>
    <row r="44" spans="1:27" ht="15">
      <c r="A44" s="1174"/>
      <c r="B44" s="500"/>
      <c r="C44" s="485"/>
      <c r="D44" s="485"/>
      <c r="E44" s="485"/>
      <c r="F44" s="500"/>
      <c r="G44" s="485"/>
      <c r="H44" s="485"/>
      <c r="I44" s="485"/>
      <c r="J44" s="485"/>
      <c r="K44" s="485"/>
      <c r="L44" s="485"/>
      <c r="M44" s="485"/>
      <c r="N44" s="485"/>
      <c r="O44" s="485"/>
      <c r="P44" s="486"/>
      <c r="Q44" s="486"/>
      <c r="R44" s="486"/>
      <c r="S44" s="486"/>
      <c r="T44" s="486"/>
      <c r="U44" s="486"/>
      <c r="V44" s="486"/>
      <c r="W44" s="486"/>
      <c r="X44" s="486"/>
      <c r="Y44" s="486"/>
      <c r="Z44" s="486"/>
      <c r="AA44" s="486"/>
    </row>
    <row r="45" spans="1:27" s="20" customFormat="1" ht="15">
      <c r="A45" s="1173"/>
      <c r="B45" s="486"/>
      <c r="C45" s="486"/>
      <c r="D45" s="486"/>
      <c r="E45" s="486"/>
      <c r="F45" s="486"/>
      <c r="G45" s="486"/>
      <c r="H45" s="486"/>
      <c r="I45" s="486"/>
      <c r="J45" s="486"/>
      <c r="K45" s="486"/>
      <c r="L45" s="486"/>
      <c r="M45" s="486"/>
      <c r="N45" s="486"/>
      <c r="O45" s="486"/>
      <c r="P45" s="486"/>
      <c r="Q45" s="486"/>
      <c r="R45" s="486"/>
      <c r="S45" s="486"/>
      <c r="T45" s="486"/>
      <c r="U45" s="486"/>
      <c r="V45" s="486"/>
      <c r="W45" s="486"/>
      <c r="X45" s="486"/>
      <c r="Y45" s="486"/>
      <c r="Z45" s="486"/>
      <c r="AA45" s="486"/>
    </row>
    <row r="46" spans="1:27" s="20" customFormat="1"/>
    <row r="47" spans="1:27" s="20" customFormat="1"/>
    <row r="48" spans="1:27" s="20" customFormat="1"/>
    <row r="50" spans="9:12" ht="15">
      <c r="I50" s="63"/>
      <c r="J50" s="63"/>
      <c r="K50" s="63"/>
      <c r="L50" s="51"/>
    </row>
    <row r="51" spans="9:12" ht="15">
      <c r="I51" s="63"/>
      <c r="J51" s="63"/>
      <c r="K51" s="63"/>
      <c r="L51" s="51"/>
    </row>
    <row r="76" spans="18:20">
      <c r="R76" s="64"/>
      <c r="S76" s="64"/>
      <c r="T76" s="64"/>
    </row>
    <row r="77" spans="18:20">
      <c r="R77" s="64"/>
      <c r="S77" s="64"/>
      <c r="T77" s="64"/>
    </row>
  </sheetData>
  <sheetProtection sheet="1" objects="1" scenarios="1"/>
  <protectedRanges>
    <protectedRange sqref="M11:N20 H31:I40 O31:P40 R31:Y40" name="Område1"/>
  </protectedRanges>
  <phoneticPr fontId="24" type="noConversion"/>
  <pageMargins left="0.74791666666666667" right="0.74791666666666667" top="0.98402777777777772" bottom="0.98402777777777772" header="0.51180555555555551" footer="0.51180555555555551"/>
  <pageSetup paperSize="9" scale="96" firstPageNumber="0" orientation="landscape" horizontalDpi="300" verticalDpi="300"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5">
    <tabColor theme="0"/>
  </sheetPr>
  <dimension ref="A1:X126"/>
  <sheetViews>
    <sheetView showZeros="0" zoomScale="85" zoomScaleNormal="85" workbookViewId="0">
      <selection activeCell="K52" sqref="K52"/>
    </sheetView>
  </sheetViews>
  <sheetFormatPr defaultColWidth="9.140625" defaultRowHeight="12.75"/>
  <cols>
    <col min="1" max="1" width="9.140625" style="104"/>
    <col min="2" max="2" width="21.5703125" style="25" customWidth="1"/>
    <col min="3" max="3" width="14.42578125" style="104" customWidth="1"/>
    <col min="4" max="4" width="10.42578125" style="104" customWidth="1"/>
    <col min="5" max="5" width="12.7109375" style="104" customWidth="1"/>
    <col min="6" max="6" width="12.5703125" style="104" customWidth="1"/>
    <col min="7" max="7" width="12.85546875" style="104" customWidth="1"/>
    <col min="8" max="8" width="11.140625" style="104" customWidth="1"/>
    <col min="9" max="9" width="10.7109375" style="104" customWidth="1"/>
    <col min="10" max="10" width="13.85546875" style="104" bestFit="1" customWidth="1"/>
    <col min="11" max="11" width="9.140625" style="104"/>
    <col min="12" max="12" width="13.85546875" style="104" customWidth="1"/>
    <col min="13" max="14" width="9.140625" style="104"/>
    <col min="15" max="15" width="13.7109375" style="104" customWidth="1"/>
    <col min="16" max="16" width="9.140625" style="104"/>
    <col min="17" max="17" width="10.85546875" style="104" customWidth="1"/>
    <col min="18" max="19" width="9.140625" style="104"/>
    <col min="20" max="20" width="8.85546875" style="104" customWidth="1"/>
    <col min="21" max="16384" width="9.140625" style="104"/>
  </cols>
  <sheetData>
    <row r="1" spans="1:23" ht="18">
      <c r="A1" s="1045" t="s">
        <v>881</v>
      </c>
      <c r="B1" s="110"/>
      <c r="C1" s="70"/>
      <c r="D1" s="50"/>
      <c r="E1" s="50"/>
      <c r="F1" s="50"/>
      <c r="G1" s="76" t="s">
        <v>268</v>
      </c>
      <c r="H1" s="6" t="s">
        <v>116</v>
      </c>
      <c r="I1" s="3"/>
      <c r="J1" s="4"/>
      <c r="K1" s="50"/>
      <c r="L1" s="50"/>
      <c r="M1" s="1354"/>
      <c r="N1" s="1354"/>
      <c r="O1" s="1354"/>
      <c r="P1" s="1354"/>
      <c r="Q1" s="1354"/>
      <c r="R1" s="1354"/>
      <c r="S1" s="1354"/>
      <c r="T1" s="1354"/>
      <c r="U1" s="1354"/>
      <c r="V1" s="1354"/>
    </row>
    <row r="2" spans="1:23" ht="13.5" thickBot="1">
      <c r="A2" s="70"/>
      <c r="B2" s="111"/>
      <c r="C2" s="70"/>
      <c r="D2" s="70"/>
      <c r="E2" s="70"/>
      <c r="F2" s="70"/>
      <c r="G2" s="70"/>
      <c r="H2" s="70"/>
      <c r="I2" s="70"/>
      <c r="J2" s="70"/>
      <c r="K2" s="70"/>
      <c r="L2" s="70"/>
      <c r="M2" s="1354"/>
      <c r="N2" s="1354"/>
      <c r="O2" s="1354"/>
      <c r="P2" s="1354"/>
      <c r="Q2" s="1354"/>
      <c r="R2" s="1354"/>
      <c r="S2" s="1354"/>
      <c r="T2" s="1354"/>
      <c r="U2" s="1354"/>
      <c r="V2" s="1354"/>
    </row>
    <row r="3" spans="1:23" ht="15.75">
      <c r="A3" s="428"/>
      <c r="B3" s="429"/>
      <c r="C3" s="430"/>
      <c r="D3" s="430"/>
      <c r="E3" s="430"/>
      <c r="F3" s="430"/>
      <c r="G3" s="430"/>
      <c r="H3" s="430"/>
      <c r="I3" s="430"/>
      <c r="J3" s="430"/>
      <c r="K3" s="430"/>
      <c r="L3" s="431"/>
      <c r="M3" s="1354"/>
      <c r="N3" s="2047"/>
      <c r="O3" s="2048" t="s">
        <v>135</v>
      </c>
      <c r="P3" s="2049"/>
      <c r="Q3" s="2049"/>
      <c r="R3" s="2049"/>
      <c r="S3" s="2049"/>
      <c r="T3" s="2049"/>
      <c r="U3" s="2049"/>
      <c r="V3" s="2049"/>
      <c r="W3" s="2050"/>
    </row>
    <row r="4" spans="1:23" ht="15.75">
      <c r="A4" s="432"/>
      <c r="B4" s="112" t="s">
        <v>133</v>
      </c>
      <c r="C4" s="68"/>
      <c r="D4" s="68"/>
      <c r="E4" s="68"/>
      <c r="F4" s="68"/>
      <c r="G4" s="68"/>
      <c r="H4" s="68"/>
      <c r="I4" s="68"/>
      <c r="J4" s="68"/>
      <c r="K4" s="68"/>
      <c r="L4" s="433"/>
      <c r="M4" s="1354"/>
      <c r="N4" s="2051"/>
      <c r="O4" s="1453"/>
      <c r="P4" s="1453"/>
      <c r="Q4" s="1453"/>
      <c r="R4" s="1453"/>
      <c r="S4" s="1453"/>
      <c r="T4" s="1453"/>
      <c r="U4" s="1453"/>
      <c r="V4" s="1453"/>
      <c r="W4" s="2052"/>
    </row>
    <row r="5" spans="1:23" ht="15">
      <c r="A5" s="432"/>
      <c r="B5" s="113"/>
      <c r="C5" s="475" t="s">
        <v>134</v>
      </c>
      <c r="D5" s="474">
        <f>Huvudinmatning!D10</f>
        <v>7</v>
      </c>
      <c r="E5" s="68"/>
      <c r="F5" s="68"/>
      <c r="G5" s="68"/>
      <c r="H5" s="68"/>
      <c r="I5" s="68"/>
      <c r="J5" s="68"/>
      <c r="K5" s="68"/>
      <c r="L5" s="433"/>
      <c r="M5" s="1354"/>
      <c r="N5" s="2053"/>
      <c r="O5" s="2070"/>
      <c r="P5" s="2070"/>
      <c r="Q5" s="1453"/>
      <c r="R5" s="1113" t="s">
        <v>136</v>
      </c>
      <c r="S5" s="1114"/>
      <c r="T5" s="1426"/>
      <c r="U5" s="1424" t="s">
        <v>890</v>
      </c>
      <c r="V5" s="1426" t="s">
        <v>888</v>
      </c>
      <c r="W5" s="2054"/>
    </row>
    <row r="6" spans="1:23">
      <c r="A6" s="432"/>
      <c r="B6" s="315"/>
      <c r="C6" s="68"/>
      <c r="D6" s="68"/>
      <c r="E6" s="68"/>
      <c r="F6" s="315"/>
      <c r="G6" s="68"/>
      <c r="H6" s="68"/>
      <c r="I6" s="68"/>
      <c r="J6" s="68"/>
      <c r="K6" s="68"/>
      <c r="L6" s="433"/>
      <c r="M6" s="1354"/>
      <c r="N6" s="2053"/>
      <c r="O6" s="2020" t="str">
        <f>Huvudinmatning!J5</f>
        <v>Totalt</v>
      </c>
      <c r="P6" s="2021">
        <f>Huvudinmatning!K5</f>
        <v>0</v>
      </c>
      <c r="Q6" s="1113" t="str">
        <f>Huvudinmatning!L5</f>
        <v>kr/ha</v>
      </c>
      <c r="R6" s="1114"/>
      <c r="S6" s="1114"/>
      <c r="T6" s="1114"/>
      <c r="U6" s="1114" t="s">
        <v>891</v>
      </c>
      <c r="V6" s="1114" t="s">
        <v>889</v>
      </c>
      <c r="W6" s="2054"/>
    </row>
    <row r="7" spans="1:23">
      <c r="A7" s="432"/>
      <c r="B7" s="115" t="s">
        <v>339</v>
      </c>
      <c r="C7" s="68"/>
      <c r="D7" s="68"/>
      <c r="E7" s="68"/>
      <c r="F7" s="116" t="s">
        <v>191</v>
      </c>
      <c r="G7" s="68"/>
      <c r="H7" s="68"/>
      <c r="I7" s="68"/>
      <c r="J7" s="116" t="s">
        <v>340</v>
      </c>
      <c r="K7" s="68"/>
      <c r="L7" s="433"/>
      <c r="M7" s="1354"/>
      <c r="N7" s="2053"/>
      <c r="O7" s="2020" t="str">
        <f>Huvudinmatning!J6</f>
        <v>varav mulleffekt</v>
      </c>
      <c r="P7" s="912">
        <f>Huvudinmatning!K6</f>
        <v>0</v>
      </c>
      <c r="Q7" s="1113" t="str">
        <f>Huvudinmatning!L6</f>
        <v>kr/ha</v>
      </c>
      <c r="R7" s="1113" t="s">
        <v>143</v>
      </c>
      <c r="S7" s="1421" t="s">
        <v>896</v>
      </c>
      <c r="T7" s="1424" t="s">
        <v>823</v>
      </c>
      <c r="U7" s="1052">
        <f>Huvudinmatning!O5</f>
        <v>37.085628571428565</v>
      </c>
      <c r="V7" s="1420">
        <f>Huvudinmatning!P5</f>
        <v>2079.6185950411914</v>
      </c>
      <c r="W7" s="2054"/>
    </row>
    <row r="8" spans="1:23">
      <c r="A8" s="432"/>
      <c r="B8" s="113"/>
      <c r="C8" s="68"/>
      <c r="D8" s="68"/>
      <c r="E8" s="68"/>
      <c r="F8" s="113" t="s">
        <v>717</v>
      </c>
      <c r="G8" s="68"/>
      <c r="H8" s="68"/>
      <c r="I8" s="68"/>
      <c r="J8" s="68"/>
      <c r="K8" s="68"/>
      <c r="L8" s="434"/>
      <c r="M8" s="1354"/>
      <c r="N8" s="2055"/>
      <c r="O8" s="2020" t="str">
        <f>Huvudinmatning!J7</f>
        <v>övrigt</v>
      </c>
      <c r="P8" s="912">
        <f>Huvudinmatning!K7</f>
        <v>0</v>
      </c>
      <c r="Q8" s="1113" t="str">
        <f>Huvudinmatning!L7</f>
        <v>kr/ha</v>
      </c>
      <c r="R8" s="1114"/>
      <c r="S8" s="1422" t="s">
        <v>897</v>
      </c>
      <c r="T8" s="1424" t="s">
        <v>872</v>
      </c>
      <c r="U8" s="1052">
        <f>Huvudinmatning!O6</f>
        <v>37.085628571428565</v>
      </c>
      <c r="V8" s="1420">
        <f>Huvudinmatning!P6</f>
        <v>2079.6185950411914</v>
      </c>
      <c r="W8" s="2054"/>
    </row>
    <row r="9" spans="1:23">
      <c r="A9" s="432"/>
      <c r="B9" s="446"/>
      <c r="C9" s="444" t="s">
        <v>341</v>
      </c>
      <c r="D9" s="68"/>
      <c r="E9" s="68"/>
      <c r="F9" s="439" t="s">
        <v>342</v>
      </c>
      <c r="G9" s="115"/>
      <c r="H9" s="68"/>
      <c r="I9" s="68"/>
      <c r="J9" s="439" t="s">
        <v>343</v>
      </c>
      <c r="K9" s="441"/>
      <c r="L9" s="434"/>
      <c r="M9" s="1354"/>
      <c r="N9" s="2056"/>
      <c r="O9" s="1126"/>
      <c r="P9" s="1453"/>
      <c r="Q9" s="1453"/>
      <c r="R9" s="1114"/>
      <c r="S9" s="1423">
        <f>Huvudinmatning!M7</f>
        <v>0</v>
      </c>
      <c r="T9" s="1424" t="s">
        <v>10</v>
      </c>
      <c r="U9" s="1052">
        <f>Huvudinmatning!O7</f>
        <v>0</v>
      </c>
      <c r="V9" s="1420">
        <f>Huvudinmatning!P7</f>
        <v>0</v>
      </c>
      <c r="W9" s="2054"/>
    </row>
    <row r="10" spans="1:23" ht="15">
      <c r="A10" s="432"/>
      <c r="B10" s="447" t="s">
        <v>138</v>
      </c>
      <c r="C10" s="445" t="s">
        <v>344</v>
      </c>
      <c r="D10" s="68"/>
      <c r="E10" s="68"/>
      <c r="F10" s="443" t="s">
        <v>345</v>
      </c>
      <c r="G10" s="443" t="s">
        <v>346</v>
      </c>
      <c r="H10" s="443" t="s">
        <v>347</v>
      </c>
      <c r="I10" s="68"/>
      <c r="J10" s="439" t="s">
        <v>348</v>
      </c>
      <c r="K10" s="441"/>
      <c r="L10" s="433"/>
      <c r="M10" s="1354"/>
      <c r="N10" s="2057"/>
      <c r="O10" s="2058"/>
      <c r="P10" s="2059"/>
      <c r="Q10" s="2059"/>
      <c r="R10" s="2058"/>
      <c r="S10" s="2058"/>
      <c r="T10" s="2058"/>
      <c r="U10" s="2058"/>
      <c r="V10" s="2058"/>
      <c r="W10" s="2060"/>
    </row>
    <row r="11" spans="1:23" ht="15">
      <c r="A11" s="432"/>
      <c r="B11" s="1218" t="str">
        <f>IF(Kostnader!B11=" "," ",Kostnader!B11)</f>
        <v xml:space="preserve">Höstraps </v>
      </c>
      <c r="C11" s="440"/>
      <c r="D11" s="68"/>
      <c r="E11" s="68"/>
      <c r="F11" s="441"/>
      <c r="G11" s="441"/>
      <c r="H11" s="441"/>
      <c r="I11" s="68"/>
      <c r="J11" s="439" t="s">
        <v>349</v>
      </c>
      <c r="K11" s="508">
        <f>K10/D5*100</f>
        <v>0</v>
      </c>
      <c r="L11" s="442"/>
      <c r="M11" s="1354"/>
      <c r="N11" s="1354"/>
      <c r="O11" s="1354"/>
      <c r="P11" s="1354"/>
      <c r="Q11" s="1354"/>
      <c r="R11" s="1354"/>
      <c r="S11" s="1354"/>
      <c r="T11" s="1354"/>
      <c r="U11" s="1354"/>
      <c r="V11" s="1354"/>
    </row>
    <row r="12" spans="1:23" s="106" customFormat="1" ht="15">
      <c r="A12" s="432"/>
      <c r="B12" s="1218" t="str">
        <f>IF(Kostnader!B12=" "," ",Kostnader!B12)</f>
        <v>Höstvete bröd</v>
      </c>
      <c r="C12" s="440"/>
      <c r="D12" s="68"/>
      <c r="E12" s="68"/>
      <c r="F12" s="441"/>
      <c r="G12" s="441"/>
      <c r="H12" s="441"/>
      <c r="I12" s="68"/>
      <c r="J12" s="439" t="s">
        <v>0</v>
      </c>
      <c r="K12" s="1221">
        <f>(K9+K17)/D5</f>
        <v>0</v>
      </c>
      <c r="L12" s="433"/>
      <c r="M12" s="1454"/>
      <c r="N12" s="1454"/>
      <c r="O12" s="1454"/>
      <c r="P12" s="1454"/>
      <c r="Q12" s="1454"/>
      <c r="R12" s="1454"/>
      <c r="S12" s="1454"/>
      <c r="T12" s="1454"/>
      <c r="U12" s="1454"/>
      <c r="V12" s="1454"/>
    </row>
    <row r="13" spans="1:23" s="106" customFormat="1" ht="15">
      <c r="A13" s="432"/>
      <c r="B13" s="1218" t="str">
        <f>IF(Kostnader!B13=" "," ",Kostnader!B13)</f>
        <v>Höstvete bröd</v>
      </c>
      <c r="C13" s="440"/>
      <c r="D13" s="68"/>
      <c r="E13" s="68"/>
      <c r="F13" s="441"/>
      <c r="G13" s="441"/>
      <c r="H13" s="441"/>
      <c r="I13" s="68"/>
      <c r="J13" s="68"/>
      <c r="K13" s="68"/>
      <c r="L13" s="433"/>
      <c r="M13" s="1454"/>
      <c r="N13" s="1454"/>
      <c r="O13" s="1454"/>
      <c r="P13" s="1454"/>
      <c r="Q13" s="1454"/>
      <c r="R13" s="1454"/>
      <c r="S13" s="1454"/>
      <c r="T13" s="1454"/>
      <c r="U13" s="1454"/>
      <c r="V13" s="1454"/>
    </row>
    <row r="14" spans="1:23" ht="15">
      <c r="A14" s="432"/>
      <c r="B14" s="1218" t="str">
        <f>IF(Kostnader!B14=" "," ",Kostnader!B14)</f>
        <v>Foderärt</v>
      </c>
      <c r="C14" s="440"/>
      <c r="D14" s="68"/>
      <c r="E14" s="68"/>
      <c r="F14" s="441"/>
      <c r="G14" s="441"/>
      <c r="H14" s="441"/>
      <c r="I14" s="68"/>
      <c r="J14" s="68"/>
      <c r="K14" s="68"/>
      <c r="L14" s="434"/>
      <c r="M14" s="1354"/>
      <c r="N14" s="1354"/>
      <c r="O14" s="1354"/>
      <c r="P14" s="1354"/>
      <c r="Q14" s="1354"/>
      <c r="R14" s="1354"/>
      <c r="S14" s="1354"/>
      <c r="T14" s="1354"/>
      <c r="U14" s="1354"/>
      <c r="V14" s="1354"/>
    </row>
    <row r="15" spans="1:23" ht="15">
      <c r="A15" s="432"/>
      <c r="B15" s="1218" t="str">
        <f>IF(Kostnader!B15=" "," ",Kostnader!B15)</f>
        <v>Höstvete bröd</v>
      </c>
      <c r="C15" s="440"/>
      <c r="D15" s="68"/>
      <c r="E15" s="68"/>
      <c r="F15" s="441"/>
      <c r="G15" s="441"/>
      <c r="H15" s="441"/>
      <c r="I15" s="68"/>
      <c r="J15" s="116" t="s">
        <v>1</v>
      </c>
      <c r="K15" s="68"/>
      <c r="L15" s="433"/>
      <c r="M15" s="1354"/>
      <c r="N15" s="1354"/>
      <c r="O15" s="1354"/>
      <c r="P15" s="1354"/>
      <c r="Q15" s="1354"/>
      <c r="R15" s="1354"/>
      <c r="S15" s="1354"/>
      <c r="T15" s="1354"/>
      <c r="U15" s="1354"/>
      <c r="V15" s="1354"/>
    </row>
    <row r="16" spans="1:23" ht="15">
      <c r="A16" s="432"/>
      <c r="B16" s="1218" t="str">
        <f>IF(Kostnader!B16=" "," ",Kostnader!B16)</f>
        <v>Höstvete bröd</v>
      </c>
      <c r="C16" s="440"/>
      <c r="D16" s="68"/>
      <c r="E16" s="68"/>
      <c r="F16" s="441"/>
      <c r="G16" s="441"/>
      <c r="H16" s="441"/>
      <c r="I16" s="68"/>
      <c r="J16" s="68"/>
      <c r="K16" s="68"/>
      <c r="L16" s="433"/>
      <c r="M16" s="1354"/>
      <c r="N16" s="1354"/>
      <c r="O16" s="1354"/>
      <c r="P16" s="1354"/>
      <c r="Q16" s="1354"/>
      <c r="R16" s="1354"/>
      <c r="S16" s="1354"/>
      <c r="T16" s="1354"/>
      <c r="U16" s="1354"/>
      <c r="V16" s="1354"/>
    </row>
    <row r="17" spans="1:24" ht="15">
      <c r="A17" s="432"/>
      <c r="B17" s="1218" t="str">
        <f>IF(Kostnader!B17=" "," ",Kostnader!B17)</f>
        <v>Maltkorn</v>
      </c>
      <c r="C17" s="440"/>
      <c r="D17" s="68"/>
      <c r="E17" s="68"/>
      <c r="F17" s="441"/>
      <c r="G17" s="441"/>
      <c r="H17" s="441"/>
      <c r="I17" s="68"/>
      <c r="J17" s="317" t="s">
        <v>301</v>
      </c>
      <c r="K17" s="441"/>
      <c r="L17" s="433"/>
      <c r="M17" s="1354"/>
      <c r="N17" s="1354"/>
      <c r="O17" s="1354"/>
      <c r="P17" s="1354"/>
      <c r="Q17" s="1354"/>
      <c r="R17" s="1354"/>
      <c r="S17" s="1354"/>
      <c r="T17" s="1354"/>
      <c r="U17" s="1354"/>
      <c r="V17" s="1354"/>
    </row>
    <row r="18" spans="1:24" ht="15">
      <c r="A18" s="432"/>
      <c r="B18" s="1218" t="str">
        <f>IF(Kostnader!B18=" "," ",Kostnader!B18)</f>
        <v xml:space="preserve"> </v>
      </c>
      <c r="C18" s="440"/>
      <c r="D18" s="68"/>
      <c r="E18" s="68"/>
      <c r="F18" s="441"/>
      <c r="G18" s="441"/>
      <c r="H18" s="441"/>
      <c r="I18" s="68"/>
      <c r="J18" s="317" t="s">
        <v>120</v>
      </c>
      <c r="K18" s="508">
        <f>K17/D5*100</f>
        <v>0</v>
      </c>
      <c r="L18" s="433"/>
      <c r="M18" s="1354"/>
      <c r="N18" s="1354"/>
      <c r="O18" s="1354"/>
      <c r="P18" s="1354"/>
      <c r="Q18" s="1354"/>
      <c r="R18" s="1354"/>
      <c r="S18" s="1354"/>
      <c r="T18" s="1354"/>
      <c r="U18" s="1354"/>
      <c r="V18" s="1354"/>
    </row>
    <row r="19" spans="1:24" ht="15">
      <c r="A19" s="432"/>
      <c r="B19" s="1218" t="str">
        <f>IF(Kostnader!B19=" "," ",Kostnader!B19)</f>
        <v xml:space="preserve"> </v>
      </c>
      <c r="C19" s="440"/>
      <c r="D19" s="68"/>
      <c r="E19" s="68"/>
      <c r="F19" s="441"/>
      <c r="G19" s="441"/>
      <c r="H19" s="441"/>
      <c r="I19" s="68"/>
      <c r="J19" s="68"/>
      <c r="K19" s="68"/>
      <c r="L19" s="433"/>
      <c r="M19" s="1354"/>
      <c r="N19" s="1354"/>
      <c r="O19" s="1354"/>
      <c r="P19" s="1354"/>
      <c r="Q19" s="1354"/>
      <c r="R19" s="1354"/>
      <c r="S19" s="1354"/>
      <c r="T19" s="1354"/>
      <c r="U19" s="1354"/>
      <c r="V19" s="1354"/>
    </row>
    <row r="20" spans="1:24" ht="15">
      <c r="A20" s="432"/>
      <c r="B20" s="1218" t="str">
        <f>IF(Kostnader!B20=" "," ",Kostnader!B20)</f>
        <v xml:space="preserve"> </v>
      </c>
      <c r="C20" s="440"/>
      <c r="D20" s="68"/>
      <c r="E20" s="68"/>
      <c r="F20" s="441"/>
      <c r="G20" s="441"/>
      <c r="H20" s="441"/>
      <c r="I20" s="68"/>
      <c r="J20" s="68"/>
      <c r="K20" s="68"/>
      <c r="L20" s="433"/>
      <c r="M20" s="1354"/>
      <c r="N20" s="1354"/>
      <c r="O20" s="1354"/>
      <c r="P20" s="1354"/>
      <c r="Q20" s="1354"/>
      <c r="R20" s="1354"/>
      <c r="S20" s="1354"/>
      <c r="T20" s="1354"/>
      <c r="U20" s="1354"/>
      <c r="V20" s="1354"/>
      <c r="X20" s="105"/>
    </row>
    <row r="21" spans="1:24" ht="15">
      <c r="A21" s="432"/>
      <c r="B21" s="122"/>
      <c r="C21" s="878">
        <f>SUM(C11:C20)</f>
        <v>0</v>
      </c>
      <c r="D21" s="68"/>
      <c r="E21" s="123" t="s">
        <v>2</v>
      </c>
      <c r="F21" s="878">
        <f>SUM(F11:F20)</f>
        <v>0</v>
      </c>
      <c r="G21" s="878">
        <f>SUM(G11:G20)</f>
        <v>0</v>
      </c>
      <c r="H21" s="878">
        <f>SUM(H11:H20)</f>
        <v>0</v>
      </c>
      <c r="I21" s="68"/>
      <c r="J21" s="68"/>
      <c r="K21" s="68"/>
      <c r="L21" s="433"/>
      <c r="M21" s="1354"/>
      <c r="N21" s="1354"/>
      <c r="O21" s="1354"/>
      <c r="P21" s="1354"/>
      <c r="Q21" s="1354"/>
      <c r="R21" s="1354"/>
      <c r="S21" s="1354"/>
      <c r="T21" s="1354"/>
      <c r="U21" s="1354"/>
      <c r="V21" s="1354"/>
      <c r="X21" s="105"/>
    </row>
    <row r="22" spans="1:24" ht="15">
      <c r="A22" s="432"/>
      <c r="B22" s="124"/>
      <c r="C22" s="125"/>
      <c r="D22" s="68"/>
      <c r="E22" s="68"/>
      <c r="F22" s="68"/>
      <c r="G22" s="68"/>
      <c r="H22" s="68"/>
      <c r="I22" s="68"/>
      <c r="J22" s="68"/>
      <c r="K22" s="68"/>
      <c r="L22" s="433"/>
      <c r="M22" s="1354"/>
      <c r="N22" s="1354"/>
      <c r="O22" s="1354"/>
      <c r="P22" s="1354"/>
      <c r="Q22" s="1354"/>
      <c r="R22" s="1354"/>
      <c r="S22" s="1354"/>
      <c r="T22" s="1354"/>
      <c r="U22" s="1354"/>
      <c r="V22" s="1354"/>
    </row>
    <row r="23" spans="1:24">
      <c r="A23" s="432"/>
      <c r="B23" s="113"/>
      <c r="C23" s="68"/>
      <c r="D23" s="68"/>
      <c r="E23" s="68"/>
      <c r="F23" s="68"/>
      <c r="G23" s="68"/>
      <c r="H23" s="68"/>
      <c r="I23" s="68"/>
      <c r="J23" s="68"/>
      <c r="K23" s="68"/>
      <c r="L23" s="433"/>
      <c r="M23" s="1354"/>
      <c r="N23" s="1354"/>
      <c r="O23" s="1354"/>
      <c r="P23" s="1354"/>
      <c r="Q23" s="1354"/>
      <c r="R23" s="1354"/>
      <c r="S23" s="1354"/>
      <c r="T23" s="1354"/>
      <c r="U23" s="1354"/>
      <c r="V23" s="1354"/>
    </row>
    <row r="24" spans="1:24" ht="13.5" thickBot="1">
      <c r="A24" s="435"/>
      <c r="B24" s="436"/>
      <c r="C24" s="437"/>
      <c r="D24" s="437"/>
      <c r="E24" s="437"/>
      <c r="F24" s="437"/>
      <c r="G24" s="437"/>
      <c r="H24" s="437"/>
      <c r="I24" s="437"/>
      <c r="J24" s="437"/>
      <c r="K24" s="437"/>
      <c r="L24" s="438"/>
      <c r="M24" s="1354"/>
      <c r="N24" s="1354"/>
      <c r="O24" s="1354"/>
      <c r="P24" s="1354"/>
      <c r="Q24" s="1354"/>
      <c r="R24" s="1354"/>
      <c r="S24" s="1354"/>
      <c r="T24" s="1354"/>
      <c r="U24" s="1354"/>
      <c r="V24" s="1354"/>
      <c r="X24" s="107"/>
    </row>
    <row r="25" spans="1:24" ht="13.5" thickBot="1">
      <c r="A25" s="50"/>
      <c r="B25" s="126"/>
      <c r="C25" s="50"/>
      <c r="D25" s="50"/>
      <c r="E25" s="50"/>
      <c r="F25" s="50"/>
      <c r="G25" s="50"/>
      <c r="H25" s="50"/>
      <c r="I25" s="50"/>
      <c r="J25" s="50"/>
      <c r="K25" s="50"/>
      <c r="L25" s="50"/>
      <c r="M25" s="1354"/>
      <c r="N25" s="1354"/>
      <c r="O25" s="1354"/>
      <c r="P25" s="1354"/>
      <c r="Q25" s="1354"/>
      <c r="R25" s="1354"/>
      <c r="S25" s="1354"/>
      <c r="T25" s="1354"/>
      <c r="U25" s="1354"/>
      <c r="V25" s="1354"/>
    </row>
    <row r="26" spans="1:24">
      <c r="A26" s="428"/>
      <c r="B26" s="429"/>
      <c r="C26" s="430"/>
      <c r="D26" s="430"/>
      <c r="E26" s="430"/>
      <c r="F26" s="430"/>
      <c r="G26" s="430"/>
      <c r="H26" s="430"/>
      <c r="I26" s="430"/>
      <c r="J26" s="430"/>
      <c r="K26" s="430"/>
      <c r="L26" s="482"/>
      <c r="M26" s="1455"/>
      <c r="N26" s="1354"/>
      <c r="O26" s="1354"/>
      <c r="P26" s="1354"/>
      <c r="Q26" s="1354"/>
      <c r="R26" s="1354"/>
      <c r="S26" s="1354"/>
      <c r="T26" s="1354"/>
      <c r="U26" s="1354"/>
      <c r="V26" s="1354"/>
    </row>
    <row r="27" spans="1:24" ht="15.75">
      <c r="A27" s="432"/>
      <c r="B27" s="112" t="s">
        <v>147</v>
      </c>
      <c r="C27" s="127"/>
      <c r="D27" s="127"/>
      <c r="E27" s="68"/>
      <c r="F27" s="68"/>
      <c r="G27" s="68"/>
      <c r="H27" s="68"/>
      <c r="I27" s="68"/>
      <c r="J27" s="68"/>
      <c r="K27" s="68"/>
      <c r="L27" s="483"/>
      <c r="M27" s="1455"/>
      <c r="N27" s="1354"/>
      <c r="O27" s="1354"/>
      <c r="P27" s="1354"/>
      <c r="Q27" s="1354"/>
      <c r="R27" s="1354"/>
      <c r="S27" s="1354"/>
      <c r="T27" s="1354"/>
      <c r="U27" s="1354"/>
      <c r="V27" s="1354"/>
    </row>
    <row r="28" spans="1:24" ht="15">
      <c r="A28" s="432"/>
      <c r="B28" s="124"/>
      <c r="C28" s="114" t="s">
        <v>134</v>
      </c>
      <c r="D28" s="114">
        <f>Huvudinmatning!D28</f>
        <v>7</v>
      </c>
      <c r="E28" s="68"/>
      <c r="F28" s="68"/>
      <c r="G28" s="68"/>
      <c r="H28" s="68"/>
      <c r="I28" s="68"/>
      <c r="J28" s="68"/>
      <c r="K28" s="68" t="s">
        <v>327</v>
      </c>
      <c r="L28" s="483"/>
      <c r="M28" s="1455"/>
      <c r="N28" s="1354"/>
      <c r="O28" s="1354"/>
      <c r="P28" s="1354"/>
      <c r="Q28" s="1354"/>
      <c r="R28" s="1354"/>
      <c r="S28" s="1354"/>
      <c r="T28" s="1354"/>
      <c r="U28" s="1354"/>
      <c r="V28" s="1354"/>
    </row>
    <row r="29" spans="1:24">
      <c r="A29" s="432"/>
      <c r="B29" s="315"/>
      <c r="C29" s="68"/>
      <c r="D29" s="68"/>
      <c r="E29" s="68"/>
      <c r="F29" s="315"/>
      <c r="G29" s="68"/>
      <c r="H29" s="68"/>
      <c r="I29" s="68"/>
      <c r="J29" s="472"/>
      <c r="K29" s="68"/>
      <c r="L29" s="479"/>
      <c r="M29" s="1455"/>
      <c r="N29" s="1354"/>
      <c r="O29" s="1354"/>
      <c r="P29" s="1354"/>
      <c r="Q29" s="1354"/>
      <c r="R29" s="1354"/>
      <c r="S29" s="1354"/>
      <c r="T29" s="1354"/>
      <c r="U29" s="1354"/>
      <c r="V29" s="1354"/>
    </row>
    <row r="30" spans="1:24">
      <c r="A30" s="432"/>
      <c r="B30" s="115" t="s">
        <v>339</v>
      </c>
      <c r="C30" s="68"/>
      <c r="D30" s="68"/>
      <c r="E30" s="68"/>
      <c r="F30" s="116" t="s">
        <v>191</v>
      </c>
      <c r="G30" s="68"/>
      <c r="H30" s="68"/>
      <c r="I30" s="68"/>
      <c r="J30" s="481"/>
      <c r="K30" s="823"/>
      <c r="L30" s="479"/>
      <c r="M30" s="1354"/>
      <c r="N30" s="1354"/>
      <c r="O30" s="1354"/>
      <c r="P30" s="1354"/>
      <c r="Q30" s="1354"/>
      <c r="R30" s="1354"/>
      <c r="S30" s="1354"/>
      <c r="T30" s="1354"/>
      <c r="U30" s="1354"/>
      <c r="V30" s="1354"/>
    </row>
    <row r="31" spans="1:24">
      <c r="A31" s="432"/>
      <c r="B31" s="113"/>
      <c r="C31" s="115"/>
      <c r="D31" s="68"/>
      <c r="E31" s="68"/>
      <c r="F31" s="113" t="s">
        <v>3</v>
      </c>
      <c r="G31" s="68"/>
      <c r="H31" s="68"/>
      <c r="I31" s="68"/>
      <c r="J31" s="480" t="s">
        <v>340</v>
      </c>
      <c r="K31" s="472"/>
      <c r="L31" s="479"/>
      <c r="M31" s="1354"/>
      <c r="N31" s="1354"/>
      <c r="O31" s="1354"/>
      <c r="P31" s="1354"/>
      <c r="Q31" s="1354"/>
      <c r="R31" s="1354"/>
      <c r="S31" s="1455"/>
      <c r="T31" s="1455"/>
      <c r="U31" s="1354"/>
      <c r="V31" s="1354"/>
    </row>
    <row r="32" spans="1:24">
      <c r="A32" s="432"/>
      <c r="B32" s="129"/>
      <c r="C32" s="118" t="s">
        <v>341</v>
      </c>
      <c r="D32" s="118" t="s">
        <v>4</v>
      </c>
      <c r="E32" s="68"/>
      <c r="F32" s="119" t="s">
        <v>342</v>
      </c>
      <c r="G32" s="79"/>
      <c r="H32" s="120"/>
      <c r="I32" s="68"/>
      <c r="J32" s="472"/>
      <c r="K32" s="472"/>
      <c r="L32" s="433"/>
      <c r="M32" s="1354"/>
      <c r="N32" s="1354"/>
      <c r="O32" s="1354"/>
      <c r="P32" s="1354"/>
      <c r="Q32" s="1354"/>
      <c r="R32" s="1354"/>
      <c r="S32" s="1455"/>
      <c r="T32" s="1455"/>
      <c r="U32" s="1354"/>
      <c r="V32" s="1354"/>
    </row>
    <row r="33" spans="1:22" ht="15">
      <c r="A33" s="432"/>
      <c r="B33" s="130" t="s">
        <v>138</v>
      </c>
      <c r="C33" s="121" t="s">
        <v>6</v>
      </c>
      <c r="D33" s="121" t="s">
        <v>142</v>
      </c>
      <c r="E33" s="68"/>
      <c r="F33" s="117" t="s">
        <v>345</v>
      </c>
      <c r="G33" s="117" t="s">
        <v>346</v>
      </c>
      <c r="H33" s="117" t="s">
        <v>347</v>
      </c>
      <c r="I33" s="68"/>
      <c r="J33" s="37" t="s">
        <v>343</v>
      </c>
      <c r="K33" s="67"/>
      <c r="L33" s="433"/>
      <c r="M33" s="1354"/>
      <c r="N33" s="1354"/>
      <c r="O33" s="1354"/>
      <c r="P33" s="1354"/>
      <c r="Q33" s="1354"/>
      <c r="R33" s="1354"/>
      <c r="S33" s="1354"/>
      <c r="T33" s="1354"/>
      <c r="U33" s="1354"/>
      <c r="V33" s="1354"/>
    </row>
    <row r="34" spans="1:22" ht="15">
      <c r="A34" s="432"/>
      <c r="B34" s="1219" t="str">
        <f>IF(Kostnader!B31=" "," ",Kostnader!B31)</f>
        <v xml:space="preserve">Höstraps </v>
      </c>
      <c r="C34" s="131"/>
      <c r="D34" s="1219">
        <f>IF(B34=" "," ",Kostnader!W31)</f>
        <v>0</v>
      </c>
      <c r="E34" s="68" t="s">
        <v>327</v>
      </c>
      <c r="F34" s="67"/>
      <c r="G34" s="67"/>
      <c r="H34" s="67"/>
      <c r="I34" s="68"/>
      <c r="J34" s="37" t="s">
        <v>348</v>
      </c>
      <c r="K34" s="67"/>
      <c r="L34" s="433"/>
      <c r="M34" s="1354"/>
      <c r="N34" s="1354"/>
      <c r="O34" s="1354"/>
      <c r="P34" s="1354"/>
      <c r="Q34" s="1354"/>
      <c r="R34" s="1354"/>
      <c r="S34" s="1354"/>
      <c r="T34" s="1354"/>
      <c r="U34" s="1354"/>
      <c r="V34" s="1354"/>
    </row>
    <row r="35" spans="1:22" ht="15">
      <c r="A35" s="432"/>
      <c r="B35" s="1219" t="str">
        <f>IF(Kostnader!B32=" "," ",Kostnader!B32)</f>
        <v>Höstvete bröd</v>
      </c>
      <c r="C35" s="131"/>
      <c r="D35" s="1219">
        <f>IF(B35=" "," ",Kostnader!W32)</f>
        <v>0</v>
      </c>
      <c r="E35" s="68" t="s">
        <v>327</v>
      </c>
      <c r="F35" s="67">
        <v>0</v>
      </c>
      <c r="G35" s="67"/>
      <c r="H35" s="67"/>
      <c r="I35" s="68"/>
      <c r="J35" s="37" t="s">
        <v>349</v>
      </c>
      <c r="K35" s="1223">
        <f>K34/D28*100</f>
        <v>0</v>
      </c>
      <c r="L35" s="433"/>
      <c r="M35" s="1354"/>
      <c r="N35" s="1354"/>
      <c r="O35" s="1354"/>
      <c r="P35" s="1354"/>
      <c r="Q35" s="1354"/>
      <c r="R35" s="1354"/>
      <c r="S35" s="1354"/>
      <c r="T35" s="1354"/>
      <c r="U35" s="1354"/>
      <c r="V35" s="1354"/>
    </row>
    <row r="36" spans="1:22" ht="15">
      <c r="A36" s="432"/>
      <c r="B36" s="1219" t="str">
        <f>IF(Kostnader!B33=" "," ",Kostnader!B33)</f>
        <v>Höstvete bröd</v>
      </c>
      <c r="C36" s="131"/>
      <c r="D36" s="1219">
        <f>IF(B36=" "," ",Kostnader!W33)</f>
        <v>0</v>
      </c>
      <c r="E36" s="68" t="s">
        <v>327</v>
      </c>
      <c r="F36" s="67"/>
      <c r="G36" s="67"/>
      <c r="H36" s="67"/>
      <c r="I36" s="68"/>
      <c r="J36" s="37" t="s">
        <v>0</v>
      </c>
      <c r="K36" s="1220">
        <f>(K33+K41)/D28</f>
        <v>0</v>
      </c>
      <c r="L36" s="433"/>
      <c r="M36" s="1354"/>
      <c r="N36" s="1354"/>
      <c r="O36" s="1354"/>
      <c r="P36" s="1354"/>
      <c r="Q36" s="1354"/>
      <c r="R36" s="1354"/>
      <c r="S36" s="1354"/>
      <c r="T36" s="1354"/>
      <c r="U36" s="1354"/>
      <c r="V36" s="1354"/>
    </row>
    <row r="37" spans="1:22" ht="15">
      <c r="A37" s="432"/>
      <c r="B37" s="1219" t="str">
        <f>IF(Kostnader!B34=" "," ",Kostnader!B34)</f>
        <v>Foderärt</v>
      </c>
      <c r="C37" s="131"/>
      <c r="D37" s="1219">
        <f>IF(B37=" "," ",Kostnader!W34)</f>
        <v>0</v>
      </c>
      <c r="E37" s="68"/>
      <c r="F37" s="67"/>
      <c r="G37" s="67"/>
      <c r="H37" s="67"/>
      <c r="I37" s="68"/>
      <c r="J37" s="68"/>
      <c r="K37" s="68"/>
      <c r="L37" s="433"/>
      <c r="M37" s="1354"/>
      <c r="N37" s="1354"/>
      <c r="O37" s="1354"/>
      <c r="P37" s="1354"/>
      <c r="Q37" s="1354"/>
      <c r="R37" s="1354"/>
      <c r="S37" s="1354"/>
      <c r="T37" s="1354"/>
      <c r="U37" s="1354"/>
      <c r="V37" s="1354"/>
    </row>
    <row r="38" spans="1:22" ht="15">
      <c r="A38" s="432"/>
      <c r="B38" s="1219" t="str">
        <f>IF(Kostnader!B35=" "," ",Kostnader!B35)</f>
        <v>Höstvete bröd</v>
      </c>
      <c r="C38" s="131"/>
      <c r="D38" s="1219">
        <f>IF(B38=" "," ",Kostnader!W35)</f>
        <v>0</v>
      </c>
      <c r="E38" s="68" t="s">
        <v>327</v>
      </c>
      <c r="F38" s="67"/>
      <c r="G38" s="67"/>
      <c r="H38" s="67"/>
      <c r="I38" s="68"/>
      <c r="J38" s="68"/>
      <c r="K38" s="68"/>
      <c r="L38" s="433"/>
      <c r="M38" s="1354"/>
      <c r="N38" s="1354"/>
      <c r="O38" s="1354"/>
      <c r="P38" s="1354"/>
      <c r="Q38" s="1354"/>
      <c r="R38" s="1354"/>
      <c r="S38" s="1354"/>
      <c r="T38" s="1354"/>
      <c r="U38" s="1354"/>
      <c r="V38" s="1354"/>
    </row>
    <row r="39" spans="1:22" ht="15">
      <c r="A39" s="432"/>
      <c r="B39" s="1219" t="str">
        <f>IF(Kostnader!B36=" "," ",Kostnader!B36)</f>
        <v>Höstvete bröd</v>
      </c>
      <c r="C39" s="131"/>
      <c r="D39" s="1219">
        <f>IF(B39=" "," ",Kostnader!W36)</f>
        <v>0</v>
      </c>
      <c r="E39" s="68" t="s">
        <v>327</v>
      </c>
      <c r="F39" s="67"/>
      <c r="G39" s="67"/>
      <c r="H39" s="67"/>
      <c r="I39" s="68"/>
      <c r="J39" s="116" t="s">
        <v>1</v>
      </c>
      <c r="K39" s="68"/>
      <c r="L39" s="433"/>
      <c r="M39" s="1354"/>
      <c r="N39" s="1354"/>
      <c r="O39" s="1354"/>
      <c r="P39" s="1354"/>
      <c r="Q39" s="1354"/>
      <c r="R39" s="1354"/>
      <c r="S39" s="1354"/>
      <c r="T39" s="1354"/>
      <c r="U39" s="1354"/>
      <c r="V39" s="1354"/>
    </row>
    <row r="40" spans="1:22" ht="15">
      <c r="A40" s="432"/>
      <c r="B40" s="1219" t="str">
        <f>IF(Kostnader!B37=" "," ",Kostnader!B37)</f>
        <v>Maltkorn</v>
      </c>
      <c r="C40" s="131"/>
      <c r="D40" s="1219">
        <f>IF(B40=" "," ",Kostnader!W37)</f>
        <v>0</v>
      </c>
      <c r="E40" s="68" t="s">
        <v>327</v>
      </c>
      <c r="F40" s="67"/>
      <c r="G40" s="67"/>
      <c r="H40" s="67"/>
      <c r="I40" s="68"/>
      <c r="J40" s="68"/>
      <c r="K40" s="68"/>
      <c r="L40" s="433"/>
      <c r="M40" s="1354"/>
      <c r="N40" s="1354"/>
      <c r="O40" s="1354"/>
      <c r="P40" s="1354"/>
      <c r="Q40" s="1354"/>
      <c r="R40" s="1354"/>
      <c r="S40" s="1354"/>
      <c r="T40" s="1354"/>
      <c r="U40" s="1354"/>
      <c r="V40" s="1354"/>
    </row>
    <row r="41" spans="1:22" ht="15">
      <c r="A41" s="432"/>
      <c r="B41" s="1219" t="str">
        <f>IF(Kostnader!B38=" "," ",Kostnader!B38)</f>
        <v xml:space="preserve"> </v>
      </c>
      <c r="C41" s="131"/>
      <c r="D41" s="1219" t="str">
        <f>IF(B41=" "," ",Kostnader!W38)</f>
        <v xml:space="preserve"> </v>
      </c>
      <c r="E41" s="68" t="s">
        <v>327</v>
      </c>
      <c r="F41" s="67"/>
      <c r="G41" s="67"/>
      <c r="H41" s="67"/>
      <c r="I41" s="68"/>
      <c r="J41" s="11" t="s">
        <v>301</v>
      </c>
      <c r="K41" s="67"/>
      <c r="L41" s="433"/>
      <c r="M41" s="1354"/>
      <c r="N41" s="1354"/>
      <c r="O41" s="1354"/>
      <c r="P41" s="1354"/>
      <c r="Q41" s="1354"/>
      <c r="R41" s="1354"/>
      <c r="S41" s="1354"/>
      <c r="T41" s="1354"/>
      <c r="U41" s="1354"/>
      <c r="V41" s="1354"/>
    </row>
    <row r="42" spans="1:22" ht="15">
      <c r="A42" s="432"/>
      <c r="B42" s="1219" t="str">
        <f>IF(Kostnader!B39=" "," ",Kostnader!B39)</f>
        <v xml:space="preserve"> </v>
      </c>
      <c r="C42" s="131"/>
      <c r="D42" s="1219" t="str">
        <f>IF(B42=" "," ",Kostnader!W39)</f>
        <v xml:space="preserve"> </v>
      </c>
      <c r="E42" s="68"/>
      <c r="F42" s="67"/>
      <c r="G42" s="67"/>
      <c r="H42" s="67"/>
      <c r="I42" s="68"/>
      <c r="J42" s="11" t="s">
        <v>120</v>
      </c>
      <c r="K42" s="506">
        <f>K41/D28*100</f>
        <v>0</v>
      </c>
      <c r="L42" s="433"/>
      <c r="M42" s="1354"/>
      <c r="N42" s="1354"/>
      <c r="O42" s="1354"/>
      <c r="P42" s="1354"/>
      <c r="Q42" s="1354"/>
      <c r="R42" s="1354"/>
      <c r="S42" s="1354"/>
      <c r="T42" s="1354"/>
      <c r="U42" s="1354"/>
      <c r="V42" s="1354"/>
    </row>
    <row r="43" spans="1:22" ht="15">
      <c r="A43" s="432"/>
      <c r="B43" s="1219" t="str">
        <f>IF(Kostnader!B40=" "," ",Kostnader!B40)</f>
        <v xml:space="preserve"> </v>
      </c>
      <c r="C43" s="131"/>
      <c r="D43" s="1219" t="str">
        <f>IF(B43=" "," ",Kostnader!W40)</f>
        <v xml:space="preserve"> </v>
      </c>
      <c r="E43" s="68" t="s">
        <v>327</v>
      </c>
      <c r="F43" s="67"/>
      <c r="G43" s="67"/>
      <c r="H43" s="67"/>
      <c r="I43" s="68"/>
      <c r="J43" s="481"/>
      <c r="K43" s="992"/>
      <c r="L43" s="479"/>
      <c r="M43" s="1354"/>
      <c r="N43" s="1354"/>
      <c r="O43" s="1354"/>
      <c r="P43" s="1354"/>
      <c r="Q43" s="1354"/>
      <c r="R43" s="1354"/>
      <c r="S43" s="1354"/>
      <c r="T43" s="1354"/>
      <c r="U43" s="1354"/>
      <c r="V43" s="1354"/>
    </row>
    <row r="44" spans="1:22" ht="15">
      <c r="A44" s="432"/>
      <c r="B44" s="113"/>
      <c r="C44" s="491">
        <f>SUM(C34:C43)</f>
        <v>0</v>
      </c>
      <c r="D44" s="1219">
        <f>SUM(D34:D43)</f>
        <v>0</v>
      </c>
      <c r="E44" s="68" t="s">
        <v>7</v>
      </c>
      <c r="F44" s="491">
        <f>SUM(F33:F41)</f>
        <v>0</v>
      </c>
      <c r="G44" s="491">
        <f>SUM(G33:G41)</f>
        <v>0</v>
      </c>
      <c r="H44" s="491">
        <f>SUM(H33:H41)</f>
        <v>0</v>
      </c>
      <c r="I44" s="68"/>
      <c r="J44" s="481"/>
      <c r="K44" s="472"/>
      <c r="L44" s="433"/>
      <c r="M44" s="1354"/>
      <c r="N44" s="1354"/>
      <c r="O44" s="1354"/>
      <c r="P44" s="1354"/>
      <c r="Q44" s="1354"/>
      <c r="R44" s="1354"/>
      <c r="S44" s="1354"/>
      <c r="T44" s="1354"/>
      <c r="U44" s="1354"/>
      <c r="V44" s="1354"/>
    </row>
    <row r="45" spans="1:22">
      <c r="A45" s="432"/>
      <c r="B45" s="113" t="s">
        <v>9</v>
      </c>
      <c r="C45" s="1220">
        <f>-(C21/D5)+(C44/D28)</f>
        <v>0</v>
      </c>
      <c r="D45" s="68"/>
      <c r="E45" s="68" t="s">
        <v>10</v>
      </c>
      <c r="F45" s="505">
        <f>F44/$D28-F21/$D5</f>
        <v>0</v>
      </c>
      <c r="G45" s="505">
        <f>G44/$D28-G21/$D5</f>
        <v>0</v>
      </c>
      <c r="H45" s="505">
        <f>H44/$D28-H21/$D5</f>
        <v>0</v>
      </c>
      <c r="I45" s="68"/>
      <c r="J45" s="68"/>
      <c r="K45" s="472"/>
      <c r="L45" s="433"/>
      <c r="M45" s="1354"/>
      <c r="N45" s="1354"/>
      <c r="O45" s="1354"/>
      <c r="P45" s="1354"/>
      <c r="Q45" s="1354"/>
      <c r="R45" s="1354"/>
      <c r="S45" s="1354"/>
      <c r="T45" s="1354"/>
      <c r="U45" s="1354"/>
      <c r="V45" s="1354"/>
    </row>
    <row r="46" spans="1:22" ht="13.5" thickBot="1">
      <c r="A46" s="432"/>
      <c r="B46" s="113"/>
      <c r="C46" s="68"/>
      <c r="D46" s="68"/>
      <c r="E46" s="68" t="s">
        <v>11</v>
      </c>
      <c r="F46" s="491">
        <v>25</v>
      </c>
      <c r="G46" s="491">
        <v>7</v>
      </c>
      <c r="H46" s="491">
        <v>3</v>
      </c>
      <c r="I46" s="68"/>
      <c r="J46" s="68"/>
      <c r="K46" s="68"/>
      <c r="L46" s="483"/>
      <c r="M46" s="1354"/>
      <c r="N46" s="1354"/>
      <c r="O46" s="1354"/>
      <c r="P46" s="1354"/>
      <c r="Q46" s="1354"/>
      <c r="R46" s="1354"/>
      <c r="S46" s="1354"/>
      <c r="T46" s="1354"/>
      <c r="U46" s="1354"/>
      <c r="V46" s="1354"/>
    </row>
    <row r="47" spans="1:22" ht="13.5" thickBot="1">
      <c r="A47" s="432"/>
      <c r="B47" s="113"/>
      <c r="C47" s="68"/>
      <c r="D47" s="68"/>
      <c r="E47" s="68" t="s">
        <v>12</v>
      </c>
      <c r="F47" s="1220">
        <f>F45*F46</f>
        <v>0</v>
      </c>
      <c r="G47" s="491">
        <f>G45*G46</f>
        <v>0</v>
      </c>
      <c r="H47" s="1222">
        <f>H45*H46</f>
        <v>0</v>
      </c>
      <c r="I47" s="132">
        <f>SUM(F47:H47)</f>
        <v>0</v>
      </c>
      <c r="J47" s="68"/>
      <c r="K47" s="68"/>
      <c r="L47" s="483"/>
      <c r="M47" s="1354"/>
      <c r="N47" s="1354"/>
      <c r="O47" s="1354"/>
      <c r="P47" s="1354"/>
      <c r="Q47" s="1354"/>
      <c r="R47" s="1354"/>
      <c r="S47" s="1354"/>
      <c r="T47" s="1354"/>
      <c r="U47" s="1354"/>
      <c r="V47" s="1354"/>
    </row>
    <row r="48" spans="1:22" ht="15.75" thickBot="1">
      <c r="A48" s="435"/>
      <c r="B48" s="436"/>
      <c r="C48" s="437"/>
      <c r="D48" s="437"/>
      <c r="E48" s="1036"/>
      <c r="F48" s="437"/>
      <c r="G48" s="437"/>
      <c r="H48" s="437"/>
      <c r="I48" s="437"/>
      <c r="J48" s="437"/>
      <c r="K48" s="437"/>
      <c r="L48" s="1037"/>
      <c r="M48" s="1354"/>
      <c r="N48" s="1354"/>
      <c r="O48" s="1354"/>
      <c r="P48" s="1354"/>
      <c r="Q48" s="1354"/>
      <c r="R48" s="1354"/>
      <c r="S48" s="1354"/>
      <c r="T48" s="1354"/>
      <c r="U48" s="1354"/>
      <c r="V48" s="1354"/>
    </row>
    <row r="49" spans="2:22">
      <c r="B49" s="109"/>
      <c r="C49" s="108"/>
      <c r="D49" s="108"/>
      <c r="E49" s="108"/>
      <c r="F49" s="108"/>
      <c r="G49" s="108"/>
      <c r="H49" s="108"/>
      <c r="I49" s="108"/>
      <c r="J49" s="108"/>
      <c r="K49" s="108"/>
      <c r="L49" s="108"/>
      <c r="M49" s="1456"/>
      <c r="N49" s="1456"/>
      <c r="O49" s="1354"/>
      <c r="P49" s="1354"/>
      <c r="Q49" s="1354"/>
      <c r="R49" s="1354"/>
      <c r="S49" s="1354"/>
      <c r="T49" s="1354"/>
      <c r="U49" s="1354"/>
      <c r="V49" s="1354"/>
    </row>
    <row r="50" spans="2:22">
      <c r="B50" s="109"/>
      <c r="C50" s="108"/>
      <c r="D50" s="108"/>
      <c r="E50" s="108"/>
      <c r="F50" s="108"/>
      <c r="G50" s="108"/>
      <c r="H50" s="108"/>
      <c r="I50" s="108"/>
      <c r="J50" s="108"/>
      <c r="K50" s="108"/>
      <c r="L50" s="108"/>
      <c r="M50" s="108"/>
      <c r="N50" s="108"/>
    </row>
    <row r="51" spans="2:22">
      <c r="B51" s="109"/>
      <c r="C51" s="108"/>
      <c r="D51" s="108"/>
      <c r="E51" s="108"/>
      <c r="F51" s="108"/>
      <c r="G51" s="108"/>
      <c r="H51" s="108"/>
      <c r="I51" s="108"/>
      <c r="J51" s="108"/>
      <c r="K51" s="108"/>
      <c r="L51" s="108"/>
      <c r="M51" s="108"/>
      <c r="N51" s="108"/>
    </row>
    <row r="52" spans="2:22">
      <c r="B52" s="109"/>
      <c r="C52" s="108"/>
      <c r="D52" s="108"/>
      <c r="E52" s="108"/>
      <c r="F52" s="108"/>
      <c r="G52" s="108"/>
      <c r="H52" s="108"/>
      <c r="I52" s="108"/>
      <c r="J52" s="108"/>
      <c r="K52" s="108"/>
      <c r="L52" s="108"/>
      <c r="M52" s="108"/>
      <c r="N52" s="108"/>
    </row>
    <row r="53" spans="2:22">
      <c r="B53" s="109"/>
      <c r="C53" s="108"/>
      <c r="D53" s="108"/>
      <c r="E53" s="108"/>
      <c r="F53" s="108"/>
      <c r="G53" s="108"/>
      <c r="H53" s="108"/>
      <c r="I53" s="108"/>
      <c r="J53" s="108"/>
      <c r="K53" s="108"/>
      <c r="L53" s="108"/>
      <c r="M53" s="108"/>
      <c r="N53" s="108"/>
    </row>
    <row r="54" spans="2:22">
      <c r="B54" s="109"/>
      <c r="C54" s="108"/>
      <c r="D54" s="108"/>
      <c r="E54" s="108"/>
      <c r="F54" s="108"/>
      <c r="G54" s="108"/>
      <c r="H54" s="108"/>
      <c r="I54" s="108"/>
      <c r="J54" s="108"/>
      <c r="K54" s="108"/>
      <c r="L54" s="108"/>
      <c r="M54" s="108"/>
      <c r="N54" s="108"/>
    </row>
    <row r="55" spans="2:22">
      <c r="B55" s="109"/>
      <c r="C55" s="108"/>
      <c r="D55" s="108"/>
      <c r="E55" s="108"/>
      <c r="F55" s="108"/>
      <c r="G55" s="108"/>
      <c r="H55" s="108"/>
      <c r="I55" s="108"/>
      <c r="J55" s="108"/>
      <c r="K55" s="108"/>
      <c r="L55" s="108"/>
      <c r="M55" s="108"/>
      <c r="N55" s="108"/>
    </row>
    <row r="56" spans="2:22">
      <c r="B56" s="109"/>
      <c r="C56" s="108"/>
      <c r="D56" s="108"/>
      <c r="E56" s="108"/>
      <c r="F56" s="108"/>
      <c r="G56" s="108"/>
      <c r="H56" s="108"/>
      <c r="I56" s="108"/>
      <c r="J56" s="108"/>
      <c r="K56" s="108"/>
      <c r="L56" s="108"/>
      <c r="M56" s="108"/>
      <c r="N56" s="108"/>
    </row>
    <row r="57" spans="2:22">
      <c r="B57" s="109"/>
      <c r="C57" s="108"/>
      <c r="D57" s="108"/>
      <c r="E57" s="108"/>
      <c r="F57" s="108"/>
      <c r="G57" s="108"/>
      <c r="H57" s="108"/>
      <c r="I57" s="108"/>
      <c r="J57" s="108"/>
      <c r="K57" s="108"/>
      <c r="L57" s="108"/>
      <c r="M57" s="108"/>
      <c r="N57" s="108"/>
    </row>
    <row r="58" spans="2:22">
      <c r="B58" s="109"/>
      <c r="C58" s="108"/>
      <c r="D58" s="108"/>
      <c r="E58" s="108"/>
      <c r="F58" s="108"/>
      <c r="G58" s="108"/>
      <c r="H58" s="108"/>
      <c r="I58" s="108"/>
      <c r="J58" s="108"/>
      <c r="K58" s="108"/>
      <c r="L58" s="108"/>
      <c r="M58" s="108"/>
      <c r="N58" s="108"/>
    </row>
    <row r="59" spans="2:22">
      <c r="B59" s="109"/>
      <c r="C59" s="108"/>
      <c r="D59" s="108"/>
      <c r="E59" s="108"/>
      <c r="F59" s="108"/>
      <c r="G59" s="108"/>
      <c r="H59" s="108"/>
      <c r="I59" s="108"/>
      <c r="J59" s="108"/>
      <c r="K59" s="108"/>
      <c r="L59" s="108"/>
      <c r="M59" s="108"/>
      <c r="N59" s="108"/>
    </row>
    <row r="60" spans="2:22">
      <c r="B60" s="109"/>
      <c r="C60" s="108"/>
      <c r="D60" s="108"/>
      <c r="E60" s="108"/>
      <c r="F60" s="108"/>
      <c r="G60" s="108"/>
      <c r="H60" s="108"/>
      <c r="I60" s="108"/>
      <c r="J60" s="108"/>
      <c r="K60" s="108"/>
      <c r="L60" s="108"/>
      <c r="M60" s="108"/>
      <c r="N60" s="108"/>
    </row>
    <row r="61" spans="2:22">
      <c r="B61" s="109"/>
      <c r="C61" s="108"/>
      <c r="D61" s="108"/>
      <c r="E61" s="108"/>
      <c r="F61" s="108"/>
      <c r="G61" s="108"/>
      <c r="H61" s="108"/>
      <c r="I61" s="108"/>
      <c r="J61" s="108"/>
      <c r="K61" s="108"/>
      <c r="L61" s="108"/>
      <c r="M61" s="108"/>
      <c r="N61" s="108"/>
    </row>
    <row r="62" spans="2:22">
      <c r="B62" s="109"/>
      <c r="C62" s="108"/>
      <c r="D62" s="108"/>
      <c r="E62" s="108"/>
      <c r="F62" s="108"/>
      <c r="G62" s="108"/>
      <c r="H62" s="108"/>
      <c r="I62" s="108"/>
      <c r="J62" s="108"/>
      <c r="K62" s="108"/>
      <c r="L62" s="108"/>
      <c r="M62" s="108"/>
      <c r="N62" s="108"/>
    </row>
    <row r="63" spans="2:22">
      <c r="B63" s="109"/>
      <c r="C63" s="108"/>
      <c r="D63" s="108"/>
      <c r="E63" s="108"/>
      <c r="F63" s="108"/>
      <c r="G63" s="108"/>
      <c r="H63" s="108"/>
      <c r="I63" s="108"/>
      <c r="J63" s="108"/>
      <c r="K63" s="108"/>
      <c r="L63" s="108"/>
      <c r="M63" s="108"/>
      <c r="N63" s="108"/>
    </row>
    <row r="64" spans="2:22">
      <c r="B64" s="109"/>
      <c r="C64" s="108"/>
      <c r="D64" s="108"/>
      <c r="E64" s="108"/>
      <c r="F64" s="108"/>
      <c r="G64" s="108"/>
      <c r="H64" s="108"/>
      <c r="I64" s="108"/>
      <c r="J64" s="108"/>
      <c r="K64" s="108"/>
      <c r="L64" s="108"/>
      <c r="M64" s="108"/>
      <c r="N64" s="108"/>
    </row>
    <row r="65" spans="2:14">
      <c r="B65" s="109"/>
      <c r="C65" s="108"/>
      <c r="D65" s="108"/>
      <c r="E65" s="108"/>
      <c r="F65" s="108"/>
      <c r="G65" s="108"/>
      <c r="H65" s="108"/>
      <c r="I65" s="108"/>
      <c r="J65" s="108"/>
      <c r="K65" s="108"/>
      <c r="L65" s="108"/>
      <c r="M65" s="108"/>
      <c r="N65" s="108"/>
    </row>
    <row r="66" spans="2:14">
      <c r="B66" s="109"/>
      <c r="C66" s="108"/>
      <c r="D66" s="108"/>
      <c r="E66" s="108"/>
      <c r="F66" s="108"/>
      <c r="G66" s="108"/>
      <c r="H66" s="108"/>
      <c r="I66" s="108"/>
      <c r="J66" s="108"/>
      <c r="K66" s="108"/>
      <c r="L66" s="108"/>
      <c r="M66" s="108"/>
      <c r="N66" s="108"/>
    </row>
    <row r="67" spans="2:14">
      <c r="B67" s="109"/>
      <c r="C67" s="108"/>
      <c r="D67" s="108"/>
      <c r="E67" s="108"/>
      <c r="F67" s="108"/>
      <c r="G67" s="108"/>
      <c r="H67" s="108"/>
      <c r="I67" s="108"/>
      <c r="J67" s="108"/>
      <c r="K67" s="108"/>
      <c r="L67" s="108"/>
      <c r="M67" s="108"/>
      <c r="N67" s="108"/>
    </row>
    <row r="68" spans="2:14">
      <c r="B68" s="109"/>
      <c r="C68" s="108"/>
      <c r="D68" s="108"/>
      <c r="E68" s="108"/>
      <c r="F68" s="108"/>
      <c r="G68" s="108"/>
      <c r="H68" s="108"/>
      <c r="I68" s="108"/>
      <c r="J68" s="108"/>
      <c r="K68" s="108"/>
      <c r="L68" s="108"/>
      <c r="M68" s="108"/>
      <c r="N68" s="108"/>
    </row>
    <row r="69" spans="2:14">
      <c r="B69" s="109"/>
      <c r="C69" s="108"/>
      <c r="D69" s="108"/>
      <c r="E69" s="108"/>
      <c r="F69" s="108"/>
      <c r="G69" s="108"/>
      <c r="H69" s="108"/>
      <c r="I69" s="108"/>
      <c r="J69" s="108"/>
      <c r="K69" s="108"/>
      <c r="L69" s="108"/>
      <c r="M69" s="108"/>
      <c r="N69" s="108"/>
    </row>
    <row r="70" spans="2:14">
      <c r="B70" s="109"/>
      <c r="C70" s="108"/>
      <c r="D70" s="108"/>
      <c r="E70" s="108"/>
      <c r="F70" s="108"/>
      <c r="G70" s="108"/>
      <c r="H70" s="108"/>
      <c r="I70" s="108"/>
      <c r="J70" s="108"/>
      <c r="K70" s="108"/>
      <c r="L70" s="108"/>
      <c r="M70" s="108"/>
      <c r="N70" s="108"/>
    </row>
    <row r="71" spans="2:14">
      <c r="B71" s="109"/>
      <c r="C71" s="108"/>
      <c r="D71" s="108"/>
      <c r="E71" s="108"/>
      <c r="F71" s="108"/>
      <c r="G71" s="108"/>
      <c r="H71" s="108"/>
      <c r="I71" s="108"/>
      <c r="J71" s="108"/>
      <c r="K71" s="108"/>
      <c r="L71" s="108"/>
      <c r="M71" s="108"/>
      <c r="N71" s="108"/>
    </row>
    <row r="72" spans="2:14">
      <c r="B72" s="109"/>
      <c r="C72" s="108"/>
      <c r="D72" s="108"/>
      <c r="E72" s="108"/>
      <c r="F72" s="108"/>
      <c r="G72" s="108"/>
      <c r="H72" s="108"/>
      <c r="I72" s="108"/>
      <c r="J72" s="108"/>
      <c r="K72" s="108"/>
      <c r="L72" s="108"/>
      <c r="M72" s="108"/>
      <c r="N72" s="108"/>
    </row>
    <row r="73" spans="2:14">
      <c r="B73" s="109"/>
      <c r="C73" s="108"/>
      <c r="D73" s="108"/>
      <c r="E73" s="108"/>
      <c r="F73" s="108"/>
      <c r="G73" s="108"/>
      <c r="H73" s="108"/>
      <c r="I73" s="108"/>
      <c r="J73" s="108"/>
      <c r="K73" s="108"/>
      <c r="L73" s="108"/>
      <c r="M73" s="108"/>
      <c r="N73" s="108"/>
    </row>
    <row r="74" spans="2:14">
      <c r="B74" s="109"/>
      <c r="C74" s="108"/>
      <c r="D74" s="108"/>
      <c r="E74" s="108"/>
      <c r="F74" s="108"/>
      <c r="G74" s="108"/>
      <c r="H74" s="108"/>
      <c r="I74" s="108"/>
      <c r="J74" s="108"/>
      <c r="K74" s="108"/>
      <c r="L74" s="108"/>
      <c r="M74" s="108"/>
      <c r="N74" s="108"/>
    </row>
    <row r="75" spans="2:14">
      <c r="B75" s="109"/>
      <c r="C75" s="108"/>
      <c r="D75" s="108"/>
      <c r="E75" s="108"/>
      <c r="F75" s="108"/>
      <c r="G75" s="108"/>
      <c r="H75" s="108"/>
      <c r="I75" s="108"/>
      <c r="J75" s="108"/>
      <c r="K75" s="108"/>
      <c r="L75" s="108"/>
      <c r="M75" s="108"/>
      <c r="N75" s="108"/>
    </row>
    <row r="76" spans="2:14">
      <c r="B76" s="109"/>
      <c r="C76" s="108"/>
      <c r="D76" s="108"/>
      <c r="E76" s="108"/>
      <c r="F76" s="108"/>
      <c r="G76" s="108"/>
      <c r="H76" s="108"/>
      <c r="I76" s="108"/>
      <c r="J76" s="108"/>
      <c r="K76" s="108"/>
      <c r="L76" s="108"/>
      <c r="M76" s="108"/>
      <c r="N76" s="108"/>
    </row>
    <row r="77" spans="2:14">
      <c r="B77" s="109"/>
      <c r="C77" s="108"/>
      <c r="D77" s="108"/>
      <c r="E77" s="108"/>
      <c r="F77" s="108"/>
      <c r="G77" s="108"/>
      <c r="H77" s="108"/>
      <c r="I77" s="108"/>
      <c r="J77" s="108"/>
      <c r="K77" s="108"/>
      <c r="L77" s="108"/>
      <c r="M77" s="108"/>
      <c r="N77" s="108"/>
    </row>
    <row r="78" spans="2:14">
      <c r="B78" s="109"/>
      <c r="C78" s="108"/>
      <c r="D78" s="108"/>
      <c r="E78" s="108"/>
      <c r="F78" s="108"/>
      <c r="G78" s="108"/>
      <c r="H78" s="108"/>
      <c r="I78" s="108"/>
      <c r="J78" s="108"/>
      <c r="K78" s="108"/>
      <c r="L78" s="108"/>
      <c r="M78" s="108"/>
      <c r="N78" s="108"/>
    </row>
    <row r="79" spans="2:14">
      <c r="B79" s="109"/>
      <c r="C79" s="108"/>
      <c r="D79" s="108"/>
      <c r="E79" s="108"/>
      <c r="F79" s="108"/>
      <c r="G79" s="108"/>
      <c r="H79" s="108"/>
      <c r="I79" s="108"/>
      <c r="J79" s="108"/>
      <c r="K79" s="108"/>
      <c r="L79" s="108"/>
      <c r="M79" s="108"/>
      <c r="N79" s="108"/>
    </row>
    <row r="80" spans="2:14">
      <c r="B80" s="109"/>
      <c r="C80" s="108"/>
      <c r="D80" s="108"/>
      <c r="E80" s="108"/>
      <c r="F80" s="108"/>
      <c r="G80" s="108"/>
      <c r="H80" s="108"/>
      <c r="I80" s="108"/>
      <c r="J80" s="108"/>
      <c r="K80" s="108"/>
      <c r="L80" s="108"/>
      <c r="M80" s="108"/>
      <c r="N80" s="108"/>
    </row>
    <row r="81" spans="2:14">
      <c r="B81" s="109"/>
      <c r="C81" s="108"/>
      <c r="D81" s="108"/>
      <c r="E81" s="108"/>
      <c r="F81" s="108"/>
      <c r="G81" s="108"/>
      <c r="H81" s="108"/>
      <c r="I81" s="108"/>
      <c r="J81" s="108"/>
      <c r="K81" s="108"/>
      <c r="L81" s="108"/>
      <c r="M81" s="108"/>
      <c r="N81" s="108"/>
    </row>
    <row r="82" spans="2:14">
      <c r="B82" s="109"/>
      <c r="C82" s="108"/>
      <c r="D82" s="108"/>
      <c r="E82" s="108"/>
      <c r="F82" s="108"/>
      <c r="G82" s="108"/>
      <c r="H82" s="108"/>
      <c r="I82" s="108"/>
      <c r="J82" s="108"/>
      <c r="K82" s="108"/>
      <c r="L82" s="108"/>
      <c r="M82" s="108"/>
      <c r="N82" s="108"/>
    </row>
    <row r="83" spans="2:14">
      <c r="B83" s="109"/>
      <c r="C83" s="108"/>
      <c r="D83" s="108"/>
      <c r="E83" s="108"/>
      <c r="F83" s="108"/>
      <c r="G83" s="108"/>
      <c r="H83" s="108"/>
      <c r="I83" s="108"/>
      <c r="J83" s="108"/>
      <c r="K83" s="108"/>
      <c r="L83" s="108"/>
      <c r="M83" s="108"/>
      <c r="N83" s="108"/>
    </row>
    <row r="84" spans="2:14">
      <c r="B84" s="109"/>
      <c r="C84" s="108"/>
      <c r="D84" s="108"/>
      <c r="E84" s="108"/>
      <c r="F84" s="108"/>
      <c r="G84" s="108"/>
      <c r="H84" s="108"/>
      <c r="I84" s="108"/>
      <c r="J84" s="108"/>
      <c r="K84" s="108"/>
      <c r="L84" s="108"/>
      <c r="M84" s="108"/>
      <c r="N84" s="108"/>
    </row>
    <row r="85" spans="2:14">
      <c r="B85" s="109"/>
      <c r="C85" s="108"/>
      <c r="D85" s="108"/>
      <c r="E85" s="108"/>
      <c r="F85" s="108"/>
      <c r="G85" s="108"/>
      <c r="H85" s="108"/>
      <c r="I85" s="108"/>
      <c r="J85" s="108"/>
      <c r="K85" s="108"/>
      <c r="L85" s="108"/>
      <c r="M85" s="108"/>
      <c r="N85" s="108"/>
    </row>
    <row r="86" spans="2:14">
      <c r="B86" s="109"/>
      <c r="C86" s="108"/>
      <c r="D86" s="108"/>
      <c r="E86" s="108"/>
      <c r="F86" s="108"/>
      <c r="G86" s="108"/>
      <c r="H86" s="108"/>
      <c r="I86" s="108"/>
      <c r="J86" s="108"/>
      <c r="K86" s="108"/>
      <c r="L86" s="108"/>
      <c r="M86" s="108"/>
      <c r="N86" s="108"/>
    </row>
    <row r="87" spans="2:14">
      <c r="B87" s="109"/>
      <c r="C87" s="108"/>
      <c r="D87" s="108"/>
      <c r="E87" s="108"/>
      <c r="F87" s="108"/>
      <c r="G87" s="108"/>
      <c r="H87" s="108"/>
      <c r="I87" s="108"/>
      <c r="J87" s="108"/>
      <c r="K87" s="108"/>
      <c r="L87" s="108"/>
      <c r="M87" s="108"/>
      <c r="N87" s="108"/>
    </row>
    <row r="88" spans="2:14">
      <c r="B88" s="109"/>
      <c r="C88" s="108"/>
      <c r="D88" s="108"/>
      <c r="E88" s="108"/>
      <c r="F88" s="108"/>
      <c r="G88" s="108"/>
      <c r="H88" s="108"/>
      <c r="I88" s="108"/>
      <c r="J88" s="108"/>
      <c r="K88" s="108"/>
      <c r="L88" s="108"/>
      <c r="M88" s="108"/>
      <c r="N88" s="108"/>
    </row>
    <row r="89" spans="2:14">
      <c r="B89" s="109"/>
      <c r="C89" s="108"/>
      <c r="D89" s="108"/>
      <c r="E89" s="108"/>
      <c r="F89" s="108"/>
      <c r="G89" s="108"/>
      <c r="H89" s="108"/>
      <c r="I89" s="108"/>
      <c r="J89" s="108"/>
      <c r="K89" s="108"/>
      <c r="L89" s="108"/>
      <c r="M89" s="108"/>
      <c r="N89" s="108"/>
    </row>
    <row r="90" spans="2:14">
      <c r="B90" s="109"/>
      <c r="C90" s="108"/>
      <c r="D90" s="108"/>
      <c r="E90" s="108"/>
      <c r="F90" s="108"/>
      <c r="G90" s="108"/>
      <c r="H90" s="108"/>
      <c r="I90" s="108"/>
      <c r="J90" s="108"/>
      <c r="K90" s="108"/>
      <c r="L90" s="108"/>
      <c r="M90" s="108"/>
      <c r="N90" s="108"/>
    </row>
    <row r="91" spans="2:14">
      <c r="B91" s="109"/>
      <c r="C91" s="108"/>
      <c r="D91" s="108"/>
      <c r="E91" s="108"/>
      <c r="F91" s="108"/>
      <c r="G91" s="108"/>
      <c r="H91" s="108"/>
      <c r="I91" s="108"/>
      <c r="J91" s="108"/>
      <c r="K91" s="108"/>
      <c r="L91" s="108"/>
      <c r="M91" s="108"/>
      <c r="N91" s="108"/>
    </row>
    <row r="92" spans="2:14">
      <c r="B92" s="109"/>
      <c r="C92" s="108"/>
      <c r="D92" s="108"/>
      <c r="E92" s="108"/>
      <c r="F92" s="108"/>
      <c r="G92" s="108"/>
      <c r="H92" s="108"/>
      <c r="I92" s="108"/>
      <c r="J92" s="108"/>
      <c r="K92" s="108"/>
      <c r="L92" s="108"/>
      <c r="M92" s="108"/>
      <c r="N92" s="108"/>
    </row>
    <row r="93" spans="2:14">
      <c r="B93" s="109"/>
      <c r="C93" s="108"/>
      <c r="D93" s="108"/>
      <c r="E93" s="108"/>
      <c r="F93" s="108"/>
      <c r="G93" s="108"/>
      <c r="H93" s="108"/>
      <c r="I93" s="108"/>
      <c r="J93" s="108"/>
      <c r="K93" s="108"/>
      <c r="L93" s="108"/>
      <c r="M93" s="108"/>
      <c r="N93" s="108"/>
    </row>
    <row r="94" spans="2:14">
      <c r="B94" s="109"/>
      <c r="C94" s="108"/>
      <c r="D94" s="108"/>
      <c r="E94" s="108"/>
      <c r="F94" s="108"/>
      <c r="G94" s="108"/>
      <c r="H94" s="108"/>
      <c r="I94" s="108"/>
      <c r="J94" s="108"/>
      <c r="K94" s="108"/>
      <c r="L94" s="108"/>
      <c r="M94" s="108"/>
      <c r="N94" s="108"/>
    </row>
    <row r="95" spans="2:14">
      <c r="B95" s="109"/>
      <c r="C95" s="108"/>
      <c r="D95" s="108"/>
      <c r="E95" s="108"/>
      <c r="F95" s="108"/>
      <c r="G95" s="108"/>
      <c r="H95" s="108"/>
      <c r="I95" s="108"/>
      <c r="J95" s="108"/>
      <c r="K95" s="108"/>
      <c r="L95" s="108"/>
      <c r="M95" s="108"/>
      <c r="N95" s="108"/>
    </row>
    <row r="96" spans="2:14">
      <c r="B96" s="109"/>
      <c r="C96" s="108"/>
      <c r="D96" s="108"/>
      <c r="E96" s="108"/>
      <c r="F96" s="108"/>
      <c r="G96" s="108"/>
      <c r="H96" s="108"/>
      <c r="I96" s="108"/>
      <c r="J96" s="108"/>
      <c r="K96" s="108"/>
      <c r="L96" s="108"/>
      <c r="M96" s="108"/>
      <c r="N96" s="108"/>
    </row>
    <row r="97" spans="2:14">
      <c r="B97" s="109"/>
      <c r="C97" s="108"/>
      <c r="D97" s="108"/>
      <c r="E97" s="108"/>
      <c r="F97" s="108"/>
      <c r="G97" s="108"/>
      <c r="H97" s="108"/>
      <c r="I97" s="108"/>
      <c r="J97" s="108"/>
      <c r="K97" s="108"/>
      <c r="L97" s="108"/>
      <c r="M97" s="108"/>
      <c r="N97" s="108"/>
    </row>
    <row r="98" spans="2:14">
      <c r="B98" s="109"/>
      <c r="C98" s="108"/>
      <c r="D98" s="108"/>
      <c r="E98" s="108"/>
      <c r="F98" s="108"/>
      <c r="G98" s="108"/>
      <c r="H98" s="108"/>
      <c r="I98" s="108"/>
      <c r="J98" s="108"/>
      <c r="K98" s="108"/>
      <c r="L98" s="108"/>
      <c r="M98" s="108"/>
      <c r="N98" s="108"/>
    </row>
    <row r="99" spans="2:14">
      <c r="B99" s="109"/>
      <c r="C99" s="108"/>
      <c r="D99" s="108"/>
      <c r="E99" s="108"/>
      <c r="F99" s="108"/>
      <c r="G99" s="108"/>
      <c r="H99" s="108"/>
      <c r="I99" s="108"/>
      <c r="J99" s="108"/>
      <c r="K99" s="108"/>
      <c r="L99" s="108"/>
      <c r="M99" s="108"/>
      <c r="N99" s="108"/>
    </row>
    <row r="100" spans="2:14">
      <c r="B100" s="109"/>
      <c r="C100" s="108"/>
      <c r="D100" s="108"/>
      <c r="E100" s="108"/>
      <c r="F100" s="108"/>
      <c r="G100" s="108"/>
      <c r="H100" s="108"/>
      <c r="I100" s="108"/>
      <c r="J100" s="108"/>
      <c r="K100" s="108"/>
      <c r="L100" s="108"/>
      <c r="M100" s="108"/>
      <c r="N100" s="108"/>
    </row>
    <row r="101" spans="2:14">
      <c r="B101" s="109"/>
      <c r="C101" s="108"/>
      <c r="D101" s="108"/>
      <c r="E101" s="108"/>
      <c r="F101" s="108"/>
      <c r="G101" s="108"/>
      <c r="H101" s="108"/>
      <c r="I101" s="108"/>
      <c r="J101" s="108"/>
      <c r="K101" s="108"/>
      <c r="L101" s="108"/>
      <c r="M101" s="108"/>
      <c r="N101" s="108"/>
    </row>
    <row r="102" spans="2:14">
      <c r="B102" s="109"/>
      <c r="C102" s="108"/>
      <c r="D102" s="108"/>
      <c r="E102" s="108"/>
      <c r="F102" s="108"/>
      <c r="G102" s="108"/>
      <c r="H102" s="108"/>
      <c r="I102" s="108"/>
      <c r="J102" s="108"/>
      <c r="K102" s="108"/>
      <c r="L102" s="108"/>
      <c r="M102" s="108"/>
      <c r="N102" s="108"/>
    </row>
    <row r="103" spans="2:14">
      <c r="B103" s="109"/>
      <c r="C103" s="108"/>
      <c r="D103" s="108"/>
      <c r="E103" s="108"/>
      <c r="F103" s="108"/>
      <c r="G103" s="108"/>
      <c r="H103" s="108"/>
      <c r="I103" s="108"/>
      <c r="J103" s="108"/>
      <c r="K103" s="108"/>
      <c r="L103" s="108"/>
      <c r="M103" s="108"/>
      <c r="N103" s="108"/>
    </row>
    <row r="104" spans="2:14">
      <c r="B104" s="109"/>
      <c r="C104" s="108"/>
      <c r="D104" s="108"/>
      <c r="E104" s="108"/>
      <c r="F104" s="108"/>
      <c r="G104" s="108"/>
      <c r="H104" s="108"/>
      <c r="I104" s="108"/>
      <c r="J104" s="108"/>
      <c r="K104" s="108"/>
      <c r="L104" s="108"/>
      <c r="M104" s="108"/>
      <c r="N104" s="108"/>
    </row>
    <row r="105" spans="2:14">
      <c r="B105" s="109"/>
      <c r="C105" s="108"/>
      <c r="D105" s="108"/>
      <c r="E105" s="108"/>
      <c r="F105" s="108"/>
      <c r="G105" s="108"/>
      <c r="H105" s="108"/>
      <c r="I105" s="108"/>
      <c r="J105" s="108"/>
      <c r="K105" s="108"/>
      <c r="L105" s="108"/>
      <c r="M105" s="108"/>
      <c r="N105" s="108"/>
    </row>
    <row r="106" spans="2:14">
      <c r="B106" s="109"/>
      <c r="C106" s="108"/>
      <c r="D106" s="108"/>
      <c r="E106" s="108"/>
      <c r="F106" s="108"/>
      <c r="G106" s="108"/>
      <c r="H106" s="108"/>
      <c r="I106" s="108"/>
      <c r="J106" s="108"/>
      <c r="K106" s="108"/>
      <c r="L106" s="108"/>
      <c r="M106" s="108"/>
      <c r="N106" s="108"/>
    </row>
    <row r="107" spans="2:14">
      <c r="B107" s="109"/>
      <c r="C107" s="108"/>
      <c r="D107" s="108"/>
      <c r="E107" s="108"/>
      <c r="F107" s="108"/>
      <c r="G107" s="108"/>
      <c r="H107" s="108"/>
      <c r="I107" s="108"/>
      <c r="J107" s="108"/>
      <c r="K107" s="108"/>
      <c r="L107" s="108"/>
      <c r="M107" s="108"/>
      <c r="N107" s="108"/>
    </row>
    <row r="108" spans="2:14">
      <c r="B108" s="109"/>
      <c r="C108" s="108"/>
      <c r="D108" s="108"/>
      <c r="E108" s="108"/>
      <c r="F108" s="108"/>
      <c r="G108" s="108"/>
      <c r="H108" s="108"/>
      <c r="I108" s="108"/>
      <c r="J108" s="108"/>
      <c r="K108" s="108"/>
      <c r="L108" s="108"/>
      <c r="M108" s="108"/>
      <c r="N108" s="108"/>
    </row>
    <row r="109" spans="2:14">
      <c r="B109" s="109"/>
      <c r="C109" s="108"/>
      <c r="D109" s="108"/>
      <c r="E109" s="108"/>
      <c r="F109" s="108"/>
      <c r="G109" s="108"/>
      <c r="H109" s="108"/>
      <c r="I109" s="108"/>
      <c r="J109" s="108"/>
      <c r="K109" s="108"/>
      <c r="L109" s="108"/>
      <c r="M109" s="108"/>
      <c r="N109" s="108"/>
    </row>
    <row r="110" spans="2:14">
      <c r="B110" s="109"/>
      <c r="C110" s="108"/>
      <c r="D110" s="108"/>
      <c r="E110" s="108"/>
      <c r="F110" s="108"/>
      <c r="G110" s="108"/>
      <c r="H110" s="108"/>
      <c r="I110" s="108"/>
      <c r="J110" s="108"/>
      <c r="K110" s="108"/>
      <c r="L110" s="108"/>
      <c r="M110" s="108"/>
      <c r="N110" s="108"/>
    </row>
    <row r="111" spans="2:14">
      <c r="B111" s="109"/>
      <c r="C111" s="108"/>
      <c r="D111" s="108"/>
      <c r="E111" s="108"/>
      <c r="F111" s="108"/>
      <c r="G111" s="108"/>
      <c r="H111" s="108"/>
      <c r="I111" s="108"/>
      <c r="J111" s="108"/>
      <c r="K111" s="108"/>
      <c r="L111" s="108"/>
      <c r="M111" s="108"/>
      <c r="N111" s="108"/>
    </row>
    <row r="112" spans="2:14">
      <c r="B112" s="109"/>
      <c r="C112" s="108"/>
      <c r="D112" s="108"/>
      <c r="E112" s="108"/>
      <c r="F112" s="108"/>
      <c r="G112" s="108"/>
      <c r="H112" s="108"/>
      <c r="I112" s="108"/>
      <c r="J112" s="108"/>
      <c r="K112" s="108"/>
      <c r="L112" s="108"/>
      <c r="M112" s="108"/>
      <c r="N112" s="108"/>
    </row>
    <row r="113" spans="2:14">
      <c r="B113" s="109"/>
      <c r="C113" s="108"/>
      <c r="D113" s="108"/>
      <c r="E113" s="108"/>
      <c r="F113" s="108"/>
      <c r="G113" s="108"/>
      <c r="H113" s="108"/>
      <c r="I113" s="108"/>
      <c r="J113" s="108"/>
      <c r="K113" s="108"/>
      <c r="L113" s="108"/>
      <c r="M113" s="108"/>
      <c r="N113" s="108"/>
    </row>
    <row r="114" spans="2:14">
      <c r="B114" s="109"/>
      <c r="C114" s="108"/>
      <c r="D114" s="108"/>
      <c r="E114" s="108"/>
      <c r="F114" s="108"/>
      <c r="G114" s="108"/>
      <c r="H114" s="108"/>
      <c r="I114" s="108"/>
      <c r="J114" s="108"/>
      <c r="K114" s="108"/>
      <c r="L114" s="108"/>
      <c r="M114" s="108"/>
      <c r="N114" s="108"/>
    </row>
    <row r="115" spans="2:14">
      <c r="B115" s="109"/>
      <c r="C115" s="108"/>
      <c r="D115" s="108"/>
      <c r="E115" s="108"/>
      <c r="F115" s="108"/>
      <c r="G115" s="108"/>
      <c r="H115" s="108"/>
      <c r="I115" s="108"/>
      <c r="J115" s="108"/>
      <c r="K115" s="108"/>
      <c r="L115" s="108"/>
      <c r="M115" s="108"/>
      <c r="N115" s="108"/>
    </row>
    <row r="116" spans="2:14">
      <c r="B116" s="109"/>
      <c r="C116" s="108"/>
      <c r="D116" s="108"/>
      <c r="E116" s="108"/>
      <c r="F116" s="108"/>
      <c r="G116" s="108"/>
      <c r="H116" s="108"/>
      <c r="I116" s="108"/>
      <c r="J116" s="108"/>
      <c r="K116" s="108"/>
      <c r="L116" s="108"/>
      <c r="M116" s="108"/>
      <c r="N116" s="108"/>
    </row>
    <row r="117" spans="2:14">
      <c r="B117" s="109"/>
      <c r="C117" s="108"/>
      <c r="D117" s="108"/>
      <c r="E117" s="108"/>
      <c r="F117" s="108"/>
      <c r="G117" s="108"/>
      <c r="H117" s="108"/>
      <c r="I117" s="108"/>
      <c r="J117" s="108"/>
      <c r="K117" s="108"/>
      <c r="L117" s="108"/>
      <c r="M117" s="108"/>
      <c r="N117" s="108"/>
    </row>
    <row r="118" spans="2:14">
      <c r="B118" s="109"/>
      <c r="C118" s="108"/>
      <c r="D118" s="108"/>
      <c r="E118" s="108"/>
      <c r="F118" s="108"/>
      <c r="G118" s="108"/>
      <c r="H118" s="108"/>
      <c r="I118" s="108"/>
      <c r="J118" s="108"/>
      <c r="K118" s="108"/>
      <c r="L118" s="108"/>
      <c r="M118" s="108"/>
      <c r="N118" s="108"/>
    </row>
    <row r="119" spans="2:14">
      <c r="B119" s="109"/>
      <c r="C119" s="108"/>
      <c r="D119" s="108"/>
      <c r="E119" s="108"/>
      <c r="F119" s="108"/>
      <c r="G119" s="108"/>
      <c r="H119" s="108"/>
      <c r="I119" s="108"/>
      <c r="J119" s="108"/>
      <c r="K119" s="108"/>
      <c r="L119" s="108"/>
      <c r="M119" s="108"/>
      <c r="N119" s="108"/>
    </row>
    <row r="120" spans="2:14">
      <c r="B120" s="109"/>
      <c r="C120" s="108"/>
      <c r="D120" s="108"/>
      <c r="E120" s="108"/>
      <c r="F120" s="108"/>
      <c r="G120" s="108"/>
      <c r="H120" s="108"/>
      <c r="I120" s="108"/>
      <c r="J120" s="108"/>
      <c r="K120" s="108"/>
      <c r="L120" s="108"/>
      <c r="M120" s="108"/>
      <c r="N120" s="108"/>
    </row>
    <row r="121" spans="2:14">
      <c r="B121" s="109"/>
      <c r="C121" s="108"/>
      <c r="D121" s="108"/>
      <c r="E121" s="108"/>
      <c r="F121" s="108"/>
      <c r="G121" s="108"/>
      <c r="H121" s="108"/>
      <c r="I121" s="108"/>
      <c r="J121" s="108"/>
      <c r="K121" s="108"/>
      <c r="L121" s="108"/>
      <c r="M121" s="108"/>
      <c r="N121" s="108"/>
    </row>
    <row r="122" spans="2:14">
      <c r="B122" s="109"/>
      <c r="C122" s="108"/>
      <c r="D122" s="108"/>
      <c r="E122" s="108"/>
      <c r="F122" s="108"/>
      <c r="G122" s="108"/>
      <c r="H122" s="108"/>
      <c r="I122" s="108"/>
      <c r="J122" s="108"/>
      <c r="K122" s="108"/>
      <c r="L122" s="108"/>
      <c r="M122" s="108"/>
      <c r="N122" s="108"/>
    </row>
    <row r="123" spans="2:14">
      <c r="B123" s="109"/>
      <c r="C123" s="108"/>
      <c r="D123" s="108"/>
      <c r="E123" s="108"/>
      <c r="F123" s="108"/>
      <c r="G123" s="108"/>
      <c r="H123" s="108"/>
      <c r="I123" s="108"/>
      <c r="J123" s="108"/>
      <c r="K123" s="108"/>
      <c r="L123" s="108"/>
      <c r="M123" s="108"/>
      <c r="N123" s="108"/>
    </row>
    <row r="124" spans="2:14">
      <c r="B124" s="109"/>
      <c r="C124" s="108"/>
      <c r="D124" s="108"/>
      <c r="E124" s="108"/>
      <c r="F124" s="108"/>
      <c r="G124" s="108"/>
      <c r="H124" s="108"/>
      <c r="I124" s="108"/>
      <c r="J124" s="108"/>
      <c r="K124" s="108"/>
      <c r="L124" s="108"/>
      <c r="M124" s="108"/>
      <c r="N124" s="108"/>
    </row>
    <row r="125" spans="2:14">
      <c r="B125" s="109"/>
      <c r="C125" s="108"/>
      <c r="D125" s="108"/>
      <c r="E125" s="108"/>
      <c r="F125" s="108"/>
      <c r="G125" s="108"/>
      <c r="H125" s="108"/>
      <c r="I125" s="108"/>
      <c r="J125" s="108"/>
      <c r="K125" s="108"/>
      <c r="L125" s="108"/>
      <c r="M125" s="108"/>
      <c r="N125" s="108"/>
    </row>
    <row r="126" spans="2:14">
      <c r="B126" s="109"/>
      <c r="C126" s="108"/>
      <c r="D126" s="108"/>
      <c r="E126" s="108"/>
      <c r="F126" s="108"/>
      <c r="G126" s="108"/>
      <c r="H126" s="108"/>
      <c r="I126" s="108"/>
      <c r="J126" s="108"/>
      <c r="K126" s="108"/>
      <c r="L126" s="108"/>
      <c r="M126" s="108"/>
      <c r="N126" s="108"/>
    </row>
  </sheetData>
  <sheetProtection sheet="1" objects="1" scenarios="1"/>
  <protectedRanges>
    <protectedRange sqref="C11:C20 F11:H20 C34:C43 F34:H43 K9:K10 K17 K33:K34 K41" name="Område1"/>
  </protectedRanges>
  <phoneticPr fontId="24" type="noConversion"/>
  <pageMargins left="0.74791666666666667" right="0.74791666666666667" top="0.98402777777777772" bottom="0.98402777777777772" header="0.51180555555555551" footer="0.51180555555555551"/>
  <pageSetup paperSize="9" firstPageNumber="0" orientation="portrait" horizontalDpi="300" verticalDpi="300"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tabColor theme="9" tint="0.39997558519241921"/>
    <pageSetUpPr fitToPage="1"/>
  </sheetPr>
  <dimension ref="A1:AA96"/>
  <sheetViews>
    <sheetView showZeros="0" topLeftCell="A17" zoomScale="90" zoomScaleNormal="90" workbookViewId="0">
      <selection activeCell="C53" sqref="C53"/>
    </sheetView>
  </sheetViews>
  <sheetFormatPr defaultRowHeight="12.75"/>
  <cols>
    <col min="2" max="2" width="13.42578125" customWidth="1"/>
    <col min="3" max="3" width="10.140625" customWidth="1"/>
    <col min="4" max="4" width="10.5703125" customWidth="1"/>
    <col min="5" max="5" width="13.5703125" customWidth="1"/>
    <col min="6" max="6" width="11" customWidth="1"/>
    <col min="7" max="7" width="9" customWidth="1"/>
    <col min="8" max="8" width="11.42578125" customWidth="1"/>
    <col min="9" max="9" width="9.5703125" customWidth="1"/>
    <col min="10" max="10" width="10" customWidth="1"/>
    <col min="11" max="11" width="7.7109375" customWidth="1"/>
    <col min="13" max="13" width="11.140625" customWidth="1"/>
    <col min="16" max="23" width="9.140625" customWidth="1"/>
  </cols>
  <sheetData>
    <row r="1" spans="1:14" ht="18">
      <c r="A1" s="486"/>
      <c r="B1" s="426" t="s">
        <v>1717</v>
      </c>
      <c r="C1" s="2"/>
      <c r="D1" s="2"/>
      <c r="E1" s="2"/>
      <c r="F1" s="2"/>
      <c r="G1" s="2"/>
      <c r="H1" s="2"/>
      <c r="I1" s="2833" t="s">
        <v>1733</v>
      </c>
      <c r="J1" s="2834" t="s">
        <v>1715</v>
      </c>
      <c r="K1" s="2"/>
      <c r="L1" s="485"/>
      <c r="M1" s="710"/>
      <c r="N1" s="73"/>
    </row>
    <row r="2" spans="1:14">
      <c r="A2" s="486"/>
      <c r="B2" s="2" t="s">
        <v>27</v>
      </c>
      <c r="C2" s="2"/>
      <c r="D2" s="2"/>
      <c r="E2" s="2"/>
      <c r="F2" s="2"/>
      <c r="G2" s="2"/>
      <c r="H2" s="2"/>
      <c r="I2" s="2"/>
      <c r="J2" s="2"/>
      <c r="K2" s="2"/>
      <c r="L2" s="485"/>
      <c r="M2" s="710"/>
      <c r="N2" s="73"/>
    </row>
    <row r="3" spans="1:14">
      <c r="A3" s="486"/>
      <c r="B3" s="2"/>
      <c r="C3" s="2"/>
      <c r="D3" s="2"/>
      <c r="E3" s="2"/>
      <c r="F3" s="2"/>
      <c r="G3" s="2"/>
      <c r="H3" s="2"/>
      <c r="I3" s="2"/>
      <c r="J3" s="2"/>
      <c r="K3" s="2"/>
      <c r="L3" s="485"/>
      <c r="M3" s="710"/>
      <c r="N3" s="73"/>
    </row>
    <row r="4" spans="1:14">
      <c r="A4" s="486"/>
      <c r="B4" s="2" t="s">
        <v>86</v>
      </c>
      <c r="C4" s="1536">
        <f>Grunddata!C19</f>
        <v>0</v>
      </c>
      <c r="D4" s="1537"/>
      <c r="E4" s="1538"/>
      <c r="F4" s="318" t="s">
        <v>112</v>
      </c>
      <c r="G4" s="1480">
        <f>Grunddata!C20</f>
        <v>0</v>
      </c>
      <c r="H4" s="182"/>
      <c r="I4" s="318" t="s">
        <v>28</v>
      </c>
      <c r="J4" s="1539">
        <f>Grunddata!C21</f>
        <v>0</v>
      </c>
      <c r="K4" s="1537"/>
      <c r="L4" s="1537"/>
      <c r="M4" s="1538"/>
      <c r="N4" s="73"/>
    </row>
    <row r="5" spans="1:14">
      <c r="A5" s="486"/>
      <c r="B5" s="2"/>
      <c r="C5" s="2"/>
      <c r="D5" s="2"/>
      <c r="E5" s="2"/>
      <c r="F5" s="2"/>
      <c r="G5" s="2"/>
      <c r="H5" s="2"/>
      <c r="I5" s="2"/>
      <c r="J5" s="2"/>
      <c r="K5" s="2"/>
      <c r="L5" s="485"/>
      <c r="M5" s="710"/>
      <c r="N5" s="73"/>
    </row>
    <row r="6" spans="1:14" ht="18" customHeight="1">
      <c r="A6" s="486"/>
      <c r="B6" s="1476" t="s">
        <v>910</v>
      </c>
      <c r="C6" s="1559"/>
      <c r="D6" s="1559"/>
      <c r="E6" s="1559"/>
      <c r="F6" s="1559"/>
      <c r="G6" s="1560"/>
      <c r="H6" s="1476" t="s">
        <v>907</v>
      </c>
      <c r="I6" s="1559"/>
      <c r="J6" s="1559"/>
      <c r="K6" s="1559"/>
      <c r="L6" s="1559"/>
      <c r="M6" s="1561"/>
      <c r="N6" s="73"/>
    </row>
    <row r="7" spans="1:14">
      <c r="A7" s="486"/>
      <c r="B7" s="1551"/>
      <c r="C7" s="9"/>
      <c r="D7" s="9"/>
      <c r="E7" s="9"/>
      <c r="F7" s="9"/>
      <c r="G7" s="1552"/>
      <c r="H7" s="1537">
        <f>Grunddata!H28</f>
        <v>0</v>
      </c>
      <c r="I7" s="1547"/>
      <c r="J7" s="1547"/>
      <c r="K7" s="1547"/>
      <c r="L7" s="1537"/>
      <c r="M7" s="1538"/>
      <c r="N7" s="73"/>
    </row>
    <row r="8" spans="1:14">
      <c r="A8" s="486"/>
      <c r="B8" s="1551" t="s">
        <v>119</v>
      </c>
      <c r="C8" s="65" t="s">
        <v>122</v>
      </c>
      <c r="D8" s="133">
        <f>Grunddata!C28</f>
        <v>3.5999999999999997E-2</v>
      </c>
      <c r="E8" s="1553" t="s">
        <v>29</v>
      </c>
      <c r="F8" s="134">
        <f>Grunddata!C36</f>
        <v>2.9</v>
      </c>
      <c r="G8" s="1552" t="s">
        <v>120</v>
      </c>
      <c r="H8" s="1518">
        <f>Grunddata!H29</f>
        <v>0</v>
      </c>
      <c r="I8" s="1547"/>
      <c r="J8" s="1547"/>
      <c r="K8" s="1547"/>
      <c r="L8" s="1537"/>
      <c r="M8" s="1538"/>
      <c r="N8" s="3001"/>
    </row>
    <row r="9" spans="1:14">
      <c r="A9" s="486"/>
      <c r="B9" s="1551"/>
      <c r="C9" s="65" t="s">
        <v>124</v>
      </c>
      <c r="D9" s="133">
        <f>Grunddata!C29</f>
        <v>0.35399999999999998</v>
      </c>
      <c r="E9" s="1553" t="s">
        <v>1621</v>
      </c>
      <c r="F9" s="2567" t="str">
        <f>VLOOKUP(Grunddata!E22,Produktionsområde,3,FALSE)</f>
        <v>Gss</v>
      </c>
      <c r="G9" s="1552"/>
      <c r="H9" s="1518">
        <f>Grunddata!H30</f>
        <v>0</v>
      </c>
      <c r="I9" s="1547"/>
      <c r="J9" s="1547"/>
      <c r="K9" s="1547"/>
      <c r="L9" s="1547"/>
      <c r="M9" s="1538"/>
      <c r="N9" s="3001"/>
    </row>
    <row r="10" spans="1:14">
      <c r="A10" s="486"/>
      <c r="B10" s="1551"/>
      <c r="C10" s="65" t="s">
        <v>126</v>
      </c>
      <c r="D10" s="133">
        <f>Grunddata!C30</f>
        <v>0.39</v>
      </c>
      <c r="F10" s="486"/>
      <c r="G10" s="1552"/>
      <c r="H10" s="1518">
        <f>Grunddata!H31</f>
        <v>0</v>
      </c>
      <c r="I10" s="1547"/>
      <c r="J10" s="1547"/>
      <c r="K10" s="1547"/>
      <c r="L10" s="1547"/>
      <c r="M10" s="1538"/>
      <c r="N10" s="73"/>
    </row>
    <row r="11" spans="1:14">
      <c r="A11" s="486"/>
      <c r="B11" s="1551"/>
      <c r="C11" s="65" t="s">
        <v>128</v>
      </c>
      <c r="D11" s="133">
        <f>Grunddata!C31</f>
        <v>0.22</v>
      </c>
      <c r="E11" s="9"/>
      <c r="F11" s="9"/>
      <c r="G11" s="1552"/>
      <c r="H11" s="1518">
        <f>Grunddata!H32</f>
        <v>0</v>
      </c>
      <c r="I11" s="1547"/>
      <c r="J11" s="1547"/>
      <c r="K11" s="1547"/>
      <c r="L11" s="1547"/>
      <c r="M11" s="1538"/>
    </row>
    <row r="12" spans="1:14">
      <c r="A12" s="486"/>
      <c r="B12" s="1551"/>
      <c r="C12" s="65" t="s">
        <v>130</v>
      </c>
      <c r="D12" s="133">
        <f>Grunddata!C32</f>
        <v>0</v>
      </c>
      <c r="E12" s="9"/>
      <c r="F12" s="9"/>
      <c r="G12" s="1552"/>
      <c r="H12" s="1518">
        <f>Grunddata!H33</f>
        <v>0</v>
      </c>
      <c r="I12" s="1547"/>
      <c r="J12" s="1547"/>
      <c r="K12" s="1547"/>
      <c r="L12" s="1547"/>
      <c r="M12" s="1538"/>
    </row>
    <row r="13" spans="1:14">
      <c r="A13" s="486"/>
      <c r="B13" s="1551"/>
      <c r="C13" s="65" t="s">
        <v>132</v>
      </c>
      <c r="D13" s="133">
        <f>Grunddata!C33</f>
        <v>0</v>
      </c>
      <c r="E13" s="9"/>
      <c r="F13" s="9"/>
      <c r="G13" s="1552"/>
      <c r="H13" s="1518">
        <f>Grunddata!H34</f>
        <v>0</v>
      </c>
      <c r="I13" s="1547"/>
      <c r="J13" s="1547"/>
      <c r="K13" s="1547"/>
      <c r="L13" s="1547"/>
      <c r="M13" s="1538"/>
    </row>
    <row r="14" spans="1:14">
      <c r="A14" s="486"/>
      <c r="B14" s="1554"/>
      <c r="C14" s="1555"/>
      <c r="D14" s="1556"/>
      <c r="E14" s="1557"/>
      <c r="F14" s="1557"/>
      <c r="G14" s="1558"/>
      <c r="H14" s="1518">
        <f>Grunddata!H35</f>
        <v>0</v>
      </c>
      <c r="I14" s="1547"/>
      <c r="J14" s="1547"/>
      <c r="K14" s="1547"/>
      <c r="L14" s="1547"/>
      <c r="M14" s="1538"/>
    </row>
    <row r="15" spans="1:14">
      <c r="A15" s="486"/>
      <c r="B15" s="2"/>
      <c r="C15" s="2"/>
      <c r="D15" s="2"/>
      <c r="E15" s="2"/>
      <c r="F15" s="2"/>
      <c r="G15" s="2"/>
      <c r="H15" s="2"/>
      <c r="I15" s="2"/>
      <c r="J15" s="2"/>
      <c r="K15" s="2"/>
      <c r="L15" s="485"/>
      <c r="M15" s="486"/>
    </row>
    <row r="16" spans="1:14">
      <c r="A16" s="486"/>
      <c r="B16" s="1470" t="s">
        <v>1718</v>
      </c>
      <c r="C16" s="1471"/>
      <c r="D16" s="1471"/>
      <c r="E16" s="1471"/>
      <c r="F16" s="1471"/>
      <c r="G16" s="1471"/>
      <c r="H16" s="1471"/>
      <c r="I16" s="1471"/>
      <c r="J16" s="1471"/>
      <c r="K16" s="1471"/>
      <c r="L16" s="1482"/>
      <c r="M16" s="1472"/>
    </row>
    <row r="17" spans="1:27">
      <c r="A17" s="486"/>
      <c r="B17" s="2762"/>
      <c r="C17" s="2763"/>
      <c r="D17" s="2763"/>
      <c r="E17" s="2763"/>
      <c r="F17" s="2763"/>
      <c r="G17" s="2763"/>
      <c r="H17" s="2763"/>
      <c r="I17" s="2763"/>
      <c r="J17" s="1473"/>
      <c r="K17" s="1473"/>
      <c r="L17" s="1483"/>
      <c r="M17" s="1474"/>
    </row>
    <row r="18" spans="1:27">
      <c r="A18" s="486"/>
      <c r="B18" s="1484"/>
      <c r="C18" s="1485" t="s">
        <v>133</v>
      </c>
      <c r="D18" s="1485"/>
      <c r="E18" s="1485"/>
      <c r="F18" s="1485"/>
      <c r="G18" s="1485"/>
      <c r="H18" s="1485"/>
      <c r="I18" s="1486"/>
    </row>
    <row r="19" spans="1:27">
      <c r="A19" s="486"/>
      <c r="B19" s="1487"/>
      <c r="C19" s="1488"/>
      <c r="D19" s="1488"/>
      <c r="E19" s="1488"/>
      <c r="F19" s="1488"/>
      <c r="G19" s="1488"/>
      <c r="H19" s="1488"/>
      <c r="I19" s="1489"/>
      <c r="P19">
        <f>Mull_ICBM!Z3</f>
        <v>0</v>
      </c>
      <c r="U19">
        <f>Mull_ICBM!AC3</f>
        <v>0</v>
      </c>
      <c r="V19">
        <f>Mull_ICBM!AE3</f>
        <v>0</v>
      </c>
    </row>
    <row r="20" spans="1:27">
      <c r="A20" s="486"/>
      <c r="B20" s="2764" t="s">
        <v>138</v>
      </c>
      <c r="C20" s="104" t="s">
        <v>139</v>
      </c>
      <c r="D20" s="2873" t="s">
        <v>1744</v>
      </c>
      <c r="E20" s="2765" t="s">
        <v>1700</v>
      </c>
      <c r="F20" s="2766" t="s">
        <v>1701</v>
      </c>
      <c r="G20" s="2716" t="s">
        <v>870</v>
      </c>
      <c r="H20" s="1554" t="s">
        <v>728</v>
      </c>
      <c r="I20" s="2767"/>
      <c r="U20" s="473"/>
      <c r="V20" s="473" t="s">
        <v>1705</v>
      </c>
      <c r="W20" s="473" t="s">
        <v>1716</v>
      </c>
      <c r="X20" s="473" t="s">
        <v>1706</v>
      </c>
      <c r="Y20" s="473" t="s">
        <v>1374</v>
      </c>
      <c r="Z20" s="473" t="s">
        <v>870</v>
      </c>
      <c r="AA20" s="473" t="s">
        <v>728</v>
      </c>
    </row>
    <row r="21" spans="1:27">
      <c r="A21" s="486"/>
      <c r="B21" s="2758"/>
      <c r="C21" s="104"/>
      <c r="D21" s="2874" t="s">
        <v>1702</v>
      </c>
      <c r="E21" s="2761"/>
      <c r="F21" s="2760"/>
      <c r="G21" s="2759"/>
      <c r="H21" s="1554" t="s">
        <v>781</v>
      </c>
      <c r="I21" s="473" t="s">
        <v>1703</v>
      </c>
      <c r="U21" s="473" t="s">
        <v>1704</v>
      </c>
      <c r="V21" s="473"/>
      <c r="W21" s="473"/>
      <c r="X21" s="473">
        <f>Mull_ICBM!AA5</f>
        <v>465.07197853767923</v>
      </c>
      <c r="Y21" s="473">
        <f>Mull_ICBM!AB5</f>
        <v>255.53574460956361</v>
      </c>
      <c r="Z21" s="473">
        <f>Mull_ICBM!AC5</f>
        <v>0</v>
      </c>
      <c r="AA21" s="473">
        <f>Mull_ICBM!AE5</f>
        <v>0</v>
      </c>
    </row>
    <row r="22" spans="1:27">
      <c r="A22" s="486"/>
      <c r="B22" s="2757" t="str">
        <f>IF(Kostnader!B11=" "," ",Kostnader!B11)</f>
        <v xml:space="preserve">Höstraps </v>
      </c>
      <c r="C22" s="1479">
        <f>IF(Kostnader!C11=" "," ",Kostnader!C11)</f>
        <v>3500</v>
      </c>
      <c r="D22" s="2753" t="str">
        <f>IF($B22=" "," ",IF(Huvudinmatning!H14=TRUE,"nej","ja"))</f>
        <v>ja</v>
      </c>
      <c r="E22" s="2753" t="str">
        <f>IF($B22=" "," ",IF(Huvudinmatning!F14=TRUE,"ja"," "))</f>
        <v xml:space="preserve"> </v>
      </c>
      <c r="F22" s="2753" t="str">
        <f>IF($B22=" "," ",IF(Huvudinmatning!G14=TRUE,"ja"," "))</f>
        <v xml:space="preserve"> </v>
      </c>
      <c r="G22" s="2753" t="str">
        <f>IF(B22=" "," ",IF(Huvudinmatning!K14=TRUE,"ja"," "))</f>
        <v xml:space="preserve"> </v>
      </c>
      <c r="H22" s="1108" t="str">
        <f>IF(Huvudinmatning!M14=0," ",Huvudinmatning!M14)</f>
        <v xml:space="preserve"> </v>
      </c>
      <c r="I22" s="1108" t="str">
        <f>IF(Huvudinmatning!N14=0," ",Huvudinmatning!N14)</f>
        <v xml:space="preserve"> </v>
      </c>
      <c r="U22" s="473" t="s">
        <v>1655</v>
      </c>
      <c r="V22" s="473"/>
      <c r="W22" s="473">
        <f>Mull_ICBM!AF6</f>
        <v>651.57868565836372</v>
      </c>
      <c r="X22" s="473">
        <f>Mull_ICBM!AA6</f>
        <v>0</v>
      </c>
      <c r="Y22" s="473">
        <f>Mull_ICBM!AB6</f>
        <v>0</v>
      </c>
      <c r="Z22" s="473">
        <f>Mull_ICBM!AC6</f>
        <v>0</v>
      </c>
      <c r="AA22" s="473">
        <f>Mull_ICBM!AE6</f>
        <v>0</v>
      </c>
    </row>
    <row r="23" spans="1:27">
      <c r="A23" s="486"/>
      <c r="B23" s="1109" t="str">
        <f>IF(Kostnader!B12=" "," ",Kostnader!B12)</f>
        <v>Höstvete bröd</v>
      </c>
      <c r="C23" s="1479">
        <f>IF(Kostnader!C12=" "," ",Kostnader!C12)</f>
        <v>8000</v>
      </c>
      <c r="D23" s="2753" t="str">
        <f>IF($B23=" "," ",IF(Huvudinmatning!H15=TRUE,"nej","ja"))</f>
        <v>ja</v>
      </c>
      <c r="E23" s="2753" t="str">
        <f>IF($B23=" "," ",IF(Huvudinmatning!F15=TRUE,"ja"," "))</f>
        <v xml:space="preserve"> </v>
      </c>
      <c r="F23" s="2753" t="str">
        <f>IF($B23=" "," ",IF(Huvudinmatning!G15=TRUE,"ja"," "))</f>
        <v xml:space="preserve"> </v>
      </c>
      <c r="G23" s="2753" t="str">
        <f>IF(B23=" "," ",IF(Huvudinmatning!K15=TRUE,"ja"," "))</f>
        <v xml:space="preserve"> </v>
      </c>
      <c r="H23" s="1108" t="str">
        <f>IF(Huvudinmatning!M15=0," ",Huvudinmatning!M15)</f>
        <v xml:space="preserve"> </v>
      </c>
      <c r="I23" s="1108" t="str">
        <f>IF(Huvudinmatning!N15=0," ",Huvudinmatning!N15)</f>
        <v xml:space="preserve"> </v>
      </c>
      <c r="U23" s="473" t="s">
        <v>1705</v>
      </c>
      <c r="V23" s="473">
        <f>Mull_ICBM!AG7</f>
        <v>69.029037488879112</v>
      </c>
      <c r="W23" s="473"/>
      <c r="X23" s="473">
        <f>Mull_ICBM!AA7</f>
        <v>0</v>
      </c>
      <c r="Y23" s="473">
        <f>Mull_ICBM!AB7</f>
        <v>0</v>
      </c>
      <c r="Z23" s="473">
        <f>Mull_ICBM!AC7</f>
        <v>0</v>
      </c>
      <c r="AA23" s="473">
        <f>Mull_ICBM!AE7</f>
        <v>0</v>
      </c>
    </row>
    <row r="24" spans="1:27">
      <c r="A24" s="486"/>
      <c r="B24" s="1109" t="str">
        <f>IF(Kostnader!B13=" "," ",Kostnader!B13)</f>
        <v>Höstvete bröd</v>
      </c>
      <c r="C24" s="1479">
        <f>IF(Kostnader!C13=" "," ",Kostnader!C13)</f>
        <v>8000</v>
      </c>
      <c r="D24" s="2753" t="str">
        <f>IF($B24=" "," ",IF(Huvudinmatning!H16=TRUE,"nej","ja"))</f>
        <v>ja</v>
      </c>
      <c r="E24" s="2753" t="str">
        <f>IF($B24=" "," ",IF(Huvudinmatning!F16=TRUE,"ja"," "))</f>
        <v xml:space="preserve"> </v>
      </c>
      <c r="F24" s="2753" t="str">
        <f>IF($B24=" "," ",IF(Huvudinmatning!G16=TRUE,"ja"," "))</f>
        <v xml:space="preserve"> </v>
      </c>
      <c r="G24" s="2753" t="str">
        <f>IF(B24=" "," ",IF(Huvudinmatning!K16=TRUE,"ja"," "))</f>
        <v xml:space="preserve"> </v>
      </c>
      <c r="H24" s="1108" t="str">
        <f>IF(Huvudinmatning!M16=0," ",Huvudinmatning!M16)</f>
        <v xml:space="preserve"> </v>
      </c>
      <c r="I24" s="1108" t="str">
        <f>IF(Huvudinmatning!N16=0," ",Huvudinmatning!N16)</f>
        <v xml:space="preserve"> </v>
      </c>
      <c r="U24">
        <f>Mull_ICBM!Z8</f>
        <v>0</v>
      </c>
      <c r="V24">
        <f>Mull_ICBM!AA8</f>
        <v>0</v>
      </c>
      <c r="W24">
        <f>Mull_ICBM!AB8</f>
        <v>0</v>
      </c>
      <c r="X24">
        <f>Mull_ICBM!AC8</f>
        <v>0</v>
      </c>
      <c r="Y24">
        <f>Mull_ICBM!AE8</f>
        <v>0</v>
      </c>
      <c r="Z24">
        <f>Mull_ICBM!AF8</f>
        <v>0</v>
      </c>
      <c r="AA24">
        <f>Mull_ICBM!AG8</f>
        <v>0</v>
      </c>
    </row>
    <row r="25" spans="1:27">
      <c r="A25" s="486"/>
      <c r="B25" s="1109" t="str">
        <f>IF(Kostnader!B14=" "," ",Kostnader!B14)</f>
        <v>Foderärt</v>
      </c>
      <c r="C25" s="1479">
        <f>IF(Kostnader!C14=" "," ",Kostnader!C14)</f>
        <v>4000</v>
      </c>
      <c r="D25" s="2753" t="str">
        <f>IF($B25=" "," ",IF(Huvudinmatning!H17=TRUE,"nej","ja"))</f>
        <v>ja</v>
      </c>
      <c r="E25" s="2753" t="str">
        <f>IF($B25=" "," ",IF(Huvudinmatning!F17=TRUE,"ja"," "))</f>
        <v xml:space="preserve"> </v>
      </c>
      <c r="F25" s="2753" t="str">
        <f>IF($B25=" "," ",IF(Huvudinmatning!G17=TRUE,"ja"," "))</f>
        <v xml:space="preserve"> </v>
      </c>
      <c r="G25" s="2753" t="str">
        <f>IF(B25=" "," ",IF(Huvudinmatning!K17=TRUE,"ja"," "))</f>
        <v xml:space="preserve"> </v>
      </c>
      <c r="H25" s="1108" t="str">
        <f>IF(Huvudinmatning!M17=0," ",Huvudinmatning!M17)</f>
        <v xml:space="preserve"> </v>
      </c>
      <c r="I25" s="1108" t="str">
        <f>IF(Huvudinmatning!N17=0," ",Huvudinmatning!N17)</f>
        <v xml:space="preserve"> </v>
      </c>
    </row>
    <row r="26" spans="1:27">
      <c r="A26" s="486"/>
      <c r="B26" s="1109" t="str">
        <f>IF(Kostnader!B15=" "," ",Kostnader!B15)</f>
        <v>Höstvete bröd</v>
      </c>
      <c r="C26" s="1479">
        <f>IF(Kostnader!C15=" "," ",Kostnader!C15)</f>
        <v>8000</v>
      </c>
      <c r="D26" s="2753" t="str">
        <f>IF($B26=" "," ",IF(Huvudinmatning!H18=TRUE,"nej","ja"))</f>
        <v>ja</v>
      </c>
      <c r="E26" s="2753" t="str">
        <f>IF($B26=" "," ",IF(Huvudinmatning!F18=TRUE,"ja"," "))</f>
        <v xml:space="preserve"> </v>
      </c>
      <c r="F26" s="2753" t="str">
        <f>IF($B26=" "," ",IF(Huvudinmatning!G18=TRUE,"ja"," "))</f>
        <v xml:space="preserve"> </v>
      </c>
      <c r="G26" s="2753" t="str">
        <f>IF(B26=" "," ",IF(Huvudinmatning!K18=TRUE,"ja"," "))</f>
        <v xml:space="preserve"> </v>
      </c>
      <c r="H26" s="1108" t="str">
        <f>IF(Huvudinmatning!M18=0," ",Huvudinmatning!M18)</f>
        <v xml:space="preserve"> </v>
      </c>
      <c r="I26" s="1108" t="str">
        <f>IF(Huvudinmatning!N18=0," ",Huvudinmatning!N18)</f>
        <v xml:space="preserve"> </v>
      </c>
      <c r="X26" s="97"/>
      <c r="Y26" s="97"/>
      <c r="Z26" s="97"/>
      <c r="AA26" s="97"/>
    </row>
    <row r="27" spans="1:27">
      <c r="A27" s="486"/>
      <c r="B27" s="1109" t="str">
        <f>IF(Kostnader!B16=" "," ",Kostnader!B16)</f>
        <v>Höstvete bröd</v>
      </c>
      <c r="C27" s="1479">
        <f>IF(Kostnader!C16=" "," ",Kostnader!C16)</f>
        <v>8000</v>
      </c>
      <c r="D27" s="2753" t="str">
        <f>IF($B27=" "," ",IF(Huvudinmatning!H19=TRUE,"nej","ja"))</f>
        <v>ja</v>
      </c>
      <c r="E27" s="2753" t="str">
        <f>IF($B27=" "," ",IF(Huvudinmatning!F19=TRUE,"ja"," "))</f>
        <v xml:space="preserve"> </v>
      </c>
      <c r="F27" s="2753" t="str">
        <f>IF($B27=" "," ",IF(Huvudinmatning!G19=TRUE,"ja"," "))</f>
        <v xml:space="preserve"> </v>
      </c>
      <c r="G27" s="2753" t="str">
        <f>IF(B27=" "," ",IF(Huvudinmatning!K19=TRUE,"ja"," "))</f>
        <v xml:space="preserve"> </v>
      </c>
      <c r="H27" s="1108" t="str">
        <f>IF(Huvudinmatning!M19=0," ",Huvudinmatning!M19)</f>
        <v xml:space="preserve"> </v>
      </c>
      <c r="I27" s="1108" t="str">
        <f>IF(Huvudinmatning!N19=0," ",Huvudinmatning!N19)</f>
        <v xml:space="preserve"> </v>
      </c>
      <c r="W27" s="97"/>
    </row>
    <row r="28" spans="1:27">
      <c r="A28" s="486"/>
      <c r="B28" s="1109" t="str">
        <f>IF(Kostnader!B17=" "," ",Kostnader!B17)</f>
        <v>Maltkorn</v>
      </c>
      <c r="C28" s="1479">
        <f>IF(Kostnader!C17=" "," ",Kostnader!C17)</f>
        <v>5500</v>
      </c>
      <c r="D28" s="2753" t="str">
        <f>IF($B28=" "," ",IF(Huvudinmatning!H20=TRUE,"nej","ja"))</f>
        <v>ja</v>
      </c>
      <c r="E28" s="2753" t="str">
        <f>IF($B28=" "," ",IF(Huvudinmatning!F20=TRUE,"ja"," "))</f>
        <v xml:space="preserve"> </v>
      </c>
      <c r="F28" s="2753" t="str">
        <f>IF($B28=" "," ",IF(Huvudinmatning!G20=TRUE,"ja"," "))</f>
        <v xml:space="preserve"> </v>
      </c>
      <c r="G28" s="2753" t="str">
        <f>IF(B28=" "," ",IF(Huvudinmatning!K20=TRUE,"ja"," "))</f>
        <v xml:space="preserve"> </v>
      </c>
      <c r="H28" s="1108" t="str">
        <f>IF(Huvudinmatning!M20=0," ",Huvudinmatning!M20)</f>
        <v xml:space="preserve"> </v>
      </c>
      <c r="I28" s="1108" t="str">
        <f>IF(Huvudinmatning!N20=0," ",Huvudinmatning!N20)</f>
        <v xml:space="preserve"> </v>
      </c>
      <c r="V28" s="97"/>
    </row>
    <row r="29" spans="1:27">
      <c r="A29" s="486"/>
      <c r="B29" s="1109" t="str">
        <f>IF(Kostnader!B18=" "," ",Kostnader!B18)</f>
        <v xml:space="preserve"> </v>
      </c>
      <c r="C29" s="1479" t="str">
        <f>IF(Kostnader!C18=" "," ",Kostnader!C18)</f>
        <v xml:space="preserve"> </v>
      </c>
      <c r="D29" s="2753" t="str">
        <f>IF($B29=" "," ",IF(Huvudinmatning!H21=TRUE,"nej","ja"))</f>
        <v xml:space="preserve"> </v>
      </c>
      <c r="E29" s="2753" t="str">
        <f>IF($B29=" "," ",IF(Huvudinmatning!F21=TRUE,"ja"," "))</f>
        <v xml:space="preserve"> </v>
      </c>
      <c r="F29" s="2753" t="str">
        <f>IF($B29=" "," ",IF(Huvudinmatning!G21=TRUE,"ja"," "))</f>
        <v xml:space="preserve"> </v>
      </c>
      <c r="G29" s="2753" t="str">
        <f>IF(B29=" "," ",IF(Huvudinmatning!K21=TRUE,"ja"," "))</f>
        <v xml:space="preserve"> </v>
      </c>
      <c r="H29" s="1108" t="str">
        <f>IF(Huvudinmatning!M21=0," ",Huvudinmatning!M21)</f>
        <v xml:space="preserve"> </v>
      </c>
      <c r="I29" s="1108" t="str">
        <f>IF(Huvudinmatning!N21=0," ",Huvudinmatning!N21)</f>
        <v xml:space="preserve"> </v>
      </c>
      <c r="U29">
        <f>Mull_ICBM!Q12</f>
        <v>0</v>
      </c>
      <c r="V29">
        <f>Mull_ICBM!R12</f>
        <v>0</v>
      </c>
      <c r="W29">
        <f>Mull_ICBM!S12</f>
        <v>0</v>
      </c>
      <c r="X29">
        <f>Mull_ICBM!T12</f>
        <v>0</v>
      </c>
      <c r="Y29">
        <f>Mull_ICBM!V12</f>
        <v>0</v>
      </c>
      <c r="Z29">
        <f>Mull_ICBM!W12</f>
        <v>0</v>
      </c>
      <c r="AA29">
        <f>Mull_ICBM!X12</f>
        <v>0</v>
      </c>
    </row>
    <row r="30" spans="1:27">
      <c r="A30" s="486"/>
      <c r="B30" s="1109" t="str">
        <f>IF(Kostnader!B19=" "," ",Kostnader!B19)</f>
        <v xml:space="preserve"> </v>
      </c>
      <c r="C30" s="1479" t="str">
        <f>IF(Kostnader!C19=" "," ",Kostnader!C19)</f>
        <v xml:space="preserve"> </v>
      </c>
      <c r="D30" s="2753" t="str">
        <f>IF($B30=" "," ",IF(Huvudinmatning!H22=TRUE,"nej","ja"))</f>
        <v xml:space="preserve"> </v>
      </c>
      <c r="E30" s="2753" t="str">
        <f>IF($B30=" "," ",IF(Huvudinmatning!F22=TRUE,"ja"," "))</f>
        <v xml:space="preserve"> </v>
      </c>
      <c r="F30" s="2753" t="str">
        <f>IF($B30=" "," ",IF(Huvudinmatning!G22=TRUE,"ja"," "))</f>
        <v xml:space="preserve"> </v>
      </c>
      <c r="G30" s="2753" t="str">
        <f>IF(B30=" "," ",IF(Huvudinmatning!K22=TRUE,"ja"," "))</f>
        <v xml:space="preserve"> </v>
      </c>
      <c r="H30" s="1108" t="str">
        <f>IF(Huvudinmatning!M22=0," ",Huvudinmatning!M22)</f>
        <v xml:space="preserve"> </v>
      </c>
      <c r="I30" s="1108" t="str">
        <f>IF(Huvudinmatning!N22=0," ",Huvudinmatning!N22)</f>
        <v xml:space="preserve"> </v>
      </c>
      <c r="U30">
        <f>Mull_ICBM!Q13</f>
        <v>0</v>
      </c>
      <c r="V30">
        <f>Mull_ICBM!R13</f>
        <v>0</v>
      </c>
      <c r="W30">
        <f>Mull_ICBM!S13</f>
        <v>0</v>
      </c>
      <c r="X30">
        <f>Mull_ICBM!T13</f>
        <v>0</v>
      </c>
      <c r="Y30">
        <f>Mull_ICBM!V13</f>
        <v>0</v>
      </c>
      <c r="Z30">
        <f>Mull_ICBM!W13</f>
        <v>0</v>
      </c>
      <c r="AA30">
        <f>Mull_ICBM!X13</f>
        <v>0</v>
      </c>
    </row>
    <row r="31" spans="1:27">
      <c r="A31" s="486"/>
      <c r="B31" s="1109" t="str">
        <f>IF(Kostnader!B20=" "," ",Kostnader!B20)</f>
        <v xml:space="preserve"> </v>
      </c>
      <c r="C31" s="1479" t="str">
        <f>IF(Kostnader!C20=" "," ",Kostnader!C20)</f>
        <v xml:space="preserve"> </v>
      </c>
      <c r="D31" s="2753" t="str">
        <f>IF($B31=" "," ",IF(Huvudinmatning!H23=TRUE,"nej","ja"))</f>
        <v xml:space="preserve"> </v>
      </c>
      <c r="E31" s="2753" t="str">
        <f>IF($B31=" "," ",IF(Huvudinmatning!F23=TRUE,"ja"," "))</f>
        <v xml:space="preserve"> </v>
      </c>
      <c r="F31" s="2753" t="str">
        <f>IF($B31=" "," ",IF(Huvudinmatning!G23=TRUE,"ja"," "))</f>
        <v xml:space="preserve"> </v>
      </c>
      <c r="G31" s="2753" t="str">
        <f>IF(B31=" "," ",IF(Huvudinmatning!K23=TRUE,"ja"," "))</f>
        <v xml:space="preserve"> </v>
      </c>
      <c r="H31" s="1108" t="str">
        <f>IF(Huvudinmatning!M23=0," ",Huvudinmatning!M23)</f>
        <v xml:space="preserve"> </v>
      </c>
      <c r="I31" s="1108" t="str">
        <f>IF(Huvudinmatning!N23=0," ",Huvudinmatning!N23)</f>
        <v xml:space="preserve"> </v>
      </c>
    </row>
    <row r="32" spans="1:27">
      <c r="A32" s="486"/>
      <c r="B32" s="2754"/>
      <c r="C32" s="2755"/>
      <c r="D32" s="2756"/>
      <c r="E32" s="2756"/>
      <c r="F32" s="2756"/>
      <c r="G32" s="2756"/>
      <c r="H32" s="1455"/>
      <c r="I32" s="1455"/>
      <c r="J32" s="486"/>
      <c r="K32" s="486"/>
      <c r="L32" s="486"/>
      <c r="M32" s="486"/>
    </row>
    <row r="33" spans="1:27">
      <c r="A33" s="486"/>
      <c r="B33" s="1484"/>
      <c r="C33" s="1485" t="s">
        <v>147</v>
      </c>
      <c r="D33" s="1485"/>
      <c r="E33" s="2768"/>
      <c r="F33" s="2768"/>
      <c r="G33" s="2768"/>
      <c r="H33" s="2769"/>
      <c r="I33" s="2770"/>
      <c r="J33" s="486"/>
      <c r="K33" s="486"/>
      <c r="L33" s="486"/>
      <c r="M33" s="486"/>
    </row>
    <row r="34" spans="1:27">
      <c r="A34" s="486"/>
      <c r="B34" s="1487"/>
      <c r="C34" s="1488"/>
      <c r="D34" s="1488"/>
      <c r="E34" s="2771"/>
      <c r="F34" s="2771"/>
      <c r="G34" s="2771"/>
      <c r="H34" s="2772"/>
      <c r="I34" s="2412"/>
      <c r="U34" s="473"/>
      <c r="V34" s="473" t="s">
        <v>1705</v>
      </c>
      <c r="W34" s="473" t="s">
        <v>1716</v>
      </c>
      <c r="X34" s="473" t="s">
        <v>1706</v>
      </c>
      <c r="Y34" s="473" t="s">
        <v>1374</v>
      </c>
      <c r="Z34" s="473" t="s">
        <v>870</v>
      </c>
      <c r="AA34" s="473" t="s">
        <v>728</v>
      </c>
    </row>
    <row r="35" spans="1:27">
      <c r="A35" s="486"/>
      <c r="B35" s="2764" t="s">
        <v>138</v>
      </c>
      <c r="C35" s="104" t="s">
        <v>139</v>
      </c>
      <c r="D35" s="2873" t="s">
        <v>1744</v>
      </c>
      <c r="E35" s="2765" t="s">
        <v>1700</v>
      </c>
      <c r="F35" s="2766" t="s">
        <v>1701</v>
      </c>
      <c r="G35" s="2716" t="s">
        <v>870</v>
      </c>
      <c r="H35" s="1554" t="s">
        <v>728</v>
      </c>
      <c r="I35" s="2767"/>
      <c r="U35" s="473" t="s">
        <v>1704</v>
      </c>
      <c r="V35" s="473"/>
      <c r="W35" s="473"/>
      <c r="X35" s="473">
        <f>Mull_ICBM!AA9</f>
        <v>465.07294795160271</v>
      </c>
      <c r="Y35" s="473">
        <f>Mull_ICBM!AB9</f>
        <v>255.53576935582424</v>
      </c>
      <c r="Z35" s="473">
        <f>Mull_ICBM!AC9</f>
        <v>0</v>
      </c>
      <c r="AA35" s="473">
        <f>Mull_ICBM!AE9</f>
        <v>0</v>
      </c>
    </row>
    <row r="36" spans="1:27">
      <c r="A36" s="486"/>
      <c r="B36" s="2758"/>
      <c r="C36" s="104"/>
      <c r="D36" s="2874" t="s">
        <v>1702</v>
      </c>
      <c r="E36" s="2761"/>
      <c r="F36" s="2760"/>
      <c r="G36" s="2759"/>
      <c r="H36" s="1554" t="s">
        <v>781</v>
      </c>
      <c r="I36" s="2761" t="s">
        <v>1703</v>
      </c>
      <c r="U36" s="473" t="s">
        <v>1655</v>
      </c>
      <c r="V36" s="473"/>
      <c r="W36" s="473">
        <f>Mull_ICBM!AF10</f>
        <v>651.5796798185479</v>
      </c>
      <c r="X36" s="473">
        <f>Mull_ICBM!AA10</f>
        <v>0</v>
      </c>
      <c r="Y36" s="473">
        <f>Mull_ICBM!AB10</f>
        <v>0</v>
      </c>
      <c r="Z36" s="473">
        <f>Mull_ICBM!AC10</f>
        <v>0</v>
      </c>
      <c r="AA36" s="473">
        <f>Mull_ICBM!AE10</f>
        <v>0</v>
      </c>
    </row>
    <row r="37" spans="1:27">
      <c r="A37" s="486"/>
      <c r="B37" s="1109" t="str">
        <f>IF(Kostnader!B31=" "," ",Kostnader!B31)</f>
        <v xml:space="preserve">Höstraps </v>
      </c>
      <c r="C37" s="1110">
        <f>IF(Kostnader!C31=" "," ",Kostnader!C31)</f>
        <v>3500</v>
      </c>
      <c r="D37" s="2753" t="str">
        <f>IF($B37=" "," ",IF(Huvudinmatning!M33=TRUE,"nej","ja"))</f>
        <v>ja</v>
      </c>
      <c r="E37" s="2753" t="str">
        <f>IF($B37=" "," ",IF(Huvudinmatning!K33=TRUE,"ja"," "))</f>
        <v xml:space="preserve"> </v>
      </c>
      <c r="F37" s="2753" t="str">
        <f>IF($B37=" "," ",IF(Huvudinmatning!L33=TRUE,"ja"," "))</f>
        <v xml:space="preserve"> </v>
      </c>
      <c r="G37" s="2753" t="str">
        <f>IF(B37=" "," ",IF(Huvudinmatning!P33=TRUE,"ja"," "))</f>
        <v xml:space="preserve"> </v>
      </c>
      <c r="H37" s="1108" t="str">
        <f>IF(Huvudinmatning!R33=0," ",Huvudinmatning!R33)</f>
        <v xml:space="preserve"> </v>
      </c>
      <c r="I37" s="1108" t="str">
        <f>IF(Huvudinmatning!S33=0," ",Huvudinmatning!S33)</f>
        <v xml:space="preserve"> </v>
      </c>
      <c r="U37" s="473" t="s">
        <v>1705</v>
      </c>
      <c r="V37" s="473">
        <f>Mull_ICBM!AG11</f>
        <v>69.029037488879112</v>
      </c>
      <c r="W37" s="473"/>
      <c r="X37" s="473">
        <f>Mull_ICBM!AA11</f>
        <v>0</v>
      </c>
      <c r="Y37" s="473">
        <f>Mull_ICBM!AB11</f>
        <v>0</v>
      </c>
      <c r="Z37" s="473">
        <f>Mull_ICBM!AC11</f>
        <v>0</v>
      </c>
      <c r="AA37" s="473">
        <f>Mull_ICBM!AE11</f>
        <v>0</v>
      </c>
    </row>
    <row r="38" spans="1:27">
      <c r="A38" s="486"/>
      <c r="B38" s="1109" t="str">
        <f>IF(Kostnader!B32=" "," ",Kostnader!B32)</f>
        <v>Höstvete bröd</v>
      </c>
      <c r="C38" s="1110">
        <f>IF(Kostnader!C32=" "," ",Kostnader!C32)</f>
        <v>8000</v>
      </c>
      <c r="D38" s="2753" t="str">
        <f>IF($B38=" "," ",IF(Huvudinmatning!M34=TRUE,"nej","ja"))</f>
        <v>ja</v>
      </c>
      <c r="E38" s="2753" t="str">
        <f>IF($B38=" "," ",IF(Huvudinmatning!K34=TRUE,"ja"," "))</f>
        <v xml:space="preserve"> </v>
      </c>
      <c r="F38" s="2753" t="str">
        <f>IF($B38=" "," ",IF(Huvudinmatning!L34=TRUE,"ja"," "))</f>
        <v xml:space="preserve"> </v>
      </c>
      <c r="G38" s="2753" t="str">
        <f>IF(B38=" "," ",IF(Huvudinmatning!P34=TRUE,"ja"," "))</f>
        <v xml:space="preserve"> </v>
      </c>
      <c r="H38" s="1108" t="str">
        <f>IF(Huvudinmatning!R34=0," ",Huvudinmatning!R34)</f>
        <v xml:space="preserve"> </v>
      </c>
      <c r="I38" s="1108" t="str">
        <f>IF(Huvudinmatning!S34=0," ",Huvudinmatning!S34)</f>
        <v xml:space="preserve"> </v>
      </c>
      <c r="P38">
        <f>Mull_ICBM!Z12</f>
        <v>0</v>
      </c>
    </row>
    <row r="39" spans="1:27">
      <c r="A39" s="486"/>
      <c r="B39" s="1109" t="str">
        <f>IF(Kostnader!B33=" "," ",Kostnader!B33)</f>
        <v>Höstvete bröd</v>
      </c>
      <c r="C39" s="1110">
        <f>IF(Kostnader!C33=" "," ",Kostnader!C33)</f>
        <v>8000</v>
      </c>
      <c r="D39" s="2753" t="str">
        <f>IF($B39=" "," ",IF(Huvudinmatning!M35=TRUE,"nej","ja"))</f>
        <v>ja</v>
      </c>
      <c r="E39" s="2753" t="str">
        <f>IF($B39=" "," ",IF(Huvudinmatning!K35=TRUE,"ja"," "))</f>
        <v xml:space="preserve"> </v>
      </c>
      <c r="F39" s="2753" t="str">
        <f>IF($B39=" "," ",IF(Huvudinmatning!L35=TRUE,"ja"," "))</f>
        <v xml:space="preserve"> </v>
      </c>
      <c r="G39" s="2753" t="str">
        <f>IF(B39=" "," ",IF(Huvudinmatning!P35=TRUE,"ja"," "))</f>
        <v xml:space="preserve"> </v>
      </c>
      <c r="H39" s="1108" t="str">
        <f>IF(Huvudinmatning!R35=0," ",Huvudinmatning!R35)</f>
        <v xml:space="preserve"> </v>
      </c>
      <c r="I39" s="1108" t="str">
        <f>IF(Huvudinmatning!S35=0," ",Huvudinmatning!S35)</f>
        <v xml:space="preserve"> </v>
      </c>
    </row>
    <row r="40" spans="1:27">
      <c r="A40" s="486"/>
      <c r="B40" s="1109" t="str">
        <f>IF(Kostnader!B34=" "," ",Kostnader!B34)</f>
        <v>Foderärt</v>
      </c>
      <c r="C40" s="1110">
        <f>IF(Kostnader!C34=" "," ",Kostnader!C34)</f>
        <v>4000</v>
      </c>
      <c r="D40" s="2753" t="str">
        <f>IF($B40=" "," ",IF(Huvudinmatning!M36=TRUE,"nej","ja"))</f>
        <v>ja</v>
      </c>
      <c r="E40" s="2753" t="str">
        <f>IF($B40=" "," ",IF(Huvudinmatning!K36=TRUE,"ja"," "))</f>
        <v xml:space="preserve"> </v>
      </c>
      <c r="F40" s="2753" t="str">
        <f>IF($B40=" "," ",IF(Huvudinmatning!L36=TRUE,"ja"," "))</f>
        <v xml:space="preserve"> </v>
      </c>
      <c r="G40" s="2753" t="str">
        <f>IF(B40=" "," ",IF(Huvudinmatning!P36=TRUE,"ja"," "))</f>
        <v xml:space="preserve"> </v>
      </c>
      <c r="H40" s="1108" t="str">
        <f>IF(Huvudinmatning!R36=0," ",Huvudinmatning!R36)</f>
        <v xml:space="preserve"> </v>
      </c>
      <c r="I40" s="1108" t="str">
        <f>IF(Huvudinmatning!S36=0," ",Huvudinmatning!S36)</f>
        <v xml:space="preserve"> </v>
      </c>
    </row>
    <row r="41" spans="1:27">
      <c r="A41" s="486"/>
      <c r="B41" s="1109" t="str">
        <f>IF(Kostnader!B35=" "," ",Kostnader!B35)</f>
        <v>Höstvete bröd</v>
      </c>
      <c r="C41" s="1110">
        <f>IF(Kostnader!C35=" "," ",Kostnader!C35)</f>
        <v>8000</v>
      </c>
      <c r="D41" s="2753" t="str">
        <f>IF($B41=" "," ",IF(Huvudinmatning!M37=TRUE,"nej","ja"))</f>
        <v>ja</v>
      </c>
      <c r="E41" s="2753" t="str">
        <f>IF($B41=" "," ",IF(Huvudinmatning!K37=TRUE,"ja"," "))</f>
        <v xml:space="preserve"> </v>
      </c>
      <c r="F41" s="2753" t="str">
        <f>IF($B41=" "," ",IF(Huvudinmatning!L37=TRUE,"ja"," "))</f>
        <v xml:space="preserve"> </v>
      </c>
      <c r="G41" s="2753" t="str">
        <f>IF(B41=" "," ",IF(Huvudinmatning!P37=TRUE,"ja"," "))</f>
        <v xml:space="preserve"> </v>
      </c>
      <c r="H41" s="1108" t="str">
        <f>IF(Huvudinmatning!R37=0," ",Huvudinmatning!R37)</f>
        <v xml:space="preserve"> </v>
      </c>
      <c r="I41" s="1108" t="str">
        <f>IF(Huvudinmatning!S37=0," ",Huvudinmatning!S37)</f>
        <v xml:space="preserve"> </v>
      </c>
    </row>
    <row r="42" spans="1:27">
      <c r="A42" s="486"/>
      <c r="B42" s="1109" t="str">
        <f>IF(Kostnader!B36=" "," ",Kostnader!B36)</f>
        <v>Höstvete bröd</v>
      </c>
      <c r="C42" s="1110">
        <f>IF(Kostnader!C36=" "," ",Kostnader!C36)</f>
        <v>8000</v>
      </c>
      <c r="D42" s="2753" t="str">
        <f>IF($B42=" "," ",IF(Huvudinmatning!M38=TRUE,"nej","ja"))</f>
        <v>ja</v>
      </c>
      <c r="E42" s="2753" t="str">
        <f>IF($B42=" "," ",IF(Huvudinmatning!K38=TRUE,"ja"," "))</f>
        <v xml:space="preserve"> </v>
      </c>
      <c r="F42" s="2753" t="str">
        <f>IF($B42=" "," ",IF(Huvudinmatning!L38=TRUE,"ja"," "))</f>
        <v xml:space="preserve"> </v>
      </c>
      <c r="G42" s="2753" t="str">
        <f>IF(B42=" "," ",IF(Huvudinmatning!P38=TRUE,"ja"," "))</f>
        <v xml:space="preserve"> </v>
      </c>
      <c r="H42" s="1108" t="str">
        <f>IF(Huvudinmatning!R38=0," ",Huvudinmatning!R38)</f>
        <v xml:space="preserve"> </v>
      </c>
      <c r="I42" s="1108" t="str">
        <f>IF(Huvudinmatning!S38=0," ",Huvudinmatning!S38)</f>
        <v xml:space="preserve"> </v>
      </c>
    </row>
    <row r="43" spans="1:27">
      <c r="A43" s="486"/>
      <c r="B43" s="1109" t="str">
        <f>IF(Kostnader!B37=" "," ",Kostnader!B37)</f>
        <v>Maltkorn</v>
      </c>
      <c r="C43" s="1110">
        <f>IF(Kostnader!C37=" "," ",Kostnader!C37)</f>
        <v>5500</v>
      </c>
      <c r="D43" s="2753" t="str">
        <f>IF($B43=" "," ",IF(Huvudinmatning!M39=TRUE,"nej","ja"))</f>
        <v>ja</v>
      </c>
      <c r="E43" s="2753" t="str">
        <f>IF($B43=" "," ",IF(Huvudinmatning!K39=TRUE,"ja"," "))</f>
        <v xml:space="preserve"> </v>
      </c>
      <c r="F43" s="2753" t="str">
        <f>IF($B43=" "," ",IF(Huvudinmatning!L39=TRUE,"ja"," "))</f>
        <v xml:space="preserve"> </v>
      </c>
      <c r="G43" s="2753" t="str">
        <f>IF(B43=" "," ",IF(Huvudinmatning!P39=TRUE,"ja"," "))</f>
        <v xml:space="preserve"> </v>
      </c>
      <c r="H43" s="1108" t="str">
        <f>IF(Huvudinmatning!R39=0," ",Huvudinmatning!R39)</f>
        <v xml:space="preserve"> </v>
      </c>
      <c r="I43" s="1108" t="str">
        <f>IF(Huvudinmatning!S39=0," ",Huvudinmatning!S39)</f>
        <v xml:space="preserve"> </v>
      </c>
    </row>
    <row r="44" spans="1:27">
      <c r="A44" s="486"/>
      <c r="B44" s="1109" t="str">
        <f>IF(Kostnader!B38=" "," ",Kostnader!B38)</f>
        <v xml:space="preserve"> </v>
      </c>
      <c r="C44" s="1110" t="str">
        <f>IF(Kostnader!C38=" "," ",Kostnader!C38)</f>
        <v xml:space="preserve"> </v>
      </c>
      <c r="D44" s="2753" t="str">
        <f>IF($B44=" "," ",IF(Huvudinmatning!M40=TRUE,"nej","ja"))</f>
        <v xml:space="preserve"> </v>
      </c>
      <c r="E44" s="2753" t="str">
        <f>IF($B44=" "," ",IF(Huvudinmatning!K40=TRUE,"ja"," "))</f>
        <v xml:space="preserve"> </v>
      </c>
      <c r="F44" s="2753" t="str">
        <f>IF($B44=" "," ",IF(Huvudinmatning!L40=TRUE,"ja"," "))</f>
        <v xml:space="preserve"> </v>
      </c>
      <c r="G44" s="2753" t="str">
        <f>IF(B44=" "," ",IF(Huvudinmatning!P40=TRUE,"ja"," "))</f>
        <v xml:space="preserve"> </v>
      </c>
      <c r="H44" s="1108" t="str">
        <f>IF(Huvudinmatning!R40=0," ",Huvudinmatning!R40)</f>
        <v xml:space="preserve"> </v>
      </c>
      <c r="I44" s="1108" t="str">
        <f>IF(Huvudinmatning!S40=0," ",Huvudinmatning!S40)</f>
        <v xml:space="preserve"> </v>
      </c>
    </row>
    <row r="45" spans="1:27">
      <c r="A45" s="486"/>
      <c r="B45" s="1109" t="str">
        <f>IF(Kostnader!B39=" "," ",Kostnader!B39)</f>
        <v xml:space="preserve"> </v>
      </c>
      <c r="C45" s="1110" t="str">
        <f>IF(Kostnader!C39=" "," ",Kostnader!C39)</f>
        <v xml:space="preserve"> </v>
      </c>
      <c r="D45" s="2753" t="str">
        <f>IF($B45=" "," ",IF(Huvudinmatning!M41=TRUE,"nej","ja"))</f>
        <v xml:space="preserve"> </v>
      </c>
      <c r="E45" s="2753" t="str">
        <f>IF($B45=" "," ",IF(Huvudinmatning!K41=TRUE,"ja"," "))</f>
        <v xml:space="preserve"> </v>
      </c>
      <c r="F45" s="2753" t="str">
        <f>IF($B45=" "," ",IF(Huvudinmatning!L41=TRUE,"ja"," "))</f>
        <v xml:space="preserve"> </v>
      </c>
      <c r="G45" s="2753" t="str">
        <f>IF(B45=" "," ",IF(Huvudinmatning!P41=TRUE,"ja"," "))</f>
        <v xml:space="preserve"> </v>
      </c>
      <c r="H45" s="1108" t="str">
        <f>IF(Huvudinmatning!R41=0," ",Huvudinmatning!R41)</f>
        <v xml:space="preserve"> </v>
      </c>
      <c r="I45" s="1108" t="str">
        <f>IF(Huvudinmatning!S41=0," ",Huvudinmatning!S41)</f>
        <v xml:space="preserve"> </v>
      </c>
    </row>
    <row r="46" spans="1:27">
      <c r="A46" s="486"/>
      <c r="B46" s="1109" t="str">
        <f>IF(Kostnader!B40=" "," ",Kostnader!B40)</f>
        <v xml:space="preserve"> </v>
      </c>
      <c r="C46" s="1110" t="str">
        <f>IF(Kostnader!C40=" "," ",Kostnader!C40)</f>
        <v xml:space="preserve"> </v>
      </c>
      <c r="D46" s="2753" t="str">
        <f>IF($B46=" "," ",IF(Huvudinmatning!M42=TRUE,"nej","ja"))</f>
        <v xml:space="preserve"> </v>
      </c>
      <c r="E46" s="2753" t="str">
        <f>IF($B46=" "," ",IF(Huvudinmatning!K42=TRUE,"ja"," "))</f>
        <v xml:space="preserve"> </v>
      </c>
      <c r="F46" s="2753" t="str">
        <f>IF($B46=" "," ",IF(Huvudinmatning!L42=TRUE,"ja"," "))</f>
        <v xml:space="preserve"> </v>
      </c>
      <c r="G46" s="2753" t="str">
        <f>IF(B46=" "," ",IF(Huvudinmatning!P42=TRUE,"ja"," "))</f>
        <v xml:space="preserve"> </v>
      </c>
      <c r="H46" s="1108" t="str">
        <f>IF(Huvudinmatning!R42=0," ",Huvudinmatning!R42)</f>
        <v xml:space="preserve"> </v>
      </c>
      <c r="I46" s="1108" t="str">
        <f>IF(Huvudinmatning!S42=0," ",Huvudinmatning!S42)</f>
        <v xml:space="preserve"> </v>
      </c>
    </row>
    <row r="47" spans="1:27">
      <c r="A47" s="486"/>
      <c r="B47" s="2"/>
      <c r="C47" s="2"/>
      <c r="D47" s="2"/>
      <c r="E47" s="2"/>
      <c r="F47" s="2"/>
      <c r="G47" s="2"/>
      <c r="H47" s="2"/>
      <c r="I47" s="2"/>
      <c r="J47" s="72"/>
      <c r="K47" s="2"/>
      <c r="L47" s="2"/>
    </row>
    <row r="48" spans="1:27">
      <c r="A48" s="486"/>
      <c r="B48" s="1470" t="s">
        <v>135</v>
      </c>
      <c r="C48" s="2773" t="s">
        <v>1707</v>
      </c>
      <c r="D48" s="2774">
        <f>Huvudinmatning!L2</f>
        <v>10</v>
      </c>
      <c r="E48" s="2774" t="s">
        <v>1300</v>
      </c>
      <c r="F48" s="1471"/>
      <c r="G48" s="1471"/>
      <c r="H48" s="1470" t="s">
        <v>1726</v>
      </c>
      <c r="I48" s="1471"/>
      <c r="J48" s="1471"/>
      <c r="K48" s="1471"/>
      <c r="L48" s="1471"/>
      <c r="M48" s="1475"/>
    </row>
    <row r="49" spans="1:13" ht="15.75" customHeight="1">
      <c r="A49" s="486"/>
      <c r="B49" s="2762"/>
      <c r="C49" s="2763"/>
      <c r="D49" s="2763"/>
      <c r="E49" s="2763"/>
      <c r="F49" s="2763"/>
      <c r="G49" s="2763"/>
      <c r="H49" s="2822"/>
      <c r="I49" s="1473"/>
      <c r="J49" s="1473"/>
      <c r="K49" s="1473"/>
      <c r="L49" s="1473"/>
      <c r="M49" s="1474"/>
    </row>
    <row r="50" spans="1:13">
      <c r="A50" s="486"/>
      <c r="B50" s="2799"/>
      <c r="C50" s="2817" t="s">
        <v>35</v>
      </c>
      <c r="D50" s="1486"/>
      <c r="E50" s="2800" t="s">
        <v>38</v>
      </c>
      <c r="F50" s="2801" t="s">
        <v>903</v>
      </c>
      <c r="G50" s="2802" t="s">
        <v>1297</v>
      </c>
      <c r="H50" s="138" t="s">
        <v>15</v>
      </c>
      <c r="I50" s="138" t="s">
        <v>913</v>
      </c>
      <c r="J50" s="2823" t="s">
        <v>911</v>
      </c>
      <c r="K50" s="2831" t="s">
        <v>37</v>
      </c>
      <c r="L50" s="2803"/>
      <c r="M50" s="2804" t="s">
        <v>191</v>
      </c>
    </row>
    <row r="51" spans="1:13">
      <c r="A51" s="486"/>
      <c r="B51" s="2805"/>
      <c r="C51" s="2818" t="s">
        <v>39</v>
      </c>
      <c r="D51" s="2814"/>
      <c r="E51" s="137" t="s">
        <v>43</v>
      </c>
      <c r="F51" s="138" t="s">
        <v>813</v>
      </c>
      <c r="G51" s="658" t="s">
        <v>1296</v>
      </c>
      <c r="H51" s="138" t="s">
        <v>40</v>
      </c>
      <c r="I51" s="138" t="s">
        <v>41</v>
      </c>
      <c r="J51" s="2823" t="s">
        <v>912</v>
      </c>
      <c r="K51" s="2827" t="s">
        <v>4</v>
      </c>
      <c r="L51" s="139" t="s">
        <v>42</v>
      </c>
      <c r="M51" s="2806" t="s">
        <v>44</v>
      </c>
    </row>
    <row r="52" spans="1:13">
      <c r="A52" s="486"/>
      <c r="B52" s="2807"/>
      <c r="C52" s="2819"/>
      <c r="D52" s="1489"/>
      <c r="E52" s="140"/>
      <c r="F52" s="142" t="s">
        <v>317</v>
      </c>
      <c r="G52" s="659" t="s">
        <v>706</v>
      </c>
      <c r="H52" s="135" t="s">
        <v>120</v>
      </c>
      <c r="I52" s="141"/>
      <c r="J52" s="2824" t="s">
        <v>120</v>
      </c>
      <c r="K52" s="2828" t="s">
        <v>45</v>
      </c>
      <c r="L52" s="135" t="s">
        <v>46</v>
      </c>
      <c r="M52" s="2808"/>
    </row>
    <row r="53" spans="1:13" ht="15">
      <c r="A53" s="486"/>
      <c r="B53" s="473" t="str">
        <f>Huvudinmatning!J5</f>
        <v>Totalt</v>
      </c>
      <c r="C53" s="2820">
        <f>Huvudinmatning!K5</f>
        <v>0</v>
      </c>
      <c r="D53" s="2815" t="s">
        <v>133</v>
      </c>
      <c r="E53" s="136">
        <f>+Mull_ICBM!AM15</f>
        <v>15.889574486279889</v>
      </c>
      <c r="F53" s="1490">
        <f>Utlakning!L20</f>
        <v>37.085628571428565</v>
      </c>
      <c r="G53" s="660">
        <f>Växthusgaser!Q14</f>
        <v>2079.6185950411914</v>
      </c>
      <c r="H53" s="144">
        <f>Miljösammanfattning!K11</f>
        <v>0</v>
      </c>
      <c r="I53" s="145">
        <f>Miljösammanfattning!K12</f>
        <v>0</v>
      </c>
      <c r="J53" s="2825">
        <f>1-Miljösammanfattning!K18/100</f>
        <v>1</v>
      </c>
      <c r="K53" s="2829"/>
      <c r="L53" s="143"/>
      <c r="M53" s="2809"/>
    </row>
    <row r="54" spans="1:13" ht="15">
      <c r="A54" s="486"/>
      <c r="B54" s="473" t="str">
        <f>Huvudinmatning!J6</f>
        <v>varav mulleffekt</v>
      </c>
      <c r="C54" s="2820">
        <f>Huvudinmatning!K6</f>
        <v>0</v>
      </c>
      <c r="D54" s="2816" t="s">
        <v>147</v>
      </c>
      <c r="E54" s="136">
        <f>+Mull_ICBM!AM16</f>
        <v>15.889574486279889</v>
      </c>
      <c r="F54" s="1490">
        <f>Utlakning!L39</f>
        <v>37.085628571428565</v>
      </c>
      <c r="G54" s="660">
        <f>Växthusgaser!R14</f>
        <v>2079.6185950411914</v>
      </c>
      <c r="H54" s="144">
        <f>Miljösammanfattning!K35</f>
        <v>0</v>
      </c>
      <c r="I54" s="145">
        <f>Miljösammanfattning!K36</f>
        <v>0</v>
      </c>
      <c r="J54" s="2825">
        <f>1-Miljösammanfattning!K42/100</f>
        <v>1</v>
      </c>
      <c r="K54" s="2829"/>
      <c r="L54" s="143"/>
      <c r="M54" s="2809"/>
    </row>
    <row r="55" spans="1:13" ht="15.75">
      <c r="A55" s="486"/>
      <c r="B55" s="473" t="str">
        <f>Huvudinmatning!J7</f>
        <v>övrigt</v>
      </c>
      <c r="C55" s="2821">
        <f>Huvudinmatning!K7</f>
        <v>0</v>
      </c>
      <c r="D55" s="174" t="s">
        <v>10</v>
      </c>
      <c r="E55" s="2810">
        <f>E54-E53</f>
        <v>0</v>
      </c>
      <c r="F55" s="2811">
        <f>Huvudinmatning!O7</f>
        <v>0</v>
      </c>
      <c r="G55" s="2812">
        <f>G54-G53</f>
        <v>0</v>
      </c>
      <c r="H55" s="2810">
        <f>H54-H53</f>
        <v>0</v>
      </c>
      <c r="I55" s="2811">
        <f>I54-I53</f>
        <v>0</v>
      </c>
      <c r="J55" s="2826">
        <f>J54-J53</f>
        <v>0</v>
      </c>
      <c r="K55" s="2830">
        <f>Miljösammanfattning!D44</f>
        <v>0</v>
      </c>
      <c r="L55" s="2811">
        <f>Miljösammanfattning!C45</f>
        <v>0</v>
      </c>
      <c r="M55" s="2813">
        <f>Miljösammanfattning!I47</f>
        <v>0</v>
      </c>
    </row>
    <row r="56" spans="1:13" ht="15.75">
      <c r="A56" s="486"/>
      <c r="B56" s="126"/>
      <c r="C56" s="2775"/>
      <c r="D56" s="2143"/>
      <c r="E56" s="2144"/>
      <c r="F56" s="2143"/>
      <c r="G56" s="2144"/>
      <c r="H56" s="2143"/>
      <c r="I56" s="2144"/>
      <c r="J56" s="2143"/>
      <c r="K56" s="2143"/>
      <c r="L56" s="2144"/>
      <c r="M56" s="2143"/>
    </row>
    <row r="57" spans="1:13">
      <c r="A57" s="486"/>
      <c r="B57" s="2"/>
      <c r="C57" s="2"/>
      <c r="D57" s="2"/>
      <c r="E57" s="2"/>
      <c r="F57" s="2"/>
      <c r="G57" s="2"/>
      <c r="H57" s="263"/>
      <c r="I57" s="263"/>
      <c r="J57" s="263"/>
      <c r="K57" s="2"/>
      <c r="L57" s="2"/>
      <c r="M57" s="486"/>
    </row>
    <row r="58" spans="1:13">
      <c r="A58" s="486"/>
      <c r="B58" s="1476" t="s">
        <v>99</v>
      </c>
      <c r="C58" s="1477"/>
      <c r="D58" s="2147" t="s">
        <v>1294</v>
      </c>
      <c r="E58" s="1477"/>
      <c r="F58" s="1477"/>
      <c r="G58" s="1478"/>
      <c r="J58" s="263"/>
      <c r="K58" s="2"/>
      <c r="L58" s="2"/>
      <c r="M58" s="486"/>
    </row>
    <row r="59" spans="1:13" ht="14.25">
      <c r="A59" s="486"/>
      <c r="B59" s="2148"/>
      <c r="C59" s="2149"/>
      <c r="D59" s="2145" t="s">
        <v>145</v>
      </c>
      <c r="E59" s="2145" t="s">
        <v>146</v>
      </c>
      <c r="F59" s="2145" t="s">
        <v>1292</v>
      </c>
      <c r="G59" s="2146" t="s">
        <v>1293</v>
      </c>
      <c r="J59" s="2"/>
      <c r="K59" s="2"/>
      <c r="L59" s="2"/>
      <c r="M59" s="486"/>
    </row>
    <row r="60" spans="1:13" ht="14.25">
      <c r="A60" s="486"/>
      <c r="B60" s="2150"/>
      <c r="C60" s="2151" t="s">
        <v>120</v>
      </c>
      <c r="D60" s="2703">
        <f>ICBM!Q10</f>
        <v>0</v>
      </c>
      <c r="E60" s="2703">
        <f>ICBM!Q11</f>
        <v>0</v>
      </c>
      <c r="F60" s="2703">
        <f>ICBM!Q15</f>
        <v>0</v>
      </c>
      <c r="G60" s="2704">
        <f>ICBM!Q19</f>
        <v>0</v>
      </c>
      <c r="J60" s="2"/>
      <c r="K60" s="2"/>
      <c r="L60" s="2"/>
      <c r="M60" s="486"/>
    </row>
    <row r="61" spans="1:13">
      <c r="A61" s="486"/>
      <c r="B61" s="2"/>
      <c r="C61" s="2"/>
      <c r="D61" s="2"/>
      <c r="E61" s="2"/>
      <c r="F61" s="2"/>
      <c r="G61" s="2"/>
      <c r="H61" s="2"/>
      <c r="I61" s="2"/>
      <c r="J61" s="2"/>
      <c r="K61" s="2"/>
      <c r="L61" s="2"/>
      <c r="M61" s="486"/>
    </row>
    <row r="62" spans="1:13">
      <c r="A62" s="486"/>
      <c r="B62" s="2"/>
      <c r="C62" s="2"/>
      <c r="D62" s="2"/>
      <c r="E62" s="2"/>
      <c r="F62" s="2"/>
      <c r="G62" s="2"/>
      <c r="H62" s="2"/>
      <c r="I62" s="2"/>
      <c r="J62" s="2"/>
      <c r="K62" s="2"/>
      <c r="L62" s="2"/>
      <c r="M62" s="486"/>
    </row>
    <row r="63" spans="1:13">
      <c r="A63" s="486"/>
      <c r="B63" s="2"/>
      <c r="C63" s="2"/>
      <c r="D63" s="2"/>
      <c r="E63" s="2"/>
      <c r="F63" s="2"/>
      <c r="G63" s="2"/>
      <c r="H63" s="2"/>
      <c r="I63" s="2"/>
      <c r="J63" s="2"/>
      <c r="K63" s="2"/>
      <c r="L63" s="2"/>
      <c r="M63" s="486"/>
    </row>
    <row r="64" spans="1:13">
      <c r="A64" s="486"/>
      <c r="B64" s="2"/>
      <c r="C64" s="2"/>
      <c r="D64" s="2"/>
      <c r="E64" s="2"/>
      <c r="F64" s="2"/>
      <c r="G64" s="2"/>
      <c r="H64" s="2"/>
      <c r="I64" s="2"/>
      <c r="J64" s="2"/>
      <c r="K64" s="2"/>
      <c r="L64" s="2"/>
      <c r="M64" s="486"/>
    </row>
    <row r="65" spans="1:13">
      <c r="A65" s="486"/>
      <c r="B65" s="2"/>
      <c r="C65" s="2"/>
      <c r="D65" s="2"/>
      <c r="E65" s="2"/>
      <c r="F65" s="2"/>
      <c r="G65" s="2"/>
      <c r="H65" s="2"/>
      <c r="I65" s="2"/>
      <c r="J65" s="2"/>
      <c r="K65" s="2"/>
      <c r="L65" s="2"/>
      <c r="M65" s="486"/>
    </row>
    <row r="66" spans="1:13">
      <c r="A66" s="486"/>
      <c r="B66" s="2"/>
      <c r="C66" s="2"/>
      <c r="D66" s="2"/>
      <c r="E66" s="2"/>
      <c r="F66" s="2"/>
      <c r="G66" s="2"/>
      <c r="H66" s="2"/>
      <c r="I66" s="2"/>
      <c r="J66" s="2"/>
      <c r="K66" s="2"/>
      <c r="L66" s="2"/>
      <c r="M66" s="486"/>
    </row>
    <row r="67" spans="1:13">
      <c r="A67" s="486"/>
      <c r="B67" s="2"/>
      <c r="C67" s="2"/>
      <c r="D67" s="2"/>
      <c r="E67" s="2"/>
      <c r="F67" s="2"/>
      <c r="G67" s="2"/>
      <c r="H67" s="2"/>
      <c r="I67" s="2"/>
      <c r="J67" s="2"/>
      <c r="K67" s="2"/>
      <c r="L67" s="2"/>
      <c r="M67" s="486"/>
    </row>
    <row r="68" spans="1:13">
      <c r="A68" s="486"/>
      <c r="B68" s="2"/>
      <c r="C68" s="2"/>
      <c r="D68" s="2"/>
      <c r="E68" s="2"/>
      <c r="F68" s="2"/>
      <c r="G68" s="2"/>
      <c r="H68" s="2"/>
      <c r="I68" s="2"/>
      <c r="J68" s="2"/>
      <c r="K68" s="2"/>
      <c r="L68" s="2"/>
      <c r="M68" s="486"/>
    </row>
    <row r="69" spans="1:13">
      <c r="A69" s="486"/>
      <c r="B69" s="2"/>
      <c r="C69" s="2"/>
      <c r="D69" s="2"/>
      <c r="E69" s="2"/>
      <c r="F69" s="2"/>
      <c r="G69" s="2"/>
      <c r="H69" s="2"/>
      <c r="I69" s="2"/>
      <c r="J69" s="2"/>
      <c r="K69" s="2"/>
      <c r="L69" s="2"/>
      <c r="M69" s="486"/>
    </row>
    <row r="70" spans="1:13">
      <c r="A70" s="486"/>
      <c r="B70" s="2"/>
      <c r="C70" s="2"/>
      <c r="D70" s="2"/>
      <c r="E70" s="2"/>
      <c r="F70" s="2"/>
      <c r="G70" s="2"/>
      <c r="H70" s="2"/>
      <c r="I70" s="2"/>
      <c r="J70" s="2"/>
      <c r="K70" s="2"/>
      <c r="L70" s="2"/>
      <c r="M70" s="486"/>
    </row>
    <row r="71" spans="1:13">
      <c r="A71" s="486"/>
      <c r="B71" s="2"/>
      <c r="C71" s="2"/>
      <c r="D71" s="2"/>
      <c r="E71" s="2"/>
      <c r="F71" s="2"/>
      <c r="G71" s="2"/>
      <c r="H71" s="2"/>
      <c r="I71" s="2"/>
      <c r="J71" s="2"/>
      <c r="K71" s="2"/>
      <c r="L71" s="2"/>
      <c r="M71" s="486"/>
    </row>
    <row r="72" spans="1:13">
      <c r="A72" s="486"/>
      <c r="B72" s="2"/>
      <c r="C72" s="2"/>
      <c r="D72" s="2"/>
      <c r="E72" s="2"/>
      <c r="F72" s="2"/>
      <c r="G72" s="2"/>
      <c r="H72" s="2"/>
      <c r="I72" s="2"/>
      <c r="J72" s="2"/>
      <c r="K72" s="2"/>
      <c r="L72" s="2"/>
      <c r="M72" s="486"/>
    </row>
    <row r="73" spans="1:13">
      <c r="A73" s="486"/>
      <c r="B73" s="2"/>
      <c r="C73" s="2"/>
      <c r="D73" s="2"/>
      <c r="E73" s="2"/>
      <c r="F73" s="2"/>
      <c r="G73" s="2"/>
      <c r="H73" s="2"/>
      <c r="I73" s="2"/>
      <c r="J73" s="2"/>
      <c r="K73" s="2"/>
      <c r="L73" s="2"/>
      <c r="M73" s="486"/>
    </row>
    <row r="74" spans="1:13">
      <c r="A74" s="486"/>
      <c r="B74" s="2"/>
      <c r="C74" s="2"/>
      <c r="D74" s="2"/>
      <c r="E74" s="2"/>
      <c r="F74" s="2"/>
      <c r="G74" s="2"/>
      <c r="H74" s="2"/>
      <c r="I74" s="2"/>
      <c r="J74" s="2"/>
      <c r="K74" s="2"/>
      <c r="L74" s="2"/>
      <c r="M74" s="486"/>
    </row>
    <row r="75" spans="1:13">
      <c r="A75" s="486"/>
      <c r="B75" s="2"/>
      <c r="C75" s="2"/>
      <c r="D75" s="2"/>
      <c r="E75" s="2"/>
      <c r="F75" s="2"/>
      <c r="G75" s="2"/>
      <c r="H75" s="2"/>
      <c r="I75" s="2"/>
      <c r="J75" s="2"/>
      <c r="K75" s="2"/>
      <c r="L75" s="2"/>
      <c r="M75" s="486"/>
    </row>
    <row r="76" spans="1:13">
      <c r="A76" s="486"/>
      <c r="B76" s="2"/>
      <c r="C76" s="2"/>
      <c r="D76" s="2"/>
      <c r="E76" s="2"/>
      <c r="F76" s="2"/>
      <c r="G76" s="2"/>
      <c r="H76" s="2"/>
      <c r="I76" s="2"/>
      <c r="J76" s="2"/>
      <c r="K76" s="2"/>
      <c r="L76" s="2"/>
      <c r="M76" s="486"/>
    </row>
    <row r="77" spans="1:13">
      <c r="A77" s="486"/>
      <c r="B77" s="2"/>
      <c r="C77" s="2"/>
      <c r="D77" s="2"/>
      <c r="E77" s="2"/>
      <c r="F77" s="2"/>
      <c r="G77" s="2"/>
      <c r="H77" s="2"/>
      <c r="I77" s="2"/>
      <c r="J77" s="2"/>
      <c r="K77" s="2"/>
      <c r="L77" s="2"/>
      <c r="M77" s="486"/>
    </row>
    <row r="78" spans="1:13">
      <c r="A78" s="486"/>
      <c r="B78" s="2"/>
      <c r="C78" s="2"/>
      <c r="D78" s="2"/>
      <c r="E78" s="2"/>
      <c r="F78" s="2"/>
      <c r="G78" s="2"/>
      <c r="H78" s="2"/>
      <c r="I78" s="2"/>
      <c r="J78" s="2"/>
      <c r="K78" s="2"/>
      <c r="L78" s="2"/>
      <c r="M78" s="486"/>
    </row>
    <row r="79" spans="1:13">
      <c r="A79" s="486"/>
      <c r="B79" s="2"/>
      <c r="C79" s="2"/>
      <c r="D79" s="2"/>
      <c r="E79" s="2"/>
      <c r="F79" s="2"/>
      <c r="G79" s="2"/>
      <c r="H79" s="2"/>
      <c r="I79" s="2"/>
      <c r="J79" s="2"/>
      <c r="K79" s="2"/>
      <c r="L79" s="2"/>
      <c r="M79" s="486"/>
    </row>
    <row r="80" spans="1:13">
      <c r="A80" s="486"/>
      <c r="B80" s="2"/>
      <c r="C80" s="2"/>
      <c r="D80" s="2"/>
      <c r="E80" s="2"/>
      <c r="F80" s="2"/>
      <c r="G80" s="2"/>
      <c r="H80" s="2"/>
      <c r="I80" s="2"/>
      <c r="J80" s="2"/>
      <c r="K80" s="2"/>
      <c r="L80" s="2"/>
      <c r="M80" s="486"/>
    </row>
    <row r="81" spans="1:13">
      <c r="A81" s="486"/>
      <c r="B81" s="2"/>
      <c r="C81" s="2"/>
      <c r="D81" s="2"/>
      <c r="E81" s="2"/>
      <c r="F81" s="2"/>
      <c r="G81" s="2"/>
      <c r="H81" s="2"/>
      <c r="I81" s="2"/>
      <c r="J81" s="2"/>
      <c r="K81" s="2"/>
      <c r="L81" s="2"/>
      <c r="M81" s="486"/>
    </row>
    <row r="82" spans="1:13">
      <c r="A82" s="486"/>
      <c r="B82" s="2"/>
      <c r="C82" s="2"/>
      <c r="D82" s="2"/>
      <c r="E82" s="2"/>
      <c r="F82" s="2"/>
      <c r="G82" s="2"/>
      <c r="H82" s="2"/>
      <c r="I82" s="2"/>
      <c r="J82" s="2"/>
      <c r="K82" s="2"/>
      <c r="L82" s="2"/>
      <c r="M82" s="486"/>
    </row>
    <row r="83" spans="1:13">
      <c r="A83" s="486"/>
      <c r="B83" s="2"/>
      <c r="C83" s="2"/>
      <c r="D83" s="2"/>
      <c r="E83" s="2"/>
      <c r="F83" s="2"/>
      <c r="G83" s="2"/>
      <c r="H83" s="2"/>
      <c r="I83" s="2"/>
      <c r="J83" s="2"/>
      <c r="K83" s="2"/>
      <c r="L83" s="2"/>
      <c r="M83" s="486"/>
    </row>
    <row r="84" spans="1:13">
      <c r="A84" s="486"/>
      <c r="B84" s="2"/>
      <c r="C84" s="2"/>
      <c r="D84" s="2"/>
      <c r="E84" s="2"/>
      <c r="F84" s="2"/>
      <c r="G84" s="2"/>
      <c r="H84" s="2"/>
      <c r="I84" s="2"/>
      <c r="J84" s="2"/>
      <c r="K84" s="2"/>
      <c r="L84" s="2"/>
      <c r="M84" s="486"/>
    </row>
    <row r="85" spans="1:13">
      <c r="A85" s="486"/>
      <c r="B85" s="2"/>
      <c r="C85" s="2"/>
      <c r="D85" s="2"/>
      <c r="E85" s="2"/>
      <c r="F85" s="2"/>
      <c r="G85" s="2"/>
      <c r="H85" s="2"/>
      <c r="I85" s="2"/>
      <c r="J85" s="2"/>
      <c r="K85" s="2"/>
      <c r="L85" s="2"/>
      <c r="M85" s="486"/>
    </row>
    <row r="86" spans="1:13">
      <c r="A86" s="486"/>
      <c r="B86" s="2"/>
      <c r="C86" s="2"/>
      <c r="D86" s="2"/>
      <c r="E86" s="2"/>
      <c r="F86" s="2"/>
      <c r="G86" s="2"/>
      <c r="H86" s="2"/>
      <c r="I86" s="2"/>
      <c r="J86" s="2"/>
      <c r="K86" s="2"/>
      <c r="L86" s="2"/>
      <c r="M86" s="486"/>
    </row>
    <row r="87" spans="1:13">
      <c r="A87" s="486"/>
      <c r="B87" s="2"/>
      <c r="C87" s="2"/>
      <c r="D87" s="2"/>
      <c r="E87" s="2"/>
      <c r="F87" s="2"/>
      <c r="G87" s="2"/>
      <c r="H87" s="2"/>
      <c r="I87" s="2"/>
      <c r="J87" s="2"/>
      <c r="K87" s="2"/>
      <c r="L87" s="2"/>
      <c r="M87" s="486"/>
    </row>
    <row r="88" spans="1:13">
      <c r="A88" s="486"/>
      <c r="B88" s="2"/>
      <c r="C88" s="2"/>
      <c r="D88" s="2"/>
      <c r="E88" s="2"/>
      <c r="F88" s="2"/>
      <c r="G88" s="2"/>
      <c r="H88" s="2"/>
      <c r="I88" s="2"/>
      <c r="J88" s="2"/>
      <c r="K88" s="2"/>
      <c r="L88" s="2"/>
      <c r="M88" s="486"/>
    </row>
    <row r="89" spans="1:13">
      <c r="A89" s="486"/>
      <c r="B89" s="2"/>
      <c r="C89" s="2"/>
      <c r="D89" s="2"/>
      <c r="E89" s="2"/>
      <c r="F89" s="2"/>
      <c r="G89" s="2"/>
      <c r="H89" s="2"/>
      <c r="I89" s="2"/>
      <c r="J89" s="2"/>
      <c r="K89" s="2"/>
      <c r="L89" s="2"/>
      <c r="M89" s="486"/>
    </row>
    <row r="90" spans="1:13">
      <c r="A90" s="486"/>
      <c r="B90" s="2"/>
      <c r="C90" s="2"/>
      <c r="D90" s="2"/>
      <c r="E90" s="2"/>
      <c r="F90" s="2"/>
      <c r="G90" s="2"/>
      <c r="H90" s="2"/>
      <c r="I90" s="2"/>
      <c r="J90" s="2"/>
      <c r="K90" s="2"/>
      <c r="L90" s="2"/>
      <c r="M90" s="486"/>
    </row>
    <row r="91" spans="1:13">
      <c r="A91" s="486"/>
      <c r="B91" s="2"/>
      <c r="C91" s="2"/>
      <c r="D91" s="2"/>
      <c r="E91" s="2"/>
      <c r="F91" s="2"/>
      <c r="G91" s="2"/>
      <c r="H91" s="2"/>
      <c r="I91" s="2"/>
      <c r="J91" s="2"/>
      <c r="K91" s="2"/>
      <c r="L91" s="2"/>
      <c r="M91" s="486"/>
    </row>
    <row r="92" spans="1:13">
      <c r="A92" s="486"/>
      <c r="B92" s="2"/>
      <c r="C92" s="2"/>
      <c r="D92" s="2"/>
      <c r="E92" s="2"/>
      <c r="F92" s="2"/>
      <c r="G92" s="2"/>
      <c r="H92" s="2"/>
      <c r="I92" s="2"/>
      <c r="J92" s="2"/>
      <c r="K92" s="2"/>
      <c r="L92" s="2"/>
      <c r="M92" s="486"/>
    </row>
    <row r="93" spans="1:13">
      <c r="A93" s="486"/>
      <c r="B93" s="2"/>
      <c r="C93" s="2"/>
      <c r="D93" s="2"/>
      <c r="E93" s="2"/>
      <c r="F93" s="2"/>
      <c r="G93" s="2"/>
      <c r="H93" s="2"/>
      <c r="I93" s="2"/>
      <c r="J93" s="2"/>
      <c r="K93" s="2"/>
      <c r="L93" s="2"/>
      <c r="M93" s="486"/>
    </row>
    <row r="94" spans="1:13">
      <c r="A94" s="486"/>
      <c r="B94" s="2"/>
      <c r="C94" s="2"/>
      <c r="D94" s="2"/>
      <c r="E94" s="2"/>
      <c r="F94" s="2"/>
      <c r="G94" s="2"/>
      <c r="H94" s="2"/>
      <c r="I94" s="2"/>
      <c r="J94" s="2"/>
      <c r="K94" s="2"/>
      <c r="L94" s="2"/>
      <c r="M94" s="486"/>
    </row>
    <row r="95" spans="1:13">
      <c r="B95" s="2"/>
      <c r="C95" s="2"/>
      <c r="D95" s="2"/>
      <c r="E95" s="2"/>
      <c r="F95" s="2"/>
      <c r="G95" s="2"/>
      <c r="H95" s="2"/>
      <c r="I95" s="2"/>
      <c r="J95" s="2"/>
      <c r="K95" s="2"/>
      <c r="L95" s="2"/>
      <c r="M95" s="486"/>
    </row>
    <row r="96" spans="1:13">
      <c r="B96" s="2"/>
      <c r="C96" s="2"/>
      <c r="D96" s="2"/>
      <c r="E96" s="2"/>
      <c r="F96" s="2"/>
      <c r="G96" s="2"/>
      <c r="H96" s="2"/>
      <c r="I96" s="2"/>
      <c r="J96" s="2"/>
      <c r="K96" s="2"/>
      <c r="L96" s="2"/>
      <c r="M96" s="486"/>
    </row>
  </sheetData>
  <sheetProtection sheet="1" objects="1" scenarios="1"/>
  <protectedRanges>
    <protectedRange sqref="H7:M14" name="Område1"/>
  </protectedRanges>
  <mergeCells count="1">
    <mergeCell ref="N8:N9"/>
  </mergeCells>
  <phoneticPr fontId="24" type="noConversion"/>
  <pageMargins left="0.25" right="0.25" top="0.75" bottom="0.75" header="0.3" footer="0.3"/>
  <pageSetup paperSize="9" scale="38" firstPageNumber="0"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2">
    <tabColor rgb="FFFF0000"/>
    <pageSetUpPr fitToPage="1"/>
  </sheetPr>
  <dimension ref="A1:AQ628"/>
  <sheetViews>
    <sheetView zoomScaleNormal="100" workbookViewId="0">
      <selection activeCell="K49" sqref="K49"/>
    </sheetView>
  </sheetViews>
  <sheetFormatPr defaultRowHeight="12.75"/>
  <cols>
    <col min="1" max="1" width="11.85546875" customWidth="1"/>
    <col min="2" max="2" width="13.5703125" customWidth="1"/>
    <col min="3" max="3" width="12" customWidth="1"/>
    <col min="4" max="4" width="1.42578125" customWidth="1"/>
    <col min="5" max="5" width="10.28515625" customWidth="1"/>
    <col min="6" max="7" width="10.7109375" customWidth="1"/>
    <col min="8" max="8" width="11.28515625" customWidth="1"/>
    <col min="9" max="9" width="10.85546875" customWidth="1"/>
    <col min="10" max="10" width="11.5703125" customWidth="1"/>
    <col min="11" max="11" width="12" customWidth="1"/>
    <col min="12" max="12" width="1.85546875" customWidth="1"/>
    <col min="13" max="13" width="10.42578125" customWidth="1"/>
    <col min="14" max="14" width="10.5703125" customWidth="1"/>
    <col min="15" max="15" width="11.42578125" customWidth="1"/>
    <col min="16" max="16" width="1.5703125" customWidth="1"/>
    <col min="17" max="17" width="11.5703125" customWidth="1"/>
    <col min="18" max="18" width="10.5703125" customWidth="1"/>
    <col min="19" max="19" width="6.85546875" customWidth="1"/>
    <col min="20" max="20" width="11.85546875" customWidth="1"/>
    <col min="21" max="21" width="1.7109375" customWidth="1"/>
    <col min="22" max="22" width="12" customWidth="1"/>
    <col min="23" max="23" width="10.28515625" customWidth="1"/>
    <col min="24" max="24" width="11.85546875" customWidth="1"/>
    <col min="25" max="25" width="6.140625" customWidth="1"/>
    <col min="26" max="26" width="12.7109375" customWidth="1"/>
    <col min="27" max="27" width="14.140625" customWidth="1"/>
    <col min="28" max="28" width="15" customWidth="1"/>
    <col min="29" max="29" width="12.140625" customWidth="1"/>
    <col min="30" max="30" width="13.5703125" bestFit="1" customWidth="1"/>
    <col min="31" max="31" width="12.85546875" customWidth="1"/>
    <col min="32" max="32" width="11.28515625" customWidth="1"/>
    <col min="33" max="33" width="12.85546875" customWidth="1"/>
    <col min="35" max="35" width="11.5703125" customWidth="1"/>
    <col min="36" max="36" width="20.42578125" customWidth="1"/>
    <col min="37" max="37" width="13.28515625" customWidth="1"/>
    <col min="38" max="38" width="12.140625" customWidth="1"/>
    <col min="260" max="260" width="10.7109375" customWidth="1"/>
    <col min="261" max="261" width="11" customWidth="1"/>
    <col min="263" max="263" width="1.42578125" customWidth="1"/>
    <col min="264" max="264" width="10.85546875" customWidth="1"/>
    <col min="265" max="265" width="11.5703125" customWidth="1"/>
    <col min="266" max="266" width="10.28515625" customWidth="1"/>
    <col min="267" max="267" width="1.7109375" customWidth="1"/>
    <col min="268" max="268" width="10.42578125" customWidth="1"/>
    <col min="269" max="269" width="10.5703125" customWidth="1"/>
    <col min="270" max="270" width="11.42578125" customWidth="1"/>
    <col min="271" max="271" width="1.5703125" customWidth="1"/>
    <col min="272" max="272" width="7.42578125" customWidth="1"/>
    <col min="273" max="273" width="10.5703125" customWidth="1"/>
    <col min="274" max="274" width="6.85546875" customWidth="1"/>
    <col min="276" max="276" width="1.5703125" customWidth="1"/>
    <col min="277" max="277" width="9.28515625" customWidth="1"/>
    <col min="278" max="278" width="15.85546875" customWidth="1"/>
    <col min="279" max="279" width="14.140625" customWidth="1"/>
    <col min="280" max="280" width="0.7109375" customWidth="1"/>
    <col min="281" max="281" width="16.5703125" customWidth="1"/>
    <col min="282" max="282" width="14.140625" customWidth="1"/>
    <col min="284" max="284" width="4.85546875" customWidth="1"/>
    <col min="287" max="287" width="12.85546875" customWidth="1"/>
    <col min="288" max="288" width="14.28515625" customWidth="1"/>
    <col min="291" max="291" width="11.5703125" customWidth="1"/>
    <col min="292" max="292" width="20.42578125" customWidth="1"/>
    <col min="516" max="516" width="10.7109375" customWidth="1"/>
    <col min="517" max="517" width="11" customWidth="1"/>
    <col min="519" max="519" width="1.42578125" customWidth="1"/>
    <col min="520" max="520" width="10.85546875" customWidth="1"/>
    <col min="521" max="521" width="11.5703125" customWidth="1"/>
    <col min="522" max="522" width="10.28515625" customWidth="1"/>
    <col min="523" max="523" width="1.7109375" customWidth="1"/>
    <col min="524" max="524" width="10.42578125" customWidth="1"/>
    <col min="525" max="525" width="10.5703125" customWidth="1"/>
    <col min="526" max="526" width="11.42578125" customWidth="1"/>
    <col min="527" max="527" width="1.5703125" customWidth="1"/>
    <col min="528" max="528" width="7.42578125" customWidth="1"/>
    <col min="529" max="529" width="10.5703125" customWidth="1"/>
    <col min="530" max="530" width="6.85546875" customWidth="1"/>
    <col min="532" max="532" width="1.5703125" customWidth="1"/>
    <col min="533" max="533" width="9.28515625" customWidth="1"/>
    <col min="534" max="534" width="15.85546875" customWidth="1"/>
    <col min="535" max="535" width="14.140625" customWidth="1"/>
    <col min="536" max="536" width="0.7109375" customWidth="1"/>
    <col min="537" max="537" width="16.5703125" customWidth="1"/>
    <col min="538" max="538" width="14.140625" customWidth="1"/>
    <col min="540" max="540" width="4.85546875" customWidth="1"/>
    <col min="543" max="543" width="12.85546875" customWidth="1"/>
    <col min="544" max="544" width="14.28515625" customWidth="1"/>
    <col min="547" max="547" width="11.5703125" customWidth="1"/>
    <col min="548" max="548" width="20.42578125" customWidth="1"/>
    <col min="772" max="772" width="10.7109375" customWidth="1"/>
    <col min="773" max="773" width="11" customWidth="1"/>
    <col min="775" max="775" width="1.42578125" customWidth="1"/>
    <col min="776" max="776" width="10.85546875" customWidth="1"/>
    <col min="777" max="777" width="11.5703125" customWidth="1"/>
    <col min="778" max="778" width="10.28515625" customWidth="1"/>
    <col min="779" max="779" width="1.7109375" customWidth="1"/>
    <col min="780" max="780" width="10.42578125" customWidth="1"/>
    <col min="781" max="781" width="10.5703125" customWidth="1"/>
    <col min="782" max="782" width="11.42578125" customWidth="1"/>
    <col min="783" max="783" width="1.5703125" customWidth="1"/>
    <col min="784" max="784" width="7.42578125" customWidth="1"/>
    <col min="785" max="785" width="10.5703125" customWidth="1"/>
    <col min="786" max="786" width="6.85546875" customWidth="1"/>
    <col min="788" max="788" width="1.5703125" customWidth="1"/>
    <col min="789" max="789" width="9.28515625" customWidth="1"/>
    <col min="790" max="790" width="15.85546875" customWidth="1"/>
    <col min="791" max="791" width="14.140625" customWidth="1"/>
    <col min="792" max="792" width="0.7109375" customWidth="1"/>
    <col min="793" max="793" width="16.5703125" customWidth="1"/>
    <col min="794" max="794" width="14.140625" customWidth="1"/>
    <col min="796" max="796" width="4.85546875" customWidth="1"/>
    <col min="799" max="799" width="12.85546875" customWidth="1"/>
    <col min="800" max="800" width="14.28515625" customWidth="1"/>
    <col min="803" max="803" width="11.5703125" customWidth="1"/>
    <col min="804" max="804" width="20.42578125" customWidth="1"/>
    <col min="1028" max="1028" width="10.7109375" customWidth="1"/>
    <col min="1029" max="1029" width="11" customWidth="1"/>
    <col min="1031" max="1031" width="1.42578125" customWidth="1"/>
    <col min="1032" max="1032" width="10.85546875" customWidth="1"/>
    <col min="1033" max="1033" width="11.5703125" customWidth="1"/>
    <col min="1034" max="1034" width="10.28515625" customWidth="1"/>
    <col min="1035" max="1035" width="1.7109375" customWidth="1"/>
    <col min="1036" max="1036" width="10.42578125" customWidth="1"/>
    <col min="1037" max="1037" width="10.5703125" customWidth="1"/>
    <col min="1038" max="1038" width="11.42578125" customWidth="1"/>
    <col min="1039" max="1039" width="1.5703125" customWidth="1"/>
    <col min="1040" max="1040" width="7.42578125" customWidth="1"/>
    <col min="1041" max="1041" width="10.5703125" customWidth="1"/>
    <col min="1042" max="1042" width="6.85546875" customWidth="1"/>
    <col min="1044" max="1044" width="1.5703125" customWidth="1"/>
    <col min="1045" max="1045" width="9.28515625" customWidth="1"/>
    <col min="1046" max="1046" width="15.85546875" customWidth="1"/>
    <col min="1047" max="1047" width="14.140625" customWidth="1"/>
    <col min="1048" max="1048" width="0.7109375" customWidth="1"/>
    <col min="1049" max="1049" width="16.5703125" customWidth="1"/>
    <col min="1050" max="1050" width="14.140625" customWidth="1"/>
    <col min="1052" max="1052" width="4.85546875" customWidth="1"/>
    <col min="1055" max="1055" width="12.85546875" customWidth="1"/>
    <col min="1056" max="1056" width="14.28515625" customWidth="1"/>
    <col min="1059" max="1059" width="11.5703125" customWidth="1"/>
    <col min="1060" max="1060" width="20.42578125" customWidth="1"/>
    <col min="1284" max="1284" width="10.7109375" customWidth="1"/>
    <col min="1285" max="1285" width="11" customWidth="1"/>
    <col min="1287" max="1287" width="1.42578125" customWidth="1"/>
    <col min="1288" max="1288" width="10.85546875" customWidth="1"/>
    <col min="1289" max="1289" width="11.5703125" customWidth="1"/>
    <col min="1290" max="1290" width="10.28515625" customWidth="1"/>
    <col min="1291" max="1291" width="1.7109375" customWidth="1"/>
    <col min="1292" max="1292" width="10.42578125" customWidth="1"/>
    <col min="1293" max="1293" width="10.5703125" customWidth="1"/>
    <col min="1294" max="1294" width="11.42578125" customWidth="1"/>
    <col min="1295" max="1295" width="1.5703125" customWidth="1"/>
    <col min="1296" max="1296" width="7.42578125" customWidth="1"/>
    <col min="1297" max="1297" width="10.5703125" customWidth="1"/>
    <col min="1298" max="1298" width="6.85546875" customWidth="1"/>
    <col min="1300" max="1300" width="1.5703125" customWidth="1"/>
    <col min="1301" max="1301" width="9.28515625" customWidth="1"/>
    <col min="1302" max="1302" width="15.85546875" customWidth="1"/>
    <col min="1303" max="1303" width="14.140625" customWidth="1"/>
    <col min="1304" max="1304" width="0.7109375" customWidth="1"/>
    <col min="1305" max="1305" width="16.5703125" customWidth="1"/>
    <col min="1306" max="1306" width="14.140625" customWidth="1"/>
    <col min="1308" max="1308" width="4.85546875" customWidth="1"/>
    <col min="1311" max="1311" width="12.85546875" customWidth="1"/>
    <col min="1312" max="1312" width="14.28515625" customWidth="1"/>
    <col min="1315" max="1315" width="11.5703125" customWidth="1"/>
    <col min="1316" max="1316" width="20.42578125" customWidth="1"/>
    <col min="1540" max="1540" width="10.7109375" customWidth="1"/>
    <col min="1541" max="1541" width="11" customWidth="1"/>
    <col min="1543" max="1543" width="1.42578125" customWidth="1"/>
    <col min="1544" max="1544" width="10.85546875" customWidth="1"/>
    <col min="1545" max="1545" width="11.5703125" customWidth="1"/>
    <col min="1546" max="1546" width="10.28515625" customWidth="1"/>
    <col min="1547" max="1547" width="1.7109375" customWidth="1"/>
    <col min="1548" max="1548" width="10.42578125" customWidth="1"/>
    <col min="1549" max="1549" width="10.5703125" customWidth="1"/>
    <col min="1550" max="1550" width="11.42578125" customWidth="1"/>
    <col min="1551" max="1551" width="1.5703125" customWidth="1"/>
    <col min="1552" max="1552" width="7.42578125" customWidth="1"/>
    <col min="1553" max="1553" width="10.5703125" customWidth="1"/>
    <col min="1554" max="1554" width="6.85546875" customWidth="1"/>
    <col min="1556" max="1556" width="1.5703125" customWidth="1"/>
    <col min="1557" max="1557" width="9.28515625" customWidth="1"/>
    <col min="1558" max="1558" width="15.85546875" customWidth="1"/>
    <col min="1559" max="1559" width="14.140625" customWidth="1"/>
    <col min="1560" max="1560" width="0.7109375" customWidth="1"/>
    <col min="1561" max="1561" width="16.5703125" customWidth="1"/>
    <col min="1562" max="1562" width="14.140625" customWidth="1"/>
    <col min="1564" max="1564" width="4.85546875" customWidth="1"/>
    <col min="1567" max="1567" width="12.85546875" customWidth="1"/>
    <col min="1568" max="1568" width="14.28515625" customWidth="1"/>
    <col min="1571" max="1571" width="11.5703125" customWidth="1"/>
    <col min="1572" max="1572" width="20.42578125" customWidth="1"/>
    <col min="1796" max="1796" width="10.7109375" customWidth="1"/>
    <col min="1797" max="1797" width="11" customWidth="1"/>
    <col min="1799" max="1799" width="1.42578125" customWidth="1"/>
    <col min="1800" max="1800" width="10.85546875" customWidth="1"/>
    <col min="1801" max="1801" width="11.5703125" customWidth="1"/>
    <col min="1802" max="1802" width="10.28515625" customWidth="1"/>
    <col min="1803" max="1803" width="1.7109375" customWidth="1"/>
    <col min="1804" max="1804" width="10.42578125" customWidth="1"/>
    <col min="1805" max="1805" width="10.5703125" customWidth="1"/>
    <col min="1806" max="1806" width="11.42578125" customWidth="1"/>
    <col min="1807" max="1807" width="1.5703125" customWidth="1"/>
    <col min="1808" max="1808" width="7.42578125" customWidth="1"/>
    <col min="1809" max="1809" width="10.5703125" customWidth="1"/>
    <col min="1810" max="1810" width="6.85546875" customWidth="1"/>
    <col min="1812" max="1812" width="1.5703125" customWidth="1"/>
    <col min="1813" max="1813" width="9.28515625" customWidth="1"/>
    <col min="1814" max="1814" width="15.85546875" customWidth="1"/>
    <col min="1815" max="1815" width="14.140625" customWidth="1"/>
    <col min="1816" max="1816" width="0.7109375" customWidth="1"/>
    <col min="1817" max="1817" width="16.5703125" customWidth="1"/>
    <col min="1818" max="1818" width="14.140625" customWidth="1"/>
    <col min="1820" max="1820" width="4.85546875" customWidth="1"/>
    <col min="1823" max="1823" width="12.85546875" customWidth="1"/>
    <col min="1824" max="1824" width="14.28515625" customWidth="1"/>
    <col min="1827" max="1827" width="11.5703125" customWidth="1"/>
    <col min="1828" max="1828" width="20.42578125" customWidth="1"/>
    <col min="2052" max="2052" width="10.7109375" customWidth="1"/>
    <col min="2053" max="2053" width="11" customWidth="1"/>
    <col min="2055" max="2055" width="1.42578125" customWidth="1"/>
    <col min="2056" max="2056" width="10.85546875" customWidth="1"/>
    <col min="2057" max="2057" width="11.5703125" customWidth="1"/>
    <col min="2058" max="2058" width="10.28515625" customWidth="1"/>
    <col min="2059" max="2059" width="1.7109375" customWidth="1"/>
    <col min="2060" max="2060" width="10.42578125" customWidth="1"/>
    <col min="2061" max="2061" width="10.5703125" customWidth="1"/>
    <col min="2062" max="2062" width="11.42578125" customWidth="1"/>
    <col min="2063" max="2063" width="1.5703125" customWidth="1"/>
    <col min="2064" max="2064" width="7.42578125" customWidth="1"/>
    <col min="2065" max="2065" width="10.5703125" customWidth="1"/>
    <col min="2066" max="2066" width="6.85546875" customWidth="1"/>
    <col min="2068" max="2068" width="1.5703125" customWidth="1"/>
    <col min="2069" max="2069" width="9.28515625" customWidth="1"/>
    <col min="2070" max="2070" width="15.85546875" customWidth="1"/>
    <col min="2071" max="2071" width="14.140625" customWidth="1"/>
    <col min="2072" max="2072" width="0.7109375" customWidth="1"/>
    <col min="2073" max="2073" width="16.5703125" customWidth="1"/>
    <col min="2074" max="2074" width="14.140625" customWidth="1"/>
    <col min="2076" max="2076" width="4.85546875" customWidth="1"/>
    <col min="2079" max="2079" width="12.85546875" customWidth="1"/>
    <col min="2080" max="2080" width="14.28515625" customWidth="1"/>
    <col min="2083" max="2083" width="11.5703125" customWidth="1"/>
    <col min="2084" max="2084" width="20.42578125" customWidth="1"/>
    <col min="2308" max="2308" width="10.7109375" customWidth="1"/>
    <col min="2309" max="2309" width="11" customWidth="1"/>
    <col min="2311" max="2311" width="1.42578125" customWidth="1"/>
    <col min="2312" max="2312" width="10.85546875" customWidth="1"/>
    <col min="2313" max="2313" width="11.5703125" customWidth="1"/>
    <col min="2314" max="2314" width="10.28515625" customWidth="1"/>
    <col min="2315" max="2315" width="1.7109375" customWidth="1"/>
    <col min="2316" max="2316" width="10.42578125" customWidth="1"/>
    <col min="2317" max="2317" width="10.5703125" customWidth="1"/>
    <col min="2318" max="2318" width="11.42578125" customWidth="1"/>
    <col min="2319" max="2319" width="1.5703125" customWidth="1"/>
    <col min="2320" max="2320" width="7.42578125" customWidth="1"/>
    <col min="2321" max="2321" width="10.5703125" customWidth="1"/>
    <col min="2322" max="2322" width="6.85546875" customWidth="1"/>
    <col min="2324" max="2324" width="1.5703125" customWidth="1"/>
    <col min="2325" max="2325" width="9.28515625" customWidth="1"/>
    <col min="2326" max="2326" width="15.85546875" customWidth="1"/>
    <col min="2327" max="2327" width="14.140625" customWidth="1"/>
    <col min="2328" max="2328" width="0.7109375" customWidth="1"/>
    <col min="2329" max="2329" width="16.5703125" customWidth="1"/>
    <col min="2330" max="2330" width="14.140625" customWidth="1"/>
    <col min="2332" max="2332" width="4.85546875" customWidth="1"/>
    <col min="2335" max="2335" width="12.85546875" customWidth="1"/>
    <col min="2336" max="2336" width="14.28515625" customWidth="1"/>
    <col min="2339" max="2339" width="11.5703125" customWidth="1"/>
    <col min="2340" max="2340" width="20.42578125" customWidth="1"/>
    <col min="2564" max="2564" width="10.7109375" customWidth="1"/>
    <col min="2565" max="2565" width="11" customWidth="1"/>
    <col min="2567" max="2567" width="1.42578125" customWidth="1"/>
    <col min="2568" max="2568" width="10.85546875" customWidth="1"/>
    <col min="2569" max="2569" width="11.5703125" customWidth="1"/>
    <col min="2570" max="2570" width="10.28515625" customWidth="1"/>
    <col min="2571" max="2571" width="1.7109375" customWidth="1"/>
    <col min="2572" max="2572" width="10.42578125" customWidth="1"/>
    <col min="2573" max="2573" width="10.5703125" customWidth="1"/>
    <col min="2574" max="2574" width="11.42578125" customWidth="1"/>
    <col min="2575" max="2575" width="1.5703125" customWidth="1"/>
    <col min="2576" max="2576" width="7.42578125" customWidth="1"/>
    <col min="2577" max="2577" width="10.5703125" customWidth="1"/>
    <col min="2578" max="2578" width="6.85546875" customWidth="1"/>
    <col min="2580" max="2580" width="1.5703125" customWidth="1"/>
    <col min="2581" max="2581" width="9.28515625" customWidth="1"/>
    <col min="2582" max="2582" width="15.85546875" customWidth="1"/>
    <col min="2583" max="2583" width="14.140625" customWidth="1"/>
    <col min="2584" max="2584" width="0.7109375" customWidth="1"/>
    <col min="2585" max="2585" width="16.5703125" customWidth="1"/>
    <col min="2586" max="2586" width="14.140625" customWidth="1"/>
    <col min="2588" max="2588" width="4.85546875" customWidth="1"/>
    <col min="2591" max="2591" width="12.85546875" customWidth="1"/>
    <col min="2592" max="2592" width="14.28515625" customWidth="1"/>
    <col min="2595" max="2595" width="11.5703125" customWidth="1"/>
    <col min="2596" max="2596" width="20.42578125" customWidth="1"/>
    <col min="2820" max="2820" width="10.7109375" customWidth="1"/>
    <col min="2821" max="2821" width="11" customWidth="1"/>
    <col min="2823" max="2823" width="1.42578125" customWidth="1"/>
    <col min="2824" max="2824" width="10.85546875" customWidth="1"/>
    <col min="2825" max="2825" width="11.5703125" customWidth="1"/>
    <col min="2826" max="2826" width="10.28515625" customWidth="1"/>
    <col min="2827" max="2827" width="1.7109375" customWidth="1"/>
    <col min="2828" max="2828" width="10.42578125" customWidth="1"/>
    <col min="2829" max="2829" width="10.5703125" customWidth="1"/>
    <col min="2830" max="2830" width="11.42578125" customWidth="1"/>
    <col min="2831" max="2831" width="1.5703125" customWidth="1"/>
    <col min="2832" max="2832" width="7.42578125" customWidth="1"/>
    <col min="2833" max="2833" width="10.5703125" customWidth="1"/>
    <col min="2834" max="2834" width="6.85546875" customWidth="1"/>
    <col min="2836" max="2836" width="1.5703125" customWidth="1"/>
    <col min="2837" max="2837" width="9.28515625" customWidth="1"/>
    <col min="2838" max="2838" width="15.85546875" customWidth="1"/>
    <col min="2839" max="2839" width="14.140625" customWidth="1"/>
    <col min="2840" max="2840" width="0.7109375" customWidth="1"/>
    <col min="2841" max="2841" width="16.5703125" customWidth="1"/>
    <col min="2842" max="2842" width="14.140625" customWidth="1"/>
    <col min="2844" max="2844" width="4.85546875" customWidth="1"/>
    <col min="2847" max="2847" width="12.85546875" customWidth="1"/>
    <col min="2848" max="2848" width="14.28515625" customWidth="1"/>
    <col min="2851" max="2851" width="11.5703125" customWidth="1"/>
    <col min="2852" max="2852" width="20.42578125" customWidth="1"/>
    <col min="3076" max="3076" width="10.7109375" customWidth="1"/>
    <col min="3077" max="3077" width="11" customWidth="1"/>
    <col min="3079" max="3079" width="1.42578125" customWidth="1"/>
    <col min="3080" max="3080" width="10.85546875" customWidth="1"/>
    <col min="3081" max="3081" width="11.5703125" customWidth="1"/>
    <col min="3082" max="3082" width="10.28515625" customWidth="1"/>
    <col min="3083" max="3083" width="1.7109375" customWidth="1"/>
    <col min="3084" max="3084" width="10.42578125" customWidth="1"/>
    <col min="3085" max="3085" width="10.5703125" customWidth="1"/>
    <col min="3086" max="3086" width="11.42578125" customWidth="1"/>
    <col min="3087" max="3087" width="1.5703125" customWidth="1"/>
    <col min="3088" max="3088" width="7.42578125" customWidth="1"/>
    <col min="3089" max="3089" width="10.5703125" customWidth="1"/>
    <col min="3090" max="3090" width="6.85546875" customWidth="1"/>
    <col min="3092" max="3092" width="1.5703125" customWidth="1"/>
    <col min="3093" max="3093" width="9.28515625" customWidth="1"/>
    <col min="3094" max="3094" width="15.85546875" customWidth="1"/>
    <col min="3095" max="3095" width="14.140625" customWidth="1"/>
    <col min="3096" max="3096" width="0.7109375" customWidth="1"/>
    <col min="3097" max="3097" width="16.5703125" customWidth="1"/>
    <col min="3098" max="3098" width="14.140625" customWidth="1"/>
    <col min="3100" max="3100" width="4.85546875" customWidth="1"/>
    <col min="3103" max="3103" width="12.85546875" customWidth="1"/>
    <col min="3104" max="3104" width="14.28515625" customWidth="1"/>
    <col min="3107" max="3107" width="11.5703125" customWidth="1"/>
    <col min="3108" max="3108" width="20.42578125" customWidth="1"/>
    <col min="3332" max="3332" width="10.7109375" customWidth="1"/>
    <col min="3333" max="3333" width="11" customWidth="1"/>
    <col min="3335" max="3335" width="1.42578125" customWidth="1"/>
    <col min="3336" max="3336" width="10.85546875" customWidth="1"/>
    <col min="3337" max="3337" width="11.5703125" customWidth="1"/>
    <col min="3338" max="3338" width="10.28515625" customWidth="1"/>
    <col min="3339" max="3339" width="1.7109375" customWidth="1"/>
    <col min="3340" max="3340" width="10.42578125" customWidth="1"/>
    <col min="3341" max="3341" width="10.5703125" customWidth="1"/>
    <col min="3342" max="3342" width="11.42578125" customWidth="1"/>
    <col min="3343" max="3343" width="1.5703125" customWidth="1"/>
    <col min="3344" max="3344" width="7.42578125" customWidth="1"/>
    <col min="3345" max="3345" width="10.5703125" customWidth="1"/>
    <col min="3346" max="3346" width="6.85546875" customWidth="1"/>
    <col min="3348" max="3348" width="1.5703125" customWidth="1"/>
    <col min="3349" max="3349" width="9.28515625" customWidth="1"/>
    <col min="3350" max="3350" width="15.85546875" customWidth="1"/>
    <col min="3351" max="3351" width="14.140625" customWidth="1"/>
    <col min="3352" max="3352" width="0.7109375" customWidth="1"/>
    <col min="3353" max="3353" width="16.5703125" customWidth="1"/>
    <col min="3354" max="3354" width="14.140625" customWidth="1"/>
    <col min="3356" max="3356" width="4.85546875" customWidth="1"/>
    <col min="3359" max="3359" width="12.85546875" customWidth="1"/>
    <col min="3360" max="3360" width="14.28515625" customWidth="1"/>
    <col min="3363" max="3363" width="11.5703125" customWidth="1"/>
    <col min="3364" max="3364" width="20.42578125" customWidth="1"/>
    <col min="3588" max="3588" width="10.7109375" customWidth="1"/>
    <col min="3589" max="3589" width="11" customWidth="1"/>
    <col min="3591" max="3591" width="1.42578125" customWidth="1"/>
    <col min="3592" max="3592" width="10.85546875" customWidth="1"/>
    <col min="3593" max="3593" width="11.5703125" customWidth="1"/>
    <col min="3594" max="3594" width="10.28515625" customWidth="1"/>
    <col min="3595" max="3595" width="1.7109375" customWidth="1"/>
    <col min="3596" max="3596" width="10.42578125" customWidth="1"/>
    <col min="3597" max="3597" width="10.5703125" customWidth="1"/>
    <col min="3598" max="3598" width="11.42578125" customWidth="1"/>
    <col min="3599" max="3599" width="1.5703125" customWidth="1"/>
    <col min="3600" max="3600" width="7.42578125" customWidth="1"/>
    <col min="3601" max="3601" width="10.5703125" customWidth="1"/>
    <col min="3602" max="3602" width="6.85546875" customWidth="1"/>
    <col min="3604" max="3604" width="1.5703125" customWidth="1"/>
    <col min="3605" max="3605" width="9.28515625" customWidth="1"/>
    <col min="3606" max="3606" width="15.85546875" customWidth="1"/>
    <col min="3607" max="3607" width="14.140625" customWidth="1"/>
    <col min="3608" max="3608" width="0.7109375" customWidth="1"/>
    <col min="3609" max="3609" width="16.5703125" customWidth="1"/>
    <col min="3610" max="3610" width="14.140625" customWidth="1"/>
    <col min="3612" max="3612" width="4.85546875" customWidth="1"/>
    <col min="3615" max="3615" width="12.85546875" customWidth="1"/>
    <col min="3616" max="3616" width="14.28515625" customWidth="1"/>
    <col min="3619" max="3619" width="11.5703125" customWidth="1"/>
    <col min="3620" max="3620" width="20.42578125" customWidth="1"/>
    <col min="3844" max="3844" width="10.7109375" customWidth="1"/>
    <col min="3845" max="3845" width="11" customWidth="1"/>
    <col min="3847" max="3847" width="1.42578125" customWidth="1"/>
    <col min="3848" max="3848" width="10.85546875" customWidth="1"/>
    <col min="3849" max="3849" width="11.5703125" customWidth="1"/>
    <col min="3850" max="3850" width="10.28515625" customWidth="1"/>
    <col min="3851" max="3851" width="1.7109375" customWidth="1"/>
    <col min="3852" max="3852" width="10.42578125" customWidth="1"/>
    <col min="3853" max="3853" width="10.5703125" customWidth="1"/>
    <col min="3854" max="3854" width="11.42578125" customWidth="1"/>
    <col min="3855" max="3855" width="1.5703125" customWidth="1"/>
    <col min="3856" max="3856" width="7.42578125" customWidth="1"/>
    <col min="3857" max="3857" width="10.5703125" customWidth="1"/>
    <col min="3858" max="3858" width="6.85546875" customWidth="1"/>
    <col min="3860" max="3860" width="1.5703125" customWidth="1"/>
    <col min="3861" max="3861" width="9.28515625" customWidth="1"/>
    <col min="3862" max="3862" width="15.85546875" customWidth="1"/>
    <col min="3863" max="3863" width="14.140625" customWidth="1"/>
    <col min="3864" max="3864" width="0.7109375" customWidth="1"/>
    <col min="3865" max="3865" width="16.5703125" customWidth="1"/>
    <col min="3866" max="3866" width="14.140625" customWidth="1"/>
    <col min="3868" max="3868" width="4.85546875" customWidth="1"/>
    <col min="3871" max="3871" width="12.85546875" customWidth="1"/>
    <col min="3872" max="3872" width="14.28515625" customWidth="1"/>
    <col min="3875" max="3875" width="11.5703125" customWidth="1"/>
    <col min="3876" max="3876" width="20.42578125" customWidth="1"/>
    <col min="4100" max="4100" width="10.7109375" customWidth="1"/>
    <col min="4101" max="4101" width="11" customWidth="1"/>
    <col min="4103" max="4103" width="1.42578125" customWidth="1"/>
    <col min="4104" max="4104" width="10.85546875" customWidth="1"/>
    <col min="4105" max="4105" width="11.5703125" customWidth="1"/>
    <col min="4106" max="4106" width="10.28515625" customWidth="1"/>
    <col min="4107" max="4107" width="1.7109375" customWidth="1"/>
    <col min="4108" max="4108" width="10.42578125" customWidth="1"/>
    <col min="4109" max="4109" width="10.5703125" customWidth="1"/>
    <col min="4110" max="4110" width="11.42578125" customWidth="1"/>
    <col min="4111" max="4111" width="1.5703125" customWidth="1"/>
    <col min="4112" max="4112" width="7.42578125" customWidth="1"/>
    <col min="4113" max="4113" width="10.5703125" customWidth="1"/>
    <col min="4114" max="4114" width="6.85546875" customWidth="1"/>
    <col min="4116" max="4116" width="1.5703125" customWidth="1"/>
    <col min="4117" max="4117" width="9.28515625" customWidth="1"/>
    <col min="4118" max="4118" width="15.85546875" customWidth="1"/>
    <col min="4119" max="4119" width="14.140625" customWidth="1"/>
    <col min="4120" max="4120" width="0.7109375" customWidth="1"/>
    <col min="4121" max="4121" width="16.5703125" customWidth="1"/>
    <col min="4122" max="4122" width="14.140625" customWidth="1"/>
    <col min="4124" max="4124" width="4.85546875" customWidth="1"/>
    <col min="4127" max="4127" width="12.85546875" customWidth="1"/>
    <col min="4128" max="4128" width="14.28515625" customWidth="1"/>
    <col min="4131" max="4131" width="11.5703125" customWidth="1"/>
    <col min="4132" max="4132" width="20.42578125" customWidth="1"/>
    <col min="4356" max="4356" width="10.7109375" customWidth="1"/>
    <col min="4357" max="4357" width="11" customWidth="1"/>
    <col min="4359" max="4359" width="1.42578125" customWidth="1"/>
    <col min="4360" max="4360" width="10.85546875" customWidth="1"/>
    <col min="4361" max="4361" width="11.5703125" customWidth="1"/>
    <col min="4362" max="4362" width="10.28515625" customWidth="1"/>
    <col min="4363" max="4363" width="1.7109375" customWidth="1"/>
    <col min="4364" max="4364" width="10.42578125" customWidth="1"/>
    <col min="4365" max="4365" width="10.5703125" customWidth="1"/>
    <col min="4366" max="4366" width="11.42578125" customWidth="1"/>
    <col min="4367" max="4367" width="1.5703125" customWidth="1"/>
    <col min="4368" max="4368" width="7.42578125" customWidth="1"/>
    <col min="4369" max="4369" width="10.5703125" customWidth="1"/>
    <col min="4370" max="4370" width="6.85546875" customWidth="1"/>
    <col min="4372" max="4372" width="1.5703125" customWidth="1"/>
    <col min="4373" max="4373" width="9.28515625" customWidth="1"/>
    <col min="4374" max="4374" width="15.85546875" customWidth="1"/>
    <col min="4375" max="4375" width="14.140625" customWidth="1"/>
    <col min="4376" max="4376" width="0.7109375" customWidth="1"/>
    <col min="4377" max="4377" width="16.5703125" customWidth="1"/>
    <col min="4378" max="4378" width="14.140625" customWidth="1"/>
    <col min="4380" max="4380" width="4.85546875" customWidth="1"/>
    <col min="4383" max="4383" width="12.85546875" customWidth="1"/>
    <col min="4384" max="4384" width="14.28515625" customWidth="1"/>
    <col min="4387" max="4387" width="11.5703125" customWidth="1"/>
    <col min="4388" max="4388" width="20.42578125" customWidth="1"/>
    <col min="4612" max="4612" width="10.7109375" customWidth="1"/>
    <col min="4613" max="4613" width="11" customWidth="1"/>
    <col min="4615" max="4615" width="1.42578125" customWidth="1"/>
    <col min="4616" max="4616" width="10.85546875" customWidth="1"/>
    <col min="4617" max="4617" width="11.5703125" customWidth="1"/>
    <col min="4618" max="4618" width="10.28515625" customWidth="1"/>
    <col min="4619" max="4619" width="1.7109375" customWidth="1"/>
    <col min="4620" max="4620" width="10.42578125" customWidth="1"/>
    <col min="4621" max="4621" width="10.5703125" customWidth="1"/>
    <col min="4622" max="4622" width="11.42578125" customWidth="1"/>
    <col min="4623" max="4623" width="1.5703125" customWidth="1"/>
    <col min="4624" max="4624" width="7.42578125" customWidth="1"/>
    <col min="4625" max="4625" width="10.5703125" customWidth="1"/>
    <col min="4626" max="4626" width="6.85546875" customWidth="1"/>
    <col min="4628" max="4628" width="1.5703125" customWidth="1"/>
    <col min="4629" max="4629" width="9.28515625" customWidth="1"/>
    <col min="4630" max="4630" width="15.85546875" customWidth="1"/>
    <col min="4631" max="4631" width="14.140625" customWidth="1"/>
    <col min="4632" max="4632" width="0.7109375" customWidth="1"/>
    <col min="4633" max="4633" width="16.5703125" customWidth="1"/>
    <col min="4634" max="4634" width="14.140625" customWidth="1"/>
    <col min="4636" max="4636" width="4.85546875" customWidth="1"/>
    <col min="4639" max="4639" width="12.85546875" customWidth="1"/>
    <col min="4640" max="4640" width="14.28515625" customWidth="1"/>
    <col min="4643" max="4643" width="11.5703125" customWidth="1"/>
    <col min="4644" max="4644" width="20.42578125" customWidth="1"/>
    <col min="4868" max="4868" width="10.7109375" customWidth="1"/>
    <col min="4869" max="4869" width="11" customWidth="1"/>
    <col min="4871" max="4871" width="1.42578125" customWidth="1"/>
    <col min="4872" max="4872" width="10.85546875" customWidth="1"/>
    <col min="4873" max="4873" width="11.5703125" customWidth="1"/>
    <col min="4874" max="4874" width="10.28515625" customWidth="1"/>
    <col min="4875" max="4875" width="1.7109375" customWidth="1"/>
    <col min="4876" max="4876" width="10.42578125" customWidth="1"/>
    <col min="4877" max="4877" width="10.5703125" customWidth="1"/>
    <col min="4878" max="4878" width="11.42578125" customWidth="1"/>
    <col min="4879" max="4879" width="1.5703125" customWidth="1"/>
    <col min="4880" max="4880" width="7.42578125" customWidth="1"/>
    <col min="4881" max="4881" width="10.5703125" customWidth="1"/>
    <col min="4882" max="4882" width="6.85546875" customWidth="1"/>
    <col min="4884" max="4884" width="1.5703125" customWidth="1"/>
    <col min="4885" max="4885" width="9.28515625" customWidth="1"/>
    <col min="4886" max="4886" width="15.85546875" customWidth="1"/>
    <col min="4887" max="4887" width="14.140625" customWidth="1"/>
    <col min="4888" max="4888" width="0.7109375" customWidth="1"/>
    <col min="4889" max="4889" width="16.5703125" customWidth="1"/>
    <col min="4890" max="4890" width="14.140625" customWidth="1"/>
    <col min="4892" max="4892" width="4.85546875" customWidth="1"/>
    <col min="4895" max="4895" width="12.85546875" customWidth="1"/>
    <col min="4896" max="4896" width="14.28515625" customWidth="1"/>
    <col min="4899" max="4899" width="11.5703125" customWidth="1"/>
    <col min="4900" max="4900" width="20.42578125" customWidth="1"/>
    <col min="5124" max="5124" width="10.7109375" customWidth="1"/>
    <col min="5125" max="5125" width="11" customWidth="1"/>
    <col min="5127" max="5127" width="1.42578125" customWidth="1"/>
    <col min="5128" max="5128" width="10.85546875" customWidth="1"/>
    <col min="5129" max="5129" width="11.5703125" customWidth="1"/>
    <col min="5130" max="5130" width="10.28515625" customWidth="1"/>
    <col min="5131" max="5131" width="1.7109375" customWidth="1"/>
    <col min="5132" max="5132" width="10.42578125" customWidth="1"/>
    <col min="5133" max="5133" width="10.5703125" customWidth="1"/>
    <col min="5134" max="5134" width="11.42578125" customWidth="1"/>
    <col min="5135" max="5135" width="1.5703125" customWidth="1"/>
    <col min="5136" max="5136" width="7.42578125" customWidth="1"/>
    <col min="5137" max="5137" width="10.5703125" customWidth="1"/>
    <col min="5138" max="5138" width="6.85546875" customWidth="1"/>
    <col min="5140" max="5140" width="1.5703125" customWidth="1"/>
    <col min="5141" max="5141" width="9.28515625" customWidth="1"/>
    <col min="5142" max="5142" width="15.85546875" customWidth="1"/>
    <col min="5143" max="5143" width="14.140625" customWidth="1"/>
    <col min="5144" max="5144" width="0.7109375" customWidth="1"/>
    <col min="5145" max="5145" width="16.5703125" customWidth="1"/>
    <col min="5146" max="5146" width="14.140625" customWidth="1"/>
    <col min="5148" max="5148" width="4.85546875" customWidth="1"/>
    <col min="5151" max="5151" width="12.85546875" customWidth="1"/>
    <col min="5152" max="5152" width="14.28515625" customWidth="1"/>
    <col min="5155" max="5155" width="11.5703125" customWidth="1"/>
    <col min="5156" max="5156" width="20.42578125" customWidth="1"/>
    <col min="5380" max="5380" width="10.7109375" customWidth="1"/>
    <col min="5381" max="5381" width="11" customWidth="1"/>
    <col min="5383" max="5383" width="1.42578125" customWidth="1"/>
    <col min="5384" max="5384" width="10.85546875" customWidth="1"/>
    <col min="5385" max="5385" width="11.5703125" customWidth="1"/>
    <col min="5386" max="5386" width="10.28515625" customWidth="1"/>
    <col min="5387" max="5387" width="1.7109375" customWidth="1"/>
    <col min="5388" max="5388" width="10.42578125" customWidth="1"/>
    <col min="5389" max="5389" width="10.5703125" customWidth="1"/>
    <col min="5390" max="5390" width="11.42578125" customWidth="1"/>
    <col min="5391" max="5391" width="1.5703125" customWidth="1"/>
    <col min="5392" max="5392" width="7.42578125" customWidth="1"/>
    <col min="5393" max="5393" width="10.5703125" customWidth="1"/>
    <col min="5394" max="5394" width="6.85546875" customWidth="1"/>
    <col min="5396" max="5396" width="1.5703125" customWidth="1"/>
    <col min="5397" max="5397" width="9.28515625" customWidth="1"/>
    <col min="5398" max="5398" width="15.85546875" customWidth="1"/>
    <col min="5399" max="5399" width="14.140625" customWidth="1"/>
    <col min="5400" max="5400" width="0.7109375" customWidth="1"/>
    <col min="5401" max="5401" width="16.5703125" customWidth="1"/>
    <col min="5402" max="5402" width="14.140625" customWidth="1"/>
    <col min="5404" max="5404" width="4.85546875" customWidth="1"/>
    <col min="5407" max="5407" width="12.85546875" customWidth="1"/>
    <col min="5408" max="5408" width="14.28515625" customWidth="1"/>
    <col min="5411" max="5411" width="11.5703125" customWidth="1"/>
    <col min="5412" max="5412" width="20.42578125" customWidth="1"/>
    <col min="5636" max="5636" width="10.7109375" customWidth="1"/>
    <col min="5637" max="5637" width="11" customWidth="1"/>
    <col min="5639" max="5639" width="1.42578125" customWidth="1"/>
    <col min="5640" max="5640" width="10.85546875" customWidth="1"/>
    <col min="5641" max="5641" width="11.5703125" customWidth="1"/>
    <col min="5642" max="5642" width="10.28515625" customWidth="1"/>
    <col min="5643" max="5643" width="1.7109375" customWidth="1"/>
    <col min="5644" max="5644" width="10.42578125" customWidth="1"/>
    <col min="5645" max="5645" width="10.5703125" customWidth="1"/>
    <col min="5646" max="5646" width="11.42578125" customWidth="1"/>
    <col min="5647" max="5647" width="1.5703125" customWidth="1"/>
    <col min="5648" max="5648" width="7.42578125" customWidth="1"/>
    <col min="5649" max="5649" width="10.5703125" customWidth="1"/>
    <col min="5650" max="5650" width="6.85546875" customWidth="1"/>
    <col min="5652" max="5652" width="1.5703125" customWidth="1"/>
    <col min="5653" max="5653" width="9.28515625" customWidth="1"/>
    <col min="5654" max="5654" width="15.85546875" customWidth="1"/>
    <col min="5655" max="5655" width="14.140625" customWidth="1"/>
    <col min="5656" max="5656" width="0.7109375" customWidth="1"/>
    <col min="5657" max="5657" width="16.5703125" customWidth="1"/>
    <col min="5658" max="5658" width="14.140625" customWidth="1"/>
    <col min="5660" max="5660" width="4.85546875" customWidth="1"/>
    <col min="5663" max="5663" width="12.85546875" customWidth="1"/>
    <col min="5664" max="5664" width="14.28515625" customWidth="1"/>
    <col min="5667" max="5667" width="11.5703125" customWidth="1"/>
    <col min="5668" max="5668" width="20.42578125" customWidth="1"/>
    <col min="5892" max="5892" width="10.7109375" customWidth="1"/>
    <col min="5893" max="5893" width="11" customWidth="1"/>
    <col min="5895" max="5895" width="1.42578125" customWidth="1"/>
    <col min="5896" max="5896" width="10.85546875" customWidth="1"/>
    <col min="5897" max="5897" width="11.5703125" customWidth="1"/>
    <col min="5898" max="5898" width="10.28515625" customWidth="1"/>
    <col min="5899" max="5899" width="1.7109375" customWidth="1"/>
    <col min="5900" max="5900" width="10.42578125" customWidth="1"/>
    <col min="5901" max="5901" width="10.5703125" customWidth="1"/>
    <col min="5902" max="5902" width="11.42578125" customWidth="1"/>
    <col min="5903" max="5903" width="1.5703125" customWidth="1"/>
    <col min="5904" max="5904" width="7.42578125" customWidth="1"/>
    <col min="5905" max="5905" width="10.5703125" customWidth="1"/>
    <col min="5906" max="5906" width="6.85546875" customWidth="1"/>
    <col min="5908" max="5908" width="1.5703125" customWidth="1"/>
    <col min="5909" max="5909" width="9.28515625" customWidth="1"/>
    <col min="5910" max="5910" width="15.85546875" customWidth="1"/>
    <col min="5911" max="5911" width="14.140625" customWidth="1"/>
    <col min="5912" max="5912" width="0.7109375" customWidth="1"/>
    <col min="5913" max="5913" width="16.5703125" customWidth="1"/>
    <col min="5914" max="5914" width="14.140625" customWidth="1"/>
    <col min="5916" max="5916" width="4.85546875" customWidth="1"/>
    <col min="5919" max="5919" width="12.85546875" customWidth="1"/>
    <col min="5920" max="5920" width="14.28515625" customWidth="1"/>
    <col min="5923" max="5923" width="11.5703125" customWidth="1"/>
    <col min="5924" max="5924" width="20.42578125" customWidth="1"/>
    <col min="6148" max="6148" width="10.7109375" customWidth="1"/>
    <col min="6149" max="6149" width="11" customWidth="1"/>
    <col min="6151" max="6151" width="1.42578125" customWidth="1"/>
    <col min="6152" max="6152" width="10.85546875" customWidth="1"/>
    <col min="6153" max="6153" width="11.5703125" customWidth="1"/>
    <col min="6154" max="6154" width="10.28515625" customWidth="1"/>
    <col min="6155" max="6155" width="1.7109375" customWidth="1"/>
    <col min="6156" max="6156" width="10.42578125" customWidth="1"/>
    <col min="6157" max="6157" width="10.5703125" customWidth="1"/>
    <col min="6158" max="6158" width="11.42578125" customWidth="1"/>
    <col min="6159" max="6159" width="1.5703125" customWidth="1"/>
    <col min="6160" max="6160" width="7.42578125" customWidth="1"/>
    <col min="6161" max="6161" width="10.5703125" customWidth="1"/>
    <col min="6162" max="6162" width="6.85546875" customWidth="1"/>
    <col min="6164" max="6164" width="1.5703125" customWidth="1"/>
    <col min="6165" max="6165" width="9.28515625" customWidth="1"/>
    <col min="6166" max="6166" width="15.85546875" customWidth="1"/>
    <col min="6167" max="6167" width="14.140625" customWidth="1"/>
    <col min="6168" max="6168" width="0.7109375" customWidth="1"/>
    <col min="6169" max="6169" width="16.5703125" customWidth="1"/>
    <col min="6170" max="6170" width="14.140625" customWidth="1"/>
    <col min="6172" max="6172" width="4.85546875" customWidth="1"/>
    <col min="6175" max="6175" width="12.85546875" customWidth="1"/>
    <col min="6176" max="6176" width="14.28515625" customWidth="1"/>
    <col min="6179" max="6179" width="11.5703125" customWidth="1"/>
    <col min="6180" max="6180" width="20.42578125" customWidth="1"/>
    <col min="6404" max="6404" width="10.7109375" customWidth="1"/>
    <col min="6405" max="6405" width="11" customWidth="1"/>
    <col min="6407" max="6407" width="1.42578125" customWidth="1"/>
    <col min="6408" max="6408" width="10.85546875" customWidth="1"/>
    <col min="6409" max="6409" width="11.5703125" customWidth="1"/>
    <col min="6410" max="6410" width="10.28515625" customWidth="1"/>
    <col min="6411" max="6411" width="1.7109375" customWidth="1"/>
    <col min="6412" max="6412" width="10.42578125" customWidth="1"/>
    <col min="6413" max="6413" width="10.5703125" customWidth="1"/>
    <col min="6414" max="6414" width="11.42578125" customWidth="1"/>
    <col min="6415" max="6415" width="1.5703125" customWidth="1"/>
    <col min="6416" max="6416" width="7.42578125" customWidth="1"/>
    <col min="6417" max="6417" width="10.5703125" customWidth="1"/>
    <col min="6418" max="6418" width="6.85546875" customWidth="1"/>
    <col min="6420" max="6420" width="1.5703125" customWidth="1"/>
    <col min="6421" max="6421" width="9.28515625" customWidth="1"/>
    <col min="6422" max="6422" width="15.85546875" customWidth="1"/>
    <col min="6423" max="6423" width="14.140625" customWidth="1"/>
    <col min="6424" max="6424" width="0.7109375" customWidth="1"/>
    <col min="6425" max="6425" width="16.5703125" customWidth="1"/>
    <col min="6426" max="6426" width="14.140625" customWidth="1"/>
    <col min="6428" max="6428" width="4.85546875" customWidth="1"/>
    <col min="6431" max="6431" width="12.85546875" customWidth="1"/>
    <col min="6432" max="6432" width="14.28515625" customWidth="1"/>
    <col min="6435" max="6435" width="11.5703125" customWidth="1"/>
    <col min="6436" max="6436" width="20.42578125" customWidth="1"/>
    <col min="6660" max="6660" width="10.7109375" customWidth="1"/>
    <col min="6661" max="6661" width="11" customWidth="1"/>
    <col min="6663" max="6663" width="1.42578125" customWidth="1"/>
    <col min="6664" max="6664" width="10.85546875" customWidth="1"/>
    <col min="6665" max="6665" width="11.5703125" customWidth="1"/>
    <col min="6666" max="6666" width="10.28515625" customWidth="1"/>
    <col min="6667" max="6667" width="1.7109375" customWidth="1"/>
    <col min="6668" max="6668" width="10.42578125" customWidth="1"/>
    <col min="6669" max="6669" width="10.5703125" customWidth="1"/>
    <col min="6670" max="6670" width="11.42578125" customWidth="1"/>
    <col min="6671" max="6671" width="1.5703125" customWidth="1"/>
    <col min="6672" max="6672" width="7.42578125" customWidth="1"/>
    <col min="6673" max="6673" width="10.5703125" customWidth="1"/>
    <col min="6674" max="6674" width="6.85546875" customWidth="1"/>
    <col min="6676" max="6676" width="1.5703125" customWidth="1"/>
    <col min="6677" max="6677" width="9.28515625" customWidth="1"/>
    <col min="6678" max="6678" width="15.85546875" customWidth="1"/>
    <col min="6679" max="6679" width="14.140625" customWidth="1"/>
    <col min="6680" max="6680" width="0.7109375" customWidth="1"/>
    <col min="6681" max="6681" width="16.5703125" customWidth="1"/>
    <col min="6682" max="6682" width="14.140625" customWidth="1"/>
    <col min="6684" max="6684" width="4.85546875" customWidth="1"/>
    <col min="6687" max="6687" width="12.85546875" customWidth="1"/>
    <col min="6688" max="6688" width="14.28515625" customWidth="1"/>
    <col min="6691" max="6691" width="11.5703125" customWidth="1"/>
    <col min="6692" max="6692" width="20.42578125" customWidth="1"/>
    <col min="6916" max="6916" width="10.7109375" customWidth="1"/>
    <col min="6917" max="6917" width="11" customWidth="1"/>
    <col min="6919" max="6919" width="1.42578125" customWidth="1"/>
    <col min="6920" max="6920" width="10.85546875" customWidth="1"/>
    <col min="6921" max="6921" width="11.5703125" customWidth="1"/>
    <col min="6922" max="6922" width="10.28515625" customWidth="1"/>
    <col min="6923" max="6923" width="1.7109375" customWidth="1"/>
    <col min="6924" max="6924" width="10.42578125" customWidth="1"/>
    <col min="6925" max="6925" width="10.5703125" customWidth="1"/>
    <col min="6926" max="6926" width="11.42578125" customWidth="1"/>
    <col min="6927" max="6927" width="1.5703125" customWidth="1"/>
    <col min="6928" max="6928" width="7.42578125" customWidth="1"/>
    <col min="6929" max="6929" width="10.5703125" customWidth="1"/>
    <col min="6930" max="6930" width="6.85546875" customWidth="1"/>
    <col min="6932" max="6932" width="1.5703125" customWidth="1"/>
    <col min="6933" max="6933" width="9.28515625" customWidth="1"/>
    <col min="6934" max="6934" width="15.85546875" customWidth="1"/>
    <col min="6935" max="6935" width="14.140625" customWidth="1"/>
    <col min="6936" max="6936" width="0.7109375" customWidth="1"/>
    <col min="6937" max="6937" width="16.5703125" customWidth="1"/>
    <col min="6938" max="6938" width="14.140625" customWidth="1"/>
    <col min="6940" max="6940" width="4.85546875" customWidth="1"/>
    <col min="6943" max="6943" width="12.85546875" customWidth="1"/>
    <col min="6944" max="6944" width="14.28515625" customWidth="1"/>
    <col min="6947" max="6947" width="11.5703125" customWidth="1"/>
    <col min="6948" max="6948" width="20.42578125" customWidth="1"/>
    <col min="7172" max="7172" width="10.7109375" customWidth="1"/>
    <col min="7173" max="7173" width="11" customWidth="1"/>
    <col min="7175" max="7175" width="1.42578125" customWidth="1"/>
    <col min="7176" max="7176" width="10.85546875" customWidth="1"/>
    <col min="7177" max="7177" width="11.5703125" customWidth="1"/>
    <col min="7178" max="7178" width="10.28515625" customWidth="1"/>
    <col min="7179" max="7179" width="1.7109375" customWidth="1"/>
    <col min="7180" max="7180" width="10.42578125" customWidth="1"/>
    <col min="7181" max="7181" width="10.5703125" customWidth="1"/>
    <col min="7182" max="7182" width="11.42578125" customWidth="1"/>
    <col min="7183" max="7183" width="1.5703125" customWidth="1"/>
    <col min="7184" max="7184" width="7.42578125" customWidth="1"/>
    <col min="7185" max="7185" width="10.5703125" customWidth="1"/>
    <col min="7186" max="7186" width="6.85546875" customWidth="1"/>
    <col min="7188" max="7188" width="1.5703125" customWidth="1"/>
    <col min="7189" max="7189" width="9.28515625" customWidth="1"/>
    <col min="7190" max="7190" width="15.85546875" customWidth="1"/>
    <col min="7191" max="7191" width="14.140625" customWidth="1"/>
    <col min="7192" max="7192" width="0.7109375" customWidth="1"/>
    <col min="7193" max="7193" width="16.5703125" customWidth="1"/>
    <col min="7194" max="7194" width="14.140625" customWidth="1"/>
    <col min="7196" max="7196" width="4.85546875" customWidth="1"/>
    <col min="7199" max="7199" width="12.85546875" customWidth="1"/>
    <col min="7200" max="7200" width="14.28515625" customWidth="1"/>
    <col min="7203" max="7203" width="11.5703125" customWidth="1"/>
    <col min="7204" max="7204" width="20.42578125" customWidth="1"/>
    <col min="7428" max="7428" width="10.7109375" customWidth="1"/>
    <col min="7429" max="7429" width="11" customWidth="1"/>
    <col min="7431" max="7431" width="1.42578125" customWidth="1"/>
    <col min="7432" max="7432" width="10.85546875" customWidth="1"/>
    <col min="7433" max="7433" width="11.5703125" customWidth="1"/>
    <col min="7434" max="7434" width="10.28515625" customWidth="1"/>
    <col min="7435" max="7435" width="1.7109375" customWidth="1"/>
    <col min="7436" max="7436" width="10.42578125" customWidth="1"/>
    <col min="7437" max="7437" width="10.5703125" customWidth="1"/>
    <col min="7438" max="7438" width="11.42578125" customWidth="1"/>
    <col min="7439" max="7439" width="1.5703125" customWidth="1"/>
    <col min="7440" max="7440" width="7.42578125" customWidth="1"/>
    <col min="7441" max="7441" width="10.5703125" customWidth="1"/>
    <col min="7442" max="7442" width="6.85546875" customWidth="1"/>
    <col min="7444" max="7444" width="1.5703125" customWidth="1"/>
    <col min="7445" max="7445" width="9.28515625" customWidth="1"/>
    <col min="7446" max="7446" width="15.85546875" customWidth="1"/>
    <col min="7447" max="7447" width="14.140625" customWidth="1"/>
    <col min="7448" max="7448" width="0.7109375" customWidth="1"/>
    <col min="7449" max="7449" width="16.5703125" customWidth="1"/>
    <col min="7450" max="7450" width="14.140625" customWidth="1"/>
    <col min="7452" max="7452" width="4.85546875" customWidth="1"/>
    <col min="7455" max="7455" width="12.85546875" customWidth="1"/>
    <col min="7456" max="7456" width="14.28515625" customWidth="1"/>
    <col min="7459" max="7459" width="11.5703125" customWidth="1"/>
    <col min="7460" max="7460" width="20.42578125" customWidth="1"/>
    <col min="7684" max="7684" width="10.7109375" customWidth="1"/>
    <col min="7685" max="7685" width="11" customWidth="1"/>
    <col min="7687" max="7687" width="1.42578125" customWidth="1"/>
    <col min="7688" max="7688" width="10.85546875" customWidth="1"/>
    <col min="7689" max="7689" width="11.5703125" customWidth="1"/>
    <col min="7690" max="7690" width="10.28515625" customWidth="1"/>
    <col min="7691" max="7691" width="1.7109375" customWidth="1"/>
    <col min="7692" max="7692" width="10.42578125" customWidth="1"/>
    <col min="7693" max="7693" width="10.5703125" customWidth="1"/>
    <col min="7694" max="7694" width="11.42578125" customWidth="1"/>
    <col min="7695" max="7695" width="1.5703125" customWidth="1"/>
    <col min="7696" max="7696" width="7.42578125" customWidth="1"/>
    <col min="7697" max="7697" width="10.5703125" customWidth="1"/>
    <col min="7698" max="7698" width="6.85546875" customWidth="1"/>
    <col min="7700" max="7700" width="1.5703125" customWidth="1"/>
    <col min="7701" max="7701" width="9.28515625" customWidth="1"/>
    <col min="7702" max="7702" width="15.85546875" customWidth="1"/>
    <col min="7703" max="7703" width="14.140625" customWidth="1"/>
    <col min="7704" max="7704" width="0.7109375" customWidth="1"/>
    <col min="7705" max="7705" width="16.5703125" customWidth="1"/>
    <col min="7706" max="7706" width="14.140625" customWidth="1"/>
    <col min="7708" max="7708" width="4.85546875" customWidth="1"/>
    <col min="7711" max="7711" width="12.85546875" customWidth="1"/>
    <col min="7712" max="7712" width="14.28515625" customWidth="1"/>
    <col min="7715" max="7715" width="11.5703125" customWidth="1"/>
    <col min="7716" max="7716" width="20.42578125" customWidth="1"/>
    <col min="7940" max="7940" width="10.7109375" customWidth="1"/>
    <col min="7941" max="7941" width="11" customWidth="1"/>
    <col min="7943" max="7943" width="1.42578125" customWidth="1"/>
    <col min="7944" max="7944" width="10.85546875" customWidth="1"/>
    <col min="7945" max="7945" width="11.5703125" customWidth="1"/>
    <col min="7946" max="7946" width="10.28515625" customWidth="1"/>
    <col min="7947" max="7947" width="1.7109375" customWidth="1"/>
    <col min="7948" max="7948" width="10.42578125" customWidth="1"/>
    <col min="7949" max="7949" width="10.5703125" customWidth="1"/>
    <col min="7950" max="7950" width="11.42578125" customWidth="1"/>
    <col min="7951" max="7951" width="1.5703125" customWidth="1"/>
    <col min="7952" max="7952" width="7.42578125" customWidth="1"/>
    <col min="7953" max="7953" width="10.5703125" customWidth="1"/>
    <col min="7954" max="7954" width="6.85546875" customWidth="1"/>
    <col min="7956" max="7956" width="1.5703125" customWidth="1"/>
    <col min="7957" max="7957" width="9.28515625" customWidth="1"/>
    <col min="7958" max="7958" width="15.85546875" customWidth="1"/>
    <col min="7959" max="7959" width="14.140625" customWidth="1"/>
    <col min="7960" max="7960" width="0.7109375" customWidth="1"/>
    <col min="7961" max="7961" width="16.5703125" customWidth="1"/>
    <col min="7962" max="7962" width="14.140625" customWidth="1"/>
    <col min="7964" max="7964" width="4.85546875" customWidth="1"/>
    <col min="7967" max="7967" width="12.85546875" customWidth="1"/>
    <col min="7968" max="7968" width="14.28515625" customWidth="1"/>
    <col min="7971" max="7971" width="11.5703125" customWidth="1"/>
    <col min="7972" max="7972" width="20.42578125" customWidth="1"/>
    <col min="8196" max="8196" width="10.7109375" customWidth="1"/>
    <col min="8197" max="8197" width="11" customWidth="1"/>
    <col min="8199" max="8199" width="1.42578125" customWidth="1"/>
    <col min="8200" max="8200" width="10.85546875" customWidth="1"/>
    <col min="8201" max="8201" width="11.5703125" customWidth="1"/>
    <col min="8202" max="8202" width="10.28515625" customWidth="1"/>
    <col min="8203" max="8203" width="1.7109375" customWidth="1"/>
    <col min="8204" max="8204" width="10.42578125" customWidth="1"/>
    <col min="8205" max="8205" width="10.5703125" customWidth="1"/>
    <col min="8206" max="8206" width="11.42578125" customWidth="1"/>
    <col min="8207" max="8207" width="1.5703125" customWidth="1"/>
    <col min="8208" max="8208" width="7.42578125" customWidth="1"/>
    <col min="8209" max="8209" width="10.5703125" customWidth="1"/>
    <col min="8210" max="8210" width="6.85546875" customWidth="1"/>
    <col min="8212" max="8212" width="1.5703125" customWidth="1"/>
    <col min="8213" max="8213" width="9.28515625" customWidth="1"/>
    <col min="8214" max="8214" width="15.85546875" customWidth="1"/>
    <col min="8215" max="8215" width="14.140625" customWidth="1"/>
    <col min="8216" max="8216" width="0.7109375" customWidth="1"/>
    <col min="8217" max="8217" width="16.5703125" customWidth="1"/>
    <col min="8218" max="8218" width="14.140625" customWidth="1"/>
    <col min="8220" max="8220" width="4.85546875" customWidth="1"/>
    <col min="8223" max="8223" width="12.85546875" customWidth="1"/>
    <col min="8224" max="8224" width="14.28515625" customWidth="1"/>
    <col min="8227" max="8227" width="11.5703125" customWidth="1"/>
    <col min="8228" max="8228" width="20.42578125" customWidth="1"/>
    <col min="8452" max="8452" width="10.7109375" customWidth="1"/>
    <col min="8453" max="8453" width="11" customWidth="1"/>
    <col min="8455" max="8455" width="1.42578125" customWidth="1"/>
    <col min="8456" max="8456" width="10.85546875" customWidth="1"/>
    <col min="8457" max="8457" width="11.5703125" customWidth="1"/>
    <col min="8458" max="8458" width="10.28515625" customWidth="1"/>
    <col min="8459" max="8459" width="1.7109375" customWidth="1"/>
    <col min="8460" max="8460" width="10.42578125" customWidth="1"/>
    <col min="8461" max="8461" width="10.5703125" customWidth="1"/>
    <col min="8462" max="8462" width="11.42578125" customWidth="1"/>
    <col min="8463" max="8463" width="1.5703125" customWidth="1"/>
    <col min="8464" max="8464" width="7.42578125" customWidth="1"/>
    <col min="8465" max="8465" width="10.5703125" customWidth="1"/>
    <col min="8466" max="8466" width="6.85546875" customWidth="1"/>
    <col min="8468" max="8468" width="1.5703125" customWidth="1"/>
    <col min="8469" max="8469" width="9.28515625" customWidth="1"/>
    <col min="8470" max="8470" width="15.85546875" customWidth="1"/>
    <col min="8471" max="8471" width="14.140625" customWidth="1"/>
    <col min="8472" max="8472" width="0.7109375" customWidth="1"/>
    <col min="8473" max="8473" width="16.5703125" customWidth="1"/>
    <col min="8474" max="8474" width="14.140625" customWidth="1"/>
    <col min="8476" max="8476" width="4.85546875" customWidth="1"/>
    <col min="8479" max="8479" width="12.85546875" customWidth="1"/>
    <col min="8480" max="8480" width="14.28515625" customWidth="1"/>
    <col min="8483" max="8483" width="11.5703125" customWidth="1"/>
    <col min="8484" max="8484" width="20.42578125" customWidth="1"/>
    <col min="8708" max="8708" width="10.7109375" customWidth="1"/>
    <col min="8709" max="8709" width="11" customWidth="1"/>
    <col min="8711" max="8711" width="1.42578125" customWidth="1"/>
    <col min="8712" max="8712" width="10.85546875" customWidth="1"/>
    <col min="8713" max="8713" width="11.5703125" customWidth="1"/>
    <col min="8714" max="8714" width="10.28515625" customWidth="1"/>
    <col min="8715" max="8715" width="1.7109375" customWidth="1"/>
    <col min="8716" max="8716" width="10.42578125" customWidth="1"/>
    <col min="8717" max="8717" width="10.5703125" customWidth="1"/>
    <col min="8718" max="8718" width="11.42578125" customWidth="1"/>
    <col min="8719" max="8719" width="1.5703125" customWidth="1"/>
    <col min="8720" max="8720" width="7.42578125" customWidth="1"/>
    <col min="8721" max="8721" width="10.5703125" customWidth="1"/>
    <col min="8722" max="8722" width="6.85546875" customWidth="1"/>
    <col min="8724" max="8724" width="1.5703125" customWidth="1"/>
    <col min="8725" max="8725" width="9.28515625" customWidth="1"/>
    <col min="8726" max="8726" width="15.85546875" customWidth="1"/>
    <col min="8727" max="8727" width="14.140625" customWidth="1"/>
    <col min="8728" max="8728" width="0.7109375" customWidth="1"/>
    <col min="8729" max="8729" width="16.5703125" customWidth="1"/>
    <col min="8730" max="8730" width="14.140625" customWidth="1"/>
    <col min="8732" max="8732" width="4.85546875" customWidth="1"/>
    <col min="8735" max="8735" width="12.85546875" customWidth="1"/>
    <col min="8736" max="8736" width="14.28515625" customWidth="1"/>
    <col min="8739" max="8739" width="11.5703125" customWidth="1"/>
    <col min="8740" max="8740" width="20.42578125" customWidth="1"/>
    <col min="8964" max="8964" width="10.7109375" customWidth="1"/>
    <col min="8965" max="8965" width="11" customWidth="1"/>
    <col min="8967" max="8967" width="1.42578125" customWidth="1"/>
    <col min="8968" max="8968" width="10.85546875" customWidth="1"/>
    <col min="8969" max="8969" width="11.5703125" customWidth="1"/>
    <col min="8970" max="8970" width="10.28515625" customWidth="1"/>
    <col min="8971" max="8971" width="1.7109375" customWidth="1"/>
    <col min="8972" max="8972" width="10.42578125" customWidth="1"/>
    <col min="8973" max="8973" width="10.5703125" customWidth="1"/>
    <col min="8974" max="8974" width="11.42578125" customWidth="1"/>
    <col min="8975" max="8975" width="1.5703125" customWidth="1"/>
    <col min="8976" max="8976" width="7.42578125" customWidth="1"/>
    <col min="8977" max="8977" width="10.5703125" customWidth="1"/>
    <col min="8978" max="8978" width="6.85546875" customWidth="1"/>
    <col min="8980" max="8980" width="1.5703125" customWidth="1"/>
    <col min="8981" max="8981" width="9.28515625" customWidth="1"/>
    <col min="8982" max="8982" width="15.85546875" customWidth="1"/>
    <col min="8983" max="8983" width="14.140625" customWidth="1"/>
    <col min="8984" max="8984" width="0.7109375" customWidth="1"/>
    <col min="8985" max="8985" width="16.5703125" customWidth="1"/>
    <col min="8986" max="8986" width="14.140625" customWidth="1"/>
    <col min="8988" max="8988" width="4.85546875" customWidth="1"/>
    <col min="8991" max="8991" width="12.85546875" customWidth="1"/>
    <col min="8992" max="8992" width="14.28515625" customWidth="1"/>
    <col min="8995" max="8995" width="11.5703125" customWidth="1"/>
    <col min="8996" max="8996" width="20.42578125" customWidth="1"/>
    <col min="9220" max="9220" width="10.7109375" customWidth="1"/>
    <col min="9221" max="9221" width="11" customWidth="1"/>
    <col min="9223" max="9223" width="1.42578125" customWidth="1"/>
    <col min="9224" max="9224" width="10.85546875" customWidth="1"/>
    <col min="9225" max="9225" width="11.5703125" customWidth="1"/>
    <col min="9226" max="9226" width="10.28515625" customWidth="1"/>
    <col min="9227" max="9227" width="1.7109375" customWidth="1"/>
    <col min="9228" max="9228" width="10.42578125" customWidth="1"/>
    <col min="9229" max="9229" width="10.5703125" customWidth="1"/>
    <col min="9230" max="9230" width="11.42578125" customWidth="1"/>
    <col min="9231" max="9231" width="1.5703125" customWidth="1"/>
    <col min="9232" max="9232" width="7.42578125" customWidth="1"/>
    <col min="9233" max="9233" width="10.5703125" customWidth="1"/>
    <col min="9234" max="9234" width="6.85546875" customWidth="1"/>
    <col min="9236" max="9236" width="1.5703125" customWidth="1"/>
    <col min="9237" max="9237" width="9.28515625" customWidth="1"/>
    <col min="9238" max="9238" width="15.85546875" customWidth="1"/>
    <col min="9239" max="9239" width="14.140625" customWidth="1"/>
    <col min="9240" max="9240" width="0.7109375" customWidth="1"/>
    <col min="9241" max="9241" width="16.5703125" customWidth="1"/>
    <col min="9242" max="9242" width="14.140625" customWidth="1"/>
    <col min="9244" max="9244" width="4.85546875" customWidth="1"/>
    <col min="9247" max="9247" width="12.85546875" customWidth="1"/>
    <col min="9248" max="9248" width="14.28515625" customWidth="1"/>
    <col min="9251" max="9251" width="11.5703125" customWidth="1"/>
    <col min="9252" max="9252" width="20.42578125" customWidth="1"/>
    <col min="9476" max="9476" width="10.7109375" customWidth="1"/>
    <col min="9477" max="9477" width="11" customWidth="1"/>
    <col min="9479" max="9479" width="1.42578125" customWidth="1"/>
    <col min="9480" max="9480" width="10.85546875" customWidth="1"/>
    <col min="9481" max="9481" width="11.5703125" customWidth="1"/>
    <col min="9482" max="9482" width="10.28515625" customWidth="1"/>
    <col min="9483" max="9483" width="1.7109375" customWidth="1"/>
    <col min="9484" max="9484" width="10.42578125" customWidth="1"/>
    <col min="9485" max="9485" width="10.5703125" customWidth="1"/>
    <col min="9486" max="9486" width="11.42578125" customWidth="1"/>
    <col min="9487" max="9487" width="1.5703125" customWidth="1"/>
    <col min="9488" max="9488" width="7.42578125" customWidth="1"/>
    <col min="9489" max="9489" width="10.5703125" customWidth="1"/>
    <col min="9490" max="9490" width="6.85546875" customWidth="1"/>
    <col min="9492" max="9492" width="1.5703125" customWidth="1"/>
    <col min="9493" max="9493" width="9.28515625" customWidth="1"/>
    <col min="9494" max="9494" width="15.85546875" customWidth="1"/>
    <col min="9495" max="9495" width="14.140625" customWidth="1"/>
    <col min="9496" max="9496" width="0.7109375" customWidth="1"/>
    <col min="9497" max="9497" width="16.5703125" customWidth="1"/>
    <col min="9498" max="9498" width="14.140625" customWidth="1"/>
    <col min="9500" max="9500" width="4.85546875" customWidth="1"/>
    <col min="9503" max="9503" width="12.85546875" customWidth="1"/>
    <col min="9504" max="9504" width="14.28515625" customWidth="1"/>
    <col min="9507" max="9507" width="11.5703125" customWidth="1"/>
    <col min="9508" max="9508" width="20.42578125" customWidth="1"/>
    <col min="9732" max="9732" width="10.7109375" customWidth="1"/>
    <col min="9733" max="9733" width="11" customWidth="1"/>
    <col min="9735" max="9735" width="1.42578125" customWidth="1"/>
    <col min="9736" max="9736" width="10.85546875" customWidth="1"/>
    <col min="9737" max="9737" width="11.5703125" customWidth="1"/>
    <col min="9738" max="9738" width="10.28515625" customWidth="1"/>
    <col min="9739" max="9739" width="1.7109375" customWidth="1"/>
    <col min="9740" max="9740" width="10.42578125" customWidth="1"/>
    <col min="9741" max="9741" width="10.5703125" customWidth="1"/>
    <col min="9742" max="9742" width="11.42578125" customWidth="1"/>
    <col min="9743" max="9743" width="1.5703125" customWidth="1"/>
    <col min="9744" max="9744" width="7.42578125" customWidth="1"/>
    <col min="9745" max="9745" width="10.5703125" customWidth="1"/>
    <col min="9746" max="9746" width="6.85546875" customWidth="1"/>
    <col min="9748" max="9748" width="1.5703125" customWidth="1"/>
    <col min="9749" max="9749" width="9.28515625" customWidth="1"/>
    <col min="9750" max="9750" width="15.85546875" customWidth="1"/>
    <col min="9751" max="9751" width="14.140625" customWidth="1"/>
    <col min="9752" max="9752" width="0.7109375" customWidth="1"/>
    <col min="9753" max="9753" width="16.5703125" customWidth="1"/>
    <col min="9754" max="9754" width="14.140625" customWidth="1"/>
    <col min="9756" max="9756" width="4.85546875" customWidth="1"/>
    <col min="9759" max="9759" width="12.85546875" customWidth="1"/>
    <col min="9760" max="9760" width="14.28515625" customWidth="1"/>
    <col min="9763" max="9763" width="11.5703125" customWidth="1"/>
    <col min="9764" max="9764" width="20.42578125" customWidth="1"/>
    <col min="9988" max="9988" width="10.7109375" customWidth="1"/>
    <col min="9989" max="9989" width="11" customWidth="1"/>
    <col min="9991" max="9991" width="1.42578125" customWidth="1"/>
    <col min="9992" max="9992" width="10.85546875" customWidth="1"/>
    <col min="9993" max="9993" width="11.5703125" customWidth="1"/>
    <col min="9994" max="9994" width="10.28515625" customWidth="1"/>
    <col min="9995" max="9995" width="1.7109375" customWidth="1"/>
    <col min="9996" max="9996" width="10.42578125" customWidth="1"/>
    <col min="9997" max="9997" width="10.5703125" customWidth="1"/>
    <col min="9998" max="9998" width="11.42578125" customWidth="1"/>
    <col min="9999" max="9999" width="1.5703125" customWidth="1"/>
    <col min="10000" max="10000" width="7.42578125" customWidth="1"/>
    <col min="10001" max="10001" width="10.5703125" customWidth="1"/>
    <col min="10002" max="10002" width="6.85546875" customWidth="1"/>
    <col min="10004" max="10004" width="1.5703125" customWidth="1"/>
    <col min="10005" max="10005" width="9.28515625" customWidth="1"/>
    <col min="10006" max="10006" width="15.85546875" customWidth="1"/>
    <col min="10007" max="10007" width="14.140625" customWidth="1"/>
    <col min="10008" max="10008" width="0.7109375" customWidth="1"/>
    <col min="10009" max="10009" width="16.5703125" customWidth="1"/>
    <col min="10010" max="10010" width="14.140625" customWidth="1"/>
    <col min="10012" max="10012" width="4.85546875" customWidth="1"/>
    <col min="10015" max="10015" width="12.85546875" customWidth="1"/>
    <col min="10016" max="10016" width="14.28515625" customWidth="1"/>
    <col min="10019" max="10019" width="11.5703125" customWidth="1"/>
    <col min="10020" max="10020" width="20.42578125" customWidth="1"/>
    <col min="10244" max="10244" width="10.7109375" customWidth="1"/>
    <col min="10245" max="10245" width="11" customWidth="1"/>
    <col min="10247" max="10247" width="1.42578125" customWidth="1"/>
    <col min="10248" max="10248" width="10.85546875" customWidth="1"/>
    <col min="10249" max="10249" width="11.5703125" customWidth="1"/>
    <col min="10250" max="10250" width="10.28515625" customWidth="1"/>
    <col min="10251" max="10251" width="1.7109375" customWidth="1"/>
    <col min="10252" max="10252" width="10.42578125" customWidth="1"/>
    <col min="10253" max="10253" width="10.5703125" customWidth="1"/>
    <col min="10254" max="10254" width="11.42578125" customWidth="1"/>
    <col min="10255" max="10255" width="1.5703125" customWidth="1"/>
    <col min="10256" max="10256" width="7.42578125" customWidth="1"/>
    <col min="10257" max="10257" width="10.5703125" customWidth="1"/>
    <col min="10258" max="10258" width="6.85546875" customWidth="1"/>
    <col min="10260" max="10260" width="1.5703125" customWidth="1"/>
    <col min="10261" max="10261" width="9.28515625" customWidth="1"/>
    <col min="10262" max="10262" width="15.85546875" customWidth="1"/>
    <col min="10263" max="10263" width="14.140625" customWidth="1"/>
    <col min="10264" max="10264" width="0.7109375" customWidth="1"/>
    <col min="10265" max="10265" width="16.5703125" customWidth="1"/>
    <col min="10266" max="10266" width="14.140625" customWidth="1"/>
    <col min="10268" max="10268" width="4.85546875" customWidth="1"/>
    <col min="10271" max="10271" width="12.85546875" customWidth="1"/>
    <col min="10272" max="10272" width="14.28515625" customWidth="1"/>
    <col min="10275" max="10275" width="11.5703125" customWidth="1"/>
    <col min="10276" max="10276" width="20.42578125" customWidth="1"/>
    <col min="10500" max="10500" width="10.7109375" customWidth="1"/>
    <col min="10501" max="10501" width="11" customWidth="1"/>
    <col min="10503" max="10503" width="1.42578125" customWidth="1"/>
    <col min="10504" max="10504" width="10.85546875" customWidth="1"/>
    <col min="10505" max="10505" width="11.5703125" customWidth="1"/>
    <col min="10506" max="10506" width="10.28515625" customWidth="1"/>
    <col min="10507" max="10507" width="1.7109375" customWidth="1"/>
    <col min="10508" max="10508" width="10.42578125" customWidth="1"/>
    <col min="10509" max="10509" width="10.5703125" customWidth="1"/>
    <col min="10510" max="10510" width="11.42578125" customWidth="1"/>
    <col min="10511" max="10511" width="1.5703125" customWidth="1"/>
    <col min="10512" max="10512" width="7.42578125" customWidth="1"/>
    <col min="10513" max="10513" width="10.5703125" customWidth="1"/>
    <col min="10514" max="10514" width="6.85546875" customWidth="1"/>
    <col min="10516" max="10516" width="1.5703125" customWidth="1"/>
    <col min="10517" max="10517" width="9.28515625" customWidth="1"/>
    <col min="10518" max="10518" width="15.85546875" customWidth="1"/>
    <col min="10519" max="10519" width="14.140625" customWidth="1"/>
    <col min="10520" max="10520" width="0.7109375" customWidth="1"/>
    <col min="10521" max="10521" width="16.5703125" customWidth="1"/>
    <col min="10522" max="10522" width="14.140625" customWidth="1"/>
    <col min="10524" max="10524" width="4.85546875" customWidth="1"/>
    <col min="10527" max="10527" width="12.85546875" customWidth="1"/>
    <col min="10528" max="10528" width="14.28515625" customWidth="1"/>
    <col min="10531" max="10531" width="11.5703125" customWidth="1"/>
    <col min="10532" max="10532" width="20.42578125" customWidth="1"/>
    <col min="10756" max="10756" width="10.7109375" customWidth="1"/>
    <col min="10757" max="10757" width="11" customWidth="1"/>
    <col min="10759" max="10759" width="1.42578125" customWidth="1"/>
    <col min="10760" max="10760" width="10.85546875" customWidth="1"/>
    <col min="10761" max="10761" width="11.5703125" customWidth="1"/>
    <col min="10762" max="10762" width="10.28515625" customWidth="1"/>
    <col min="10763" max="10763" width="1.7109375" customWidth="1"/>
    <col min="10764" max="10764" width="10.42578125" customWidth="1"/>
    <col min="10765" max="10765" width="10.5703125" customWidth="1"/>
    <col min="10766" max="10766" width="11.42578125" customWidth="1"/>
    <col min="10767" max="10767" width="1.5703125" customWidth="1"/>
    <col min="10768" max="10768" width="7.42578125" customWidth="1"/>
    <col min="10769" max="10769" width="10.5703125" customWidth="1"/>
    <col min="10770" max="10770" width="6.85546875" customWidth="1"/>
    <col min="10772" max="10772" width="1.5703125" customWidth="1"/>
    <col min="10773" max="10773" width="9.28515625" customWidth="1"/>
    <col min="10774" max="10774" width="15.85546875" customWidth="1"/>
    <col min="10775" max="10775" width="14.140625" customWidth="1"/>
    <col min="10776" max="10776" width="0.7109375" customWidth="1"/>
    <col min="10777" max="10777" width="16.5703125" customWidth="1"/>
    <col min="10778" max="10778" width="14.140625" customWidth="1"/>
    <col min="10780" max="10780" width="4.85546875" customWidth="1"/>
    <col min="10783" max="10783" width="12.85546875" customWidth="1"/>
    <col min="10784" max="10784" width="14.28515625" customWidth="1"/>
    <col min="10787" max="10787" width="11.5703125" customWidth="1"/>
    <col min="10788" max="10788" width="20.42578125" customWidth="1"/>
    <col min="11012" max="11012" width="10.7109375" customWidth="1"/>
    <col min="11013" max="11013" width="11" customWidth="1"/>
    <col min="11015" max="11015" width="1.42578125" customWidth="1"/>
    <col min="11016" max="11016" width="10.85546875" customWidth="1"/>
    <col min="11017" max="11017" width="11.5703125" customWidth="1"/>
    <col min="11018" max="11018" width="10.28515625" customWidth="1"/>
    <col min="11019" max="11019" width="1.7109375" customWidth="1"/>
    <col min="11020" max="11020" width="10.42578125" customWidth="1"/>
    <col min="11021" max="11021" width="10.5703125" customWidth="1"/>
    <col min="11022" max="11022" width="11.42578125" customWidth="1"/>
    <col min="11023" max="11023" width="1.5703125" customWidth="1"/>
    <col min="11024" max="11024" width="7.42578125" customWidth="1"/>
    <col min="11025" max="11025" width="10.5703125" customWidth="1"/>
    <col min="11026" max="11026" width="6.85546875" customWidth="1"/>
    <col min="11028" max="11028" width="1.5703125" customWidth="1"/>
    <col min="11029" max="11029" width="9.28515625" customWidth="1"/>
    <col min="11030" max="11030" width="15.85546875" customWidth="1"/>
    <col min="11031" max="11031" width="14.140625" customWidth="1"/>
    <col min="11032" max="11032" width="0.7109375" customWidth="1"/>
    <col min="11033" max="11033" width="16.5703125" customWidth="1"/>
    <col min="11034" max="11034" width="14.140625" customWidth="1"/>
    <col min="11036" max="11036" width="4.85546875" customWidth="1"/>
    <col min="11039" max="11039" width="12.85546875" customWidth="1"/>
    <col min="11040" max="11040" width="14.28515625" customWidth="1"/>
    <col min="11043" max="11043" width="11.5703125" customWidth="1"/>
    <col min="11044" max="11044" width="20.42578125" customWidth="1"/>
    <col min="11268" max="11268" width="10.7109375" customWidth="1"/>
    <col min="11269" max="11269" width="11" customWidth="1"/>
    <col min="11271" max="11271" width="1.42578125" customWidth="1"/>
    <col min="11272" max="11272" width="10.85546875" customWidth="1"/>
    <col min="11273" max="11273" width="11.5703125" customWidth="1"/>
    <col min="11274" max="11274" width="10.28515625" customWidth="1"/>
    <col min="11275" max="11275" width="1.7109375" customWidth="1"/>
    <col min="11276" max="11276" width="10.42578125" customWidth="1"/>
    <col min="11277" max="11277" width="10.5703125" customWidth="1"/>
    <col min="11278" max="11278" width="11.42578125" customWidth="1"/>
    <col min="11279" max="11279" width="1.5703125" customWidth="1"/>
    <col min="11280" max="11280" width="7.42578125" customWidth="1"/>
    <col min="11281" max="11281" width="10.5703125" customWidth="1"/>
    <col min="11282" max="11282" width="6.85546875" customWidth="1"/>
    <col min="11284" max="11284" width="1.5703125" customWidth="1"/>
    <col min="11285" max="11285" width="9.28515625" customWidth="1"/>
    <col min="11286" max="11286" width="15.85546875" customWidth="1"/>
    <col min="11287" max="11287" width="14.140625" customWidth="1"/>
    <col min="11288" max="11288" width="0.7109375" customWidth="1"/>
    <col min="11289" max="11289" width="16.5703125" customWidth="1"/>
    <col min="11290" max="11290" width="14.140625" customWidth="1"/>
    <col min="11292" max="11292" width="4.85546875" customWidth="1"/>
    <col min="11295" max="11295" width="12.85546875" customWidth="1"/>
    <col min="11296" max="11296" width="14.28515625" customWidth="1"/>
    <col min="11299" max="11299" width="11.5703125" customWidth="1"/>
    <col min="11300" max="11300" width="20.42578125" customWidth="1"/>
    <col min="11524" max="11524" width="10.7109375" customWidth="1"/>
    <col min="11525" max="11525" width="11" customWidth="1"/>
    <col min="11527" max="11527" width="1.42578125" customWidth="1"/>
    <col min="11528" max="11528" width="10.85546875" customWidth="1"/>
    <col min="11529" max="11529" width="11.5703125" customWidth="1"/>
    <col min="11530" max="11530" width="10.28515625" customWidth="1"/>
    <col min="11531" max="11531" width="1.7109375" customWidth="1"/>
    <col min="11532" max="11532" width="10.42578125" customWidth="1"/>
    <col min="11533" max="11533" width="10.5703125" customWidth="1"/>
    <col min="11534" max="11534" width="11.42578125" customWidth="1"/>
    <col min="11535" max="11535" width="1.5703125" customWidth="1"/>
    <col min="11536" max="11536" width="7.42578125" customWidth="1"/>
    <col min="11537" max="11537" width="10.5703125" customWidth="1"/>
    <col min="11538" max="11538" width="6.85546875" customWidth="1"/>
    <col min="11540" max="11540" width="1.5703125" customWidth="1"/>
    <col min="11541" max="11541" width="9.28515625" customWidth="1"/>
    <col min="11542" max="11542" width="15.85546875" customWidth="1"/>
    <col min="11543" max="11543" width="14.140625" customWidth="1"/>
    <col min="11544" max="11544" width="0.7109375" customWidth="1"/>
    <col min="11545" max="11545" width="16.5703125" customWidth="1"/>
    <col min="11546" max="11546" width="14.140625" customWidth="1"/>
    <col min="11548" max="11548" width="4.85546875" customWidth="1"/>
    <col min="11551" max="11551" width="12.85546875" customWidth="1"/>
    <col min="11552" max="11552" width="14.28515625" customWidth="1"/>
    <col min="11555" max="11555" width="11.5703125" customWidth="1"/>
    <col min="11556" max="11556" width="20.42578125" customWidth="1"/>
    <col min="11780" max="11780" width="10.7109375" customWidth="1"/>
    <col min="11781" max="11781" width="11" customWidth="1"/>
    <col min="11783" max="11783" width="1.42578125" customWidth="1"/>
    <col min="11784" max="11784" width="10.85546875" customWidth="1"/>
    <col min="11785" max="11785" width="11.5703125" customWidth="1"/>
    <col min="11786" max="11786" width="10.28515625" customWidth="1"/>
    <col min="11787" max="11787" width="1.7109375" customWidth="1"/>
    <col min="11788" max="11788" width="10.42578125" customWidth="1"/>
    <col min="11789" max="11789" width="10.5703125" customWidth="1"/>
    <col min="11790" max="11790" width="11.42578125" customWidth="1"/>
    <col min="11791" max="11791" width="1.5703125" customWidth="1"/>
    <col min="11792" max="11792" width="7.42578125" customWidth="1"/>
    <col min="11793" max="11793" width="10.5703125" customWidth="1"/>
    <col min="11794" max="11794" width="6.85546875" customWidth="1"/>
    <col min="11796" max="11796" width="1.5703125" customWidth="1"/>
    <col min="11797" max="11797" width="9.28515625" customWidth="1"/>
    <col min="11798" max="11798" width="15.85546875" customWidth="1"/>
    <col min="11799" max="11799" width="14.140625" customWidth="1"/>
    <col min="11800" max="11800" width="0.7109375" customWidth="1"/>
    <col min="11801" max="11801" width="16.5703125" customWidth="1"/>
    <col min="11802" max="11802" width="14.140625" customWidth="1"/>
    <col min="11804" max="11804" width="4.85546875" customWidth="1"/>
    <col min="11807" max="11807" width="12.85546875" customWidth="1"/>
    <col min="11808" max="11808" width="14.28515625" customWidth="1"/>
    <col min="11811" max="11811" width="11.5703125" customWidth="1"/>
    <col min="11812" max="11812" width="20.42578125" customWidth="1"/>
    <col min="12036" max="12036" width="10.7109375" customWidth="1"/>
    <col min="12037" max="12037" width="11" customWidth="1"/>
    <col min="12039" max="12039" width="1.42578125" customWidth="1"/>
    <col min="12040" max="12040" width="10.85546875" customWidth="1"/>
    <col min="12041" max="12041" width="11.5703125" customWidth="1"/>
    <col min="12042" max="12042" width="10.28515625" customWidth="1"/>
    <col min="12043" max="12043" width="1.7109375" customWidth="1"/>
    <col min="12044" max="12044" width="10.42578125" customWidth="1"/>
    <col min="12045" max="12045" width="10.5703125" customWidth="1"/>
    <col min="12046" max="12046" width="11.42578125" customWidth="1"/>
    <col min="12047" max="12047" width="1.5703125" customWidth="1"/>
    <col min="12048" max="12048" width="7.42578125" customWidth="1"/>
    <col min="12049" max="12049" width="10.5703125" customWidth="1"/>
    <col min="12050" max="12050" width="6.85546875" customWidth="1"/>
    <col min="12052" max="12052" width="1.5703125" customWidth="1"/>
    <col min="12053" max="12053" width="9.28515625" customWidth="1"/>
    <col min="12054" max="12054" width="15.85546875" customWidth="1"/>
    <col min="12055" max="12055" width="14.140625" customWidth="1"/>
    <col min="12056" max="12056" width="0.7109375" customWidth="1"/>
    <col min="12057" max="12057" width="16.5703125" customWidth="1"/>
    <col min="12058" max="12058" width="14.140625" customWidth="1"/>
    <col min="12060" max="12060" width="4.85546875" customWidth="1"/>
    <col min="12063" max="12063" width="12.85546875" customWidth="1"/>
    <col min="12064" max="12064" width="14.28515625" customWidth="1"/>
    <col min="12067" max="12067" width="11.5703125" customWidth="1"/>
    <col min="12068" max="12068" width="20.42578125" customWidth="1"/>
    <col min="12292" max="12292" width="10.7109375" customWidth="1"/>
    <col min="12293" max="12293" width="11" customWidth="1"/>
    <col min="12295" max="12295" width="1.42578125" customWidth="1"/>
    <col min="12296" max="12296" width="10.85546875" customWidth="1"/>
    <col min="12297" max="12297" width="11.5703125" customWidth="1"/>
    <col min="12298" max="12298" width="10.28515625" customWidth="1"/>
    <col min="12299" max="12299" width="1.7109375" customWidth="1"/>
    <col min="12300" max="12300" width="10.42578125" customWidth="1"/>
    <col min="12301" max="12301" width="10.5703125" customWidth="1"/>
    <col min="12302" max="12302" width="11.42578125" customWidth="1"/>
    <col min="12303" max="12303" width="1.5703125" customWidth="1"/>
    <col min="12304" max="12304" width="7.42578125" customWidth="1"/>
    <col min="12305" max="12305" width="10.5703125" customWidth="1"/>
    <col min="12306" max="12306" width="6.85546875" customWidth="1"/>
    <col min="12308" max="12308" width="1.5703125" customWidth="1"/>
    <col min="12309" max="12309" width="9.28515625" customWidth="1"/>
    <col min="12310" max="12310" width="15.85546875" customWidth="1"/>
    <col min="12311" max="12311" width="14.140625" customWidth="1"/>
    <col min="12312" max="12312" width="0.7109375" customWidth="1"/>
    <col min="12313" max="12313" width="16.5703125" customWidth="1"/>
    <col min="12314" max="12314" width="14.140625" customWidth="1"/>
    <col min="12316" max="12316" width="4.85546875" customWidth="1"/>
    <col min="12319" max="12319" width="12.85546875" customWidth="1"/>
    <col min="12320" max="12320" width="14.28515625" customWidth="1"/>
    <col min="12323" max="12323" width="11.5703125" customWidth="1"/>
    <col min="12324" max="12324" width="20.42578125" customWidth="1"/>
    <col min="12548" max="12548" width="10.7109375" customWidth="1"/>
    <col min="12549" max="12549" width="11" customWidth="1"/>
    <col min="12551" max="12551" width="1.42578125" customWidth="1"/>
    <col min="12552" max="12552" width="10.85546875" customWidth="1"/>
    <col min="12553" max="12553" width="11.5703125" customWidth="1"/>
    <col min="12554" max="12554" width="10.28515625" customWidth="1"/>
    <col min="12555" max="12555" width="1.7109375" customWidth="1"/>
    <col min="12556" max="12556" width="10.42578125" customWidth="1"/>
    <col min="12557" max="12557" width="10.5703125" customWidth="1"/>
    <col min="12558" max="12558" width="11.42578125" customWidth="1"/>
    <col min="12559" max="12559" width="1.5703125" customWidth="1"/>
    <col min="12560" max="12560" width="7.42578125" customWidth="1"/>
    <col min="12561" max="12561" width="10.5703125" customWidth="1"/>
    <col min="12562" max="12562" width="6.85546875" customWidth="1"/>
    <col min="12564" max="12564" width="1.5703125" customWidth="1"/>
    <col min="12565" max="12565" width="9.28515625" customWidth="1"/>
    <col min="12566" max="12566" width="15.85546875" customWidth="1"/>
    <col min="12567" max="12567" width="14.140625" customWidth="1"/>
    <col min="12568" max="12568" width="0.7109375" customWidth="1"/>
    <col min="12569" max="12569" width="16.5703125" customWidth="1"/>
    <col min="12570" max="12570" width="14.140625" customWidth="1"/>
    <col min="12572" max="12572" width="4.85546875" customWidth="1"/>
    <col min="12575" max="12575" width="12.85546875" customWidth="1"/>
    <col min="12576" max="12576" width="14.28515625" customWidth="1"/>
    <col min="12579" max="12579" width="11.5703125" customWidth="1"/>
    <col min="12580" max="12580" width="20.42578125" customWidth="1"/>
    <col min="12804" max="12804" width="10.7109375" customWidth="1"/>
    <col min="12805" max="12805" width="11" customWidth="1"/>
    <col min="12807" max="12807" width="1.42578125" customWidth="1"/>
    <col min="12808" max="12808" width="10.85546875" customWidth="1"/>
    <col min="12809" max="12809" width="11.5703125" customWidth="1"/>
    <col min="12810" max="12810" width="10.28515625" customWidth="1"/>
    <col min="12811" max="12811" width="1.7109375" customWidth="1"/>
    <col min="12812" max="12812" width="10.42578125" customWidth="1"/>
    <col min="12813" max="12813" width="10.5703125" customWidth="1"/>
    <col min="12814" max="12814" width="11.42578125" customWidth="1"/>
    <col min="12815" max="12815" width="1.5703125" customWidth="1"/>
    <col min="12816" max="12816" width="7.42578125" customWidth="1"/>
    <col min="12817" max="12817" width="10.5703125" customWidth="1"/>
    <col min="12818" max="12818" width="6.85546875" customWidth="1"/>
    <col min="12820" max="12820" width="1.5703125" customWidth="1"/>
    <col min="12821" max="12821" width="9.28515625" customWidth="1"/>
    <col min="12822" max="12822" width="15.85546875" customWidth="1"/>
    <col min="12823" max="12823" width="14.140625" customWidth="1"/>
    <col min="12824" max="12824" width="0.7109375" customWidth="1"/>
    <col min="12825" max="12825" width="16.5703125" customWidth="1"/>
    <col min="12826" max="12826" width="14.140625" customWidth="1"/>
    <col min="12828" max="12828" width="4.85546875" customWidth="1"/>
    <col min="12831" max="12831" width="12.85546875" customWidth="1"/>
    <col min="12832" max="12832" width="14.28515625" customWidth="1"/>
    <col min="12835" max="12835" width="11.5703125" customWidth="1"/>
    <col min="12836" max="12836" width="20.42578125" customWidth="1"/>
    <col min="13060" max="13060" width="10.7109375" customWidth="1"/>
    <col min="13061" max="13061" width="11" customWidth="1"/>
    <col min="13063" max="13063" width="1.42578125" customWidth="1"/>
    <col min="13064" max="13064" width="10.85546875" customWidth="1"/>
    <col min="13065" max="13065" width="11.5703125" customWidth="1"/>
    <col min="13066" max="13066" width="10.28515625" customWidth="1"/>
    <col min="13067" max="13067" width="1.7109375" customWidth="1"/>
    <col min="13068" max="13068" width="10.42578125" customWidth="1"/>
    <col min="13069" max="13069" width="10.5703125" customWidth="1"/>
    <col min="13070" max="13070" width="11.42578125" customWidth="1"/>
    <col min="13071" max="13071" width="1.5703125" customWidth="1"/>
    <col min="13072" max="13072" width="7.42578125" customWidth="1"/>
    <col min="13073" max="13073" width="10.5703125" customWidth="1"/>
    <col min="13074" max="13074" width="6.85546875" customWidth="1"/>
    <col min="13076" max="13076" width="1.5703125" customWidth="1"/>
    <col min="13077" max="13077" width="9.28515625" customWidth="1"/>
    <col min="13078" max="13078" width="15.85546875" customWidth="1"/>
    <col min="13079" max="13079" width="14.140625" customWidth="1"/>
    <col min="13080" max="13080" width="0.7109375" customWidth="1"/>
    <col min="13081" max="13081" width="16.5703125" customWidth="1"/>
    <col min="13082" max="13082" width="14.140625" customWidth="1"/>
    <col min="13084" max="13084" width="4.85546875" customWidth="1"/>
    <col min="13087" max="13087" width="12.85546875" customWidth="1"/>
    <col min="13088" max="13088" width="14.28515625" customWidth="1"/>
    <col min="13091" max="13091" width="11.5703125" customWidth="1"/>
    <col min="13092" max="13092" width="20.42578125" customWidth="1"/>
    <col min="13316" max="13316" width="10.7109375" customWidth="1"/>
    <col min="13317" max="13317" width="11" customWidth="1"/>
    <col min="13319" max="13319" width="1.42578125" customWidth="1"/>
    <col min="13320" max="13320" width="10.85546875" customWidth="1"/>
    <col min="13321" max="13321" width="11.5703125" customWidth="1"/>
    <col min="13322" max="13322" width="10.28515625" customWidth="1"/>
    <col min="13323" max="13323" width="1.7109375" customWidth="1"/>
    <col min="13324" max="13324" width="10.42578125" customWidth="1"/>
    <col min="13325" max="13325" width="10.5703125" customWidth="1"/>
    <col min="13326" max="13326" width="11.42578125" customWidth="1"/>
    <col min="13327" max="13327" width="1.5703125" customWidth="1"/>
    <col min="13328" max="13328" width="7.42578125" customWidth="1"/>
    <col min="13329" max="13329" width="10.5703125" customWidth="1"/>
    <col min="13330" max="13330" width="6.85546875" customWidth="1"/>
    <col min="13332" max="13332" width="1.5703125" customWidth="1"/>
    <col min="13333" max="13333" width="9.28515625" customWidth="1"/>
    <col min="13334" max="13334" width="15.85546875" customWidth="1"/>
    <col min="13335" max="13335" width="14.140625" customWidth="1"/>
    <col min="13336" max="13336" width="0.7109375" customWidth="1"/>
    <col min="13337" max="13337" width="16.5703125" customWidth="1"/>
    <col min="13338" max="13338" width="14.140625" customWidth="1"/>
    <col min="13340" max="13340" width="4.85546875" customWidth="1"/>
    <col min="13343" max="13343" width="12.85546875" customWidth="1"/>
    <col min="13344" max="13344" width="14.28515625" customWidth="1"/>
    <col min="13347" max="13347" width="11.5703125" customWidth="1"/>
    <col min="13348" max="13348" width="20.42578125" customWidth="1"/>
    <col min="13572" max="13572" width="10.7109375" customWidth="1"/>
    <col min="13573" max="13573" width="11" customWidth="1"/>
    <col min="13575" max="13575" width="1.42578125" customWidth="1"/>
    <col min="13576" max="13576" width="10.85546875" customWidth="1"/>
    <col min="13577" max="13577" width="11.5703125" customWidth="1"/>
    <col min="13578" max="13578" width="10.28515625" customWidth="1"/>
    <col min="13579" max="13579" width="1.7109375" customWidth="1"/>
    <col min="13580" max="13580" width="10.42578125" customWidth="1"/>
    <col min="13581" max="13581" width="10.5703125" customWidth="1"/>
    <col min="13582" max="13582" width="11.42578125" customWidth="1"/>
    <col min="13583" max="13583" width="1.5703125" customWidth="1"/>
    <col min="13584" max="13584" width="7.42578125" customWidth="1"/>
    <col min="13585" max="13585" width="10.5703125" customWidth="1"/>
    <col min="13586" max="13586" width="6.85546875" customWidth="1"/>
    <col min="13588" max="13588" width="1.5703125" customWidth="1"/>
    <col min="13589" max="13589" width="9.28515625" customWidth="1"/>
    <col min="13590" max="13590" width="15.85546875" customWidth="1"/>
    <col min="13591" max="13591" width="14.140625" customWidth="1"/>
    <col min="13592" max="13592" width="0.7109375" customWidth="1"/>
    <col min="13593" max="13593" width="16.5703125" customWidth="1"/>
    <col min="13594" max="13594" width="14.140625" customWidth="1"/>
    <col min="13596" max="13596" width="4.85546875" customWidth="1"/>
    <col min="13599" max="13599" width="12.85546875" customWidth="1"/>
    <col min="13600" max="13600" width="14.28515625" customWidth="1"/>
    <col min="13603" max="13603" width="11.5703125" customWidth="1"/>
    <col min="13604" max="13604" width="20.42578125" customWidth="1"/>
    <col min="13828" max="13828" width="10.7109375" customWidth="1"/>
    <col min="13829" max="13829" width="11" customWidth="1"/>
    <col min="13831" max="13831" width="1.42578125" customWidth="1"/>
    <col min="13832" max="13832" width="10.85546875" customWidth="1"/>
    <col min="13833" max="13833" width="11.5703125" customWidth="1"/>
    <col min="13834" max="13834" width="10.28515625" customWidth="1"/>
    <col min="13835" max="13835" width="1.7109375" customWidth="1"/>
    <col min="13836" max="13836" width="10.42578125" customWidth="1"/>
    <col min="13837" max="13837" width="10.5703125" customWidth="1"/>
    <col min="13838" max="13838" width="11.42578125" customWidth="1"/>
    <col min="13839" max="13839" width="1.5703125" customWidth="1"/>
    <col min="13840" max="13840" width="7.42578125" customWidth="1"/>
    <col min="13841" max="13841" width="10.5703125" customWidth="1"/>
    <col min="13842" max="13842" width="6.85546875" customWidth="1"/>
    <col min="13844" max="13844" width="1.5703125" customWidth="1"/>
    <col min="13845" max="13845" width="9.28515625" customWidth="1"/>
    <col min="13846" max="13846" width="15.85546875" customWidth="1"/>
    <col min="13847" max="13847" width="14.140625" customWidth="1"/>
    <col min="13848" max="13848" width="0.7109375" customWidth="1"/>
    <col min="13849" max="13849" width="16.5703125" customWidth="1"/>
    <col min="13850" max="13850" width="14.140625" customWidth="1"/>
    <col min="13852" max="13852" width="4.85546875" customWidth="1"/>
    <col min="13855" max="13855" width="12.85546875" customWidth="1"/>
    <col min="13856" max="13856" width="14.28515625" customWidth="1"/>
    <col min="13859" max="13859" width="11.5703125" customWidth="1"/>
    <col min="13860" max="13860" width="20.42578125" customWidth="1"/>
    <col min="14084" max="14084" width="10.7109375" customWidth="1"/>
    <col min="14085" max="14085" width="11" customWidth="1"/>
    <col min="14087" max="14087" width="1.42578125" customWidth="1"/>
    <col min="14088" max="14088" width="10.85546875" customWidth="1"/>
    <col min="14089" max="14089" width="11.5703125" customWidth="1"/>
    <col min="14090" max="14090" width="10.28515625" customWidth="1"/>
    <col min="14091" max="14091" width="1.7109375" customWidth="1"/>
    <col min="14092" max="14092" width="10.42578125" customWidth="1"/>
    <col min="14093" max="14093" width="10.5703125" customWidth="1"/>
    <col min="14094" max="14094" width="11.42578125" customWidth="1"/>
    <col min="14095" max="14095" width="1.5703125" customWidth="1"/>
    <col min="14096" max="14096" width="7.42578125" customWidth="1"/>
    <col min="14097" max="14097" width="10.5703125" customWidth="1"/>
    <col min="14098" max="14098" width="6.85546875" customWidth="1"/>
    <col min="14100" max="14100" width="1.5703125" customWidth="1"/>
    <col min="14101" max="14101" width="9.28515625" customWidth="1"/>
    <col min="14102" max="14102" width="15.85546875" customWidth="1"/>
    <col min="14103" max="14103" width="14.140625" customWidth="1"/>
    <col min="14104" max="14104" width="0.7109375" customWidth="1"/>
    <col min="14105" max="14105" width="16.5703125" customWidth="1"/>
    <col min="14106" max="14106" width="14.140625" customWidth="1"/>
    <col min="14108" max="14108" width="4.85546875" customWidth="1"/>
    <col min="14111" max="14111" width="12.85546875" customWidth="1"/>
    <col min="14112" max="14112" width="14.28515625" customWidth="1"/>
    <col min="14115" max="14115" width="11.5703125" customWidth="1"/>
    <col min="14116" max="14116" width="20.42578125" customWidth="1"/>
    <col min="14340" max="14340" width="10.7109375" customWidth="1"/>
    <col min="14341" max="14341" width="11" customWidth="1"/>
    <col min="14343" max="14343" width="1.42578125" customWidth="1"/>
    <col min="14344" max="14344" width="10.85546875" customWidth="1"/>
    <col min="14345" max="14345" width="11.5703125" customWidth="1"/>
    <col min="14346" max="14346" width="10.28515625" customWidth="1"/>
    <col min="14347" max="14347" width="1.7109375" customWidth="1"/>
    <col min="14348" max="14348" width="10.42578125" customWidth="1"/>
    <col min="14349" max="14349" width="10.5703125" customWidth="1"/>
    <col min="14350" max="14350" width="11.42578125" customWidth="1"/>
    <col min="14351" max="14351" width="1.5703125" customWidth="1"/>
    <col min="14352" max="14352" width="7.42578125" customWidth="1"/>
    <col min="14353" max="14353" width="10.5703125" customWidth="1"/>
    <col min="14354" max="14354" width="6.85546875" customWidth="1"/>
    <col min="14356" max="14356" width="1.5703125" customWidth="1"/>
    <col min="14357" max="14357" width="9.28515625" customWidth="1"/>
    <col min="14358" max="14358" width="15.85546875" customWidth="1"/>
    <col min="14359" max="14359" width="14.140625" customWidth="1"/>
    <col min="14360" max="14360" width="0.7109375" customWidth="1"/>
    <col min="14361" max="14361" width="16.5703125" customWidth="1"/>
    <col min="14362" max="14362" width="14.140625" customWidth="1"/>
    <col min="14364" max="14364" width="4.85546875" customWidth="1"/>
    <col min="14367" max="14367" width="12.85546875" customWidth="1"/>
    <col min="14368" max="14368" width="14.28515625" customWidth="1"/>
    <col min="14371" max="14371" width="11.5703125" customWidth="1"/>
    <col min="14372" max="14372" width="20.42578125" customWidth="1"/>
    <col min="14596" max="14596" width="10.7109375" customWidth="1"/>
    <col min="14597" max="14597" width="11" customWidth="1"/>
    <col min="14599" max="14599" width="1.42578125" customWidth="1"/>
    <col min="14600" max="14600" width="10.85546875" customWidth="1"/>
    <col min="14601" max="14601" width="11.5703125" customWidth="1"/>
    <col min="14602" max="14602" width="10.28515625" customWidth="1"/>
    <col min="14603" max="14603" width="1.7109375" customWidth="1"/>
    <col min="14604" max="14604" width="10.42578125" customWidth="1"/>
    <col min="14605" max="14605" width="10.5703125" customWidth="1"/>
    <col min="14606" max="14606" width="11.42578125" customWidth="1"/>
    <col min="14607" max="14607" width="1.5703125" customWidth="1"/>
    <col min="14608" max="14608" width="7.42578125" customWidth="1"/>
    <col min="14609" max="14609" width="10.5703125" customWidth="1"/>
    <col min="14610" max="14610" width="6.85546875" customWidth="1"/>
    <col min="14612" max="14612" width="1.5703125" customWidth="1"/>
    <col min="14613" max="14613" width="9.28515625" customWidth="1"/>
    <col min="14614" max="14614" width="15.85546875" customWidth="1"/>
    <col min="14615" max="14615" width="14.140625" customWidth="1"/>
    <col min="14616" max="14616" width="0.7109375" customWidth="1"/>
    <col min="14617" max="14617" width="16.5703125" customWidth="1"/>
    <col min="14618" max="14618" width="14.140625" customWidth="1"/>
    <col min="14620" max="14620" width="4.85546875" customWidth="1"/>
    <col min="14623" max="14623" width="12.85546875" customWidth="1"/>
    <col min="14624" max="14624" width="14.28515625" customWidth="1"/>
    <col min="14627" max="14627" width="11.5703125" customWidth="1"/>
    <col min="14628" max="14628" width="20.42578125" customWidth="1"/>
    <col min="14852" max="14852" width="10.7109375" customWidth="1"/>
    <col min="14853" max="14853" width="11" customWidth="1"/>
    <col min="14855" max="14855" width="1.42578125" customWidth="1"/>
    <col min="14856" max="14856" width="10.85546875" customWidth="1"/>
    <col min="14857" max="14857" width="11.5703125" customWidth="1"/>
    <col min="14858" max="14858" width="10.28515625" customWidth="1"/>
    <col min="14859" max="14859" width="1.7109375" customWidth="1"/>
    <col min="14860" max="14860" width="10.42578125" customWidth="1"/>
    <col min="14861" max="14861" width="10.5703125" customWidth="1"/>
    <col min="14862" max="14862" width="11.42578125" customWidth="1"/>
    <col min="14863" max="14863" width="1.5703125" customWidth="1"/>
    <col min="14864" max="14864" width="7.42578125" customWidth="1"/>
    <col min="14865" max="14865" width="10.5703125" customWidth="1"/>
    <col min="14866" max="14866" width="6.85546875" customWidth="1"/>
    <col min="14868" max="14868" width="1.5703125" customWidth="1"/>
    <col min="14869" max="14869" width="9.28515625" customWidth="1"/>
    <col min="14870" max="14870" width="15.85546875" customWidth="1"/>
    <col min="14871" max="14871" width="14.140625" customWidth="1"/>
    <col min="14872" max="14872" width="0.7109375" customWidth="1"/>
    <col min="14873" max="14873" width="16.5703125" customWidth="1"/>
    <col min="14874" max="14874" width="14.140625" customWidth="1"/>
    <col min="14876" max="14876" width="4.85546875" customWidth="1"/>
    <col min="14879" max="14879" width="12.85546875" customWidth="1"/>
    <col min="14880" max="14880" width="14.28515625" customWidth="1"/>
    <col min="14883" max="14883" width="11.5703125" customWidth="1"/>
    <col min="14884" max="14884" width="20.42578125" customWidth="1"/>
    <col min="15108" max="15108" width="10.7109375" customWidth="1"/>
    <col min="15109" max="15109" width="11" customWidth="1"/>
    <col min="15111" max="15111" width="1.42578125" customWidth="1"/>
    <col min="15112" max="15112" width="10.85546875" customWidth="1"/>
    <col min="15113" max="15113" width="11.5703125" customWidth="1"/>
    <col min="15114" max="15114" width="10.28515625" customWidth="1"/>
    <col min="15115" max="15115" width="1.7109375" customWidth="1"/>
    <col min="15116" max="15116" width="10.42578125" customWidth="1"/>
    <col min="15117" max="15117" width="10.5703125" customWidth="1"/>
    <col min="15118" max="15118" width="11.42578125" customWidth="1"/>
    <col min="15119" max="15119" width="1.5703125" customWidth="1"/>
    <col min="15120" max="15120" width="7.42578125" customWidth="1"/>
    <col min="15121" max="15121" width="10.5703125" customWidth="1"/>
    <col min="15122" max="15122" width="6.85546875" customWidth="1"/>
    <col min="15124" max="15124" width="1.5703125" customWidth="1"/>
    <col min="15125" max="15125" width="9.28515625" customWidth="1"/>
    <col min="15126" max="15126" width="15.85546875" customWidth="1"/>
    <col min="15127" max="15127" width="14.140625" customWidth="1"/>
    <col min="15128" max="15128" width="0.7109375" customWidth="1"/>
    <col min="15129" max="15129" width="16.5703125" customWidth="1"/>
    <col min="15130" max="15130" width="14.140625" customWidth="1"/>
    <col min="15132" max="15132" width="4.85546875" customWidth="1"/>
    <col min="15135" max="15135" width="12.85546875" customWidth="1"/>
    <col min="15136" max="15136" width="14.28515625" customWidth="1"/>
    <col min="15139" max="15139" width="11.5703125" customWidth="1"/>
    <col min="15140" max="15140" width="20.42578125" customWidth="1"/>
    <col min="15364" max="15364" width="10.7109375" customWidth="1"/>
    <col min="15365" max="15365" width="11" customWidth="1"/>
    <col min="15367" max="15367" width="1.42578125" customWidth="1"/>
    <col min="15368" max="15368" width="10.85546875" customWidth="1"/>
    <col min="15369" max="15369" width="11.5703125" customWidth="1"/>
    <col min="15370" max="15370" width="10.28515625" customWidth="1"/>
    <col min="15371" max="15371" width="1.7109375" customWidth="1"/>
    <col min="15372" max="15372" width="10.42578125" customWidth="1"/>
    <col min="15373" max="15373" width="10.5703125" customWidth="1"/>
    <col min="15374" max="15374" width="11.42578125" customWidth="1"/>
    <col min="15375" max="15375" width="1.5703125" customWidth="1"/>
    <col min="15376" max="15376" width="7.42578125" customWidth="1"/>
    <col min="15377" max="15377" width="10.5703125" customWidth="1"/>
    <col min="15378" max="15378" width="6.85546875" customWidth="1"/>
    <col min="15380" max="15380" width="1.5703125" customWidth="1"/>
    <col min="15381" max="15381" width="9.28515625" customWidth="1"/>
    <col min="15382" max="15382" width="15.85546875" customWidth="1"/>
    <col min="15383" max="15383" width="14.140625" customWidth="1"/>
    <col min="15384" max="15384" width="0.7109375" customWidth="1"/>
    <col min="15385" max="15385" width="16.5703125" customWidth="1"/>
    <col min="15386" max="15386" width="14.140625" customWidth="1"/>
    <col min="15388" max="15388" width="4.85546875" customWidth="1"/>
    <col min="15391" max="15391" width="12.85546875" customWidth="1"/>
    <col min="15392" max="15392" width="14.28515625" customWidth="1"/>
    <col min="15395" max="15395" width="11.5703125" customWidth="1"/>
    <col min="15396" max="15396" width="20.42578125" customWidth="1"/>
    <col min="15620" max="15620" width="10.7109375" customWidth="1"/>
    <col min="15621" max="15621" width="11" customWidth="1"/>
    <col min="15623" max="15623" width="1.42578125" customWidth="1"/>
    <col min="15624" max="15624" width="10.85546875" customWidth="1"/>
    <col min="15625" max="15625" width="11.5703125" customWidth="1"/>
    <col min="15626" max="15626" width="10.28515625" customWidth="1"/>
    <col min="15627" max="15627" width="1.7109375" customWidth="1"/>
    <col min="15628" max="15628" width="10.42578125" customWidth="1"/>
    <col min="15629" max="15629" width="10.5703125" customWidth="1"/>
    <col min="15630" max="15630" width="11.42578125" customWidth="1"/>
    <col min="15631" max="15631" width="1.5703125" customWidth="1"/>
    <col min="15632" max="15632" width="7.42578125" customWidth="1"/>
    <col min="15633" max="15633" width="10.5703125" customWidth="1"/>
    <col min="15634" max="15634" width="6.85546875" customWidth="1"/>
    <col min="15636" max="15636" width="1.5703125" customWidth="1"/>
    <col min="15637" max="15637" width="9.28515625" customWidth="1"/>
    <col min="15638" max="15638" width="15.85546875" customWidth="1"/>
    <col min="15639" max="15639" width="14.140625" customWidth="1"/>
    <col min="15640" max="15640" width="0.7109375" customWidth="1"/>
    <col min="15641" max="15641" width="16.5703125" customWidth="1"/>
    <col min="15642" max="15642" width="14.140625" customWidth="1"/>
    <col min="15644" max="15644" width="4.85546875" customWidth="1"/>
    <col min="15647" max="15647" width="12.85546875" customWidth="1"/>
    <col min="15648" max="15648" width="14.28515625" customWidth="1"/>
    <col min="15651" max="15651" width="11.5703125" customWidth="1"/>
    <col min="15652" max="15652" width="20.42578125" customWidth="1"/>
    <col min="15876" max="15876" width="10.7109375" customWidth="1"/>
    <col min="15877" max="15877" width="11" customWidth="1"/>
    <col min="15879" max="15879" width="1.42578125" customWidth="1"/>
    <col min="15880" max="15880" width="10.85546875" customWidth="1"/>
    <col min="15881" max="15881" width="11.5703125" customWidth="1"/>
    <col min="15882" max="15882" width="10.28515625" customWidth="1"/>
    <col min="15883" max="15883" width="1.7109375" customWidth="1"/>
    <col min="15884" max="15884" width="10.42578125" customWidth="1"/>
    <col min="15885" max="15885" width="10.5703125" customWidth="1"/>
    <col min="15886" max="15886" width="11.42578125" customWidth="1"/>
    <col min="15887" max="15887" width="1.5703125" customWidth="1"/>
    <col min="15888" max="15888" width="7.42578125" customWidth="1"/>
    <col min="15889" max="15889" width="10.5703125" customWidth="1"/>
    <col min="15890" max="15890" width="6.85546875" customWidth="1"/>
    <col min="15892" max="15892" width="1.5703125" customWidth="1"/>
    <col min="15893" max="15893" width="9.28515625" customWidth="1"/>
    <col min="15894" max="15894" width="15.85546875" customWidth="1"/>
    <col min="15895" max="15895" width="14.140625" customWidth="1"/>
    <col min="15896" max="15896" width="0.7109375" customWidth="1"/>
    <col min="15897" max="15897" width="16.5703125" customWidth="1"/>
    <col min="15898" max="15898" width="14.140625" customWidth="1"/>
    <col min="15900" max="15900" width="4.85546875" customWidth="1"/>
    <col min="15903" max="15903" width="12.85546875" customWidth="1"/>
    <col min="15904" max="15904" width="14.28515625" customWidth="1"/>
    <col min="15907" max="15907" width="11.5703125" customWidth="1"/>
    <col min="15908" max="15908" width="20.42578125" customWidth="1"/>
    <col min="16132" max="16132" width="10.7109375" customWidth="1"/>
    <col min="16133" max="16133" width="11" customWidth="1"/>
    <col min="16135" max="16135" width="1.42578125" customWidth="1"/>
    <col min="16136" max="16136" width="10.85546875" customWidth="1"/>
    <col min="16137" max="16137" width="11.5703125" customWidth="1"/>
    <col min="16138" max="16138" width="10.28515625" customWidth="1"/>
    <col min="16139" max="16139" width="1.7109375" customWidth="1"/>
    <col min="16140" max="16140" width="10.42578125" customWidth="1"/>
    <col min="16141" max="16141" width="10.5703125" customWidth="1"/>
    <col min="16142" max="16142" width="11.42578125" customWidth="1"/>
    <col min="16143" max="16143" width="1.5703125" customWidth="1"/>
    <col min="16144" max="16144" width="7.42578125" customWidth="1"/>
    <col min="16145" max="16145" width="10.5703125" customWidth="1"/>
    <col min="16146" max="16146" width="6.85546875" customWidth="1"/>
    <col min="16148" max="16148" width="1.5703125" customWidth="1"/>
    <col min="16149" max="16149" width="9.28515625" customWidth="1"/>
    <col min="16150" max="16150" width="15.85546875" customWidth="1"/>
    <col min="16151" max="16151" width="14.140625" customWidth="1"/>
    <col min="16152" max="16152" width="0.7109375" customWidth="1"/>
    <col min="16153" max="16153" width="16.5703125" customWidth="1"/>
    <col min="16154" max="16154" width="14.140625" customWidth="1"/>
    <col min="16156" max="16156" width="4.85546875" customWidth="1"/>
    <col min="16159" max="16159" width="12.85546875" customWidth="1"/>
    <col min="16160" max="16160" width="14.28515625" customWidth="1"/>
    <col min="16163" max="16163" width="11.5703125" customWidth="1"/>
    <col min="16164" max="16164" width="20.42578125" customWidth="1"/>
  </cols>
  <sheetData>
    <row r="1" spans="1:43" ht="33.75" customHeight="1">
      <c r="A1" s="2784" t="s">
        <v>1719</v>
      </c>
      <c r="B1" s="2734"/>
      <c r="C1" s="2734"/>
      <c r="D1" s="2734"/>
      <c r="E1" s="2734"/>
      <c r="F1" s="2734"/>
      <c r="G1" s="1415"/>
      <c r="H1" s="1197" t="s">
        <v>1693</v>
      </c>
      <c r="I1" s="1197"/>
      <c r="J1" s="1197"/>
      <c r="K1" s="2853">
        <f>Huvudinmatning!L2</f>
        <v>10</v>
      </c>
      <c r="L1" s="1197" t="s">
        <v>1300</v>
      </c>
      <c r="N1" s="486"/>
      <c r="O1" s="486"/>
      <c r="P1" s="486"/>
      <c r="Q1" s="486"/>
      <c r="R1" s="486"/>
      <c r="S1" s="486"/>
      <c r="T1" s="486"/>
      <c r="U1" s="486"/>
      <c r="V1" s="486"/>
      <c r="W1" s="486"/>
      <c r="X1" s="486"/>
      <c r="Y1" s="2419"/>
      <c r="Z1" s="2420"/>
      <c r="AA1" s="486"/>
      <c r="AB1" s="486"/>
      <c r="AC1" s="486"/>
      <c r="AD1" s="486"/>
      <c r="AE1" s="486"/>
      <c r="AF1" s="486"/>
      <c r="AG1" s="486"/>
      <c r="AH1" s="486"/>
      <c r="AL1" s="2"/>
      <c r="AM1" s="2"/>
      <c r="AN1" s="2"/>
      <c r="AO1" s="2"/>
      <c r="AP1" s="2"/>
      <c r="AQ1" s="2"/>
    </row>
    <row r="2" spans="1:43" ht="33.75" customHeight="1" thickBot="1">
      <c r="A2" s="2777" t="s">
        <v>1711</v>
      </c>
      <c r="B2" s="2736"/>
      <c r="C2" s="2737"/>
      <c r="D2" s="2737"/>
      <c r="E2" s="2737"/>
      <c r="F2" s="2737"/>
      <c r="G2" s="2737"/>
      <c r="H2" s="2737"/>
      <c r="I2" s="2735"/>
      <c r="J2" s="486"/>
      <c r="K2" s="486"/>
      <c r="L2" s="486"/>
      <c r="M2" s="486"/>
      <c r="N2" s="486"/>
      <c r="O2" s="486"/>
      <c r="P2" s="486"/>
      <c r="Q2" s="486"/>
      <c r="R2" s="486"/>
      <c r="S2" s="486"/>
      <c r="T2" s="486"/>
      <c r="U2" s="486"/>
      <c r="V2" s="486"/>
      <c r="W2" s="486"/>
      <c r="X2" s="486"/>
      <c r="Y2" s="486"/>
      <c r="Z2" s="1197" t="s">
        <v>1697</v>
      </c>
      <c r="AA2" s="500"/>
      <c r="AB2" s="2418"/>
      <c r="AC2" s="500"/>
      <c r="AE2" s="2854">
        <f>Huvudinmatning!L2</f>
        <v>10</v>
      </c>
      <c r="AF2" s="487" t="s">
        <v>1300</v>
      </c>
      <c r="AG2" s="486"/>
      <c r="AH2" s="486"/>
      <c r="AL2" s="415"/>
      <c r="AM2" s="294"/>
      <c r="AN2" s="2"/>
      <c r="AO2" s="2"/>
      <c r="AP2" s="2"/>
      <c r="AQ2" s="2"/>
    </row>
    <row r="3" spans="1:43" ht="16.5" customHeight="1">
      <c r="A3" s="2776" t="s">
        <v>1710</v>
      </c>
      <c r="B3" s="1415"/>
      <c r="C3" s="1415"/>
      <c r="D3" s="1415"/>
      <c r="E3" s="1415"/>
      <c r="F3" s="1415"/>
      <c r="G3" s="1415"/>
      <c r="H3" s="1415"/>
      <c r="I3" s="518"/>
      <c r="J3" s="486"/>
      <c r="P3" s="486"/>
      <c r="Q3" s="486"/>
      <c r="R3" s="486"/>
      <c r="S3" s="486"/>
      <c r="T3" s="486"/>
      <c r="U3" s="486"/>
      <c r="V3" s="486"/>
      <c r="W3" s="486"/>
      <c r="X3" s="486"/>
      <c r="Y3" s="486"/>
      <c r="Z3" s="2855"/>
      <c r="AA3" s="2856" t="s">
        <v>1698</v>
      </c>
      <c r="AB3" s="2857"/>
      <c r="AC3" s="2857"/>
      <c r="AD3" s="2858"/>
      <c r="AE3" s="2859"/>
      <c r="AF3" s="2860" t="s">
        <v>1655</v>
      </c>
      <c r="AG3" s="2861" t="s">
        <v>1705</v>
      </c>
      <c r="AH3" s="486"/>
      <c r="AJ3" s="520" t="s">
        <v>1442</v>
      </c>
      <c r="AK3" s="520"/>
      <c r="AL3" s="520"/>
      <c r="AP3" s="2"/>
      <c r="AQ3" s="2"/>
    </row>
    <row r="4" spans="1:43" ht="20.25" customHeight="1">
      <c r="A4" s="2025" t="s">
        <v>1617</v>
      </c>
      <c r="B4" s="2026" t="s">
        <v>1715</v>
      </c>
      <c r="C4" s="486"/>
      <c r="D4" s="486"/>
      <c r="E4" s="486"/>
      <c r="F4" s="486"/>
      <c r="G4" s="486"/>
      <c r="H4" s="486"/>
      <c r="I4" s="486"/>
      <c r="J4" s="486"/>
      <c r="P4" s="486"/>
      <c r="Q4" s="486"/>
      <c r="R4" s="486"/>
      <c r="S4" s="486"/>
      <c r="T4" s="486"/>
      <c r="U4" s="486"/>
      <c r="V4" s="486"/>
      <c r="W4" s="486"/>
      <c r="X4" s="486"/>
      <c r="Y4" s="486"/>
      <c r="Z4" s="2862"/>
      <c r="AA4" s="763" t="s">
        <v>1656</v>
      </c>
      <c r="AB4" s="763" t="s">
        <v>1374</v>
      </c>
      <c r="AC4" s="2741" t="s">
        <v>870</v>
      </c>
      <c r="AD4" s="1539"/>
      <c r="AE4" s="2742" t="s">
        <v>728</v>
      </c>
      <c r="AF4" s="1488" t="s">
        <v>1699</v>
      </c>
      <c r="AG4" s="2863" t="s">
        <v>1699</v>
      </c>
      <c r="AH4" s="486"/>
      <c r="AJ4" s="1108" t="s">
        <v>1443</v>
      </c>
      <c r="AK4" s="1108" t="s">
        <v>1444</v>
      </c>
      <c r="AL4" s="520" t="s">
        <v>1445</v>
      </c>
      <c r="AP4" s="2"/>
      <c r="AQ4" s="2"/>
    </row>
    <row r="5" spans="1:43" ht="18" customHeight="1">
      <c r="A5" s="486"/>
      <c r="B5" s="486"/>
      <c r="C5" s="486"/>
      <c r="D5" s="486"/>
      <c r="E5" s="486"/>
      <c r="F5" s="486"/>
      <c r="G5" s="486"/>
      <c r="H5" s="486"/>
      <c r="I5" s="486"/>
      <c r="J5" s="486"/>
      <c r="P5" s="486"/>
      <c r="Q5" s="486"/>
      <c r="R5" s="486"/>
      <c r="S5" s="486"/>
      <c r="T5" s="486"/>
      <c r="U5" s="486"/>
      <c r="V5" s="486"/>
      <c r="W5" s="486"/>
      <c r="X5" s="486"/>
      <c r="Y5" s="486"/>
      <c r="Z5" s="2862" t="s">
        <v>1647</v>
      </c>
      <c r="AA5" s="908">
        <f>ICBM!BC29+ICBM!BJ29</f>
        <v>465.07197853767923</v>
      </c>
      <c r="AB5" s="908">
        <f>ICBM!BE30+ICBM!BL30</f>
        <v>255.53574460956361</v>
      </c>
      <c r="AC5" s="2738">
        <f>ICBM!AO25</f>
        <v>0</v>
      </c>
      <c r="AD5" s="1539"/>
      <c r="AE5" s="2743">
        <f>ICBM!BA30+ICBM!BH30</f>
        <v>0</v>
      </c>
      <c r="AF5" s="2745"/>
      <c r="AG5" s="2864"/>
      <c r="AH5" s="486"/>
      <c r="AJ5" s="1108"/>
      <c r="AK5" s="1108"/>
      <c r="AL5" s="520"/>
      <c r="AP5" s="2"/>
      <c r="AQ5" s="2"/>
    </row>
    <row r="6" spans="1:43" ht="14.25" customHeight="1">
      <c r="A6" s="487" t="s">
        <v>114</v>
      </c>
      <c r="B6" s="2399"/>
      <c r="C6" s="2399"/>
      <c r="D6" s="2399"/>
      <c r="E6" s="2399"/>
      <c r="F6" s="2399"/>
      <c r="G6" s="2399"/>
      <c r="H6" s="2399"/>
      <c r="I6" s="485"/>
      <c r="J6" s="486"/>
      <c r="K6" s="486"/>
      <c r="L6" s="486"/>
      <c r="M6" s="486"/>
      <c r="N6" s="486"/>
      <c r="O6" s="486"/>
      <c r="P6" s="486"/>
      <c r="Q6" s="486"/>
      <c r="R6" s="486"/>
      <c r="S6" s="486"/>
      <c r="T6" s="486"/>
      <c r="U6" s="486"/>
      <c r="V6" s="486"/>
      <c r="W6" s="486"/>
      <c r="X6" s="486"/>
      <c r="Y6" s="486"/>
      <c r="Z6" s="2862" t="s">
        <v>1649</v>
      </c>
      <c r="AA6" s="2739"/>
      <c r="AB6" s="2739"/>
      <c r="AC6" s="2740"/>
      <c r="AD6" s="1539"/>
      <c r="AE6" s="2744"/>
      <c r="AF6" s="2865">
        <f>VLOOKUP(Huvudinmatning!L2,ICBM!H10:J19,3,FALSE)</f>
        <v>651.57868565836372</v>
      </c>
      <c r="AG6" s="2866"/>
      <c r="AH6" s="486"/>
      <c r="AJ6" s="520">
        <f>+ICBM!AA109</f>
        <v>-300</v>
      </c>
      <c r="AK6" s="520">
        <f>+ICBM!S147</f>
        <v>2.1239999999999997</v>
      </c>
      <c r="AL6" s="1052">
        <f>+ICBM!AF30</f>
        <v>1.7853442331590332</v>
      </c>
      <c r="AP6" s="2"/>
      <c r="AQ6" s="2"/>
    </row>
    <row r="7" spans="1:43">
      <c r="A7" s="2400" t="s">
        <v>279</v>
      </c>
      <c r="B7" s="2401"/>
      <c r="C7" s="2400" t="s">
        <v>98</v>
      </c>
      <c r="D7" s="2721"/>
      <c r="E7" s="2722"/>
      <c r="F7" s="2723"/>
      <c r="G7" s="489"/>
      <c r="H7" s="489"/>
      <c r="I7" s="486"/>
      <c r="J7" s="486"/>
      <c r="K7" s="486"/>
      <c r="L7" s="486"/>
      <c r="M7" s="486"/>
      <c r="N7" s="486"/>
      <c r="O7" s="486"/>
      <c r="P7" s="486"/>
      <c r="Q7" s="486"/>
      <c r="R7" s="486"/>
      <c r="S7" s="486"/>
      <c r="T7" s="486"/>
      <c r="U7" s="486"/>
      <c r="V7" s="486"/>
      <c r="W7" s="486"/>
      <c r="X7" s="486"/>
      <c r="Y7" s="486"/>
      <c r="Z7" s="2862" t="s">
        <v>1708</v>
      </c>
      <c r="AA7" s="2739"/>
      <c r="AB7" s="2739"/>
      <c r="AC7" s="2740"/>
      <c r="AD7" s="1539"/>
      <c r="AE7" s="2744"/>
      <c r="AF7" s="2746"/>
      <c r="AG7" s="2867">
        <f>AA5+AB5+AC5+AE5-AF6</f>
        <v>69.029037488879112</v>
      </c>
      <c r="AH7" s="486"/>
      <c r="AJ7" s="520">
        <f>+ICBM!AA110</f>
        <v>-327</v>
      </c>
      <c r="AK7" s="520">
        <f>+ICBM!T147</f>
        <v>2.1930000000000001</v>
      </c>
      <c r="AL7" s="1052">
        <f>+ICBM!AG30</f>
        <v>1.7853442331590332</v>
      </c>
      <c r="AP7" s="2"/>
      <c r="AQ7" s="2"/>
    </row>
    <row r="8" spans="1:43">
      <c r="A8" s="2405" t="s">
        <v>284</v>
      </c>
      <c r="B8" s="2406"/>
      <c r="C8" s="2407" t="s">
        <v>285</v>
      </c>
      <c r="D8" s="2724"/>
      <c r="E8" s="2513"/>
      <c r="F8" s="2725"/>
      <c r="G8" s="710"/>
      <c r="H8" s="710"/>
      <c r="I8" s="486"/>
      <c r="J8" s="486"/>
      <c r="K8" s="486"/>
      <c r="L8" s="486"/>
      <c r="M8" s="486"/>
      <c r="N8" s="486"/>
      <c r="O8" s="486"/>
      <c r="P8" s="486">
        <v>0.23556521739130437</v>
      </c>
      <c r="Q8" s="486"/>
      <c r="R8" s="486"/>
      <c r="S8" s="486"/>
      <c r="T8" s="486"/>
      <c r="U8" s="486"/>
      <c r="V8" s="486"/>
      <c r="W8" s="486"/>
      <c r="X8" s="486"/>
      <c r="Y8" s="486"/>
      <c r="Z8" s="2862"/>
      <c r="AA8" s="2739"/>
      <c r="AB8" s="2739"/>
      <c r="AC8" s="2740"/>
      <c r="AD8" s="1539"/>
      <c r="AE8" s="2744"/>
      <c r="AF8" s="2746"/>
      <c r="AG8" s="2866"/>
      <c r="AH8" s="486"/>
      <c r="AJ8" s="520">
        <f>+AJ7-AJ6</f>
        <v>-27</v>
      </c>
      <c r="AK8" s="1420">
        <f>+(AK7-AK6)*30000/50</f>
        <v>41.400000000000233</v>
      </c>
      <c r="AL8" s="520"/>
      <c r="AP8" s="2"/>
      <c r="AQ8" s="2"/>
    </row>
    <row r="9" spans="1:43">
      <c r="A9" s="2303">
        <v>3000</v>
      </c>
      <c r="B9" s="2396"/>
      <c r="C9" s="2572">
        <f>Grunddata!C36/C10</f>
        <v>1.6860465116279069</v>
      </c>
      <c r="D9" s="2726"/>
      <c r="E9" s="2685"/>
      <c r="F9" s="2727"/>
      <c r="G9" s="2720"/>
      <c r="H9" s="2720"/>
      <c r="I9" s="486"/>
      <c r="J9" s="486"/>
      <c r="K9" s="486"/>
      <c r="L9" s="486"/>
      <c r="M9" s="486"/>
      <c r="N9" s="486"/>
      <c r="O9" s="486"/>
      <c r="P9" s="486">
        <v>0.32767883211678833</v>
      </c>
      <c r="Q9" s="486"/>
      <c r="R9" s="486"/>
      <c r="S9" s="486"/>
      <c r="T9" s="486"/>
      <c r="U9" s="486"/>
      <c r="V9" s="486"/>
      <c r="W9" s="486"/>
      <c r="X9" s="486"/>
      <c r="Y9" s="486"/>
      <c r="Z9" s="2862" t="s">
        <v>1648</v>
      </c>
      <c r="AA9" s="908">
        <f>ICBM!BC107+ICBM!BJ107</f>
        <v>465.07294795160271</v>
      </c>
      <c r="AB9" s="908">
        <f>ICBM!BE107+ICBM!BL107</f>
        <v>255.53576935582424</v>
      </c>
      <c r="AC9" s="2738">
        <f>ICBM!AP25</f>
        <v>0</v>
      </c>
      <c r="AD9" s="1539"/>
      <c r="AE9" s="2743">
        <f>ICBM!BA107+ICBM!BH107</f>
        <v>0</v>
      </c>
      <c r="AF9" s="2746"/>
      <c r="AG9" s="2866"/>
      <c r="AH9" s="486"/>
      <c r="AJ9" s="2418" t="s">
        <v>1436</v>
      </c>
      <c r="AK9" s="486"/>
      <c r="AL9" s="486"/>
      <c r="AM9" s="486"/>
      <c r="AN9" s="486"/>
      <c r="AO9" s="486"/>
      <c r="AP9" s="2"/>
      <c r="AQ9" s="2"/>
    </row>
    <row r="10" spans="1:43">
      <c r="A10" s="2"/>
      <c r="B10" s="1553" t="s">
        <v>1630</v>
      </c>
      <c r="C10" s="2778">
        <v>1.72</v>
      </c>
      <c r="D10" s="2728"/>
      <c r="E10" s="77"/>
      <c r="F10" s="2729"/>
      <c r="G10" s="2683"/>
      <c r="H10" s="2683"/>
      <c r="I10" s="486"/>
      <c r="J10" s="486"/>
      <c r="K10" s="486"/>
      <c r="L10" s="486"/>
      <c r="M10" s="486"/>
      <c r="N10" s="486"/>
      <c r="O10" s="486"/>
      <c r="P10" s="486">
        <v>0.18285714285714286</v>
      </c>
      <c r="Q10" s="486"/>
      <c r="R10" s="486"/>
      <c r="S10" s="486"/>
      <c r="T10" s="486"/>
      <c r="U10" s="486"/>
      <c r="V10" s="486"/>
      <c r="W10" s="486"/>
      <c r="X10" s="486"/>
      <c r="Y10" s="486"/>
      <c r="Z10" s="2862" t="s">
        <v>1650</v>
      </c>
      <c r="AA10" s="2739"/>
      <c r="AB10" s="2739"/>
      <c r="AC10" s="2740"/>
      <c r="AD10" s="1539"/>
      <c r="AE10" s="2744"/>
      <c r="AF10" s="2865">
        <f>VLOOKUP(Huvudinmatning!L2,ICBM!H10:M19,6,FALSE)</f>
        <v>651.5796798185479</v>
      </c>
      <c r="AG10" s="2866"/>
      <c r="AH10" s="486"/>
      <c r="AJ10" s="2403" t="s">
        <v>1431</v>
      </c>
      <c r="AK10" s="2403" t="s">
        <v>1432</v>
      </c>
      <c r="AL10" s="1484"/>
      <c r="AM10" s="2404" t="s">
        <v>1433</v>
      </c>
      <c r="AN10" s="2411" t="s">
        <v>1333</v>
      </c>
      <c r="AO10" s="495" t="s">
        <v>1334</v>
      </c>
      <c r="AP10" s="2"/>
      <c r="AQ10" s="2"/>
    </row>
    <row r="11" spans="1:43">
      <c r="A11" s="2413"/>
      <c r="B11" s="2414"/>
      <c r="C11" s="2573" t="s">
        <v>272</v>
      </c>
      <c r="D11" s="2724"/>
      <c r="E11" s="2513"/>
      <c r="F11" s="2730" t="s">
        <v>273</v>
      </c>
      <c r="G11" s="710"/>
      <c r="H11" s="710"/>
      <c r="I11" s="486"/>
      <c r="J11" s="486"/>
      <c r="K11" s="486"/>
      <c r="L11" s="486"/>
      <c r="M11" s="486"/>
      <c r="N11" s="486"/>
      <c r="O11" s="486"/>
      <c r="P11" s="486">
        <v>0.18285714285714286</v>
      </c>
      <c r="Q11" s="486"/>
      <c r="R11" s="486"/>
      <c r="S11" s="486"/>
      <c r="T11" s="486"/>
      <c r="U11" s="486"/>
      <c r="V11" s="486"/>
      <c r="W11" s="486"/>
      <c r="X11" s="486"/>
      <c r="Y11" s="486"/>
      <c r="Z11" s="2862" t="s">
        <v>1709</v>
      </c>
      <c r="AA11" s="2739"/>
      <c r="AB11" s="2739"/>
      <c r="AC11" s="2740"/>
      <c r="AD11" s="1539"/>
      <c r="AE11" s="2744"/>
      <c r="AF11" s="2746"/>
      <c r="AG11" s="2867">
        <f>AA9+AB9+AC9+AE9-AF10</f>
        <v>69.029037488879112</v>
      </c>
      <c r="AH11" s="486"/>
      <c r="AJ11" s="1346" t="s">
        <v>317</v>
      </c>
      <c r="AK11" s="1346" t="s">
        <v>1434</v>
      </c>
      <c r="AL11" s="1487"/>
      <c r="AM11" s="1489" t="s">
        <v>1435</v>
      </c>
      <c r="AN11" s="2412"/>
      <c r="AO11" s="1347"/>
      <c r="AP11" s="2"/>
      <c r="AQ11" s="2"/>
    </row>
    <row r="12" spans="1:43" ht="16.5" thickBot="1">
      <c r="A12" s="2416" t="s">
        <v>280</v>
      </c>
      <c r="B12" s="2414"/>
      <c r="C12" s="2415" t="s">
        <v>281</v>
      </c>
      <c r="D12" s="2724"/>
      <c r="E12" s="2513"/>
      <c r="F12" s="2730" t="s">
        <v>1338</v>
      </c>
      <c r="G12" s="710"/>
      <c r="H12" s="710"/>
      <c r="I12" s="486"/>
      <c r="P12" s="486">
        <v>0.46456445993031364</v>
      </c>
      <c r="Q12" s="486"/>
      <c r="R12" s="486"/>
      <c r="S12" s="486"/>
      <c r="T12" s="486"/>
      <c r="U12" s="486"/>
      <c r="V12" s="486"/>
      <c r="W12" s="486"/>
      <c r="X12" s="486"/>
      <c r="Y12" s="486"/>
      <c r="Z12" s="2868"/>
      <c r="AA12" s="2869">
        <f>AA9-AA5</f>
        <v>9.6941392348526279E-4</v>
      </c>
      <c r="AB12" s="2869">
        <f t="shared" ref="AB12:AC12" si="0">AB9-AB5</f>
        <v>2.4746260635311046E-5</v>
      </c>
      <c r="AC12" s="2869">
        <f t="shared" si="0"/>
        <v>0</v>
      </c>
      <c r="AD12" s="2870">
        <f>AD9-AD5</f>
        <v>0</v>
      </c>
      <c r="AE12" s="2870">
        <f>AE9-AE5</f>
        <v>0</v>
      </c>
      <c r="AF12" s="2871">
        <f>AF10-AF6</f>
        <v>9.9416018417741725E-4</v>
      </c>
      <c r="AG12" s="2872">
        <f>AG11-AG7</f>
        <v>0</v>
      </c>
      <c r="AH12" s="486"/>
      <c r="AI12" s="486"/>
      <c r="AJ12" s="2576">
        <f>+A9*C9*10</f>
        <v>50581.395348837206</v>
      </c>
      <c r="AK12" s="2397">
        <f>AN12+AO12</f>
        <v>300</v>
      </c>
      <c r="AL12" s="2398"/>
      <c r="AM12" s="2577">
        <f>+AJ12-AK12</f>
        <v>50281.395348837206</v>
      </c>
      <c r="AN12" s="2278">
        <v>150</v>
      </c>
      <c r="AO12" s="907">
        <v>150</v>
      </c>
      <c r="AP12" s="2"/>
      <c r="AQ12" s="2"/>
    </row>
    <row r="13" spans="1:43" ht="15.75">
      <c r="A13" s="2416" t="s">
        <v>287</v>
      </c>
      <c r="B13" s="2414"/>
      <c r="C13" s="2417" t="s">
        <v>288</v>
      </c>
      <c r="D13" s="2724"/>
      <c r="E13" s="2513"/>
      <c r="F13" s="2730" t="s">
        <v>1339</v>
      </c>
      <c r="G13" s="710"/>
      <c r="H13" s="710"/>
      <c r="I13" s="486"/>
      <c r="P13" s="486"/>
      <c r="Q13" s="486"/>
      <c r="R13" s="486"/>
      <c r="S13" s="486"/>
      <c r="T13" s="486"/>
      <c r="U13" s="486"/>
      <c r="V13" s="486"/>
      <c r="W13" s="486"/>
      <c r="X13" s="486"/>
      <c r="Y13" s="486"/>
      <c r="Z13" s="486"/>
      <c r="AA13" s="486"/>
      <c r="AB13" s="486"/>
      <c r="AC13" s="486"/>
      <c r="AD13" s="518"/>
      <c r="AE13" s="486"/>
      <c r="AF13" s="486"/>
      <c r="AG13" s="486"/>
      <c r="AH13" s="486"/>
      <c r="AI13" s="486"/>
      <c r="AJ13" s="2673"/>
      <c r="AK13" s="2674"/>
      <c r="AL13" s="2675" t="s">
        <v>109</v>
      </c>
      <c r="AM13" s="2676"/>
      <c r="AN13" s="2677" t="s">
        <v>271</v>
      </c>
      <c r="AP13" s="2"/>
      <c r="AQ13" s="2"/>
    </row>
    <row r="14" spans="1:43" ht="15.75">
      <c r="A14" s="2416" t="s">
        <v>291</v>
      </c>
      <c r="B14" s="2414"/>
      <c r="C14" s="2415" t="s">
        <v>292</v>
      </c>
      <c r="D14" s="2724"/>
      <c r="E14" s="2513"/>
      <c r="F14" s="2730" t="s">
        <v>1340</v>
      </c>
      <c r="G14" s="710"/>
      <c r="H14" s="710"/>
      <c r="I14" s="486"/>
      <c r="P14" s="486">
        <v>6.0893098782137996E-4</v>
      </c>
      <c r="Q14" s="486"/>
      <c r="R14" s="486"/>
      <c r="S14" s="486"/>
      <c r="T14" s="486"/>
      <c r="U14" s="486"/>
      <c r="V14" s="486"/>
      <c r="W14" s="486"/>
      <c r="X14" s="486"/>
      <c r="Y14" s="486"/>
      <c r="Z14" s="486"/>
      <c r="AA14" s="486"/>
      <c r="AB14" s="486"/>
      <c r="AC14" s="486"/>
      <c r="AD14" s="518"/>
      <c r="AE14" s="486"/>
      <c r="AF14" s="486"/>
      <c r="AG14" s="486"/>
      <c r="AH14" s="486"/>
      <c r="AI14" s="486"/>
      <c r="AJ14" s="2678"/>
      <c r="AK14" s="489"/>
      <c r="AL14" s="2686" t="s">
        <v>1292</v>
      </c>
      <c r="AM14" s="2679" t="s">
        <v>277</v>
      </c>
      <c r="AN14" s="2680" t="s">
        <v>1153</v>
      </c>
      <c r="AP14" s="2"/>
      <c r="AQ14" s="2"/>
    </row>
    <row r="15" spans="1:43" ht="15.75">
      <c r="A15" s="2416" t="s">
        <v>295</v>
      </c>
      <c r="B15" s="2414"/>
      <c r="C15" s="2415" t="s">
        <v>296</v>
      </c>
      <c r="D15" s="2731"/>
      <c r="E15" s="2732"/>
      <c r="F15" s="2733" t="s">
        <v>1341</v>
      </c>
      <c r="G15" s="1206"/>
      <c r="H15" s="1206"/>
      <c r="I15" s="486"/>
      <c r="P15" s="486">
        <v>5.7142857142857147E-4</v>
      </c>
      <c r="Q15" s="486"/>
      <c r="R15" s="486"/>
      <c r="S15" s="486"/>
      <c r="T15" s="486"/>
      <c r="U15" s="486"/>
      <c r="V15" s="486"/>
      <c r="W15" s="486"/>
      <c r="X15" s="486"/>
      <c r="Y15" s="486"/>
      <c r="Z15" s="486"/>
      <c r="AD15" s="2603"/>
      <c r="AE15" s="2603"/>
      <c r="AF15" s="486"/>
      <c r="AG15" s="486"/>
      <c r="AH15" s="486"/>
      <c r="AI15" s="486"/>
      <c r="AJ15" s="2681" t="s">
        <v>133</v>
      </c>
      <c r="AK15" s="2402"/>
      <c r="AL15" s="2687">
        <f>+ICBM!BC12</f>
        <v>13.90571155283372</v>
      </c>
      <c r="AM15" s="2687">
        <f>ICBM!BC11</f>
        <v>15.889574486279889</v>
      </c>
      <c r="AN15" s="2682"/>
      <c r="AO15" s="9"/>
      <c r="AP15" s="2"/>
      <c r="AQ15" s="2"/>
    </row>
    <row r="16" spans="1:43" ht="13.5" thickBot="1">
      <c r="A16" s="2"/>
      <c r="B16" s="2"/>
      <c r="C16" s="2"/>
      <c r="D16" s="2"/>
      <c r="E16" s="2"/>
      <c r="F16" s="2"/>
      <c r="G16" s="2"/>
      <c r="H16" s="2"/>
      <c r="I16" s="2"/>
      <c r="J16" s="486"/>
      <c r="K16" s="486"/>
      <c r="L16" s="486"/>
      <c r="M16" s="710"/>
      <c r="N16" s="486"/>
      <c r="O16" s="486"/>
      <c r="P16" s="486"/>
      <c r="Q16" s="486"/>
      <c r="R16" s="486"/>
      <c r="S16" s="486"/>
      <c r="T16" s="486"/>
      <c r="U16" s="486"/>
      <c r="W16" s="710"/>
      <c r="Y16" s="486"/>
      <c r="Z16" s="486"/>
      <c r="AJ16" s="2408" t="s">
        <v>147</v>
      </c>
      <c r="AK16" s="2409"/>
      <c r="AL16" s="2410">
        <f>+ICBM!BD12</f>
        <v>13.90571155283372</v>
      </c>
      <c r="AM16" s="2410">
        <f>ICBM!BD11</f>
        <v>15.889574486279889</v>
      </c>
      <c r="AN16" s="2670">
        <f>+AM16-AM15</f>
        <v>0</v>
      </c>
      <c r="AO16" s="9"/>
      <c r="AP16" s="2"/>
      <c r="AQ16" s="2"/>
    </row>
    <row r="17" spans="1:43" ht="34.5" customHeight="1">
      <c r="A17" s="665"/>
      <c r="B17" s="2304"/>
      <c r="C17" s="2306" t="s">
        <v>1342</v>
      </c>
      <c r="D17" s="8"/>
      <c r="E17" s="8"/>
      <c r="F17" s="8"/>
      <c r="G17" s="8"/>
      <c r="H17" s="8"/>
      <c r="I17" s="2304"/>
      <c r="J17" s="665"/>
      <c r="K17" s="665"/>
      <c r="L17" s="665"/>
      <c r="M17" s="665"/>
      <c r="N17" s="8"/>
      <c r="O17" s="2304"/>
      <c r="P17" s="2304"/>
      <c r="Q17" s="665"/>
      <c r="R17" s="714"/>
      <c r="S17" s="714"/>
      <c r="T17" s="526"/>
      <c r="U17" s="526"/>
      <c r="V17" s="2782" t="s">
        <v>1712</v>
      </c>
      <c r="W17" s="2782" t="s">
        <v>1740</v>
      </c>
      <c r="X17" s="1108" t="s">
        <v>16</v>
      </c>
      <c r="Y17" s="665"/>
      <c r="Z17" s="486"/>
      <c r="AJ17" s="486"/>
      <c r="AK17" s="486" t="s">
        <v>1446</v>
      </c>
      <c r="AL17" s="486"/>
      <c r="AM17" s="486"/>
      <c r="AN17" s="486"/>
      <c r="AO17" s="9"/>
      <c r="AP17" s="2"/>
      <c r="AQ17" s="2"/>
    </row>
    <row r="18" spans="1:43" ht="26.25">
      <c r="A18" s="2305" t="s">
        <v>133</v>
      </c>
      <c r="B18" s="2304"/>
      <c r="C18" s="2306"/>
      <c r="D18" s="8"/>
      <c r="E18" s="8"/>
      <c r="F18" s="8"/>
      <c r="G18" s="8"/>
      <c r="H18" s="8"/>
      <c r="I18" s="2304"/>
      <c r="J18" s="2304" t="s">
        <v>1343</v>
      </c>
      <c r="K18" s="2304"/>
      <c r="L18" s="3002">
        <f>A9*10*C9</f>
        <v>50581.395348837206</v>
      </c>
      <c r="M18" s="3003"/>
      <c r="N18" s="8"/>
      <c r="O18" s="2304"/>
      <c r="P18" s="2304"/>
      <c r="Q18" s="665"/>
      <c r="R18" s="714"/>
      <c r="S18" s="714"/>
      <c r="T18" s="526"/>
      <c r="U18" s="526"/>
      <c r="V18" s="2177">
        <f>(W18*1.3)</f>
        <v>2.2930232558139534</v>
      </c>
      <c r="W18" s="2798">
        <f>(-0.36*$C$9+2.9)/1.3</f>
        <v>1.7638640429338102</v>
      </c>
      <c r="X18" s="2798">
        <f>(-0.052*$C$9+0.94)/1.3</f>
        <v>0.65563506261180671</v>
      </c>
      <c r="Y18" s="665"/>
      <c r="Z18" s="486"/>
      <c r="AJ18" s="74"/>
      <c r="AK18" s="74"/>
      <c r="AL18" s="9"/>
      <c r="AM18" s="74"/>
      <c r="AN18" s="9"/>
      <c r="AO18" s="9"/>
      <c r="AP18" s="2"/>
      <c r="AQ18" s="2"/>
    </row>
    <row r="19" spans="1:43">
      <c r="A19" s="2304" t="s">
        <v>301</v>
      </c>
      <c r="B19" s="2307">
        <f>+Huvudinmatning!D10</f>
        <v>7</v>
      </c>
      <c r="C19" s="2304"/>
      <c r="D19" s="8"/>
      <c r="E19" s="8"/>
      <c r="F19" s="8"/>
      <c r="G19" s="8"/>
      <c r="H19" s="665"/>
      <c r="I19" s="665"/>
      <c r="J19" s="2304"/>
      <c r="K19" s="2304"/>
      <c r="L19" s="2304"/>
      <c r="M19" s="8"/>
      <c r="N19" s="2304"/>
      <c r="O19" s="2304"/>
      <c r="P19" s="2304"/>
      <c r="Q19" s="665"/>
      <c r="R19" s="714"/>
      <c r="S19" s="714"/>
      <c r="T19" s="526"/>
      <c r="U19" s="526"/>
      <c r="V19" s="665"/>
      <c r="W19" s="665"/>
      <c r="X19" s="665"/>
      <c r="Y19" s="665"/>
      <c r="Z19" s="486"/>
      <c r="AL19" s="2"/>
      <c r="AM19" s="2"/>
      <c r="AN19" s="2"/>
      <c r="AO19" s="2"/>
      <c r="AP19" s="2"/>
      <c r="AQ19" s="2"/>
    </row>
    <row r="20" spans="1:43">
      <c r="A20" s="2304"/>
      <c r="B20" s="2304"/>
      <c r="C20" s="2304"/>
      <c r="D20" s="78"/>
      <c r="E20" s="1656" t="s">
        <v>1344</v>
      </c>
      <c r="F20" s="2559"/>
      <c r="G20" s="2559"/>
      <c r="H20" s="2516"/>
      <c r="I20" s="701"/>
      <c r="J20" s="760"/>
      <c r="K20" s="761"/>
      <c r="L20" s="2308"/>
      <c r="M20" s="2325" t="s">
        <v>1548</v>
      </c>
      <c r="N20" s="2690"/>
      <c r="O20" s="2693"/>
      <c r="P20" s="2310"/>
      <c r="Q20" s="759" t="s">
        <v>303</v>
      </c>
      <c r="R20" s="701"/>
      <c r="S20" s="717"/>
      <c r="T20" s="892"/>
      <c r="U20" s="2308"/>
      <c r="V20" s="700" t="s">
        <v>1658</v>
      </c>
      <c r="W20" s="701"/>
      <c r="X20" s="702"/>
      <c r="Y20" s="665"/>
      <c r="Z20" s="486"/>
      <c r="AL20" s="2"/>
      <c r="AM20" s="2"/>
      <c r="AN20" s="2"/>
      <c r="AO20" s="2"/>
      <c r="AP20" s="2"/>
      <c r="AQ20" s="2"/>
    </row>
    <row r="21" spans="1:43" ht="15">
      <c r="A21" s="2304"/>
      <c r="B21" s="2304"/>
      <c r="C21" s="2304"/>
      <c r="D21" s="78"/>
      <c r="E21" s="697"/>
      <c r="F21" s="2560" t="s">
        <v>16</v>
      </c>
      <c r="G21" s="2561"/>
      <c r="H21" s="2557" t="s">
        <v>1744</v>
      </c>
      <c r="I21" s="2556"/>
      <c r="J21" s="760" t="s">
        <v>1651</v>
      </c>
      <c r="K21" s="761"/>
      <c r="L21" s="2308"/>
      <c r="M21" s="1600"/>
      <c r="N21" s="302"/>
      <c r="O21" s="798"/>
      <c r="P21" s="2310"/>
      <c r="Q21" s="917"/>
      <c r="R21" s="701"/>
      <c r="S21" s="717"/>
      <c r="T21" s="718"/>
      <c r="U21" s="2308"/>
      <c r="V21" s="2665" t="s">
        <v>1345</v>
      </c>
      <c r="W21" s="2341"/>
      <c r="X21" s="2342"/>
      <c r="Y21" s="665"/>
      <c r="Z21" s="486"/>
      <c r="AA21" s="97"/>
      <c r="AL21" s="2"/>
      <c r="AM21" s="2"/>
      <c r="AN21" s="2"/>
      <c r="AO21" s="2"/>
      <c r="AP21" s="2"/>
      <c r="AQ21" s="2"/>
    </row>
    <row r="22" spans="1:43" s="51" customFormat="1" ht="15">
      <c r="A22" s="2311" t="s">
        <v>137</v>
      </c>
      <c r="B22" s="2312" t="s">
        <v>138</v>
      </c>
      <c r="C22" s="2312" t="s">
        <v>139</v>
      </c>
      <c r="D22" s="80"/>
      <c r="E22" s="757"/>
      <c r="F22" s="2562"/>
      <c r="G22" s="2934" t="s">
        <v>1771</v>
      </c>
      <c r="H22" s="2602">
        <v>20</v>
      </c>
      <c r="I22" s="2558" t="s">
        <v>1616</v>
      </c>
      <c r="J22" s="2555" t="s">
        <v>1347</v>
      </c>
      <c r="K22" s="2314" t="s">
        <v>1348</v>
      </c>
      <c r="L22" s="2313"/>
      <c r="M22" s="2688" t="s">
        <v>173</v>
      </c>
      <c r="N22" s="2688"/>
      <c r="O22" s="1599" t="s">
        <v>307</v>
      </c>
      <c r="P22" s="2313"/>
      <c r="Q22" s="1654" t="s">
        <v>1550</v>
      </c>
      <c r="R22" s="2524" t="s">
        <v>311</v>
      </c>
      <c r="S22" s="2520" t="s">
        <v>1657</v>
      </c>
      <c r="T22" s="2314" t="s">
        <v>1679</v>
      </c>
      <c r="U22" s="2313"/>
      <c r="V22" s="2779" t="s">
        <v>1713</v>
      </c>
      <c r="W22" s="2530" t="s">
        <v>149</v>
      </c>
      <c r="X22" s="2530" t="s">
        <v>1351</v>
      </c>
      <c r="Y22" s="862"/>
      <c r="Z22" s="1173"/>
      <c r="AL22" s="2"/>
      <c r="AM22" s="2"/>
      <c r="AN22" s="2"/>
      <c r="AO22" s="4"/>
      <c r="AP22" s="4"/>
      <c r="AQ22" s="4"/>
    </row>
    <row r="23" spans="1:43" s="51" customFormat="1" ht="15">
      <c r="A23" s="2314"/>
      <c r="B23" s="2314"/>
      <c r="C23" s="2315" t="s">
        <v>133</v>
      </c>
      <c r="D23" s="80"/>
      <c r="E23" s="757"/>
      <c r="F23" s="2553" t="s">
        <v>1614</v>
      </c>
      <c r="G23" s="2553" t="s">
        <v>1598</v>
      </c>
      <c r="H23" s="791"/>
      <c r="I23" s="2314" t="s">
        <v>1346</v>
      </c>
      <c r="J23" s="2314"/>
      <c r="K23" s="2314"/>
      <c r="L23" s="2313"/>
      <c r="M23" s="2688" t="s">
        <v>1547</v>
      </c>
      <c r="N23" s="2688"/>
      <c r="O23" s="1599" t="s">
        <v>496</v>
      </c>
      <c r="P23" s="2313"/>
      <c r="Q23" s="1654" t="s">
        <v>781</v>
      </c>
      <c r="R23" s="2522" t="s">
        <v>320</v>
      </c>
      <c r="S23" s="2520" t="s">
        <v>1071</v>
      </c>
      <c r="T23" s="2314" t="s">
        <v>1678</v>
      </c>
      <c r="U23" s="2313"/>
      <c r="V23" s="2780" t="s">
        <v>1714</v>
      </c>
      <c r="W23" s="1599" t="s">
        <v>1104</v>
      </c>
      <c r="X23" s="796"/>
      <c r="Y23" s="862"/>
      <c r="Z23" s="1173"/>
      <c r="AL23" s="2"/>
      <c r="AM23" s="2"/>
      <c r="AN23" s="2"/>
      <c r="AO23" s="4"/>
      <c r="AP23" s="4"/>
      <c r="AQ23" s="4"/>
    </row>
    <row r="24" spans="1:43" s="51" customFormat="1" ht="15.75">
      <c r="A24" s="2316"/>
      <c r="B24" s="2316"/>
      <c r="C24" s="2316" t="s">
        <v>317</v>
      </c>
      <c r="D24" s="80"/>
      <c r="E24" s="2285" t="s">
        <v>309</v>
      </c>
      <c r="F24" s="2554" t="s">
        <v>1615</v>
      </c>
      <c r="G24" s="2554" t="s">
        <v>1599</v>
      </c>
      <c r="H24" s="792" t="s">
        <v>772</v>
      </c>
      <c r="I24" s="2316" t="s">
        <v>1352</v>
      </c>
      <c r="J24" s="2316" t="s">
        <v>318</v>
      </c>
      <c r="K24" s="2316" t="s">
        <v>318</v>
      </c>
      <c r="L24" s="2313"/>
      <c r="M24" s="2689"/>
      <c r="N24" s="2692"/>
      <c r="O24" s="2669" t="s">
        <v>318</v>
      </c>
      <c r="P24" s="80"/>
      <c r="Q24" s="1655"/>
      <c r="R24" s="2523" t="s">
        <v>81</v>
      </c>
      <c r="S24" s="2521" t="s">
        <v>321</v>
      </c>
      <c r="T24" s="2316" t="s">
        <v>318</v>
      </c>
      <c r="U24" s="80"/>
      <c r="V24" s="2781" t="s">
        <v>1057</v>
      </c>
      <c r="W24" s="2531" t="s">
        <v>1596</v>
      </c>
      <c r="X24" s="2669"/>
      <c r="Y24" s="862"/>
      <c r="Z24" s="1173"/>
      <c r="AL24" s="2"/>
      <c r="AM24" s="2"/>
      <c r="AN24" s="2"/>
      <c r="AO24" s="4"/>
      <c r="AP24" s="4"/>
      <c r="AQ24" s="4"/>
    </row>
    <row r="25" spans="1:43" ht="14.25">
      <c r="A25" s="2317">
        <v>1</v>
      </c>
      <c r="B25" s="86" t="str">
        <f>IF(Huvudinmatning!B14&gt;0,Huvudinmatning!B14," ")</f>
        <v xml:space="preserve">Höstraps </v>
      </c>
      <c r="C25" s="86">
        <f>IF(Huvudinmatning!C14&gt;0,Huvudinmatning!C14," ")</f>
        <v>3500</v>
      </c>
      <c r="D25" s="87"/>
      <c r="E25" s="2284">
        <f>IF(B25=" "," ",(INDEX(Gröddata!$A$10:$N$44,MATCH(B25,Gröddata!A$10:A$44,0),14)))</f>
        <v>1</v>
      </c>
      <c r="F25" s="790" t="str">
        <f>IF($B25=" "," ",IF(Huvudinmatning!F14=TRUE,"ja","nej"))</f>
        <v>nej</v>
      </c>
      <c r="G25" s="790" t="str">
        <f>IF($B25=" "," ",IF(Huvudinmatning!G14=TRUE,"ja","nej"))</f>
        <v>nej</v>
      </c>
      <c r="H25" s="790" t="str">
        <f>IF($B25=" "," ",IF(Huvudinmatning!H14=TRUE,"nej","ja"))</f>
        <v>ja</v>
      </c>
      <c r="I25" s="2517">
        <f t="shared" ref="I25:I34" si="1">IF(E25=" "," ",IF(H25="ja",1,H$22/100))</f>
        <v>1</v>
      </c>
      <c r="J25" s="2568">
        <f>IF($A25&gt;$B$19," ",IF(Huvudinmatning!$F14=TRUE,$C25*(VLOOKUP($B25,$A$70:$J$104,7,FALSE)*$I25),IF(Huvudinmatning!$G14=TRUE,$C25*(VLOOKUP($B25,$A$70:$J$104,9,FALSE)*$I25),$C25*(VLOOKUP($B25,$A$70:$J$104,2,FALSE)*$I25))))</f>
        <v>4306.8452970297021</v>
      </c>
      <c r="K25" s="2568">
        <f>IF($A25&gt;$B$19," ",IF(Huvudinmatning!$F14=TRUE,$C25*(VLOOKUP($B25,$A$70:$J$104,8,FALSE)),IF(Huvudinmatning!$G14=TRUE,$C25*(VLOOKUP($B25,$A$70:$J$104,10,FALSE)),$C25*(VLOOKUP($B25,$A$70:$J$104,3,FALSE)))))</f>
        <v>1355.2017326732671</v>
      </c>
      <c r="L25" s="2319"/>
      <c r="M25" s="790" t="str">
        <f>IF(B25=" "," ",IF(Huvudinmatning!K14=TRUE,"ja","nej"))</f>
        <v>nej</v>
      </c>
      <c r="N25" s="2691"/>
      <c r="O25" s="2643">
        <f>IF(M25=" "," ",IF(M25="ja",Huvudinmatning!L14*2*0.4,0))</f>
        <v>0</v>
      </c>
      <c r="P25" s="87"/>
      <c r="Q25" s="694" t="str">
        <f>IF(Huvudinmatning!M14=0," ",Huvudinmatning!M14)</f>
        <v xml:space="preserve"> </v>
      </c>
      <c r="R25" s="2525" t="str">
        <f>IF(Huvudinmatning!N14&gt;0,Huvudinmatning!N14," ")</f>
        <v xml:space="preserve"> </v>
      </c>
      <c r="S25" s="2527" t="str">
        <f>IF(R25=" "," ",(INDEX(Stallgödseldata!B$16:D$27,MATCH(Q25,Stallgödseldata!B$16:B$27,0),3)))</f>
        <v xml:space="preserve"> </v>
      </c>
      <c r="T25" s="1611" t="str">
        <f>IF(R25=" "," ",R25*1000*S25/100*0.4)</f>
        <v xml:space="preserve"> </v>
      </c>
      <c r="U25" s="88"/>
      <c r="V25" s="2533">
        <f t="shared" ref="V25:V34" si="2">IF(I25=" "," ",IF(E25=1,W$18,IF(E25=2,X$18,V$18)))</f>
        <v>1.7638640429338102</v>
      </c>
      <c r="W25" s="2532">
        <f>IF(V25=" "," ",VLOOKUP(Grunddata!E$22,Produktionsområde!B$3:D$10,2,FALSE))</f>
        <v>1.3</v>
      </c>
      <c r="X25" s="2533">
        <f t="shared" ref="X25:X34" si="3">IF(B25=" "," ",V25*W25)</f>
        <v>2.2930232558139534</v>
      </c>
      <c r="Y25" s="665"/>
      <c r="Z25" s="486"/>
      <c r="AL25" s="2"/>
      <c r="AM25" s="2"/>
      <c r="AN25" s="2"/>
      <c r="AO25" s="2"/>
      <c r="AP25" s="2"/>
      <c r="AQ25" s="2"/>
    </row>
    <row r="26" spans="1:43" ht="14.25">
      <c r="A26" s="2318">
        <v>2</v>
      </c>
      <c r="B26" s="86" t="str">
        <f>IF(Huvudinmatning!B15&gt;0,Huvudinmatning!B15," ")</f>
        <v>Höstvete bröd</v>
      </c>
      <c r="C26" s="86">
        <f>IF(Huvudinmatning!C15&gt;0,Huvudinmatning!C15," ")</f>
        <v>8000</v>
      </c>
      <c r="D26" s="87"/>
      <c r="E26" s="2284">
        <f>IF(B26=" "," ",(INDEX(Gröddata!$A$10:$N$44,MATCH(B26,Gröddata!A$10:A$44,0),14)))</f>
        <v>1</v>
      </c>
      <c r="F26" s="790" t="str">
        <f>IF($B26=" "," ",IF(Huvudinmatning!F15=TRUE,"ja","nej"))</f>
        <v>nej</v>
      </c>
      <c r="G26" s="790" t="str">
        <f>IF($B26=" "," ",IF(Huvudinmatning!G15=TRUE,"ja","nej"))</f>
        <v>nej</v>
      </c>
      <c r="H26" s="790" t="str">
        <f>IF(B26=" "," ",IF(Huvudinmatning!H15=TRUE,"nej","ja"))</f>
        <v>ja</v>
      </c>
      <c r="I26" s="2517">
        <f t="shared" si="1"/>
        <v>1</v>
      </c>
      <c r="J26" s="2568">
        <f>IF($A26&gt;$B$19," ",IF(Huvudinmatning!$F15=TRUE,$C26*(VLOOKUP($B26,$A$70:$J$104,7,FALSE)*$I26),IF(Huvudinmatning!$G15=TRUE,$C26*(VLOOKUP($B26,$A$70:$J$104,9,FALSE)*$I26),$C26*(VLOOKUP($B26,$A$70:$J$104,2,FALSE)*$I26))))</f>
        <v>4644</v>
      </c>
      <c r="K26" s="2568">
        <f>IF($A26&gt;$B$19," ",IF(Huvudinmatning!$F15=TRUE,$C26*(VLOOKUP($B26,$A$70:$J$104,8,FALSE)),IF(Huvudinmatning!$G15=TRUE,$C26*(VLOOKUP($B26,$A$70:$J$104,10,FALSE)),$C26*(VLOOKUP($B26,$A$70:$J$104,3,FALSE)))))</f>
        <v>1278.9576000000002</v>
      </c>
      <c r="L26" s="2319"/>
      <c r="M26" s="790" t="str">
        <f>IF(B26=" "," ",IF(Huvudinmatning!K15=TRUE,"ja","nej"))</f>
        <v>nej</v>
      </c>
      <c r="N26" s="2515"/>
      <c r="O26" s="2643">
        <f>IF(M26=" "," ",IF(M26="ja",Huvudinmatning!L15*2*0.4,0))</f>
        <v>0</v>
      </c>
      <c r="P26" s="87"/>
      <c r="Q26" s="694" t="str">
        <f>IF(Huvudinmatning!M15=0," ",Huvudinmatning!M15)</f>
        <v xml:space="preserve"> </v>
      </c>
      <c r="R26" s="2525" t="str">
        <f>IF(Huvudinmatning!N15&gt;0,Huvudinmatning!N15," ")</f>
        <v xml:space="preserve"> </v>
      </c>
      <c r="S26" s="2527" t="str">
        <f>IF(R26=" "," ",(INDEX(Stallgödseldata!B$16:D$27,MATCH(Q26,Stallgödseldata!B$16:B$27,0),3)))</f>
        <v xml:space="preserve"> </v>
      </c>
      <c r="T26" s="1611" t="str">
        <f t="shared" ref="T26:T34" si="4">IF(R26=" "," ",R26*1000*S26/100*0.4)</f>
        <v xml:space="preserve"> </v>
      </c>
      <c r="U26" s="88"/>
      <c r="V26" s="2533">
        <f t="shared" si="2"/>
        <v>1.7638640429338102</v>
      </c>
      <c r="W26" s="2532">
        <f>IF(V26=" "," ",VLOOKUP(Grunddata!E$22,Produktionsområde!B$3:D$10,2,FALSE))</f>
        <v>1.3</v>
      </c>
      <c r="X26" s="2533">
        <f t="shared" si="3"/>
        <v>2.2930232558139534</v>
      </c>
      <c r="Y26" s="665"/>
      <c r="Z26" s="486"/>
      <c r="AL26" s="2"/>
      <c r="AM26" s="2"/>
      <c r="AN26" s="2"/>
      <c r="AO26" s="2"/>
      <c r="AP26" s="2"/>
      <c r="AQ26" s="2"/>
    </row>
    <row r="27" spans="1:43" ht="14.25">
      <c r="A27" s="2318">
        <v>3</v>
      </c>
      <c r="B27" s="86" t="str">
        <f>IF(Huvudinmatning!B16&gt;0,Huvudinmatning!B16," ")</f>
        <v>Höstvete bröd</v>
      </c>
      <c r="C27" s="86">
        <f>IF(Huvudinmatning!C16&gt;0,Huvudinmatning!C16," ")</f>
        <v>8000</v>
      </c>
      <c r="D27" s="87"/>
      <c r="E27" s="2284">
        <f>IF(B27=" "," ",(INDEX(Gröddata!$A$10:$N$44,MATCH(B27,Gröddata!A$10:A$44,0),14)))</f>
        <v>1</v>
      </c>
      <c r="F27" s="790" t="str">
        <f>IF($B27=" "," ",IF(Huvudinmatning!F16=TRUE,"ja","nej"))</f>
        <v>nej</v>
      </c>
      <c r="G27" s="790" t="str">
        <f>IF($B27=" "," ",IF(Huvudinmatning!G16=TRUE,"ja","nej"))</f>
        <v>nej</v>
      </c>
      <c r="H27" s="790" t="str">
        <f>IF(B27=" "," ",IF(Huvudinmatning!H16=TRUE,"nej","ja"))</f>
        <v>ja</v>
      </c>
      <c r="I27" s="2517">
        <f t="shared" si="1"/>
        <v>1</v>
      </c>
      <c r="J27" s="2568">
        <f>IF($A27&gt;$B$19," ",IF(Huvudinmatning!$F16=TRUE,$C27*(VLOOKUP($B27,$A$70:$J$104,7,FALSE)*$I27),IF(Huvudinmatning!$G16=TRUE,$C27*(VLOOKUP($B27,$A$70:$J$104,9,FALSE)*$I27),$C27*(VLOOKUP($B27,$A$70:$J$104,2,FALSE)*$I27))))</f>
        <v>4644</v>
      </c>
      <c r="K27" s="2568">
        <f>IF($A27&gt;$B$19," ",IF(Huvudinmatning!$F16=TRUE,$C27*(VLOOKUP($B27,$A$70:$J$104,8,FALSE)),IF(Huvudinmatning!$G16=TRUE,$C27*(VLOOKUP($B27,$A$70:$J$104,10,FALSE)),$C27*(VLOOKUP($B27,$A$70:$J$104,3,FALSE)))))</f>
        <v>1278.9576000000002</v>
      </c>
      <c r="L27" s="2319"/>
      <c r="M27" s="790" t="str">
        <f>IF(B27=" "," ",IF(Huvudinmatning!K16=TRUE,"ja","nej"))</f>
        <v>nej</v>
      </c>
      <c r="N27" s="2515"/>
      <c r="O27" s="2643">
        <f>IF(M27=" "," ",IF(M27="ja",Huvudinmatning!L16*2*0.4,0))</f>
        <v>0</v>
      </c>
      <c r="P27" s="87"/>
      <c r="Q27" s="694" t="str">
        <f>IF(Huvudinmatning!M16=0," ",Huvudinmatning!M16)</f>
        <v xml:space="preserve"> </v>
      </c>
      <c r="R27" s="2525" t="str">
        <f>IF(Huvudinmatning!N16=0," ",Huvudinmatning!N16)</f>
        <v xml:space="preserve"> </v>
      </c>
      <c r="S27" s="2527" t="str">
        <f>IF(R27=" "," ",(INDEX(Stallgödseldata!B$16:D$27,MATCH(Q27,Stallgödseldata!B$16:B$27,0),3)))</f>
        <v xml:space="preserve"> </v>
      </c>
      <c r="T27" s="1611" t="str">
        <f t="shared" si="4"/>
        <v xml:space="preserve"> </v>
      </c>
      <c r="U27" s="88"/>
      <c r="V27" s="2533">
        <f t="shared" si="2"/>
        <v>1.7638640429338102</v>
      </c>
      <c r="W27" s="2532">
        <f>IF(V27=" "," ",VLOOKUP(Grunddata!E$22,Produktionsområde!B$3:D$10,2,FALSE))</f>
        <v>1.3</v>
      </c>
      <c r="X27" s="2533">
        <f t="shared" si="3"/>
        <v>2.2930232558139534</v>
      </c>
      <c r="Y27" s="665"/>
      <c r="Z27" s="486"/>
      <c r="AL27" s="2"/>
      <c r="AM27" s="2"/>
      <c r="AN27" s="2"/>
      <c r="AO27" s="2"/>
      <c r="AP27" s="2"/>
      <c r="AQ27" s="2"/>
    </row>
    <row r="28" spans="1:43" ht="14.25">
      <c r="A28" s="2318">
        <v>4</v>
      </c>
      <c r="B28" s="86" t="str">
        <f>IF(Huvudinmatning!B17&gt;0,Huvudinmatning!B17," ")</f>
        <v>Foderärt</v>
      </c>
      <c r="C28" s="86">
        <f>IF(Huvudinmatning!C17&gt;0,Huvudinmatning!C17," ")</f>
        <v>4000</v>
      </c>
      <c r="D28" s="87"/>
      <c r="E28" s="2284">
        <f>IF(B28=" "," ",(INDEX(Gröddata!$A$10:$N$44,MATCH(B28,Gröddata!A$10:A$44,0),14)))</f>
        <v>1</v>
      </c>
      <c r="F28" s="790" t="str">
        <f>IF($B28=" "," ",IF(Huvudinmatning!F17=TRUE,"ja","nej"))</f>
        <v>nej</v>
      </c>
      <c r="G28" s="790" t="str">
        <f>IF($B28=" "," ",IF(Huvudinmatning!G17=TRUE,"ja","nej"))</f>
        <v>nej</v>
      </c>
      <c r="H28" s="790" t="str">
        <f>IF(B28=" "," ",IF(Huvudinmatning!H17=TRUE,"nej","ja"))</f>
        <v>ja</v>
      </c>
      <c r="I28" s="2517">
        <f t="shared" si="1"/>
        <v>1</v>
      </c>
      <c r="J28" s="2568">
        <f>IF($A28&gt;$B$19," ",IF(Huvudinmatning!$F17=TRUE,$C28*(VLOOKUP($B28,$A$70:$J$104,7,FALSE)*$I28),IF(Huvudinmatning!$G17=TRUE,$C28*(VLOOKUP($B28,$A$70:$J$104,9,FALSE)*$I28),$C28*(VLOOKUP($B28,$A$70:$J$104,2,FALSE)*$I28))))</f>
        <v>1488.82092555332</v>
      </c>
      <c r="K28" s="2568">
        <f>IF($A28&gt;$B$19," ",IF(Huvudinmatning!$F17=TRUE,$C28*(VLOOKUP($B28,$A$70:$J$104,8,FALSE)),IF(Huvudinmatning!$G17=TRUE,$C28*(VLOOKUP($B28,$A$70:$J$104,10,FALSE)),$C28*(VLOOKUP($B28,$A$70:$J$104,3,FALSE)))))</f>
        <v>77.867203219315911</v>
      </c>
      <c r="L28" s="2319"/>
      <c r="M28" s="790" t="str">
        <f>IF(B28=" "," ",IF(Huvudinmatning!K17=TRUE,"ja","nej"))</f>
        <v>nej</v>
      </c>
      <c r="N28" s="2515"/>
      <c r="O28" s="2643">
        <f>IF(M28=" "," ",IF(M28="ja",Huvudinmatning!L17*2*0.4,0))</f>
        <v>0</v>
      </c>
      <c r="P28" s="87"/>
      <c r="Q28" s="694" t="str">
        <f>IF(Huvudinmatning!M17=0," ",Huvudinmatning!M17)</f>
        <v xml:space="preserve"> </v>
      </c>
      <c r="R28" s="2525" t="str">
        <f>IF(Huvudinmatning!N17=0," ",Huvudinmatning!N17)</f>
        <v xml:space="preserve"> </v>
      </c>
      <c r="S28" s="2527" t="str">
        <f>IF(R28=" "," ",(INDEX(Stallgödseldata!B$16:D$27,MATCH(Q28,Stallgödseldata!B$16:B$27,0),3)))</f>
        <v xml:space="preserve"> </v>
      </c>
      <c r="T28" s="1611" t="str">
        <f t="shared" si="4"/>
        <v xml:space="preserve"> </v>
      </c>
      <c r="U28" s="88"/>
      <c r="V28" s="2533">
        <f t="shared" si="2"/>
        <v>1.7638640429338102</v>
      </c>
      <c r="W28" s="2532">
        <f>IF(V28=" "," ",VLOOKUP(Grunddata!E$22,Produktionsområde!B$3:D$10,2,FALSE))</f>
        <v>1.3</v>
      </c>
      <c r="X28" s="2533">
        <f t="shared" si="3"/>
        <v>2.2930232558139534</v>
      </c>
      <c r="Y28" s="665"/>
      <c r="Z28" s="486"/>
      <c r="AJ28" s="2"/>
      <c r="AK28" s="2"/>
      <c r="AL28" s="2"/>
      <c r="AM28" s="2"/>
      <c r="AN28" s="2"/>
      <c r="AO28" s="2"/>
      <c r="AP28" s="2"/>
      <c r="AQ28" s="2"/>
    </row>
    <row r="29" spans="1:43" ht="14.25">
      <c r="A29" s="2318">
        <v>5</v>
      </c>
      <c r="B29" s="86" t="str">
        <f>IF(Huvudinmatning!B18&gt;0,Huvudinmatning!B18," ")</f>
        <v>Höstvete bröd</v>
      </c>
      <c r="C29" s="86">
        <f>IF(Huvudinmatning!C18&gt;0,Huvudinmatning!C18," ")</f>
        <v>8000</v>
      </c>
      <c r="D29" s="87"/>
      <c r="E29" s="2284">
        <f>IF(B29=" "," ",(INDEX(Gröddata!$A$10:$N$44,MATCH(B29,Gröddata!A$10:A$44,0),14)))</f>
        <v>1</v>
      </c>
      <c r="F29" s="790" t="str">
        <f>IF($B29=" "," ",IF(Huvudinmatning!F18=TRUE,"ja","nej"))</f>
        <v>nej</v>
      </c>
      <c r="G29" s="790" t="str">
        <f>IF($B29=" "," ",IF(Huvudinmatning!G18=TRUE,"ja","nej"))</f>
        <v>nej</v>
      </c>
      <c r="H29" s="790" t="str">
        <f>IF(B29=" "," ",IF(Huvudinmatning!H18=TRUE,"nej","ja"))</f>
        <v>ja</v>
      </c>
      <c r="I29" s="2517">
        <f t="shared" si="1"/>
        <v>1</v>
      </c>
      <c r="J29" s="2568">
        <f>IF($A29&gt;$B$19," ",IF(Huvudinmatning!$F18=TRUE,$C29*(VLOOKUP($B29,$A$70:$J$104,7,FALSE)*$I29),IF(Huvudinmatning!$G18=TRUE,$C29*(VLOOKUP($B29,$A$70:$J$104,9,FALSE)*$I29),$C29*(VLOOKUP($B29,$A$70:$J$104,2,FALSE)*$I29))))</f>
        <v>4644</v>
      </c>
      <c r="K29" s="2568">
        <f>IF($A29&gt;$B$19," ",IF(Huvudinmatning!$F18=TRUE,$C29*(VLOOKUP($B29,$A$70:$J$104,8,FALSE)),IF(Huvudinmatning!$G18=TRUE,$C29*(VLOOKUP($B29,$A$70:$J$104,10,FALSE)),$C29*(VLOOKUP($B29,$A$70:$J$104,3,FALSE)))))</f>
        <v>1278.9576000000002</v>
      </c>
      <c r="L29" s="2319"/>
      <c r="M29" s="790" t="str">
        <f>IF(B29=" "," ",IF(Huvudinmatning!K18=TRUE,"ja","nej"))</f>
        <v>nej</v>
      </c>
      <c r="N29" s="2515"/>
      <c r="O29" s="2643">
        <f>IF(M29=" "," ",IF(M29="ja",Huvudinmatning!L18*2*0.4,0))</f>
        <v>0</v>
      </c>
      <c r="P29" s="87"/>
      <c r="Q29" s="694" t="str">
        <f>IF(Huvudinmatning!M18=0," ",Huvudinmatning!M18)</f>
        <v xml:space="preserve"> </v>
      </c>
      <c r="R29" s="2525" t="str">
        <f>IF(Huvudinmatning!N18=0," ",Huvudinmatning!N18)</f>
        <v xml:space="preserve"> </v>
      </c>
      <c r="S29" s="2527" t="str">
        <f>IF(R29=" "," ",(INDEX(Stallgödseldata!B$16:D$27,MATCH(Q29,Stallgödseldata!B$16:B$27,0),3)))</f>
        <v xml:space="preserve"> </v>
      </c>
      <c r="T29" s="1611" t="str">
        <f t="shared" si="4"/>
        <v xml:space="preserve"> </v>
      </c>
      <c r="U29" s="88"/>
      <c r="V29" s="2533">
        <f t="shared" si="2"/>
        <v>1.7638640429338102</v>
      </c>
      <c r="W29" s="2532">
        <f>IF(V29=" "," ",VLOOKUP(Grunddata!E$22,Produktionsområde!B$3:D$10,2,FALSE))</f>
        <v>1.3</v>
      </c>
      <c r="X29" s="2533">
        <f t="shared" si="3"/>
        <v>2.2930232558139534</v>
      </c>
      <c r="Y29" s="665"/>
      <c r="Z29" s="486"/>
      <c r="AJ29" s="2"/>
      <c r="AK29" s="2"/>
      <c r="AL29" s="2"/>
      <c r="AM29" s="2"/>
      <c r="AN29" s="2"/>
      <c r="AO29" s="2"/>
      <c r="AP29" s="2"/>
      <c r="AQ29" s="2"/>
    </row>
    <row r="30" spans="1:43" ht="14.25">
      <c r="A30" s="2318">
        <v>6</v>
      </c>
      <c r="B30" s="86" t="str">
        <f>IF(Huvudinmatning!B19&gt;0,Huvudinmatning!B19," ")</f>
        <v>Höstvete bröd</v>
      </c>
      <c r="C30" s="86">
        <f>IF(Huvudinmatning!C19&gt;0,Huvudinmatning!C19," ")</f>
        <v>8000</v>
      </c>
      <c r="D30" s="87"/>
      <c r="E30" s="2284">
        <f>IF(B30=" "," ",(INDEX(Gröddata!$A$10:$N$44,MATCH(B30,Gröddata!A$10:A$44,0),14)))</f>
        <v>1</v>
      </c>
      <c r="F30" s="790" t="str">
        <f>IF($B30=" "," ",IF(Huvudinmatning!F19=TRUE,"ja","nej"))</f>
        <v>nej</v>
      </c>
      <c r="G30" s="790" t="str">
        <f>IF($B30=" "," ",IF(Huvudinmatning!G19=TRUE,"ja","nej"))</f>
        <v>nej</v>
      </c>
      <c r="H30" s="790" t="str">
        <f>IF(B30=" "," ",IF(Huvudinmatning!H19=TRUE,"nej","ja"))</f>
        <v>ja</v>
      </c>
      <c r="I30" s="2517">
        <f t="shared" si="1"/>
        <v>1</v>
      </c>
      <c r="J30" s="2705">
        <f>IF($A30&gt;$B$19," ",IF(Huvudinmatning!$F19=TRUE,$C30*(VLOOKUP($B30,$A$70:$J$104,7,FALSE)*$I30),IF(Huvudinmatning!$G19=TRUE,$C30*(VLOOKUP($B30,$A$70:$J$104,9,FALSE)*$I30),$C30*(VLOOKUP($B30,$A$70:$J$104,2,FALSE)*$I30))))</f>
        <v>4644</v>
      </c>
      <c r="K30" s="2705">
        <f>IF($A30&gt;$B$19," ",IF(Huvudinmatning!$F19=TRUE,$C30*(VLOOKUP($B30,$A$70:$J$104,8,FALSE)),IF(Huvudinmatning!$G19=TRUE,$C30*(VLOOKUP($B30,$A$70:$J$104,10,FALSE)),$C30*(VLOOKUP($B30,$A$70:$J$104,3,FALSE)))))</f>
        <v>1278.9576000000002</v>
      </c>
      <c r="L30" s="2319"/>
      <c r="M30" s="790" t="str">
        <f>IF(B30=" "," ",IF(Huvudinmatning!K19=TRUE,"ja","nej"))</f>
        <v>nej</v>
      </c>
      <c r="N30" s="2515"/>
      <c r="O30" s="2643">
        <f>IF(M30=" "," ",IF(M30="ja",Huvudinmatning!L19*2*0.4,0))</f>
        <v>0</v>
      </c>
      <c r="P30" s="87"/>
      <c r="Q30" s="694" t="str">
        <f>IF(Huvudinmatning!M19=0," ",Huvudinmatning!M19)</f>
        <v xml:space="preserve"> </v>
      </c>
      <c r="R30" s="2525" t="str">
        <f>IF(Huvudinmatning!N19=0," ",Huvudinmatning!N19)</f>
        <v xml:space="preserve"> </v>
      </c>
      <c r="S30" s="2527" t="str">
        <f>IF(R30=" "," ",(INDEX(Stallgödseldata!B$16:D$27,MATCH(Q30,Stallgödseldata!B$16:B$27,0),3)))</f>
        <v xml:space="preserve"> </v>
      </c>
      <c r="T30" s="1611" t="str">
        <f t="shared" si="4"/>
        <v xml:space="preserve"> </v>
      </c>
      <c r="U30" s="2319"/>
      <c r="V30" s="2533">
        <f t="shared" si="2"/>
        <v>1.7638640429338102</v>
      </c>
      <c r="W30" s="2532">
        <f>IF(V30=" "," ",VLOOKUP(Grunddata!E$22,Produktionsområde!B$3:D$10,2,FALSE))</f>
        <v>1.3</v>
      </c>
      <c r="X30" s="2533">
        <f t="shared" si="3"/>
        <v>2.2930232558139534</v>
      </c>
      <c r="Y30" s="665"/>
      <c r="Z30" s="486"/>
      <c r="AJ30" s="2"/>
      <c r="AK30" s="2"/>
      <c r="AL30" s="2"/>
      <c r="AM30" s="2"/>
      <c r="AN30" s="2"/>
      <c r="AO30" s="2"/>
      <c r="AP30" s="2"/>
      <c r="AQ30" s="2"/>
    </row>
    <row r="31" spans="1:43" s="20" customFormat="1" ht="14.25">
      <c r="A31" s="2318">
        <v>7</v>
      </c>
      <c r="B31" s="86" t="str">
        <f>IF(Huvudinmatning!B20&gt;0,Huvudinmatning!B20," ")</f>
        <v>Maltkorn</v>
      </c>
      <c r="C31" s="86">
        <f>IF(Huvudinmatning!C20&gt;0,Huvudinmatning!C20," ")</f>
        <v>5500</v>
      </c>
      <c r="D31" s="87"/>
      <c r="E31" s="2284">
        <f>IF(B31=" "," ",(INDEX(Gröddata!$A$10:$N$44,MATCH(B31,Gröddata!A$10:A$44,0),14)))</f>
        <v>1</v>
      </c>
      <c r="F31" s="790" t="str">
        <f>IF($B31=" "," ",IF(Huvudinmatning!F20=TRUE,"ja","nej"))</f>
        <v>nej</v>
      </c>
      <c r="G31" s="790" t="str">
        <f>IF($B31=" "," ",IF(Huvudinmatning!G20=TRUE,"ja","nej"))</f>
        <v>nej</v>
      </c>
      <c r="H31" s="790" t="str">
        <f>IF(B31=" "," ",IF(Huvudinmatning!H20=TRUE,"nej","ja"))</f>
        <v>ja</v>
      </c>
      <c r="I31" s="2517">
        <f t="shared" si="1"/>
        <v>1</v>
      </c>
      <c r="J31" s="2705">
        <f>IF($A31&gt;$B$19," ",IF(Huvudinmatning!$F20=TRUE,$C31*(VLOOKUP($B31,$A$70:$J$104,7,FALSE)*$I31),IF(Huvudinmatning!$G20=TRUE,$C31*(VLOOKUP($B31,$A$70:$J$104,9,FALSE)*$I31),$C31*(VLOOKUP($B31,$A$70:$J$104,2,FALSE)*$I31))))</f>
        <v>1908.2403433476395</v>
      </c>
      <c r="K31" s="2705">
        <f>IF($A31&gt;$B$19," ",IF(Huvudinmatning!$F20=TRUE,$C31*(VLOOKUP($B31,$A$70:$J$104,8,FALSE)),IF(Huvudinmatning!$G20=TRUE,$C31*(VLOOKUP($B31,$A$70:$J$104,10,FALSE)),$C31*(VLOOKUP($B31,$A$70:$J$104,3,FALSE)))))</f>
        <v>670.88858369098705</v>
      </c>
      <c r="L31" s="2319"/>
      <c r="M31" s="790" t="str">
        <f>IF(B31=" "," ",IF(Huvudinmatning!K20=TRUE,"ja","nej"))</f>
        <v>nej</v>
      </c>
      <c r="N31" s="2515"/>
      <c r="O31" s="2643">
        <f>IF(M31=" "," ",IF(M31="ja",Huvudinmatning!L20*2*0.4,0))</f>
        <v>0</v>
      </c>
      <c r="P31" s="87"/>
      <c r="Q31" s="694" t="str">
        <f>IF(Huvudinmatning!M20=0," ",Huvudinmatning!M20)</f>
        <v xml:space="preserve"> </v>
      </c>
      <c r="R31" s="2525" t="str">
        <f>IF(Huvudinmatning!N20=0," ",Huvudinmatning!N20)</f>
        <v xml:space="preserve"> </v>
      </c>
      <c r="S31" s="2527" t="str">
        <f>IF(R31=" "," ",(INDEX(Stallgödseldata!B$16:D$27,MATCH(Q31,Stallgödseldata!B$16:B$27,0),3)))</f>
        <v xml:space="preserve"> </v>
      </c>
      <c r="T31" s="1611" t="str">
        <f t="shared" si="4"/>
        <v xml:space="preserve"> </v>
      </c>
      <c r="U31" s="2319"/>
      <c r="V31" s="2533">
        <f t="shared" si="2"/>
        <v>1.7638640429338102</v>
      </c>
      <c r="W31" s="2532">
        <f>IF(V31=" "," ",VLOOKUP(Grunddata!E$22,Produktionsområde!B$3:D$10,2,FALSE))</f>
        <v>1.3</v>
      </c>
      <c r="X31" s="2533">
        <f t="shared" si="3"/>
        <v>2.2930232558139534</v>
      </c>
      <c r="Y31" s="665"/>
      <c r="Z31" s="486"/>
      <c r="AJ31" s="2"/>
      <c r="AK31" s="2"/>
      <c r="AL31" s="2"/>
      <c r="AM31" s="2"/>
      <c r="AN31" s="2"/>
      <c r="AO31" s="2"/>
      <c r="AP31" s="2"/>
      <c r="AQ31" s="2"/>
    </row>
    <row r="32" spans="1:43" ht="14.25">
      <c r="A32" s="2318">
        <v>8</v>
      </c>
      <c r="B32" s="86" t="str">
        <f>IF(Huvudinmatning!B21&gt;0,Huvudinmatning!B21," ")</f>
        <v xml:space="preserve"> </v>
      </c>
      <c r="C32" s="86" t="str">
        <f>IF(Huvudinmatning!C21&gt;0,Huvudinmatning!C21," ")</f>
        <v xml:space="preserve"> </v>
      </c>
      <c r="D32" s="87"/>
      <c r="E32" s="2284" t="str">
        <f>IF(B32=" "," ",(INDEX(Gröddata!$A$10:$N$44,MATCH(B32,Gröddata!A$10:A$44,0),14)))</f>
        <v xml:space="preserve"> </v>
      </c>
      <c r="F32" s="790" t="str">
        <f>IF($B32=" "," ",IF(Huvudinmatning!F21=TRUE,"ja","nej"))</f>
        <v xml:space="preserve"> </v>
      </c>
      <c r="G32" s="790" t="str">
        <f>IF($B32=" "," ",IF(Huvudinmatning!G21=TRUE,"ja","nej"))</f>
        <v xml:space="preserve"> </v>
      </c>
      <c r="H32" s="790" t="str">
        <f>IF(B32=" "," ",IF(Huvudinmatning!H21=TRUE,"nej","ja"))</f>
        <v xml:space="preserve"> </v>
      </c>
      <c r="I32" s="2517" t="str">
        <f t="shared" si="1"/>
        <v xml:space="preserve"> </v>
      </c>
      <c r="J32" s="2705" t="str">
        <f>IF($A32&gt;$B$19," ",IF(Huvudinmatning!$F21=TRUE,$C32*(VLOOKUP($B32,$A$70:$J$104,7,FALSE)*$I32),IF(Huvudinmatning!$G21=TRUE,$C32*(VLOOKUP($B32,$A$70:$J$104,9,FALSE)*$I32),$C32*(VLOOKUP($B32,$A$70:$J$104,2,FALSE)*$I32))))</f>
        <v xml:space="preserve"> </v>
      </c>
      <c r="K32" s="2705" t="str">
        <f>IF($A32&gt;$B$19," ",IF(Huvudinmatning!$F21=TRUE,$C32*(VLOOKUP($B32,$A$70:$J$104,8,FALSE)),IF(Huvudinmatning!$G21=TRUE,$C32*(VLOOKUP($B32,$A$70:$J$104,10,FALSE)),$C32*(VLOOKUP($B32,$A$70:$J$104,3,FALSE)))))</f>
        <v xml:space="preserve"> </v>
      </c>
      <c r="L32" s="2319"/>
      <c r="M32" s="790" t="str">
        <f>IF(B32=" "," ",IF(Huvudinmatning!K21=TRUE,"ja","nej"))</f>
        <v xml:space="preserve"> </v>
      </c>
      <c r="N32" s="2515"/>
      <c r="O32" s="2643" t="str">
        <f>IF(M32=" "," ",IF(M32="ja",Huvudinmatning!L21*2*0.4,0))</f>
        <v xml:space="preserve"> </v>
      </c>
      <c r="P32" s="87"/>
      <c r="Q32" s="694" t="str">
        <f>IF(Huvudinmatning!M21=0," ",Huvudinmatning!M21)</f>
        <v xml:space="preserve"> </v>
      </c>
      <c r="R32" s="2525" t="str">
        <f>IF(Huvudinmatning!N21=0," ",Huvudinmatning!N21)</f>
        <v xml:space="preserve"> </v>
      </c>
      <c r="S32" s="2527" t="str">
        <f>IF(R32=" "," ",(INDEX(Stallgödseldata!B$16:D$27,MATCH(Q32,Stallgödseldata!B$16:B$27,0),3)))</f>
        <v xml:space="preserve"> </v>
      </c>
      <c r="T32" s="1611" t="str">
        <f t="shared" si="4"/>
        <v xml:space="preserve"> </v>
      </c>
      <c r="U32" s="2319"/>
      <c r="V32" s="2533" t="str">
        <f t="shared" si="2"/>
        <v xml:space="preserve"> </v>
      </c>
      <c r="W32" s="2532" t="str">
        <f>IF(V32=" "," ",VLOOKUP(Grunddata!E$22,Produktionsområde!B$3:D$10,2,FALSE))</f>
        <v xml:space="preserve"> </v>
      </c>
      <c r="X32" s="2533" t="str">
        <f t="shared" si="3"/>
        <v xml:space="preserve"> </v>
      </c>
      <c r="Y32" s="665"/>
      <c r="Z32" s="486"/>
      <c r="AD32" s="276"/>
      <c r="AE32" s="73"/>
      <c r="AF32" s="73"/>
      <c r="AG32" s="9"/>
      <c r="AH32" s="73"/>
      <c r="AI32" s="9"/>
      <c r="AJ32" s="2"/>
      <c r="AK32" s="2"/>
      <c r="AL32" s="2"/>
      <c r="AM32" s="2"/>
      <c r="AN32" s="2"/>
      <c r="AO32" s="2"/>
      <c r="AP32" s="2"/>
      <c r="AQ32" s="2"/>
    </row>
    <row r="33" spans="1:43" ht="14.25">
      <c r="A33" s="2318">
        <v>9</v>
      </c>
      <c r="B33" s="86" t="str">
        <f>IF(Huvudinmatning!B22&gt;0,Huvudinmatning!B22," ")</f>
        <v xml:space="preserve"> </v>
      </c>
      <c r="C33" s="86" t="str">
        <f>IF(Huvudinmatning!C22&gt;0,Huvudinmatning!C22," ")</f>
        <v xml:space="preserve"> </v>
      </c>
      <c r="D33" s="87"/>
      <c r="E33" s="2284" t="str">
        <f>IF(B33=" "," ",(INDEX(Gröddata!$A$10:$N$44,MATCH(B33,Gröddata!A$10:A$44,0),14)))</f>
        <v xml:space="preserve"> </v>
      </c>
      <c r="F33" s="790" t="str">
        <f>IF($B33=" "," ",IF(Huvudinmatning!F22=TRUE,"ja","nej"))</f>
        <v xml:space="preserve"> </v>
      </c>
      <c r="G33" s="790" t="str">
        <f>IF($B33=" "," ",IF(Huvudinmatning!G22=TRUE,"ja","nej"))</f>
        <v xml:space="preserve"> </v>
      </c>
      <c r="H33" s="790" t="str">
        <f>IF(B33=" "," ",IF(Huvudinmatning!H22=TRUE,"nej","ja"))</f>
        <v xml:space="preserve"> </v>
      </c>
      <c r="I33" s="2517" t="str">
        <f t="shared" si="1"/>
        <v xml:space="preserve"> </v>
      </c>
      <c r="J33" s="2705" t="str">
        <f>IF($A33&gt;$B$19," ",IF(Huvudinmatning!$F22=TRUE,$C33*(VLOOKUP($B33,$A$70:$J$104,7,FALSE)*$I33),IF(Huvudinmatning!$G22=TRUE,$C33*(VLOOKUP($B33,$A$70:$J$104,9,FALSE)*$I33),$C33*(VLOOKUP($B33,$A$70:$J$104,2,FALSE)*$I33))))</f>
        <v xml:space="preserve"> </v>
      </c>
      <c r="K33" s="2705" t="str">
        <f>IF($A33&gt;$B$19," ",IF(Huvudinmatning!$F22=TRUE,$C33*(VLOOKUP($B33,$A$70:$J$104,8,FALSE)),IF(Huvudinmatning!$G22=TRUE,$C33*(VLOOKUP($B33,$A$70:$J$104,10,FALSE)),$C33*(VLOOKUP($B33,$A$70:$J$104,3,FALSE)))))</f>
        <v xml:space="preserve"> </v>
      </c>
      <c r="L33" s="2319"/>
      <c r="M33" s="790" t="str">
        <f>IF(B33=" "," ",IF(Huvudinmatning!K22=TRUE,"ja","nej"))</f>
        <v xml:space="preserve"> </v>
      </c>
      <c r="N33" s="2515"/>
      <c r="O33" s="2643" t="str">
        <f>IF(M33=" "," ",IF(M33="ja",Huvudinmatning!L22*2*0.4,0))</f>
        <v xml:space="preserve"> </v>
      </c>
      <c r="P33" s="87"/>
      <c r="Q33" s="694" t="str">
        <f>IF(Huvudinmatning!M22=0," ",Huvudinmatning!M22)</f>
        <v xml:space="preserve"> </v>
      </c>
      <c r="R33" s="2525" t="str">
        <f>IF(Huvudinmatning!N22=0," ",Huvudinmatning!N22)</f>
        <v xml:space="preserve"> </v>
      </c>
      <c r="S33" s="2527" t="str">
        <f>IF(R33=" "," ",(INDEX(Stallgödseldata!B$16:D$27,MATCH(Q33,Stallgödseldata!B$16:B$27,0),3)))</f>
        <v xml:space="preserve"> </v>
      </c>
      <c r="T33" s="1611" t="str">
        <f t="shared" si="4"/>
        <v xml:space="preserve"> </v>
      </c>
      <c r="U33" s="2319"/>
      <c r="V33" s="2533" t="str">
        <f t="shared" si="2"/>
        <v xml:space="preserve"> </v>
      </c>
      <c r="W33" s="2532" t="str">
        <f>IF(V33=" "," ",VLOOKUP(Grunddata!E$22,Produktionsområde!B$3:D$10,2,FALSE))</f>
        <v xml:space="preserve"> </v>
      </c>
      <c r="X33" s="2533" t="str">
        <f t="shared" si="3"/>
        <v xml:space="preserve"> </v>
      </c>
      <c r="Y33" s="665"/>
      <c r="Z33" s="486"/>
      <c r="AD33" s="73"/>
      <c r="AE33" s="73"/>
      <c r="AF33" s="9"/>
      <c r="AG33" s="9"/>
      <c r="AH33" s="9"/>
      <c r="AI33" s="9"/>
      <c r="AJ33" s="2"/>
      <c r="AK33" s="2"/>
      <c r="AL33" s="2"/>
      <c r="AM33" s="2"/>
      <c r="AN33" s="2"/>
      <c r="AO33" s="2"/>
      <c r="AP33" s="2"/>
      <c r="AQ33" s="2"/>
    </row>
    <row r="34" spans="1:43" ht="14.25">
      <c r="A34" s="2318">
        <v>10</v>
      </c>
      <c r="B34" s="86" t="str">
        <f>IF(Huvudinmatning!B23&gt;0,Huvudinmatning!B23," ")</f>
        <v xml:space="preserve"> </v>
      </c>
      <c r="C34" s="86" t="str">
        <f>IF(Huvudinmatning!C23&gt;0,Huvudinmatning!C23," ")</f>
        <v xml:space="preserve"> </v>
      </c>
      <c r="D34" s="87"/>
      <c r="E34" s="2284" t="str">
        <f>IF(B34=" "," ",(INDEX(Gröddata!$A$10:$N$44,MATCH(B34,Gröddata!A$10:A$44,0),14)))</f>
        <v xml:space="preserve"> </v>
      </c>
      <c r="F34" s="790" t="str">
        <f>IF($B34=" "," ",IF(Huvudinmatning!F23=TRUE,"ja","nej"))</f>
        <v xml:space="preserve"> </v>
      </c>
      <c r="G34" s="790" t="str">
        <f>IF($B34=" "," ",IF(Huvudinmatning!G23=TRUE,"ja","nej"))</f>
        <v xml:space="preserve"> </v>
      </c>
      <c r="H34" s="790" t="str">
        <f>IF(B34=" "," ",IF(Huvudinmatning!H23=TRUE,"nej","ja"))</f>
        <v xml:space="preserve"> </v>
      </c>
      <c r="I34" s="2517" t="str">
        <f t="shared" si="1"/>
        <v xml:space="preserve"> </v>
      </c>
      <c r="J34" s="2705" t="str">
        <f>IF($A34&gt;$B$19," ",IF(Huvudinmatning!$F23=TRUE,$C34*(VLOOKUP($B34,$A$70:$J$104,7,FALSE)*$I34),IF(Huvudinmatning!$G23=TRUE,$C34*(VLOOKUP($B34,$A$70:$J$104,9,FALSE)*$I34),$C34*(VLOOKUP($B34,$A$70:$J$104,2,FALSE)*$I34))))</f>
        <v xml:space="preserve"> </v>
      </c>
      <c r="K34" s="2705" t="str">
        <f>IF($A34&gt;$B$19," ",IF(Huvudinmatning!$F23=TRUE,$C34*(VLOOKUP($B34,$A$70:$J$104,8,FALSE)),IF(Huvudinmatning!$G23=TRUE,$C34*(VLOOKUP($B34,$A$70:$J$104,10,FALSE)),$C34*(VLOOKUP($B34,$A$70:$J$104,3,FALSE)))))</f>
        <v xml:space="preserve"> </v>
      </c>
      <c r="L34" s="2319"/>
      <c r="M34" s="790" t="str">
        <f>IF(B34=" "," ",IF(Huvudinmatning!K23=TRUE,"ja","nej"))</f>
        <v xml:space="preserve"> </v>
      </c>
      <c r="N34" s="2515"/>
      <c r="O34" s="2643" t="str">
        <f>IF(M34=" "," ",IF(M34="ja",Huvudinmatning!L23*2*0.4,0))</f>
        <v xml:space="preserve"> </v>
      </c>
      <c r="P34" s="87"/>
      <c r="Q34" s="694" t="str">
        <f>IF(Huvudinmatning!M23=0," ",Huvudinmatning!M23)</f>
        <v xml:space="preserve"> </v>
      </c>
      <c r="R34" s="2525" t="str">
        <f>IF(Huvudinmatning!N23=0," ",Huvudinmatning!N23)</f>
        <v xml:space="preserve"> </v>
      </c>
      <c r="S34" s="2527" t="str">
        <f>IF(R34=" "," ",(INDEX(Stallgödseldata!B$16:D$27,MATCH(Q34,Stallgödseldata!B$16:B$27,0),3)))</f>
        <v xml:space="preserve"> </v>
      </c>
      <c r="T34" s="1611" t="str">
        <f t="shared" si="4"/>
        <v xml:space="preserve"> </v>
      </c>
      <c r="U34" s="2319"/>
      <c r="V34" s="2533" t="str">
        <f t="shared" si="2"/>
        <v xml:space="preserve"> </v>
      </c>
      <c r="W34" s="2532" t="str">
        <f>IF(V34=" "," ",VLOOKUP(Grunddata!E$22,Produktionsområde!B$3:D$10,2,FALSE))</f>
        <v xml:space="preserve"> </v>
      </c>
      <c r="X34" s="2533" t="str">
        <f t="shared" si="3"/>
        <v xml:space="preserve"> </v>
      </c>
      <c r="Y34" s="665"/>
      <c r="Z34" s="486"/>
      <c r="AD34" s="73"/>
      <c r="AE34" s="73"/>
      <c r="AF34" s="9"/>
      <c r="AG34" s="9"/>
      <c r="AH34" s="9"/>
      <c r="AI34" s="9"/>
      <c r="AJ34" s="2"/>
      <c r="AK34" s="2"/>
      <c r="AL34" s="2"/>
      <c r="AM34" s="2"/>
      <c r="AN34" s="2"/>
      <c r="AO34" s="2"/>
      <c r="AP34" s="2"/>
      <c r="AQ34" s="2"/>
    </row>
    <row r="35" spans="1:43">
      <c r="A35" s="2304"/>
      <c r="B35" s="2304"/>
      <c r="C35" s="2304"/>
      <c r="D35" s="89"/>
      <c r="E35" s="2514"/>
      <c r="F35" s="2514"/>
      <c r="G35" s="2514"/>
      <c r="H35" s="2514"/>
      <c r="I35" s="89" t="s">
        <v>1444</v>
      </c>
      <c r="J35" s="2659">
        <f>SUM(J25:J34)/B19</f>
        <v>3754.2723665615231</v>
      </c>
      <c r="K35" s="2659">
        <f>SUM(K25:K34)/B19</f>
        <v>1031.3982742262244</v>
      </c>
      <c r="L35" s="2304"/>
      <c r="M35" s="89"/>
      <c r="N35" s="89" t="s">
        <v>346</v>
      </c>
      <c r="O35" s="2659">
        <f>SUM(O25:O34)/B19</f>
        <v>0</v>
      </c>
      <c r="P35" s="2320"/>
      <c r="Q35" s="665"/>
      <c r="R35" s="2514"/>
      <c r="S35" s="2514"/>
      <c r="T35" s="2659">
        <f>SUM(T25:T34)/B19</f>
        <v>0</v>
      </c>
      <c r="U35" s="2320"/>
      <c r="V35" s="2657"/>
      <c r="W35" s="2658"/>
      <c r="X35" s="2657"/>
      <c r="Y35" s="665"/>
      <c r="Z35" s="486"/>
      <c r="AB35" s="73"/>
      <c r="AC35" s="73"/>
      <c r="AD35" s="9"/>
      <c r="AE35" s="9"/>
      <c r="AF35" s="9"/>
      <c r="AG35" s="9"/>
      <c r="AH35" s="2"/>
      <c r="AI35" s="2"/>
      <c r="AJ35" s="2"/>
      <c r="AK35" s="2"/>
      <c r="AL35" s="2"/>
      <c r="AM35" s="2"/>
      <c r="AN35" s="2"/>
      <c r="AO35" s="2"/>
      <c r="AP35" s="2"/>
      <c r="AQ35" s="2"/>
    </row>
    <row r="36" spans="1:43">
      <c r="A36" s="2304"/>
      <c r="B36" s="2304"/>
      <c r="C36" s="2304"/>
      <c r="D36" s="89"/>
      <c r="E36" s="2514"/>
      <c r="F36" s="2514"/>
      <c r="G36" s="2514"/>
      <c r="H36" s="2514"/>
      <c r="I36" s="89" t="s">
        <v>1654</v>
      </c>
      <c r="J36" s="2661">
        <v>0.125</v>
      </c>
      <c r="K36" s="2661">
        <v>0.25</v>
      </c>
      <c r="L36" s="2304"/>
      <c r="M36" s="89"/>
      <c r="N36" s="2660" t="s">
        <v>1654</v>
      </c>
      <c r="O36" s="2661">
        <v>0.25</v>
      </c>
      <c r="P36" s="2320"/>
      <c r="Q36" s="665"/>
      <c r="R36" s="2514"/>
      <c r="S36" s="2660" t="s">
        <v>1654</v>
      </c>
      <c r="T36" s="2661">
        <v>0.31</v>
      </c>
      <c r="U36" s="2662">
        <v>0.25</v>
      </c>
      <c r="V36" s="2657"/>
      <c r="W36" s="2658"/>
      <c r="X36" s="2657"/>
      <c r="Y36" s="665"/>
      <c r="Z36" s="486"/>
      <c r="AB36" s="73"/>
      <c r="AC36" s="73"/>
      <c r="AD36" s="9"/>
      <c r="AE36" s="9"/>
      <c r="AF36" s="9"/>
      <c r="AG36" s="9"/>
      <c r="AH36" s="2"/>
      <c r="AI36" s="2"/>
      <c r="AJ36" s="2"/>
      <c r="AK36" s="2"/>
      <c r="AL36" s="2"/>
      <c r="AM36" s="2"/>
      <c r="AN36" s="2"/>
      <c r="AO36" s="2"/>
      <c r="AP36" s="2"/>
      <c r="AQ36" s="2"/>
    </row>
    <row r="37" spans="1:43">
      <c r="A37" s="2304"/>
      <c r="B37" s="2304"/>
      <c r="C37" s="2304"/>
      <c r="D37" s="89"/>
      <c r="E37" s="2514"/>
      <c r="F37" s="2514"/>
      <c r="G37" s="2514"/>
      <c r="H37" s="2514"/>
      <c r="I37" s="89" t="s">
        <v>307</v>
      </c>
      <c r="J37" s="1498">
        <f>J35*J36</f>
        <v>469.28404582019039</v>
      </c>
      <c r="K37" s="1498">
        <f>K35*K36</f>
        <v>257.84956855655611</v>
      </c>
      <c r="L37" s="2304"/>
      <c r="M37" s="89"/>
      <c r="N37" s="89" t="s">
        <v>307</v>
      </c>
      <c r="O37" s="2578">
        <f>O35*O36</f>
        <v>0</v>
      </c>
      <c r="P37" s="2320"/>
      <c r="Q37" s="665"/>
      <c r="R37" s="2514"/>
      <c r="S37" s="2514" t="s">
        <v>307</v>
      </c>
      <c r="T37" s="1498">
        <f>T35*T36</f>
        <v>0</v>
      </c>
      <c r="U37" s="2663">
        <f>U35*U36</f>
        <v>0</v>
      </c>
      <c r="V37" s="2304"/>
      <c r="W37" s="2304"/>
      <c r="X37" s="2534">
        <f>SUM(X25:X34)/B19</f>
        <v>2.2930232558139534</v>
      </c>
      <c r="Y37" s="665"/>
      <c r="Z37" s="486"/>
      <c r="AB37" s="73"/>
      <c r="AC37" s="73"/>
      <c r="AD37" s="9"/>
      <c r="AE37" s="9"/>
      <c r="AF37" s="9"/>
      <c r="AG37" s="9"/>
      <c r="AH37" s="2"/>
      <c r="AI37" s="2"/>
      <c r="AJ37" s="2"/>
      <c r="AK37" s="2"/>
      <c r="AL37" s="2"/>
      <c r="AM37" s="2"/>
      <c r="AN37" s="2"/>
      <c r="AO37" s="2"/>
      <c r="AP37" s="2"/>
      <c r="AQ37" s="2"/>
    </row>
    <row r="38" spans="1:43" ht="15.75" customHeight="1">
      <c r="A38" s="2304"/>
      <c r="B38" s="2304"/>
      <c r="C38" s="2304"/>
      <c r="D38" s="89"/>
      <c r="E38" s="2514"/>
      <c r="F38" s="2514"/>
      <c r="G38" s="2514"/>
      <c r="H38" s="2514"/>
      <c r="I38" s="89"/>
      <c r="J38" s="2321" t="s">
        <v>1354</v>
      </c>
      <c r="K38" s="2321" t="s">
        <v>1355</v>
      </c>
      <c r="L38" s="2304"/>
      <c r="M38" s="89"/>
      <c r="N38" s="89"/>
      <c r="O38" s="2644"/>
      <c r="P38" s="2320"/>
      <c r="Q38" s="665"/>
      <c r="R38" s="2514"/>
      <c r="S38" s="2514"/>
      <c r="T38" s="2304"/>
      <c r="U38" s="2320"/>
      <c r="V38" s="8"/>
      <c r="W38" s="89"/>
      <c r="X38" s="8"/>
      <c r="Y38" s="665"/>
      <c r="Z38" s="486"/>
      <c r="AB38" s="73"/>
      <c r="AC38" s="73"/>
      <c r="AD38" s="73"/>
      <c r="AE38" s="9"/>
      <c r="AF38" s="9"/>
      <c r="AG38" s="9"/>
      <c r="AH38" s="2"/>
      <c r="AI38" s="2"/>
      <c r="AJ38" s="2"/>
      <c r="AK38" s="2"/>
      <c r="AL38" s="2"/>
      <c r="AM38" s="2"/>
      <c r="AN38" s="2"/>
      <c r="AO38" s="2"/>
      <c r="AP38" s="2"/>
      <c r="AQ38" s="2"/>
    </row>
    <row r="39" spans="1:43" ht="12" customHeight="1">
      <c r="A39" s="2304"/>
      <c r="B39" s="2304"/>
      <c r="C39" s="2304"/>
      <c r="D39" s="89"/>
      <c r="E39" s="2514"/>
      <c r="F39" s="2514"/>
      <c r="G39" s="2514"/>
      <c r="H39" s="2514"/>
      <c r="I39" s="89"/>
      <c r="J39" s="2321" t="s">
        <v>1356</v>
      </c>
      <c r="K39" s="2304" t="s">
        <v>1437</v>
      </c>
      <c r="L39" s="2304"/>
      <c r="M39" s="89"/>
      <c r="N39" s="89"/>
      <c r="O39" s="2644"/>
      <c r="P39" s="2320"/>
      <c r="Q39" s="665"/>
      <c r="R39" s="714"/>
      <c r="S39" s="714"/>
      <c r="T39" s="2304"/>
      <c r="U39" s="2304"/>
      <c r="V39" s="8"/>
      <c r="W39" s="89"/>
      <c r="X39" s="8"/>
      <c r="Y39" s="665"/>
      <c r="Z39" s="486"/>
      <c r="AB39" s="2621"/>
      <c r="AC39" s="2648"/>
      <c r="AD39" s="2647"/>
      <c r="AE39" s="2648"/>
      <c r="AF39" s="9"/>
      <c r="AG39" s="9"/>
      <c r="AH39" s="2"/>
      <c r="AI39" s="2"/>
      <c r="AJ39" s="2"/>
      <c r="AK39" s="2"/>
      <c r="AL39" s="2"/>
      <c r="AM39" s="2"/>
      <c r="AN39" s="2"/>
      <c r="AO39" s="2"/>
      <c r="AP39" s="2"/>
      <c r="AQ39" s="2"/>
    </row>
    <row r="40" spans="1:43">
      <c r="A40" s="486"/>
      <c r="B40" s="486"/>
      <c r="C40" s="486"/>
      <c r="D40" s="710"/>
      <c r="E40" s="710"/>
      <c r="F40" s="710"/>
      <c r="G40" s="710"/>
      <c r="H40" s="710"/>
      <c r="I40" s="486"/>
      <c r="J40" s="486"/>
      <c r="K40" s="486"/>
      <c r="L40" s="486"/>
      <c r="M40" s="486"/>
      <c r="N40" s="486"/>
      <c r="O40" s="1578"/>
      <c r="P40" s="486"/>
      <c r="Q40" s="486"/>
      <c r="R40" s="486"/>
      <c r="S40" s="486"/>
      <c r="T40" s="486"/>
      <c r="U40" s="486"/>
      <c r="Z40" s="486"/>
      <c r="AB40" s="2621"/>
      <c r="AC40" s="2648"/>
      <c r="AD40" s="9"/>
      <c r="AE40" s="2648"/>
      <c r="AF40" s="9"/>
      <c r="AG40" s="9"/>
      <c r="AH40" s="2"/>
      <c r="AI40" s="2"/>
      <c r="AJ40" s="2"/>
      <c r="AK40" s="2"/>
      <c r="AL40" s="2"/>
      <c r="AM40" s="2"/>
      <c r="AN40" s="2"/>
      <c r="AO40" s="2"/>
      <c r="AP40" s="2"/>
      <c r="AQ40" s="2"/>
    </row>
    <row r="41" spans="1:43" ht="26.25">
      <c r="A41" s="2305" t="s">
        <v>147</v>
      </c>
      <c r="B41" s="2304"/>
      <c r="C41" s="2306" t="s">
        <v>1342</v>
      </c>
      <c r="D41" s="8"/>
      <c r="E41" s="716"/>
      <c r="F41" s="716"/>
      <c r="G41" s="716"/>
      <c r="H41" s="716"/>
      <c r="I41" s="2304"/>
      <c r="J41" s="2304"/>
      <c r="K41" s="2304"/>
      <c r="L41" s="2304"/>
      <c r="M41" s="2304"/>
      <c r="N41" s="2304"/>
      <c r="O41" s="2645"/>
      <c r="P41" s="2304"/>
      <c r="Q41" s="665"/>
      <c r="R41" s="714"/>
      <c r="S41" s="714"/>
      <c r="T41" s="2304"/>
      <c r="U41" s="2304"/>
      <c r="V41" s="665"/>
      <c r="W41" s="665"/>
      <c r="X41" s="665"/>
      <c r="Y41" s="665"/>
      <c r="Z41" s="486"/>
      <c r="AB41" s="2621"/>
      <c r="AC41" s="2649"/>
      <c r="AD41" s="9"/>
      <c r="AE41" s="2621"/>
      <c r="AF41" s="9"/>
      <c r="AG41" s="9"/>
      <c r="AH41" s="2"/>
      <c r="AI41" s="2"/>
      <c r="AJ41" s="2"/>
      <c r="AK41" s="2"/>
      <c r="AL41" s="2"/>
      <c r="AM41" s="2"/>
      <c r="AN41" s="2"/>
      <c r="AO41" s="2"/>
      <c r="AP41" s="2"/>
      <c r="AQ41" s="2"/>
    </row>
    <row r="42" spans="1:43" s="51" customFormat="1" ht="15">
      <c r="A42" s="2304" t="s">
        <v>301</v>
      </c>
      <c r="B42" s="2307">
        <f>+Huvudinmatning!D28</f>
        <v>7</v>
      </c>
      <c r="C42" s="2304"/>
      <c r="D42" s="8"/>
      <c r="E42" s="716"/>
      <c r="F42" s="716"/>
      <c r="G42" s="716"/>
      <c r="H42" s="716"/>
      <c r="I42" s="2304"/>
      <c r="J42" s="2304"/>
      <c r="K42" s="2304"/>
      <c r="L42" s="2304"/>
      <c r="M42" s="2304"/>
      <c r="N42" s="2304"/>
      <c r="O42" s="2645"/>
      <c r="P42" s="2304"/>
      <c r="Q42" s="862"/>
      <c r="R42" s="714"/>
      <c r="S42" s="714"/>
      <c r="T42" s="2304"/>
      <c r="U42" s="2304"/>
      <c r="V42" s="2304"/>
      <c r="W42" s="2304"/>
      <c r="X42" s="8"/>
      <c r="Y42" s="716"/>
      <c r="Z42" s="1173"/>
      <c r="AB42" s="276"/>
      <c r="AC42" s="2650"/>
      <c r="AD42" s="9"/>
      <c r="AE42" s="276"/>
      <c r="AF42" s="9"/>
      <c r="AG42" s="2651"/>
      <c r="AH42" s="4"/>
      <c r="AI42" s="4"/>
      <c r="AJ42" s="4"/>
      <c r="AK42" s="4"/>
      <c r="AL42" s="4"/>
      <c r="AM42" s="4"/>
      <c r="AN42" s="4"/>
      <c r="AO42" s="4"/>
      <c r="AP42" s="4"/>
      <c r="AQ42" s="4"/>
    </row>
    <row r="43" spans="1:43" s="51" customFormat="1" ht="15">
      <c r="A43" s="2304"/>
      <c r="B43" s="2304"/>
      <c r="C43" s="2304"/>
      <c r="D43" s="78"/>
      <c r="E43" s="1656" t="s">
        <v>1344</v>
      </c>
      <c r="F43" s="760"/>
      <c r="G43" s="760"/>
      <c r="H43" s="2516"/>
      <c r="I43" s="2286"/>
      <c r="J43" s="760"/>
      <c r="K43" s="761"/>
      <c r="L43" s="2308"/>
      <c r="M43" s="2325" t="s">
        <v>1548</v>
      </c>
      <c r="N43" s="2309"/>
      <c r="O43" s="2646"/>
      <c r="P43" s="2310"/>
      <c r="Q43" s="759" t="s">
        <v>303</v>
      </c>
      <c r="R43" s="2286"/>
      <c r="S43" s="717"/>
      <c r="T43" s="718"/>
      <c r="U43" s="2308"/>
      <c r="V43" s="700" t="s">
        <v>1658</v>
      </c>
      <c r="W43" s="701"/>
      <c r="X43" s="702"/>
      <c r="Y43" s="862"/>
      <c r="Z43" s="1173"/>
      <c r="AB43" s="276"/>
      <c r="AC43" s="73"/>
      <c r="AD43" s="2650"/>
      <c r="AE43" s="9"/>
      <c r="AF43" s="2650"/>
      <c r="AG43" s="2651"/>
      <c r="AH43" s="4"/>
      <c r="AI43" s="4"/>
      <c r="AJ43" s="4"/>
      <c r="AK43" s="4"/>
      <c r="AL43" s="4"/>
      <c r="AM43" s="4"/>
      <c r="AN43" s="4"/>
      <c r="AO43" s="4"/>
      <c r="AP43" s="4"/>
      <c r="AQ43" s="4"/>
    </row>
    <row r="44" spans="1:43" s="51" customFormat="1" ht="15">
      <c r="A44" s="2304"/>
      <c r="B44" s="2304"/>
      <c r="C44" s="2304"/>
      <c r="D44" s="78"/>
      <c r="E44" s="697"/>
      <c r="F44" s="2560" t="s">
        <v>16</v>
      </c>
      <c r="G44" s="2561"/>
      <c r="H44" s="2557" t="s">
        <v>1744</v>
      </c>
      <c r="I44" s="2556"/>
      <c r="J44" s="760" t="s">
        <v>1651</v>
      </c>
      <c r="K44" s="761"/>
      <c r="L44" s="2308"/>
      <c r="M44" s="1600"/>
      <c r="N44" s="302"/>
      <c r="O44" s="798"/>
      <c r="P44" s="2310"/>
      <c r="Q44" s="917"/>
      <c r="R44" s="701"/>
      <c r="S44" s="717"/>
      <c r="T44" s="718"/>
      <c r="U44" s="2308"/>
      <c r="V44" s="2666" t="s">
        <v>1345</v>
      </c>
      <c r="W44" s="115"/>
      <c r="X44" s="2528"/>
      <c r="Y44" s="862"/>
      <c r="Z44" s="1173"/>
      <c r="AB44" s="2343"/>
      <c r="AC44" s="2343"/>
      <c r="AD44" s="2651"/>
      <c r="AE44" s="2651"/>
      <c r="AF44" s="2651"/>
      <c r="AG44" s="2651"/>
      <c r="AH44" s="4"/>
      <c r="AI44" s="4"/>
      <c r="AJ44" s="4"/>
      <c r="AK44" s="4"/>
      <c r="AL44" s="4"/>
      <c r="AM44" s="4"/>
      <c r="AN44" s="4"/>
      <c r="AO44" s="4"/>
      <c r="AP44" s="4"/>
      <c r="AQ44" s="4"/>
    </row>
    <row r="45" spans="1:43" s="51" customFormat="1" ht="15.75">
      <c r="A45" s="2311" t="s">
        <v>137</v>
      </c>
      <c r="B45" s="2312" t="s">
        <v>138</v>
      </c>
      <c r="C45" s="2312" t="s">
        <v>139</v>
      </c>
      <c r="D45" s="80"/>
      <c r="E45" s="757"/>
      <c r="F45" s="2562"/>
      <c r="G45" s="2563"/>
      <c r="H45" s="2664">
        <v>20</v>
      </c>
      <c r="I45" s="2558" t="s">
        <v>1616</v>
      </c>
      <c r="J45" s="2555" t="s">
        <v>1347</v>
      </c>
      <c r="K45" s="2314" t="s">
        <v>1348</v>
      </c>
      <c r="L45" s="2313"/>
      <c r="M45" s="2688" t="s">
        <v>173</v>
      </c>
      <c r="N45" s="2688"/>
      <c r="O45" s="1599" t="s">
        <v>305</v>
      </c>
      <c r="P45" s="2313"/>
      <c r="Q45" s="1654" t="s">
        <v>1550</v>
      </c>
      <c r="R45" s="2524" t="s">
        <v>311</v>
      </c>
      <c r="S45" s="2520" t="s">
        <v>1657</v>
      </c>
      <c r="T45" s="2314" t="s">
        <v>305</v>
      </c>
      <c r="U45" s="2313"/>
      <c r="V45" s="2668" t="s">
        <v>1349</v>
      </c>
      <c r="W45" s="2530" t="s">
        <v>149</v>
      </c>
      <c r="X45" s="2530" t="s">
        <v>1351</v>
      </c>
      <c r="Y45" s="862"/>
      <c r="Z45" s="1173"/>
      <c r="AB45" s="2343"/>
      <c r="AC45" s="2343"/>
      <c r="AD45" s="2651"/>
      <c r="AE45" s="2651"/>
      <c r="AF45" s="2647"/>
      <c r="AG45" s="2651"/>
      <c r="AH45" s="4"/>
      <c r="AI45" s="4"/>
      <c r="AJ45" s="4"/>
      <c r="AK45" s="4"/>
      <c r="AL45" s="4"/>
      <c r="AM45" s="4"/>
      <c r="AN45" s="4"/>
      <c r="AO45" s="4"/>
      <c r="AP45" s="4"/>
      <c r="AQ45" s="4"/>
    </row>
    <row r="46" spans="1:43" ht="15">
      <c r="A46" s="2314"/>
      <c r="B46" s="2314"/>
      <c r="C46" s="2315" t="s">
        <v>133</v>
      </c>
      <c r="D46" s="80"/>
      <c r="E46" s="757"/>
      <c r="F46" s="2553" t="s">
        <v>1614</v>
      </c>
      <c r="G46" s="2553" t="s">
        <v>1598</v>
      </c>
      <c r="H46" s="791"/>
      <c r="I46" s="2314" t="s">
        <v>1346</v>
      </c>
      <c r="J46" s="2314"/>
      <c r="K46" s="2314"/>
      <c r="L46" s="2313"/>
      <c r="M46" s="2688" t="s">
        <v>1547</v>
      </c>
      <c r="N46" s="2688"/>
      <c r="O46" s="1599"/>
      <c r="P46" s="2313"/>
      <c r="Q46" s="1654" t="s">
        <v>781</v>
      </c>
      <c r="R46" s="2522" t="s">
        <v>320</v>
      </c>
      <c r="S46" s="2520" t="s">
        <v>1071</v>
      </c>
      <c r="T46" s="2314"/>
      <c r="U46" s="2313"/>
      <c r="V46" s="1599" t="s">
        <v>1350</v>
      </c>
      <c r="W46" s="1599" t="s">
        <v>1104</v>
      </c>
      <c r="X46" s="796"/>
      <c r="Y46" s="665"/>
      <c r="Z46" s="486"/>
      <c r="AD46" s="2"/>
      <c r="AE46" s="2"/>
      <c r="AF46" s="2"/>
      <c r="AG46" s="2"/>
      <c r="AH46" s="2"/>
      <c r="AI46" s="2"/>
      <c r="AJ46" s="2"/>
      <c r="AK46" s="2"/>
      <c r="AL46" s="2"/>
      <c r="AM46" s="2"/>
      <c r="AN46" s="2"/>
      <c r="AO46" s="2"/>
      <c r="AP46" s="2"/>
      <c r="AQ46" s="2"/>
    </row>
    <row r="47" spans="1:43" ht="15.75">
      <c r="A47" s="2316"/>
      <c r="B47" s="2316"/>
      <c r="C47" s="2316" t="s">
        <v>317</v>
      </c>
      <c r="D47" s="80"/>
      <c r="E47" s="2285" t="s">
        <v>309</v>
      </c>
      <c r="F47" s="2554" t="s">
        <v>1615</v>
      </c>
      <c r="G47" s="2554" t="s">
        <v>1599</v>
      </c>
      <c r="H47" s="792" t="s">
        <v>772</v>
      </c>
      <c r="I47" s="2316" t="s">
        <v>1352</v>
      </c>
      <c r="J47" s="2316" t="s">
        <v>318</v>
      </c>
      <c r="K47" s="2316" t="s">
        <v>318</v>
      </c>
      <c r="L47" s="2313"/>
      <c r="M47" s="2689"/>
      <c r="N47" s="2692"/>
      <c r="O47" s="2669" t="s">
        <v>318</v>
      </c>
      <c r="P47" s="80"/>
      <c r="Q47" s="1655"/>
      <c r="R47" s="2523" t="s">
        <v>81</v>
      </c>
      <c r="S47" s="2521" t="s">
        <v>321</v>
      </c>
      <c r="T47" s="2316" t="s">
        <v>318</v>
      </c>
      <c r="U47" s="80"/>
      <c r="V47" s="2669" t="s">
        <v>1353</v>
      </c>
      <c r="W47" s="2531" t="s">
        <v>1596</v>
      </c>
      <c r="X47" s="2669"/>
      <c r="Y47" s="665"/>
      <c r="Z47" s="486"/>
      <c r="AD47" s="2"/>
      <c r="AE47" s="2"/>
      <c r="AF47" s="2"/>
      <c r="AG47" s="2"/>
      <c r="AH47" s="2"/>
      <c r="AI47" s="2"/>
      <c r="AJ47" s="2"/>
      <c r="AK47" s="2"/>
      <c r="AL47" s="2"/>
      <c r="AM47" s="2"/>
      <c r="AN47" s="2"/>
      <c r="AO47" s="2"/>
      <c r="AP47" s="2"/>
      <c r="AQ47" s="2"/>
    </row>
    <row r="48" spans="1:43" ht="14.25">
      <c r="A48" s="2317">
        <v>1</v>
      </c>
      <c r="B48" s="86" t="str">
        <f>IF(Huvudinmatning!B33&gt;0,IF(Huvudinmatning!D33&gt;0,Huvudinmatning!D33,Huvudinmatning!B33)," ")</f>
        <v xml:space="preserve">Höstraps </v>
      </c>
      <c r="C48" s="2324">
        <f>IF(Huvudinmatning!H33&gt;0,Huvudinmatning!H33," ")</f>
        <v>3500</v>
      </c>
      <c r="D48" s="87"/>
      <c r="E48" s="2284">
        <f>IF(B48=" "," ",(INDEX(Gröddata!$A$10:$N$44,MATCH(B48,Gröddata!A$10:A$44,0),14)))</f>
        <v>1</v>
      </c>
      <c r="F48" s="790" t="str">
        <f>IF($B48=" "," ",IF(Huvudinmatning!K33=TRUE,"ja","nej"))</f>
        <v>nej</v>
      </c>
      <c r="G48" s="790" t="str">
        <f>IF($B48=" "," ",IF(Huvudinmatning!L33=TRUE,"ja","nej"))</f>
        <v>nej</v>
      </c>
      <c r="H48" s="790" t="str">
        <f>IF(B48=" "," ",IF(Huvudinmatning!M33=TRUE,"nej","ja"))</f>
        <v>ja</v>
      </c>
      <c r="I48" s="2517">
        <f t="shared" ref="I48:I57" si="5">IF(E48=" "," ",IF(H48="ja",1,H$45/100))</f>
        <v>1</v>
      </c>
      <c r="J48" s="2568">
        <f>IF($A48&gt;$B$42," ",IF(Huvudinmatning!$K33=TRUE,$C48*(VLOOKUP($B48,$A$70:$J$104,7,FALSE)*$I48),IF(Huvudinmatning!$L33=TRUE,$C48*(VLOOKUP($B48,$A$70:$J$104,9,FALSE)*$I48),$C48*(VLOOKUP($B48,$A$70:$J$104,2,FALSE)*$I48))))</f>
        <v>4306.8452970297021</v>
      </c>
      <c r="K48" s="2568">
        <f>IF($A48&gt;$B$42," ",IF(Huvudinmatning!$K33=TRUE,$C48*(VLOOKUP($B48,$A$70:$J$104,8,FALSE)),IF(Huvudinmatning!$L33=TRUE,$C48*(VLOOKUP($B48,$A$70:$J$104,10,FALSE)),$C48*(VLOOKUP($B48,$A$70:$J$104,3,FALSE)))))</f>
        <v>1355.2017326732671</v>
      </c>
      <c r="L48" s="2319"/>
      <c r="M48" s="790" t="str">
        <f>IF(B48=" "," ",IF(Huvudinmatning!P33=TRUE,"ja","nej"))</f>
        <v>nej</v>
      </c>
      <c r="N48" s="2515"/>
      <c r="O48" s="2643">
        <f>IF(M48=" "," ",IF(M48="ja",Huvudinmatning!Q33*2*0.4,0))</f>
        <v>0</v>
      </c>
      <c r="P48" s="87"/>
      <c r="Q48" s="694" t="str">
        <f>IF(Huvudinmatning!R33=0," ",Huvudinmatning!R33)</f>
        <v xml:space="preserve"> </v>
      </c>
      <c r="R48" s="2525" t="str">
        <f>IF(Huvudinmatning!S33&gt;0,Huvudinmatning!S33," ")</f>
        <v xml:space="preserve"> </v>
      </c>
      <c r="S48" s="2527" t="str">
        <f>IF(R48=" "," ",(INDEX(Stallgödseldata!B$16:D$27,MATCH(Q48,Stallgödseldata!B$16:B$27,0),3)))</f>
        <v xml:space="preserve"> </v>
      </c>
      <c r="T48" s="1611" t="str">
        <f>IF(R48=" "," ",R48*1000*S48/100*0.4)</f>
        <v xml:space="preserve"> </v>
      </c>
      <c r="U48" s="88"/>
      <c r="V48" s="2533">
        <f t="shared" ref="V48:V57" si="6">IF(I48=" "," ",IF(E48=1,W$18,IF(E48=2,X$18,V$18)))</f>
        <v>1.7638640429338102</v>
      </c>
      <c r="W48" s="2532">
        <f>IF(V48=" "," ",VLOOKUP(Grunddata!E$22,Produktionsområde!B$3:D$10,2,FALSE))</f>
        <v>1.3</v>
      </c>
      <c r="X48" s="2667">
        <f t="shared" ref="X48:X57" si="7">IF(B48=" "," ",V48*W48)</f>
        <v>2.2930232558139534</v>
      </c>
      <c r="Y48" s="665"/>
      <c r="Z48" s="486"/>
      <c r="AD48" s="2"/>
      <c r="AE48" s="2"/>
      <c r="AF48" s="2"/>
      <c r="AG48" s="2"/>
      <c r="AH48" s="2"/>
      <c r="AI48" s="2"/>
      <c r="AJ48" s="2"/>
      <c r="AK48" s="2"/>
      <c r="AL48" s="2"/>
      <c r="AM48" s="2"/>
      <c r="AN48" s="2"/>
      <c r="AO48" s="2"/>
      <c r="AP48" s="2"/>
      <c r="AQ48" s="2"/>
    </row>
    <row r="49" spans="1:43" ht="14.25">
      <c r="A49" s="2318">
        <v>2</v>
      </c>
      <c r="B49" s="86" t="str">
        <f>IF(Huvudinmatning!B34&gt;0,IF(Huvudinmatning!D34&gt;0,Huvudinmatning!D34,Huvudinmatning!B34)," ")</f>
        <v>Höstvete bröd</v>
      </c>
      <c r="C49" s="2324">
        <f>IF(Huvudinmatning!H34&gt;0,Huvudinmatning!H34," ")</f>
        <v>8000</v>
      </c>
      <c r="D49" s="87">
        <v>1</v>
      </c>
      <c r="E49" s="2284">
        <f>IF(B49=" "," ",(INDEX(Gröddata!$A$10:$N$44,MATCH(B49,Gröddata!A$10:A$44,0),14)))</f>
        <v>1</v>
      </c>
      <c r="F49" s="790" t="str">
        <f>IF($B49=" "," ",IF(Huvudinmatning!K34=TRUE,"ja","nej"))</f>
        <v>nej</v>
      </c>
      <c r="G49" s="790" t="str">
        <f>IF($B49=" "," ",IF(Huvudinmatning!L34=TRUE,"ja","nej"))</f>
        <v>nej</v>
      </c>
      <c r="H49" s="790" t="str">
        <f>IF(B49=" "," ",IF(Huvudinmatning!M34=TRUE,"nej","ja"))</f>
        <v>ja</v>
      </c>
      <c r="I49" s="2517">
        <f t="shared" si="5"/>
        <v>1</v>
      </c>
      <c r="J49" s="2568">
        <f>IF($A49&gt;$B$42," ",IF(Huvudinmatning!$K34=TRUE,$C49*(VLOOKUP($B49,$A$70:$J$104,7,FALSE)*$I49),IF(Huvudinmatning!$L34=TRUE,$C49*(VLOOKUP($B49,$A$70:$J$104,9,FALSE)*$I49),$C49*(VLOOKUP($B49,$A$70:$J$104,2,FALSE)*$I49))))</f>
        <v>4644</v>
      </c>
      <c r="K49" s="2568">
        <f>IF($A49&gt;$B$42," ",IF(Huvudinmatning!$K34=TRUE,$C49*(VLOOKUP($B49,$A$70:$J$104,8,FALSE)),IF(Huvudinmatning!$L34=TRUE,$C49*(VLOOKUP($B49,$A$70:$J$104,10,FALSE)),$C49*(VLOOKUP($B49,$A$70:$J$104,3,FALSE)))))</f>
        <v>1278.9576000000002</v>
      </c>
      <c r="L49" s="2319"/>
      <c r="M49" s="790" t="str">
        <f>IF(B49=" "," ",IF(Huvudinmatning!P34=TRUE,"ja","nej"))</f>
        <v>nej</v>
      </c>
      <c r="N49" s="2515"/>
      <c r="O49" s="2643">
        <f>IF(M49=" "," ",IF(M49="ja",Huvudinmatning!Q34*2*0.4,0))</f>
        <v>0</v>
      </c>
      <c r="P49" s="87"/>
      <c r="Q49" s="694" t="str">
        <f>IF(Huvudinmatning!R34=0," ",Huvudinmatning!R34)</f>
        <v xml:space="preserve"> </v>
      </c>
      <c r="R49" s="2525" t="str">
        <f>IF(Huvudinmatning!S34&gt;0,Huvudinmatning!S34," ")</f>
        <v xml:space="preserve"> </v>
      </c>
      <c r="S49" s="2527" t="str">
        <f>IF(R49=" "," ",(INDEX(Stallgödseldata!B$16:D$27,MATCH(Q49,Stallgödseldata!B$16:B$27,0),3)))</f>
        <v xml:space="preserve"> </v>
      </c>
      <c r="T49" s="1611" t="str">
        <f t="shared" ref="T49:T57" si="8">IF(R49=" "," ",R49*1000*S49/100*0.4)</f>
        <v xml:space="preserve"> </v>
      </c>
      <c r="U49" s="88"/>
      <c r="V49" s="2533">
        <f t="shared" si="6"/>
        <v>1.7638640429338102</v>
      </c>
      <c r="W49" s="2532">
        <f>IF(V49=" "," ",VLOOKUP(Grunddata!E$22,Produktionsområde!B$3:D$10,2,FALSE))</f>
        <v>1.3</v>
      </c>
      <c r="X49" s="2533">
        <f t="shared" si="7"/>
        <v>2.2930232558139534</v>
      </c>
      <c r="Y49" s="665"/>
      <c r="Z49" s="486"/>
      <c r="AD49" s="2"/>
      <c r="AE49" s="2"/>
      <c r="AF49" s="2"/>
      <c r="AG49" s="2"/>
      <c r="AH49" s="2"/>
      <c r="AI49" s="2"/>
      <c r="AJ49" s="2"/>
      <c r="AK49" s="2"/>
      <c r="AL49" s="2"/>
      <c r="AM49" s="2"/>
      <c r="AN49" s="2"/>
      <c r="AO49" s="2"/>
      <c r="AP49" s="2"/>
      <c r="AQ49" s="2"/>
    </row>
    <row r="50" spans="1:43" ht="14.25">
      <c r="A50" s="2318">
        <v>3</v>
      </c>
      <c r="B50" s="86" t="str">
        <f>IF(Huvudinmatning!B35&gt;0,IF(Huvudinmatning!D35&gt;0,Huvudinmatning!D35,Huvudinmatning!B35)," ")</f>
        <v>Höstvete bröd</v>
      </c>
      <c r="C50" s="2324">
        <f>IF(Huvudinmatning!H35&gt;0,Huvudinmatning!H35," ")</f>
        <v>8000</v>
      </c>
      <c r="D50" s="87"/>
      <c r="E50" s="2284">
        <f>IF(B50=" "," ",(INDEX(Gröddata!$A$10:$N$44,MATCH(B50,Gröddata!A$10:A$44,0),14)))</f>
        <v>1</v>
      </c>
      <c r="F50" s="790" t="str">
        <f>IF($B50=" "," ",IF(Huvudinmatning!K35=TRUE,"ja","nej"))</f>
        <v>nej</v>
      </c>
      <c r="G50" s="790" t="str">
        <f>IF($B50=" "," ",IF(Huvudinmatning!L35=TRUE,"ja","nej"))</f>
        <v>nej</v>
      </c>
      <c r="H50" s="790" t="str">
        <f>IF(B50=" "," ",IF(Huvudinmatning!M35=TRUE,"nej","ja"))</f>
        <v>ja</v>
      </c>
      <c r="I50" s="2517">
        <f t="shared" si="5"/>
        <v>1</v>
      </c>
      <c r="J50" s="2568">
        <f>IF($A50&gt;$B$42," ",IF(Huvudinmatning!$K35=TRUE,$C50*(VLOOKUP($B50,$A$70:$J$104,7,FALSE)*$I50),IF(Huvudinmatning!$L35=TRUE,$C50*(VLOOKUP($B50,$A$70:$J$104,9,FALSE)*$I50),$C50*(VLOOKUP($B50,$A$70:$J$104,2,FALSE)*$I50))))</f>
        <v>4644</v>
      </c>
      <c r="K50" s="2568">
        <f>IF($A50&gt;$B$42," ",IF(Huvudinmatning!$K35=TRUE,$C50*(VLOOKUP($B50,$A$70:$J$104,8,FALSE)),IF(Huvudinmatning!$L35=TRUE,$C50*(VLOOKUP($B50,$A$70:$J$104,10,FALSE)),$C50*(VLOOKUP($B50,$A$70:$J$104,3,FALSE)))))</f>
        <v>1278.9576000000002</v>
      </c>
      <c r="L50" s="2319"/>
      <c r="M50" s="790" t="str">
        <f>IF(B50=" "," ",IF(Huvudinmatning!P35=TRUE,"ja","nej"))</f>
        <v>nej</v>
      </c>
      <c r="N50" s="2515"/>
      <c r="O50" s="2643">
        <f>IF(M50=" "," ",IF(M50="ja",Huvudinmatning!Q35*2*0.4,0))</f>
        <v>0</v>
      </c>
      <c r="P50" s="87"/>
      <c r="Q50" s="694" t="str">
        <f>IF(Huvudinmatning!R35=0," ",Huvudinmatning!R35)</f>
        <v xml:space="preserve"> </v>
      </c>
      <c r="R50" s="2525" t="str">
        <f>IF(Huvudinmatning!S35&gt;0,Huvudinmatning!S35," ")</f>
        <v xml:space="preserve"> </v>
      </c>
      <c r="S50" s="2527" t="str">
        <f>IF(R50=" "," ",(INDEX(Stallgödseldata!B$16:D$27,MATCH(Q50,Stallgödseldata!B$16:B$27,0),3)))</f>
        <v xml:space="preserve"> </v>
      </c>
      <c r="T50" s="1611" t="str">
        <f t="shared" si="8"/>
        <v xml:space="preserve"> </v>
      </c>
      <c r="U50" s="88"/>
      <c r="V50" s="2533">
        <f t="shared" si="6"/>
        <v>1.7638640429338102</v>
      </c>
      <c r="W50" s="2532">
        <f>IF(V50=" "," ",VLOOKUP(Grunddata!E$22,Produktionsområde!B$3:D$10,2,FALSE))</f>
        <v>1.3</v>
      </c>
      <c r="X50" s="2533">
        <f t="shared" si="7"/>
        <v>2.2930232558139534</v>
      </c>
      <c r="Y50" s="665"/>
      <c r="Z50" s="486"/>
      <c r="AD50" s="2"/>
      <c r="AE50" s="2"/>
      <c r="AF50" s="2"/>
      <c r="AG50" s="2"/>
      <c r="AH50" s="2"/>
      <c r="AI50" s="2"/>
      <c r="AJ50" s="2"/>
      <c r="AK50" s="2"/>
      <c r="AL50" s="2"/>
      <c r="AM50" s="2"/>
      <c r="AN50" s="2"/>
      <c r="AO50" s="2"/>
      <c r="AP50" s="2"/>
      <c r="AQ50" s="2"/>
    </row>
    <row r="51" spans="1:43" ht="14.25">
      <c r="A51" s="2318">
        <v>4</v>
      </c>
      <c r="B51" s="86" t="str">
        <f>IF(Huvudinmatning!B36&gt;0,IF(Huvudinmatning!D36&gt;0,Huvudinmatning!D36,Huvudinmatning!B36)," ")</f>
        <v>Foderärt</v>
      </c>
      <c r="C51" s="2324">
        <f>IF(Huvudinmatning!H36&gt;0,Huvudinmatning!H36," ")</f>
        <v>4000</v>
      </c>
      <c r="D51" s="87"/>
      <c r="E51" s="2284">
        <f>IF(B51=" "," ",(INDEX(Gröddata!$A$10:$N$44,MATCH(B51,Gröddata!A$10:A$44,0),14)))</f>
        <v>1</v>
      </c>
      <c r="F51" s="790" t="str">
        <f>IF($B51=" "," ",IF(Huvudinmatning!K36=TRUE,"ja","nej"))</f>
        <v>nej</v>
      </c>
      <c r="G51" s="790" t="str">
        <f>IF($B51=" "," ",IF(Huvudinmatning!L36=TRUE,"ja","nej"))</f>
        <v>nej</v>
      </c>
      <c r="H51" s="790" t="str">
        <f>IF(B51=" "," ",IF(Huvudinmatning!M36=TRUE,"nej","ja"))</f>
        <v>ja</v>
      </c>
      <c r="I51" s="2517">
        <f t="shared" si="5"/>
        <v>1</v>
      </c>
      <c r="J51" s="2568">
        <f>IF($A51&gt;$B$42," ",IF(Huvudinmatning!$K36=TRUE,$C51*(VLOOKUP($B51,$A$70:$J$104,7,FALSE)*$I51),IF(Huvudinmatning!$L36=TRUE,$C51*(VLOOKUP($B51,$A$70:$J$104,9,FALSE)*$I51),$C51*(VLOOKUP($B51,$A$70:$J$104,2,FALSE)*$I51))))</f>
        <v>1488.82092555332</v>
      </c>
      <c r="K51" s="2568">
        <f>IF($A51&gt;$B$42," ",IF(Huvudinmatning!$K36=TRUE,$C51*(VLOOKUP($B51,$A$70:$J$104,8,FALSE)),IF(Huvudinmatning!$L36=TRUE,$C51*(VLOOKUP($B51,$A$70:$J$104,10,FALSE)),$C51*(VLOOKUP($B51,$A$70:$J$104,3,FALSE)))))</f>
        <v>77.867203219315911</v>
      </c>
      <c r="L51" s="2319"/>
      <c r="M51" s="790" t="str">
        <f>IF(B51=" "," ",IF(Huvudinmatning!P36=TRUE,"ja","nej"))</f>
        <v>nej</v>
      </c>
      <c r="N51" s="2515"/>
      <c r="O51" s="2643">
        <f>IF(M51=" "," ",IF(M51="ja",Huvudinmatning!Q36*2*0.4,0))</f>
        <v>0</v>
      </c>
      <c r="P51" s="87"/>
      <c r="Q51" s="694" t="str">
        <f>IF(Huvudinmatning!R36=0," ",Huvudinmatning!R36)</f>
        <v xml:space="preserve"> </v>
      </c>
      <c r="R51" s="2525" t="str">
        <f>IF(Huvudinmatning!S36&gt;0,Huvudinmatning!S36," ")</f>
        <v xml:space="preserve"> </v>
      </c>
      <c r="S51" s="2527" t="str">
        <f>IF(R51=" "," ",(INDEX(Stallgödseldata!B$16:D$27,MATCH(Q51,Stallgödseldata!B$16:B$27,0),3)))</f>
        <v xml:space="preserve"> </v>
      </c>
      <c r="T51" s="1611" t="str">
        <f t="shared" si="8"/>
        <v xml:space="preserve"> </v>
      </c>
      <c r="U51" s="88"/>
      <c r="V51" s="2533">
        <f t="shared" si="6"/>
        <v>1.7638640429338102</v>
      </c>
      <c r="W51" s="2532">
        <f>IF(V51=" "," ",VLOOKUP(Grunddata!E$22,Produktionsområde!B$3:D$10,2,FALSE))</f>
        <v>1.3</v>
      </c>
      <c r="X51" s="2533">
        <f t="shared" si="7"/>
        <v>2.2930232558139534</v>
      </c>
      <c r="Y51" s="665"/>
      <c r="Z51" s="486"/>
      <c r="AD51" s="2"/>
      <c r="AE51" s="2"/>
      <c r="AF51" s="2"/>
      <c r="AG51" s="2"/>
      <c r="AH51" s="2"/>
      <c r="AI51" s="2"/>
      <c r="AJ51" s="2"/>
      <c r="AK51" s="2"/>
      <c r="AL51" s="2"/>
      <c r="AM51" s="2"/>
      <c r="AN51" s="2"/>
      <c r="AO51" s="2"/>
      <c r="AP51" s="2"/>
      <c r="AQ51" s="2"/>
    </row>
    <row r="52" spans="1:43" ht="14.25">
      <c r="A52" s="2318">
        <v>5</v>
      </c>
      <c r="B52" s="86" t="str">
        <f>IF(Huvudinmatning!B37&gt;0,IF(Huvudinmatning!D37&gt;0,Huvudinmatning!D37,Huvudinmatning!B37)," ")</f>
        <v>Höstvete bröd</v>
      </c>
      <c r="C52" s="2324">
        <f>IF(Huvudinmatning!H37&gt;0,Huvudinmatning!H37," ")</f>
        <v>8000</v>
      </c>
      <c r="D52" s="87"/>
      <c r="E52" s="2284">
        <f>IF(B52=" "," ",(INDEX(Gröddata!$A$10:$N$44,MATCH(B52,Gröddata!A$10:A$44,0),14)))</f>
        <v>1</v>
      </c>
      <c r="F52" s="790" t="str">
        <f>IF($B52=" "," ",IF(Huvudinmatning!K37=TRUE,"ja","nej"))</f>
        <v>nej</v>
      </c>
      <c r="G52" s="790" t="str">
        <f>IF($B52=" "," ",IF(Huvudinmatning!L37=TRUE,"ja","nej"))</f>
        <v>nej</v>
      </c>
      <c r="H52" s="790" t="str">
        <f>IF(B52=" "," ",IF(Huvudinmatning!M37=TRUE,"nej","ja"))</f>
        <v>ja</v>
      </c>
      <c r="I52" s="2517">
        <f t="shared" si="5"/>
        <v>1</v>
      </c>
      <c r="J52" s="2568">
        <f>IF($A52&gt;$B$42," ",IF(Huvudinmatning!$K37=TRUE,$C52*(VLOOKUP($B52,$A$70:$J$104,7,FALSE)*$I52),IF(Huvudinmatning!$L37=TRUE,$C52*(VLOOKUP($B52,$A$70:$J$104,9,FALSE)*$I52),$C52*(VLOOKUP($B52,$A$70:$J$104,2,FALSE)*$I52))))</f>
        <v>4644</v>
      </c>
      <c r="K52" s="2568">
        <f>IF($A52&gt;$B$42," ",IF(Huvudinmatning!$K37=TRUE,$C52*(VLOOKUP($B52,$A$70:$J$104,8,FALSE)),IF(Huvudinmatning!$L37=TRUE,$C52*(VLOOKUP($B52,$A$70:$J$104,10,FALSE)),$C52*(VLOOKUP($B52,$A$70:$J$104,3,FALSE)))))</f>
        <v>1278.9576000000002</v>
      </c>
      <c r="L52" s="2319"/>
      <c r="M52" s="790" t="str">
        <f>IF(B52=" "," ",IF(Huvudinmatning!P37=TRUE,"ja","nej"))</f>
        <v>nej</v>
      </c>
      <c r="N52" s="2515"/>
      <c r="O52" s="2643">
        <f>IF(M52=" "," ",IF(M52="ja",Huvudinmatning!Q37*2*0.4,0))</f>
        <v>0</v>
      </c>
      <c r="P52" s="87"/>
      <c r="Q52" s="694" t="str">
        <f>IF(Huvudinmatning!R37=0," ",Huvudinmatning!R37)</f>
        <v xml:space="preserve"> </v>
      </c>
      <c r="R52" s="2525" t="str">
        <f>IF(Huvudinmatning!S37&gt;0,Huvudinmatning!S37," ")</f>
        <v xml:space="preserve"> </v>
      </c>
      <c r="S52" s="2527" t="str">
        <f>IF(R52=" "," ",(INDEX(Stallgödseldata!B$16:D$27,MATCH(Q52,Stallgödseldata!B$16:B$27,0),3)))</f>
        <v xml:space="preserve"> </v>
      </c>
      <c r="T52" s="1611" t="str">
        <f t="shared" si="8"/>
        <v xml:space="preserve"> </v>
      </c>
      <c r="U52" s="88"/>
      <c r="V52" s="2533">
        <f t="shared" si="6"/>
        <v>1.7638640429338102</v>
      </c>
      <c r="W52" s="2532">
        <f>IF(V52=" "," ",VLOOKUP(Grunddata!E$22,Produktionsområde!B$3:D$10,2,FALSE))</f>
        <v>1.3</v>
      </c>
      <c r="X52" s="2533">
        <f t="shared" si="7"/>
        <v>2.2930232558139534</v>
      </c>
      <c r="Y52" s="665"/>
      <c r="Z52" s="486"/>
      <c r="AD52" s="2"/>
      <c r="AE52" s="2"/>
      <c r="AF52" s="2"/>
      <c r="AG52" s="2"/>
      <c r="AH52" s="2"/>
      <c r="AI52" s="2"/>
      <c r="AJ52" s="2"/>
      <c r="AK52" s="2"/>
      <c r="AL52" s="2"/>
      <c r="AM52" s="2"/>
      <c r="AN52" s="2"/>
      <c r="AO52" s="2"/>
      <c r="AP52" s="2"/>
      <c r="AQ52" s="2"/>
    </row>
    <row r="53" spans="1:43" ht="14.25">
      <c r="A53" s="2318">
        <v>6</v>
      </c>
      <c r="B53" s="86" t="str">
        <f>IF(Huvudinmatning!B38&gt;0,IF(Huvudinmatning!D38&gt;0,Huvudinmatning!D38,Huvudinmatning!B38)," ")</f>
        <v>Höstvete bröd</v>
      </c>
      <c r="C53" s="2324">
        <f>IF(Huvudinmatning!H38&gt;0,Huvudinmatning!H38," ")</f>
        <v>8000</v>
      </c>
      <c r="D53" s="87"/>
      <c r="E53" s="2284">
        <f>IF(B53=" "," ",(INDEX(Gröddata!$A$10:$N$44,MATCH(B53,Gröddata!A$10:A$44,0),14)))</f>
        <v>1</v>
      </c>
      <c r="F53" s="790" t="str">
        <f>IF($B53=" "," ",IF(Huvudinmatning!K38=TRUE,"ja","nej"))</f>
        <v>nej</v>
      </c>
      <c r="G53" s="790" t="str">
        <f>IF($B53=" "," ",IF(Huvudinmatning!L38=TRUE,"ja","nej"))</f>
        <v>nej</v>
      </c>
      <c r="H53" s="790" t="str">
        <f>IF(B53=" "," ",IF(Huvudinmatning!M38=TRUE,"nej","ja"))</f>
        <v>ja</v>
      </c>
      <c r="I53" s="2517">
        <f t="shared" si="5"/>
        <v>1</v>
      </c>
      <c r="J53" s="2568">
        <f>IF($A53&gt;$B$42," ",IF(Huvudinmatning!$K38=TRUE,$C53*(VLOOKUP($B53,$A$70:$J$104,7,FALSE)*$I53),IF(Huvudinmatning!$L38=TRUE,$C53*(VLOOKUP($B53,$A$70:$J$104,9,FALSE)*$I53),$C53*(VLOOKUP($B53,$A$70:$J$104,2,FALSE)*$I53))))</f>
        <v>4644</v>
      </c>
      <c r="K53" s="2568">
        <f>IF($A53&gt;$B$42," ",IF(Huvudinmatning!$K38=TRUE,$C53*(VLOOKUP($B53,$A$70:$J$104,8,FALSE)),IF(Huvudinmatning!$L38=TRUE,$C53*(VLOOKUP($B53,$A$70:$J$104,10,FALSE)),$C53*(VLOOKUP($B53,$A$70:$J$104,3,FALSE)))))</f>
        <v>1278.9576000000002</v>
      </c>
      <c r="L53" s="2319"/>
      <c r="M53" s="790" t="str">
        <f>IF(B53=" "," ",IF(Huvudinmatning!P38=TRUE,"ja","nej"))</f>
        <v>nej</v>
      </c>
      <c r="N53" s="2515"/>
      <c r="O53" s="2643">
        <f>IF(M53=" "," ",IF(M53="ja",Huvudinmatning!Q38*2*0.4,0))</f>
        <v>0</v>
      </c>
      <c r="P53" s="87"/>
      <c r="Q53" s="694" t="str">
        <f>IF(Huvudinmatning!R38=0," ",Huvudinmatning!R38)</f>
        <v xml:space="preserve"> </v>
      </c>
      <c r="R53" s="2525" t="str">
        <f>IF(Huvudinmatning!S38&gt;0,Huvudinmatning!S38," ")</f>
        <v xml:space="preserve"> </v>
      </c>
      <c r="S53" s="2527" t="str">
        <f>IF(R53=" "," ",(INDEX(Stallgödseldata!B$16:D$27,MATCH(Q53,Stallgödseldata!B$16:B$27,0),3)))</f>
        <v xml:space="preserve"> </v>
      </c>
      <c r="T53" s="1611" t="str">
        <f t="shared" si="8"/>
        <v xml:space="preserve"> </v>
      </c>
      <c r="U53" s="2319"/>
      <c r="V53" s="2533">
        <f t="shared" si="6"/>
        <v>1.7638640429338102</v>
      </c>
      <c r="W53" s="2532">
        <f>IF(V53=" "," ",VLOOKUP(Grunddata!E$22,Produktionsområde!B$3:D$10,2,FALSE))</f>
        <v>1.3</v>
      </c>
      <c r="X53" s="2533">
        <f t="shared" si="7"/>
        <v>2.2930232558139534</v>
      </c>
      <c r="Y53" s="665"/>
      <c r="Z53" s="486"/>
      <c r="AD53" s="2"/>
      <c r="AE53" s="2"/>
      <c r="AF53" s="2"/>
      <c r="AG53" s="2"/>
      <c r="AH53" s="2"/>
      <c r="AI53" s="2"/>
      <c r="AJ53" s="2"/>
      <c r="AK53" s="2"/>
      <c r="AL53" s="2"/>
      <c r="AM53" s="2"/>
      <c r="AN53" s="2"/>
      <c r="AO53" s="2"/>
      <c r="AP53" s="2"/>
      <c r="AQ53" s="2"/>
    </row>
    <row r="54" spans="1:43" ht="14.25">
      <c r="A54" s="2318">
        <v>7</v>
      </c>
      <c r="B54" s="86" t="str">
        <f>IF(Huvudinmatning!B39&gt;0,IF(Huvudinmatning!D39&gt;0,Huvudinmatning!D39,Huvudinmatning!B39)," ")</f>
        <v>Maltkorn</v>
      </c>
      <c r="C54" s="2324">
        <f>IF(Huvudinmatning!H39&gt;0,Huvudinmatning!H39," ")</f>
        <v>5500</v>
      </c>
      <c r="D54" s="87"/>
      <c r="E54" s="2284">
        <f>IF(B54=" "," ",(INDEX(Gröddata!$A$10:$N$44,MATCH(B54,Gröddata!A$10:A$44,0),14)))</f>
        <v>1</v>
      </c>
      <c r="F54" s="790" t="str">
        <f>IF($B54=" "," ",IF(Huvudinmatning!K39=TRUE,"ja","nej"))</f>
        <v>nej</v>
      </c>
      <c r="G54" s="790" t="str">
        <f>IF($B54=" "," ",IF(Huvudinmatning!L39=TRUE,"ja","nej"))</f>
        <v>nej</v>
      </c>
      <c r="H54" s="790" t="str">
        <f>IF(B54=" "," ",IF(Huvudinmatning!M39=TRUE,"nej","ja"))</f>
        <v>ja</v>
      </c>
      <c r="I54" s="2517">
        <f t="shared" si="5"/>
        <v>1</v>
      </c>
      <c r="J54" s="2568">
        <f>IF($A54&gt;$B$42," ",IF(Huvudinmatning!$K39=TRUE,$C54*(VLOOKUP($B54,$A$70:$J$104,7,FALSE)*$I54),IF(Huvudinmatning!$L39=TRUE,$C54*(VLOOKUP($B54,$A$70:$J$104,9,FALSE)*$I54),$C54*(VLOOKUP($B54,$A$70:$J$104,2,FALSE)*$I54))))</f>
        <v>1908.2403433476395</v>
      </c>
      <c r="K54" s="2568">
        <f>IF($A54&gt;$B$42," ",IF(Huvudinmatning!$K39=TRUE,$C54*(VLOOKUP($B54,$A$70:$J$104,8,FALSE)),IF(Huvudinmatning!$L39=TRUE,$C54*(VLOOKUP($B54,$A$70:$J$104,10,FALSE)),$C54*(VLOOKUP($B54,$A$70:$J$104,3,FALSE)))))</f>
        <v>670.88858369098705</v>
      </c>
      <c r="L54" s="2319"/>
      <c r="M54" s="790" t="str">
        <f>IF(B54=" "," ",IF(Huvudinmatning!P39=TRUE,"ja","nej"))</f>
        <v>nej</v>
      </c>
      <c r="N54" s="2515"/>
      <c r="O54" s="2643">
        <f>IF(M54=" "," ",IF(M54="ja",Huvudinmatning!Q39*2*0.4,0))</f>
        <v>0</v>
      </c>
      <c r="P54" s="87"/>
      <c r="Q54" s="694" t="str">
        <f>IF(Huvudinmatning!R39=0," ",Huvudinmatning!R39)</f>
        <v xml:space="preserve"> </v>
      </c>
      <c r="R54" s="2525" t="str">
        <f>IF(Huvudinmatning!S39&gt;0,Huvudinmatning!S39," ")</f>
        <v xml:space="preserve"> </v>
      </c>
      <c r="S54" s="2527" t="str">
        <f>IF(R54=" "," ",(INDEX(Stallgödseldata!B$16:D$27,MATCH(Q54,Stallgödseldata!B$16:B$27,0),3)))</f>
        <v xml:space="preserve"> </v>
      </c>
      <c r="T54" s="1611" t="str">
        <f t="shared" si="8"/>
        <v xml:space="preserve"> </v>
      </c>
      <c r="U54" s="2319"/>
      <c r="V54" s="2533">
        <f t="shared" si="6"/>
        <v>1.7638640429338102</v>
      </c>
      <c r="W54" s="2532">
        <f>IF(V54=" "," ",VLOOKUP(Grunddata!E$22,Produktionsområde!B$3:D$10,2,FALSE))</f>
        <v>1.3</v>
      </c>
      <c r="X54" s="2533">
        <f t="shared" si="7"/>
        <v>2.2930232558139534</v>
      </c>
      <c r="Y54" s="665"/>
      <c r="Z54" s="486"/>
      <c r="AD54" s="2"/>
      <c r="AE54" s="2"/>
      <c r="AF54" s="2"/>
      <c r="AG54" s="2"/>
      <c r="AH54" s="2"/>
      <c r="AI54" s="2"/>
      <c r="AJ54" s="2"/>
      <c r="AK54" s="2"/>
      <c r="AL54" s="2"/>
      <c r="AM54" s="2"/>
      <c r="AN54" s="2"/>
      <c r="AO54" s="2"/>
      <c r="AP54" s="2"/>
      <c r="AQ54" s="2"/>
    </row>
    <row r="55" spans="1:43" ht="14.25">
      <c r="A55" s="2318">
        <v>8</v>
      </c>
      <c r="B55" s="86" t="str">
        <f>IF(Huvudinmatning!B40&gt;0,IF(Huvudinmatning!D40&gt;0,Huvudinmatning!D40,Huvudinmatning!B40)," ")</f>
        <v xml:space="preserve"> </v>
      </c>
      <c r="C55" s="2324" t="str">
        <f>IF(Huvudinmatning!H40&gt;0,Huvudinmatning!H40," ")</f>
        <v xml:space="preserve"> </v>
      </c>
      <c r="D55" s="87"/>
      <c r="E55" s="2284" t="str">
        <f>IF(B55=" "," ",(INDEX(Gröddata!$A$10:$N$44,MATCH(B55,Gröddata!A$10:A$44,0),14)))</f>
        <v xml:space="preserve"> </v>
      </c>
      <c r="F55" s="790" t="str">
        <f>IF($B55=" "," ",IF(Huvudinmatning!K40=TRUE,"ja","nej"))</f>
        <v xml:space="preserve"> </v>
      </c>
      <c r="G55" s="790" t="str">
        <f>IF($B55=" "," ",IF(Huvudinmatning!L40=TRUE,"ja","nej"))</f>
        <v xml:space="preserve"> </v>
      </c>
      <c r="H55" s="790" t="str">
        <f>IF(B55=" "," ",IF(Huvudinmatning!M40=TRUE,"nej","ja"))</f>
        <v xml:space="preserve"> </v>
      </c>
      <c r="I55" s="2517" t="str">
        <f t="shared" si="5"/>
        <v xml:space="preserve"> </v>
      </c>
      <c r="J55" s="2568" t="str">
        <f>IF($A55&gt;$B$42," ",IF(Huvudinmatning!$K40=TRUE,$C55*(VLOOKUP($B55,$A$70:$J$104,7,FALSE)*$I55),IF(Huvudinmatning!$L40=TRUE,$C55*(VLOOKUP($B55,$A$70:$J$104,9,FALSE)*$I55),$C55*(VLOOKUP($B55,$A$70:$J$104,2,FALSE)*$I55))))</f>
        <v xml:space="preserve"> </v>
      </c>
      <c r="K55" s="2568" t="str">
        <f>IF($A55&gt;$B$42," ",IF(Huvudinmatning!$K40=TRUE,$C55*(VLOOKUP($B55,$A$70:$J$104,8,FALSE)),IF(Huvudinmatning!$L40=TRUE,$C55*(VLOOKUP($B55,$A$70:$J$104,10,FALSE)),$C55*(VLOOKUP($B55,$A$70:$J$104,3,FALSE)))))</f>
        <v xml:space="preserve"> </v>
      </c>
      <c r="L55" s="2319"/>
      <c r="M55" s="790" t="str">
        <f>IF(B55=" "," ",IF(Huvudinmatning!P40=TRUE,"ja","nej"))</f>
        <v xml:space="preserve"> </v>
      </c>
      <c r="N55" s="2515"/>
      <c r="O55" s="2643" t="str">
        <f>IF(M55=" "," ",IF(M55="ja",Huvudinmatning!Q40*2*0.4,0))</f>
        <v xml:space="preserve"> </v>
      </c>
      <c r="P55" s="87"/>
      <c r="Q55" s="694" t="str">
        <f>IF(Huvudinmatning!R40=0," ",Huvudinmatning!R40)</f>
        <v xml:space="preserve"> </v>
      </c>
      <c r="R55" s="2525" t="str">
        <f>IF(Huvudinmatning!S40&gt;0,Huvudinmatning!S40," ")</f>
        <v xml:space="preserve"> </v>
      </c>
      <c r="S55" s="2527" t="str">
        <f>IF(R55=" "," ",(INDEX(Stallgödseldata!B$16:D$27,MATCH(Q55,Stallgödseldata!B$16:B$27,0),3)))</f>
        <v xml:space="preserve"> </v>
      </c>
      <c r="T55" s="1611" t="str">
        <f t="shared" si="8"/>
        <v xml:space="preserve"> </v>
      </c>
      <c r="U55" s="2319"/>
      <c r="V55" s="2533" t="str">
        <f t="shared" si="6"/>
        <v xml:space="preserve"> </v>
      </c>
      <c r="W55" s="2532" t="str">
        <f>IF(V55=" "," ",VLOOKUP(Grunddata!E$22,Produktionsområde!B$3:D$10,2,FALSE))</f>
        <v xml:space="preserve"> </v>
      </c>
      <c r="X55" s="2533" t="str">
        <f t="shared" si="7"/>
        <v xml:space="preserve"> </v>
      </c>
      <c r="Y55" s="665"/>
      <c r="Z55" s="486"/>
      <c r="AD55" s="2"/>
      <c r="AE55" s="2"/>
      <c r="AF55" s="2"/>
      <c r="AG55" s="2"/>
      <c r="AH55" s="2"/>
      <c r="AI55" s="2"/>
      <c r="AJ55" s="2"/>
      <c r="AK55" s="2"/>
      <c r="AL55" s="2"/>
      <c r="AM55" s="2"/>
      <c r="AN55" s="2"/>
      <c r="AO55" s="2"/>
      <c r="AP55" s="2"/>
      <c r="AQ55" s="2"/>
    </row>
    <row r="56" spans="1:43" ht="14.25">
      <c r="A56" s="2318">
        <v>9</v>
      </c>
      <c r="B56" s="86" t="str">
        <f>IF(Huvudinmatning!B41&gt;0,IF(Huvudinmatning!D41&gt;0,Huvudinmatning!D41,Huvudinmatning!B41)," ")</f>
        <v xml:space="preserve"> </v>
      </c>
      <c r="C56" s="2324" t="str">
        <f>IF(Huvudinmatning!H41&gt;0,Huvudinmatning!H41," ")</f>
        <v xml:space="preserve"> </v>
      </c>
      <c r="D56" s="87"/>
      <c r="E56" s="2284" t="str">
        <f>IF(B56=" "," ",(INDEX(Gröddata!$A$10:$N$44,MATCH(B56,Gröddata!A$10:A$44,0),14)))</f>
        <v xml:space="preserve"> </v>
      </c>
      <c r="F56" s="790" t="str">
        <f>IF($B56=" "," ",IF(Huvudinmatning!K41=TRUE,"ja","nej"))</f>
        <v xml:space="preserve"> </v>
      </c>
      <c r="G56" s="790" t="str">
        <f>IF($B56=" "," ",IF(Huvudinmatning!L41=TRUE,"ja","nej"))</f>
        <v xml:space="preserve"> </v>
      </c>
      <c r="H56" s="790" t="str">
        <f>IF(B56=" "," ",IF(Huvudinmatning!M41=TRUE,"nej","ja"))</f>
        <v xml:space="preserve"> </v>
      </c>
      <c r="I56" s="2517" t="str">
        <f t="shared" si="5"/>
        <v xml:space="preserve"> </v>
      </c>
      <c r="J56" s="2568" t="str">
        <f>IF($A56&gt;$B$42," ",IF(Huvudinmatning!$K41=TRUE,$C56*(VLOOKUP($B56,$A$70:$J$104,7,FALSE)*$I56),IF(Huvudinmatning!$L41=TRUE,$C56*(VLOOKUP($B56,$A$70:$J$104,9,FALSE)*$I56),$C56*(VLOOKUP($B56,$A$70:$J$104,2,FALSE)*$I56))))</f>
        <v xml:space="preserve"> </v>
      </c>
      <c r="K56" s="2568" t="str">
        <f>IF($A56&gt;$B$42," ",IF(Huvudinmatning!$K41=TRUE,$C56*(VLOOKUP($B56,$A$70:$J$104,8,FALSE)),IF(Huvudinmatning!$L41=TRUE,$C56*(VLOOKUP($B56,$A$70:$J$104,10,FALSE)),$C56*(VLOOKUP($B56,$A$70:$J$104,3,FALSE)))))</f>
        <v xml:space="preserve"> </v>
      </c>
      <c r="L56" s="2319"/>
      <c r="M56" s="790" t="str">
        <f>IF(B56=" "," ",IF(Huvudinmatning!P41=TRUE,"ja","nej"))</f>
        <v xml:space="preserve"> </v>
      </c>
      <c r="N56" s="2515"/>
      <c r="O56" s="2643" t="str">
        <f>IF(M56=" "," ",IF(M56="ja",Huvudinmatning!Q41*2*0.4,0))</f>
        <v xml:space="preserve"> </v>
      </c>
      <c r="P56" s="87"/>
      <c r="Q56" s="694" t="str">
        <f>IF(Huvudinmatning!R41=0," ",Huvudinmatning!R41)</f>
        <v xml:space="preserve"> </v>
      </c>
      <c r="R56" s="2525" t="str">
        <f>IF(Huvudinmatning!S41&gt;0,Huvudinmatning!S41," ")</f>
        <v xml:space="preserve"> </v>
      </c>
      <c r="S56" s="2527" t="str">
        <f>IF(R56=" "," ",(INDEX(Stallgödseldata!B$16:D$27,MATCH(Q56,Stallgödseldata!B$16:B$27,0),3)))</f>
        <v xml:space="preserve"> </v>
      </c>
      <c r="T56" s="1611" t="str">
        <f t="shared" si="8"/>
        <v xml:space="preserve"> </v>
      </c>
      <c r="U56" s="2319"/>
      <c r="V56" s="2533" t="str">
        <f t="shared" si="6"/>
        <v xml:space="preserve"> </v>
      </c>
      <c r="W56" s="2532" t="str">
        <f>IF(V56=" "," ",VLOOKUP(Grunddata!E$22,Produktionsområde!B$3:D$10,2,FALSE))</f>
        <v xml:space="preserve"> </v>
      </c>
      <c r="X56" s="2533" t="str">
        <f t="shared" si="7"/>
        <v xml:space="preserve"> </v>
      </c>
      <c r="Y56" s="665"/>
      <c r="Z56" s="486"/>
      <c r="AD56" s="2"/>
      <c r="AE56" s="2"/>
      <c r="AF56" s="2"/>
      <c r="AG56" s="2"/>
      <c r="AH56" s="2"/>
      <c r="AI56" s="2"/>
      <c r="AJ56" s="2"/>
      <c r="AK56" s="2"/>
      <c r="AL56" s="2"/>
      <c r="AM56" s="2"/>
      <c r="AN56" s="2"/>
      <c r="AO56" s="2"/>
      <c r="AP56" s="2"/>
      <c r="AQ56" s="2"/>
    </row>
    <row r="57" spans="1:43" ht="14.25">
      <c r="A57" s="2318">
        <v>10</v>
      </c>
      <c r="B57" s="86" t="str">
        <f>IF(Huvudinmatning!B42&gt;0,IF(Huvudinmatning!D42&gt;0,Huvudinmatning!D42,Huvudinmatning!B42)," ")</f>
        <v xml:space="preserve"> </v>
      </c>
      <c r="C57" s="2324" t="str">
        <f>IF(Huvudinmatning!H42&gt;0,Huvudinmatning!H42," ")</f>
        <v xml:space="preserve"> </v>
      </c>
      <c r="D57" s="87"/>
      <c r="E57" s="2284" t="str">
        <f>IF(B57=" "," ",(INDEX(Gröddata!$A$10:$N$44,MATCH(B57,Gröddata!A$10:A$44,0),14)))</f>
        <v xml:space="preserve"> </v>
      </c>
      <c r="F57" s="790" t="str">
        <f>IF($B57=" "," ",IF(Huvudinmatning!K42=TRUE,"ja","nej"))</f>
        <v xml:space="preserve"> </v>
      </c>
      <c r="G57" s="790" t="str">
        <f>IF($B57=" "," ",IF(Huvudinmatning!L42=TRUE,"ja","nej"))</f>
        <v xml:space="preserve"> </v>
      </c>
      <c r="H57" s="790" t="str">
        <f>IF(B57=" "," ",IF(Huvudinmatning!M42=TRUE,"nej","ja"))</f>
        <v xml:space="preserve"> </v>
      </c>
      <c r="I57" s="2517" t="str">
        <f t="shared" si="5"/>
        <v xml:space="preserve"> </v>
      </c>
      <c r="J57" s="2568" t="str">
        <f>IF($A57&gt;$B$42," ",IF(Huvudinmatning!$K42=TRUE,$C57*(VLOOKUP($B57,$A$70:$J$104,7,FALSE)*$I57),IF(Huvudinmatning!$L42=TRUE,$C57*(VLOOKUP($B57,$A$70:$J$104,9,FALSE)*$I57),$C57*(VLOOKUP($B57,$A$70:$J$104,2,FALSE)*$I57))))</f>
        <v xml:space="preserve"> </v>
      </c>
      <c r="K57" s="2568" t="str">
        <f>IF($A57&gt;$B$42," ",IF(Huvudinmatning!$K42=TRUE,$C57*(VLOOKUP($B57,$A$70:$J$104,8,FALSE)),IF(Huvudinmatning!$L42=TRUE,$C57*(VLOOKUP($B57,$A$70:$J$104,10,FALSE)),$C57*(VLOOKUP($B57,$A$70:$J$104,3,FALSE)))))</f>
        <v xml:space="preserve"> </v>
      </c>
      <c r="L57" s="2319"/>
      <c r="M57" s="790" t="str">
        <f>IF(B57=" "," ",IF(Huvudinmatning!P42=TRUE,"ja","nej"))</f>
        <v xml:space="preserve"> </v>
      </c>
      <c r="N57" s="2515"/>
      <c r="O57" s="2643" t="str">
        <f>IF(M57=" "," ",IF(M57="ja",Huvudinmatning!Q42*2*0.4,0))</f>
        <v xml:space="preserve"> </v>
      </c>
      <c r="P57" s="87"/>
      <c r="Q57" s="694" t="str">
        <f>IF(Huvudinmatning!R42=0," ",Huvudinmatning!R42)</f>
        <v xml:space="preserve"> </v>
      </c>
      <c r="R57" s="2525" t="str">
        <f>IF(Huvudinmatning!S42&gt;0,Huvudinmatning!S42," ")</f>
        <v xml:space="preserve"> </v>
      </c>
      <c r="S57" s="2527" t="str">
        <f>IF(R57=" "," ",(INDEX(Stallgödseldata!B$16:D$27,MATCH(Q57,Stallgödseldata!B$16:B$27,0),3)))</f>
        <v xml:space="preserve"> </v>
      </c>
      <c r="T57" s="1611" t="str">
        <f t="shared" si="8"/>
        <v xml:space="preserve"> </v>
      </c>
      <c r="U57" s="2319"/>
      <c r="V57" s="2533" t="str">
        <f t="shared" si="6"/>
        <v xml:space="preserve"> </v>
      </c>
      <c r="W57" s="2532" t="str">
        <f>IF(V57=" "," ",VLOOKUP(Grunddata!E$22,Produktionsområde!B$3:D$10,2,FALSE))</f>
        <v xml:space="preserve"> </v>
      </c>
      <c r="X57" s="2533" t="str">
        <f t="shared" si="7"/>
        <v xml:space="preserve"> </v>
      </c>
      <c r="Y57" s="665"/>
      <c r="Z57" s="486"/>
      <c r="AD57" s="2"/>
      <c r="AE57" s="2"/>
      <c r="AF57" s="2"/>
      <c r="AG57" s="2"/>
      <c r="AH57" s="2"/>
      <c r="AI57" s="2"/>
      <c r="AJ57" s="2"/>
      <c r="AK57" s="2"/>
      <c r="AL57" s="2"/>
      <c r="AM57" s="2"/>
      <c r="AN57" s="2"/>
      <c r="AO57" s="2"/>
      <c r="AP57" s="2"/>
      <c r="AQ57" s="2"/>
    </row>
    <row r="58" spans="1:43">
      <c r="A58" s="2304"/>
      <c r="B58" s="2304"/>
      <c r="C58" s="2304"/>
      <c r="D58" s="89"/>
      <c r="E58" s="2514"/>
      <c r="F58" s="2514"/>
      <c r="G58" s="2514"/>
      <c r="H58" s="2514"/>
      <c r="I58" s="89" t="s">
        <v>1444</v>
      </c>
      <c r="J58" s="2578">
        <f>SUM(J48:J57)/B42</f>
        <v>3754.2723665615231</v>
      </c>
      <c r="K58" s="2578">
        <f>SUM(K48:K57)/B42</f>
        <v>1031.3982742262244</v>
      </c>
      <c r="L58" s="2304"/>
      <c r="M58" s="89"/>
      <c r="N58" s="89"/>
      <c r="O58" s="2659">
        <f>SUM(O48:O57)/B42</f>
        <v>0</v>
      </c>
      <c r="P58" s="2320"/>
      <c r="Q58" s="665"/>
      <c r="R58" s="2514"/>
      <c r="S58" s="2514" t="s">
        <v>1444</v>
      </c>
      <c r="T58" s="2322">
        <f>SUM(T48:T57)/B42</f>
        <v>0</v>
      </c>
      <c r="U58" s="2320"/>
      <c r="V58" s="2657"/>
      <c r="W58" s="2658"/>
      <c r="X58" s="2657"/>
      <c r="Y58" s="665"/>
      <c r="Z58" s="486"/>
      <c r="AD58" s="2"/>
      <c r="AE58" s="2"/>
      <c r="AF58" s="2"/>
      <c r="AG58" s="2"/>
      <c r="AH58" s="2"/>
      <c r="AI58" s="2"/>
      <c r="AJ58" s="2"/>
      <c r="AK58" s="2"/>
      <c r="AL58" s="2"/>
      <c r="AM58" s="2"/>
      <c r="AN58" s="2"/>
      <c r="AO58" s="2"/>
      <c r="AP58" s="2"/>
      <c r="AQ58" s="2"/>
    </row>
    <row r="59" spans="1:43">
      <c r="A59" s="2304"/>
      <c r="B59" s="2304"/>
      <c r="C59" s="2304"/>
      <c r="D59" s="89"/>
      <c r="E59" s="2514"/>
      <c r="F59" s="2514"/>
      <c r="G59" s="2514"/>
      <c r="H59" s="2514"/>
      <c r="I59" s="89" t="s">
        <v>1654</v>
      </c>
      <c r="J59" s="2661">
        <v>0.125</v>
      </c>
      <c r="K59" s="2661">
        <v>0.25</v>
      </c>
      <c r="L59" s="2304"/>
      <c r="M59" s="89"/>
      <c r="N59" s="2660" t="s">
        <v>1654</v>
      </c>
      <c r="O59" s="2661">
        <v>0.25</v>
      </c>
      <c r="P59" s="2320"/>
      <c r="Q59" s="665"/>
      <c r="R59" s="2514"/>
      <c r="S59" s="2660" t="s">
        <v>1654</v>
      </c>
      <c r="T59" s="2661">
        <v>0.31</v>
      </c>
      <c r="U59" s="2662">
        <v>0.25</v>
      </c>
      <c r="V59" s="2657"/>
      <c r="W59" s="2658"/>
      <c r="X59" s="2752">
        <f>SUM(X48:X57)/B42</f>
        <v>2.2930232558139534</v>
      </c>
      <c r="Y59" s="665"/>
      <c r="Z59" s="2783"/>
      <c r="AA59" s="20"/>
      <c r="AB59" s="20"/>
      <c r="AD59" s="2"/>
      <c r="AE59" s="2"/>
      <c r="AF59" s="2"/>
      <c r="AG59" s="2"/>
      <c r="AH59" s="2"/>
      <c r="AI59" s="2"/>
      <c r="AJ59" s="2"/>
      <c r="AK59" s="2"/>
      <c r="AL59" s="2"/>
      <c r="AM59" s="2"/>
      <c r="AN59" s="2"/>
      <c r="AO59" s="2"/>
      <c r="AP59" s="2"/>
      <c r="AQ59" s="2"/>
    </row>
    <row r="60" spans="1:43">
      <c r="A60" s="2304"/>
      <c r="B60" s="2304"/>
      <c r="C60" s="2304"/>
      <c r="D60" s="89"/>
      <c r="E60" s="2514"/>
      <c r="F60" s="2514"/>
      <c r="G60" s="2514"/>
      <c r="H60" s="2514"/>
      <c r="I60" s="89" t="s">
        <v>307</v>
      </c>
      <c r="J60" s="1498">
        <f>J58*J59</f>
        <v>469.28404582019039</v>
      </c>
      <c r="K60" s="1498">
        <f>K58*K59</f>
        <v>257.84956855655611</v>
      </c>
      <c r="L60" s="2304"/>
      <c r="M60" s="89"/>
      <c r="N60" s="89" t="s">
        <v>307</v>
      </c>
      <c r="O60" s="2578">
        <f>O58*O59</f>
        <v>0</v>
      </c>
      <c r="P60" s="2320"/>
      <c r="Q60" s="665"/>
      <c r="R60" s="2514"/>
      <c r="S60" s="2514" t="s">
        <v>307</v>
      </c>
      <c r="T60" s="1498">
        <f>T58*T59</f>
        <v>0</v>
      </c>
      <c r="U60" s="2663">
        <f>U58*U59</f>
        <v>0</v>
      </c>
      <c r="V60" s="714"/>
      <c r="W60" s="714"/>
      <c r="X60" s="714"/>
      <c r="Y60" s="665"/>
      <c r="Z60" s="485"/>
      <c r="AA60" s="20"/>
      <c r="AB60" s="20"/>
      <c r="AC60" s="2"/>
      <c r="AD60" s="2"/>
      <c r="AE60" s="2"/>
      <c r="AF60" s="2"/>
      <c r="AG60" s="5"/>
      <c r="AH60" s="5"/>
      <c r="AI60" s="2"/>
      <c r="AJ60" s="2"/>
      <c r="AK60" s="2"/>
      <c r="AL60" s="2"/>
      <c r="AM60" s="2"/>
      <c r="AN60" s="2"/>
      <c r="AO60" s="2"/>
      <c r="AP60" s="2"/>
      <c r="AQ60" s="2"/>
    </row>
    <row r="61" spans="1:43">
      <c r="A61" s="2304"/>
      <c r="B61" s="2304"/>
      <c r="C61" s="2304"/>
      <c r="D61" s="89"/>
      <c r="E61" s="2514"/>
      <c r="F61" s="2514"/>
      <c r="G61" s="2514"/>
      <c r="H61" s="2514"/>
      <c r="I61" s="89"/>
      <c r="J61" s="2321" t="s">
        <v>1354</v>
      </c>
      <c r="K61" s="2321" t="s">
        <v>1355</v>
      </c>
      <c r="L61" s="2304"/>
      <c r="M61" s="89"/>
      <c r="N61" s="89"/>
      <c r="O61" s="2644"/>
      <c r="P61" s="2320"/>
      <c r="Q61" s="665"/>
      <c r="R61" s="2514"/>
      <c r="S61" s="2514"/>
      <c r="T61" s="2304"/>
      <c r="U61" s="2320"/>
      <c r="V61" s="716"/>
      <c r="W61" s="2514"/>
      <c r="X61" s="2514"/>
      <c r="Y61" s="716"/>
      <c r="Z61" s="485"/>
      <c r="AA61" s="20"/>
      <c r="AB61" s="20"/>
      <c r="AC61" s="2"/>
      <c r="AD61" s="2"/>
      <c r="AE61" s="2"/>
      <c r="AF61" s="2"/>
      <c r="AG61" s="5"/>
      <c r="AH61" s="5"/>
      <c r="AI61" s="2"/>
      <c r="AJ61" s="2"/>
      <c r="AK61" s="2"/>
      <c r="AL61" s="2"/>
      <c r="AM61" s="2"/>
      <c r="AN61" s="2"/>
      <c r="AO61" s="2"/>
      <c r="AP61" s="2"/>
      <c r="AQ61" s="2"/>
    </row>
    <row r="62" spans="1:43">
      <c r="A62" s="2304"/>
      <c r="B62" s="2304"/>
      <c r="C62" s="2304"/>
      <c r="D62" s="89"/>
      <c r="E62" s="2514"/>
      <c r="F62" s="2514"/>
      <c r="G62" s="2514"/>
      <c r="H62" s="2514"/>
      <c r="I62" s="89"/>
      <c r="J62" s="2321" t="s">
        <v>1356</v>
      </c>
      <c r="K62" s="2304" t="s">
        <v>1437</v>
      </c>
      <c r="L62" s="2304"/>
      <c r="M62" s="89"/>
      <c r="N62" s="89"/>
      <c r="O62" s="2644"/>
      <c r="P62" s="2320"/>
      <c r="Q62" s="665"/>
      <c r="R62" s="714"/>
      <c r="S62" s="714"/>
      <c r="T62" s="2304"/>
      <c r="U62" s="2304"/>
      <c r="V62" s="665"/>
      <c r="W62" s="665"/>
      <c r="X62" s="665"/>
      <c r="Y62" s="665"/>
      <c r="Z62" s="485"/>
      <c r="AA62" s="20"/>
      <c r="AB62" s="20"/>
      <c r="AC62" s="2"/>
      <c r="AD62" s="2"/>
      <c r="AE62" s="2"/>
      <c r="AF62" s="2"/>
      <c r="AG62" s="5"/>
      <c r="AH62" s="5"/>
      <c r="AI62" s="2"/>
      <c r="AJ62" s="2"/>
      <c r="AK62" s="2"/>
      <c r="AL62" s="2"/>
      <c r="AM62" s="2"/>
      <c r="AN62" s="2"/>
      <c r="AO62" s="2"/>
      <c r="AP62" s="2"/>
      <c r="AQ62" s="2"/>
    </row>
    <row r="63" spans="1:43">
      <c r="A63" s="485"/>
      <c r="B63" s="485"/>
      <c r="C63" s="485"/>
      <c r="D63" s="485"/>
      <c r="E63" s="485"/>
      <c r="F63" s="485"/>
      <c r="G63" s="485"/>
      <c r="H63" s="485"/>
      <c r="I63" s="485"/>
      <c r="J63" s="485"/>
      <c r="K63" s="485"/>
      <c r="L63" s="485"/>
      <c r="M63" s="485"/>
      <c r="N63" s="485"/>
      <c r="O63" s="500"/>
      <c r="P63" s="500"/>
      <c r="Q63" s="485"/>
      <c r="R63" s="2340"/>
      <c r="S63" s="485"/>
      <c r="T63" s="485"/>
      <c r="U63" s="485"/>
      <c r="V63" s="485"/>
      <c r="W63" s="485"/>
      <c r="X63" s="485"/>
      <c r="Y63" s="485"/>
      <c r="Z63" s="485"/>
      <c r="AA63" s="485"/>
      <c r="AB63" s="2"/>
      <c r="AC63" s="2"/>
      <c r="AD63" s="2"/>
      <c r="AE63" s="2"/>
      <c r="AF63" s="2"/>
      <c r="AG63" s="5"/>
      <c r="AH63" s="5"/>
      <c r="AI63" s="2"/>
      <c r="AJ63" s="2"/>
      <c r="AK63" s="2"/>
      <c r="AL63" s="95"/>
      <c r="AM63" s="2"/>
      <c r="AN63" s="2"/>
      <c r="AO63" s="2"/>
      <c r="AP63" s="2"/>
      <c r="AQ63" s="2"/>
    </row>
    <row r="64" spans="1:43">
      <c r="A64" s="486"/>
      <c r="B64" s="486"/>
      <c r="C64" s="486"/>
      <c r="D64" s="486"/>
      <c r="E64" s="486"/>
      <c r="F64" s="486"/>
      <c r="G64" s="486"/>
      <c r="H64" s="486"/>
      <c r="I64" s="486"/>
      <c r="J64" s="486"/>
      <c r="K64" s="486"/>
      <c r="L64" s="486"/>
      <c r="M64" s="486"/>
      <c r="N64" s="486"/>
      <c r="O64" s="486"/>
      <c r="P64" s="486"/>
      <c r="Q64" s="486"/>
      <c r="R64" s="486"/>
      <c r="S64" s="486"/>
      <c r="T64" s="486"/>
      <c r="U64" s="486"/>
      <c r="V64" s="486"/>
      <c r="W64" s="486"/>
      <c r="X64" s="486"/>
      <c r="Y64" s="486"/>
    </row>
    <row r="65" spans="1:38">
      <c r="L65" s="486"/>
      <c r="M65" s="486"/>
      <c r="N65" s="486"/>
      <c r="O65" s="486"/>
      <c r="P65" s="486"/>
      <c r="Q65" s="486"/>
      <c r="R65" s="486"/>
      <c r="S65" s="486"/>
      <c r="T65" s="486"/>
      <c r="U65" s="486"/>
      <c r="V65" s="486"/>
      <c r="W65" s="486"/>
      <c r="X65" s="486"/>
      <c r="Y65" s="486"/>
    </row>
    <row r="66" spans="1:38" ht="15">
      <c r="A66" s="2747" t="s">
        <v>1335</v>
      </c>
      <c r="B66" s="2748"/>
      <c r="C66" s="2748"/>
      <c r="D66" s="2748"/>
      <c r="E66" s="2748"/>
      <c r="F66" s="2748"/>
      <c r="G66" s="2748"/>
      <c r="H66" s="2748"/>
      <c r="I66" s="2748"/>
      <c r="J66" s="2748"/>
      <c r="K66" s="2748"/>
      <c r="L66" s="486"/>
      <c r="M66" s="486"/>
      <c r="N66" s="486"/>
      <c r="O66" s="486"/>
      <c r="P66" s="486"/>
      <c r="Q66" s="486"/>
      <c r="R66" s="486"/>
      <c r="S66" s="486"/>
      <c r="T66" s="486"/>
      <c r="U66" s="486"/>
      <c r="V66" s="486"/>
      <c r="W66" s="486"/>
      <c r="X66" s="486"/>
      <c r="Y66" s="486"/>
    </row>
    <row r="67" spans="1:38">
      <c r="A67" s="2748"/>
      <c r="B67" s="2748"/>
      <c r="C67" s="2749"/>
      <c r="D67" s="2749"/>
      <c r="E67" s="2748"/>
      <c r="F67" s="2748"/>
      <c r="G67" s="2750" t="s">
        <v>1384</v>
      </c>
      <c r="H67" s="2748"/>
      <c r="I67" s="2750" t="s">
        <v>1385</v>
      </c>
      <c r="J67" s="2748"/>
      <c r="K67" s="2748"/>
      <c r="L67" s="486"/>
      <c r="M67" s="486"/>
      <c r="N67" s="486"/>
      <c r="O67" s="486"/>
      <c r="P67" s="486"/>
      <c r="Q67" s="486"/>
      <c r="R67" s="486"/>
      <c r="S67" s="486"/>
      <c r="T67" s="486"/>
      <c r="U67" s="486"/>
      <c r="V67" s="486"/>
      <c r="W67" s="486"/>
      <c r="X67" s="486"/>
      <c r="Y67" s="486"/>
    </row>
    <row r="68" spans="1:38">
      <c r="A68" s="2748" t="s">
        <v>742</v>
      </c>
      <c r="B68" s="2751" t="s">
        <v>1336</v>
      </c>
      <c r="C68" s="2751" t="s">
        <v>1337</v>
      </c>
      <c r="D68" s="2748"/>
      <c r="E68" s="2748"/>
      <c r="F68" s="2748"/>
      <c r="G68" s="2751" t="s">
        <v>1336</v>
      </c>
      <c r="H68" s="2751" t="s">
        <v>1337</v>
      </c>
      <c r="I68" s="2751" t="s">
        <v>1336</v>
      </c>
      <c r="J68" s="2751" t="s">
        <v>1337</v>
      </c>
      <c r="K68" s="2751" t="s">
        <v>149</v>
      </c>
      <c r="L68" s="486"/>
      <c r="M68" s="486"/>
      <c r="N68" s="486"/>
      <c r="O68" s="486"/>
      <c r="P68" s="486"/>
      <c r="Q68" s="486"/>
      <c r="R68" s="486"/>
      <c r="S68" s="486"/>
      <c r="T68" s="486"/>
      <c r="U68" s="486"/>
      <c r="V68" s="486"/>
      <c r="W68" s="486"/>
      <c r="X68" s="486"/>
      <c r="Y68" s="486"/>
      <c r="AA68" s="101"/>
    </row>
    <row r="69" spans="1:38">
      <c r="A69" s="2327" t="str">
        <f>Gröddata!A9</f>
        <v>Spannmålsgrödor</v>
      </c>
      <c r="B69" s="2328"/>
      <c r="C69" s="2328"/>
      <c r="D69" s="2328"/>
      <c r="G69" s="2328"/>
      <c r="H69" s="2328"/>
      <c r="I69" s="2328"/>
      <c r="J69" s="2328"/>
      <c r="K69" s="486"/>
      <c r="L69" s="486"/>
      <c r="M69" s="486"/>
      <c r="N69" s="486"/>
      <c r="O69" s="486"/>
      <c r="P69" s="486"/>
      <c r="Q69" s="486"/>
      <c r="R69" s="486"/>
      <c r="S69" s="486"/>
      <c r="T69" s="486"/>
      <c r="U69" s="486"/>
      <c r="V69" s="486"/>
      <c r="W69" s="486"/>
      <c r="X69" s="486"/>
      <c r="Y69" s="486"/>
      <c r="AA69" s="101">
        <f>SUM(V77:Y77)</f>
        <v>1.000206008583691</v>
      </c>
    </row>
    <row r="70" spans="1:38">
      <c r="A70" s="311" t="str">
        <f>Gröddata!A10</f>
        <v>Höstvete bröd</v>
      </c>
      <c r="B70" s="2652">
        <f>AI77</f>
        <v>0.58050000000000002</v>
      </c>
      <c r="C70" s="2652">
        <f>AJ77</f>
        <v>0.15986970000000003</v>
      </c>
      <c r="D70" s="2652"/>
      <c r="E70" s="2652"/>
      <c r="F70" s="2652"/>
      <c r="G70" s="2653">
        <f t="shared" ref="G70:H74" si="9">G$75/B$75*B70</f>
        <v>0.37968026673396493</v>
      </c>
      <c r="H70" s="2653">
        <f t="shared" si="9"/>
        <v>0.42946406934306586</v>
      </c>
      <c r="I70" s="2654">
        <f t="shared" ref="I70:I78" si="10">B70</f>
        <v>0.58050000000000002</v>
      </c>
      <c r="J70" s="2654">
        <f t="shared" ref="J70:J78" si="11">C70</f>
        <v>0.15986970000000003</v>
      </c>
      <c r="K70" s="486"/>
      <c r="L70" s="486"/>
      <c r="M70" s="486">
        <f>C70/(B70+C70)</f>
        <v>0.21593225654696568</v>
      </c>
      <c r="N70" s="486">
        <f>X77/(W77+X77)</f>
        <v>0.14285714285714288</v>
      </c>
      <c r="O70" s="486"/>
      <c r="P70" s="486"/>
      <c r="Q70" s="2544" t="s">
        <v>1604</v>
      </c>
      <c r="R70" s="486"/>
      <c r="S70" s="486"/>
      <c r="T70" s="486"/>
      <c r="U70" s="486"/>
      <c r="V70" s="2541" t="s">
        <v>1439</v>
      </c>
      <c r="W70" s="486"/>
      <c r="X70" s="486"/>
      <c r="Y70" s="486"/>
      <c r="Z70" s="486"/>
      <c r="AA70" s="101"/>
      <c r="AG70" s="13"/>
      <c r="AH70" s="13"/>
    </row>
    <row r="71" spans="1:38">
      <c r="A71" s="311" t="str">
        <f>Gröddata!A11</f>
        <v>Höstvete, foder</v>
      </c>
      <c r="B71" s="2652">
        <f>AI77</f>
        <v>0.58050000000000002</v>
      </c>
      <c r="C71" s="2652">
        <f>AJ77</f>
        <v>0.15986970000000003</v>
      </c>
      <c r="D71" s="2652"/>
      <c r="E71" s="2652"/>
      <c r="F71" s="2652"/>
      <c r="G71" s="2653">
        <f t="shared" si="9"/>
        <v>0.37968026673396493</v>
      </c>
      <c r="H71" s="2653">
        <f t="shared" si="9"/>
        <v>0.42946406934306586</v>
      </c>
      <c r="I71" s="2654">
        <f t="shared" si="10"/>
        <v>0.58050000000000002</v>
      </c>
      <c r="J71" s="2654">
        <f t="shared" si="11"/>
        <v>0.15986970000000003</v>
      </c>
      <c r="K71" s="486"/>
      <c r="L71" s="486"/>
      <c r="M71" s="486">
        <f t="shared" ref="M71:M78" si="12">C71/(B71+C71)</f>
        <v>0.21593225654696568</v>
      </c>
      <c r="N71" s="486"/>
      <c r="O71" s="486"/>
      <c r="P71" s="486"/>
      <c r="Q71" s="486"/>
      <c r="R71" s="486"/>
      <c r="S71" s="486" t="s">
        <v>1438</v>
      </c>
      <c r="T71" s="486"/>
      <c r="U71" s="486"/>
      <c r="V71" s="486"/>
      <c r="W71" s="486"/>
      <c r="X71" s="486"/>
      <c r="Y71" s="486"/>
    </row>
    <row r="72" spans="1:38">
      <c r="A72" s="312" t="str">
        <f>Gröddata!A12</f>
        <v>Råg, hybrid</v>
      </c>
      <c r="B72" s="2653">
        <f>AI77</f>
        <v>0.58050000000000002</v>
      </c>
      <c r="C72" s="2653">
        <f>AJ77</f>
        <v>0.15986970000000003</v>
      </c>
      <c r="D72" s="2652"/>
      <c r="E72" s="2652"/>
      <c r="F72" s="2652"/>
      <c r="G72" s="2653">
        <f t="shared" si="9"/>
        <v>0.37968026673396493</v>
      </c>
      <c r="H72" s="2653">
        <f t="shared" si="9"/>
        <v>0.42946406934306586</v>
      </c>
      <c r="I72" s="2654">
        <f t="shared" si="10"/>
        <v>0.58050000000000002</v>
      </c>
      <c r="J72" s="2654">
        <f t="shared" si="11"/>
        <v>0.15986970000000003</v>
      </c>
      <c r="K72" s="486"/>
      <c r="L72" s="486"/>
      <c r="M72" s="486">
        <f t="shared" si="12"/>
        <v>0.21593225654696568</v>
      </c>
      <c r="N72" s="486"/>
      <c r="O72" s="486"/>
      <c r="P72" s="486"/>
      <c r="R72" s="2332" t="s">
        <v>1367</v>
      </c>
      <c r="T72" s="2332" t="s">
        <v>1368</v>
      </c>
      <c r="V72" s="2545" t="s">
        <v>1366</v>
      </c>
      <c r="W72" s="2323"/>
      <c r="X72" s="2323"/>
      <c r="Y72" s="2323"/>
      <c r="AA72" s="2333" t="s">
        <v>1371</v>
      </c>
      <c r="AB72" s="2333"/>
      <c r="AC72" s="2333"/>
      <c r="AD72" s="2333"/>
      <c r="AE72" s="2333"/>
      <c r="AL72" s="473"/>
    </row>
    <row r="73" spans="1:38">
      <c r="A73" s="312" t="str">
        <f>Gröddata!A13</f>
        <v>Rågvete</v>
      </c>
      <c r="B73" s="2653">
        <f>AI77</f>
        <v>0.58050000000000002</v>
      </c>
      <c r="C73" s="2653">
        <f>AJ77</f>
        <v>0.15986970000000003</v>
      </c>
      <c r="D73" s="2652"/>
      <c r="E73" s="2652"/>
      <c r="F73" s="2652"/>
      <c r="G73" s="2653">
        <f t="shared" si="9"/>
        <v>0.37968026673396493</v>
      </c>
      <c r="H73" s="2653">
        <f t="shared" si="9"/>
        <v>0.42946406934306586</v>
      </c>
      <c r="I73" s="2654">
        <f t="shared" si="10"/>
        <v>0.58050000000000002</v>
      </c>
      <c r="J73" s="2654">
        <f t="shared" si="11"/>
        <v>0.15986970000000003</v>
      </c>
      <c r="K73" s="486"/>
      <c r="L73" s="486"/>
      <c r="M73" s="486">
        <f t="shared" si="12"/>
        <v>0.21593225654696568</v>
      </c>
      <c r="N73" s="486"/>
      <c r="O73" s="486"/>
      <c r="P73" s="486"/>
      <c r="Q73" s="2332" t="s">
        <v>1640</v>
      </c>
      <c r="R73" s="2335" t="s">
        <v>1440</v>
      </c>
      <c r="S73" s="473" t="s">
        <v>1639</v>
      </c>
      <c r="T73" s="2335" t="s">
        <v>1357</v>
      </c>
      <c r="V73" s="2542" t="s">
        <v>744</v>
      </c>
      <c r="W73" s="2542" t="s">
        <v>32</v>
      </c>
      <c r="X73" s="2542" t="s">
        <v>1369</v>
      </c>
      <c r="Y73" s="2542" t="s">
        <v>1638</v>
      </c>
      <c r="Z73" s="2543"/>
      <c r="AA73" s="2336" t="s">
        <v>1373</v>
      </c>
      <c r="AB73" s="2337" t="s">
        <v>1374</v>
      </c>
      <c r="AC73" s="2337" t="s">
        <v>1370</v>
      </c>
      <c r="AD73" s="2337" t="s">
        <v>1375</v>
      </c>
      <c r="AE73" s="2337" t="s">
        <v>1376</v>
      </c>
      <c r="AF73" s="2333"/>
      <c r="AG73" s="2334" t="s">
        <v>1335</v>
      </c>
      <c r="AH73" s="2334"/>
      <c r="AI73" s="473"/>
      <c r="AJ73" s="2332"/>
      <c r="AK73" s="2334"/>
      <c r="AL73" s="473"/>
    </row>
    <row r="74" spans="1:38">
      <c r="A74" s="312" t="str">
        <f>Gröddata!A14</f>
        <v>Höstkorn</v>
      </c>
      <c r="B74" s="2653">
        <f>AI77</f>
        <v>0.58050000000000002</v>
      </c>
      <c r="C74" s="2653">
        <f>AJ77</f>
        <v>0.15986970000000003</v>
      </c>
      <c r="D74" s="2652"/>
      <c r="E74" s="2652"/>
      <c r="F74" s="2652"/>
      <c r="G74" s="2653">
        <f t="shared" si="9"/>
        <v>0.37968026673396493</v>
      </c>
      <c r="H74" s="2653">
        <f t="shared" si="9"/>
        <v>0.42946406934306586</v>
      </c>
      <c r="I74" s="2654">
        <f t="shared" si="10"/>
        <v>0.58050000000000002</v>
      </c>
      <c r="J74" s="2654">
        <f t="shared" si="11"/>
        <v>0.15986970000000003</v>
      </c>
      <c r="K74" s="486"/>
      <c r="L74" s="486">
        <f>C70/(B70+C70)</f>
        <v>0.21593225654696568</v>
      </c>
      <c r="M74" s="486">
        <f t="shared" si="12"/>
        <v>0.21593225654696568</v>
      </c>
      <c r="N74" s="486"/>
      <c r="O74" s="486"/>
      <c r="P74" s="486"/>
      <c r="R74" s="104" t="s">
        <v>1632</v>
      </c>
      <c r="T74" s="104" t="s">
        <v>1631</v>
      </c>
      <c r="V74" s="2589" t="s">
        <v>1372</v>
      </c>
      <c r="W74" s="2589" t="s">
        <v>1358</v>
      </c>
      <c r="X74" s="2589" t="s">
        <v>1359</v>
      </c>
      <c r="Y74" s="2589" t="s">
        <v>1360</v>
      </c>
      <c r="Z74" s="2337"/>
      <c r="AA74" s="2337" t="s">
        <v>1635</v>
      </c>
      <c r="AB74" s="2337" t="s">
        <v>1633</v>
      </c>
      <c r="AC74" s="2337" t="s">
        <v>1634</v>
      </c>
      <c r="AD74" s="2337" t="s">
        <v>1637</v>
      </c>
      <c r="AE74" s="2337" t="s">
        <v>1636</v>
      </c>
      <c r="AF74" s="2338" t="s">
        <v>1377</v>
      </c>
      <c r="AG74" s="809"/>
      <c r="AH74" s="809" t="s">
        <v>1639</v>
      </c>
      <c r="AI74" s="2339" t="s">
        <v>1378</v>
      </c>
      <c r="AJ74" s="2339" t="s">
        <v>1379</v>
      </c>
      <c r="AK74" s="2332" t="s">
        <v>1380</v>
      </c>
    </row>
    <row r="75" spans="1:38">
      <c r="A75" s="312" t="str">
        <f>Gröddata!A15</f>
        <v>Vårkorn, foder</v>
      </c>
      <c r="B75" s="2652">
        <f>AI75</f>
        <v>0.34695278969957083</v>
      </c>
      <c r="C75" s="2652">
        <f>AJ75</f>
        <v>0.12197974248927038</v>
      </c>
      <c r="D75" s="2652"/>
      <c r="E75" s="2652"/>
      <c r="F75" s="2652"/>
      <c r="G75" s="2652">
        <f t="shared" ref="G75:H78" si="13">+AI$78</f>
        <v>0.22692700729927009</v>
      </c>
      <c r="H75" s="2652">
        <f t="shared" si="13"/>
        <v>0.32767883211678839</v>
      </c>
      <c r="I75" s="2652">
        <f t="shared" si="10"/>
        <v>0.34695278969957083</v>
      </c>
      <c r="J75" s="2652">
        <f t="shared" si="11"/>
        <v>0.12197974248927038</v>
      </c>
      <c r="K75" s="486"/>
      <c r="L75" s="486"/>
      <c r="M75" s="486">
        <f t="shared" si="12"/>
        <v>0.2601221585542472</v>
      </c>
      <c r="N75" s="486"/>
      <c r="O75" s="486"/>
      <c r="P75" s="486"/>
      <c r="Q75" s="473" t="s">
        <v>1361</v>
      </c>
      <c r="R75" s="473">
        <v>6000</v>
      </c>
      <c r="S75" s="809"/>
      <c r="T75" s="473">
        <f>0.45*R75*0.86</f>
        <v>2322</v>
      </c>
      <c r="V75" s="2588">
        <v>0.45</v>
      </c>
      <c r="W75" s="2588">
        <v>0.40343347639484978</v>
      </c>
      <c r="X75" s="2588">
        <v>8.5836909871244621E-2</v>
      </c>
      <c r="Y75" s="2588">
        <v>5.6000000000000001E-2</v>
      </c>
      <c r="Z75" s="473">
        <v>5.5793991416309009E-2</v>
      </c>
      <c r="AA75" s="2585">
        <f t="shared" ref="AA75:AA90" si="14">+AE75*W75</f>
        <v>2081.716738197425</v>
      </c>
      <c r="AB75" s="2585">
        <f t="shared" ref="AB75:AB90" si="15">+AE75*X75</f>
        <v>442.91845493562226</v>
      </c>
      <c r="AC75" s="2585">
        <f t="shared" ref="AC75:AC90" si="16">+AE75*Y75</f>
        <v>288.95999999999998</v>
      </c>
      <c r="AD75" s="2585">
        <f>+AB75+AC75</f>
        <v>731.87845493562224</v>
      </c>
      <c r="AE75" s="2585">
        <f t="shared" ref="AE75:AE90" si="17">+T75/V75</f>
        <v>5160</v>
      </c>
      <c r="AF75" s="2585">
        <f t="shared" ref="AF75:AF90" si="18">+AA75+AD75</f>
        <v>2813.5951931330474</v>
      </c>
      <c r="AG75" s="809" t="str">
        <f>+Q75</f>
        <v>korn</v>
      </c>
      <c r="AH75" s="809"/>
      <c r="AI75" s="2847">
        <f t="shared" ref="AI75:AI90" si="19">(+W75*AE75/R75)</f>
        <v>0.34695278969957083</v>
      </c>
      <c r="AJ75" s="2847">
        <f>(+(X75+Y75)*AE75/R75)</f>
        <v>0.12197974248927038</v>
      </c>
      <c r="AK75" s="2846">
        <f t="shared" ref="AK75:AK82" si="20">+AI75+AJ75</f>
        <v>0.46893253218884123</v>
      </c>
      <c r="AL75" s="100">
        <f t="shared" ref="AL75:AL90" si="21">SUM(V75:Y75)</f>
        <v>0.99527038626609443</v>
      </c>
    </row>
    <row r="76" spans="1:38">
      <c r="A76" s="311" t="str">
        <f>Gröddata!A16</f>
        <v>Maltkorn</v>
      </c>
      <c r="B76" s="2652">
        <f>AI75</f>
        <v>0.34695278969957083</v>
      </c>
      <c r="C76" s="2652">
        <f>AJ75</f>
        <v>0.12197974248927038</v>
      </c>
      <c r="D76" s="2652"/>
      <c r="E76" s="2652"/>
      <c r="F76" s="2652"/>
      <c r="G76" s="2653">
        <f t="shared" si="13"/>
        <v>0.22692700729927009</v>
      </c>
      <c r="H76" s="2653">
        <f t="shared" si="13"/>
        <v>0.32767883211678839</v>
      </c>
      <c r="I76" s="2652">
        <f t="shared" si="10"/>
        <v>0.34695278969957083</v>
      </c>
      <c r="J76" s="2652">
        <f t="shared" si="11"/>
        <v>0.12197974248927038</v>
      </c>
      <c r="K76" s="486"/>
      <c r="L76" s="486"/>
      <c r="M76" s="486">
        <f t="shared" si="12"/>
        <v>0.2601221585542472</v>
      </c>
      <c r="N76" s="486"/>
      <c r="O76" s="486"/>
      <c r="P76" s="486"/>
      <c r="Q76" s="473" t="s">
        <v>1362</v>
      </c>
      <c r="R76" s="473">
        <v>6000</v>
      </c>
      <c r="S76" s="809"/>
      <c r="T76" s="473">
        <f>0.45*R76*0.86</f>
        <v>2322</v>
      </c>
      <c r="V76" s="2588">
        <v>0.45493562231759654</v>
      </c>
      <c r="W76" s="2588">
        <v>0.40343347639484978</v>
      </c>
      <c r="X76" s="2588">
        <v>8.5836909871244621E-2</v>
      </c>
      <c r="Y76" s="2588">
        <v>5.6000000000000001E-2</v>
      </c>
      <c r="Z76" s="473">
        <v>5.5793991416309002E-2</v>
      </c>
      <c r="AA76" s="2585">
        <f t="shared" si="14"/>
        <v>2059.132075471698</v>
      </c>
      <c r="AB76" s="2585">
        <f t="shared" si="15"/>
        <v>438.11320754716974</v>
      </c>
      <c r="AC76" s="2585">
        <f t="shared" si="16"/>
        <v>285.82505660377359</v>
      </c>
      <c r="AD76" s="2585">
        <f t="shared" ref="AD76:AD90" si="22">+AB76+AC76</f>
        <v>723.93826415094327</v>
      </c>
      <c r="AE76" s="2585">
        <f t="shared" si="17"/>
        <v>5104.0188679245284</v>
      </c>
      <c r="AF76" s="2585">
        <f t="shared" si="18"/>
        <v>2783.0703396226413</v>
      </c>
      <c r="AG76" s="809" t="str">
        <f>+Q76</f>
        <v>havre</v>
      </c>
      <c r="AH76" s="809"/>
      <c r="AI76" s="2847">
        <f t="shared" si="19"/>
        <v>0.34318867924528301</v>
      </c>
      <c r="AJ76" s="2847">
        <f>(+(X76+Y76)*AE76/R76)</f>
        <v>0.12065637735849054</v>
      </c>
      <c r="AK76" s="2846">
        <f t="shared" si="20"/>
        <v>0.46384505660377356</v>
      </c>
      <c r="AL76" s="100">
        <f t="shared" si="21"/>
        <v>1.000206008583691</v>
      </c>
    </row>
    <row r="77" spans="1:38">
      <c r="A77" s="311" t="str">
        <f>Gröddata!A17</f>
        <v>Vårvete</v>
      </c>
      <c r="B77" s="2653">
        <f>AI75</f>
        <v>0.34695278969957083</v>
      </c>
      <c r="C77" s="2653">
        <f>AJ75</f>
        <v>0.12197974248927038</v>
      </c>
      <c r="D77" s="2652"/>
      <c r="E77" s="2652"/>
      <c r="F77" s="2652"/>
      <c r="G77" s="2653">
        <f t="shared" si="13"/>
        <v>0.22692700729927009</v>
      </c>
      <c r="H77" s="2653">
        <f t="shared" si="13"/>
        <v>0.32767883211678839</v>
      </c>
      <c r="I77" s="2652">
        <f t="shared" si="10"/>
        <v>0.34695278969957083</v>
      </c>
      <c r="J77" s="2652">
        <f t="shared" si="11"/>
        <v>0.12197974248927038</v>
      </c>
      <c r="K77" s="486"/>
      <c r="L77" s="486"/>
      <c r="M77" s="486">
        <f t="shared" si="12"/>
        <v>0.2601221585542472</v>
      </c>
      <c r="N77" s="486"/>
      <c r="O77" s="486"/>
      <c r="P77" s="486"/>
      <c r="Q77" s="473" t="s">
        <v>1363</v>
      </c>
      <c r="R77" s="473">
        <v>8000</v>
      </c>
      <c r="S77" s="809"/>
      <c r="T77" s="473">
        <f>0.45*R77*0.86</f>
        <v>3096</v>
      </c>
      <c r="V77" s="2588">
        <v>0.34334763948497854</v>
      </c>
      <c r="W77" s="2588">
        <v>0.51502145922746778</v>
      </c>
      <c r="X77" s="2588">
        <v>8.5836909871244635E-2</v>
      </c>
      <c r="Y77" s="2588">
        <v>5.6000000000000001E-2</v>
      </c>
      <c r="Z77" s="473">
        <v>5.5793991416309016E-2</v>
      </c>
      <c r="AA77" s="2585">
        <f t="shared" si="14"/>
        <v>4644</v>
      </c>
      <c r="AB77" s="2585">
        <f t="shared" si="15"/>
        <v>774</v>
      </c>
      <c r="AC77" s="2585">
        <f t="shared" si="16"/>
        <v>504.95760000000001</v>
      </c>
      <c r="AD77" s="2585">
        <f t="shared" si="22"/>
        <v>1278.9576</v>
      </c>
      <c r="AE77" s="2585">
        <f t="shared" si="17"/>
        <v>9017.1</v>
      </c>
      <c r="AF77" s="2585">
        <f t="shared" si="18"/>
        <v>5922.9575999999997</v>
      </c>
      <c r="AG77" s="809" t="str">
        <f>+Q77</f>
        <v>vete</v>
      </c>
      <c r="AH77" s="809"/>
      <c r="AI77" s="2847">
        <f t="shared" si="19"/>
        <v>0.58050000000000002</v>
      </c>
      <c r="AJ77" s="2847">
        <f>(+(X77+Y77)*AE77/R77)</f>
        <v>0.15986970000000003</v>
      </c>
      <c r="AK77" s="2846">
        <f t="shared" si="20"/>
        <v>0.74036970000000002</v>
      </c>
      <c r="AL77" s="100">
        <f t="shared" si="21"/>
        <v>1.000206008583691</v>
      </c>
    </row>
    <row r="78" spans="1:38">
      <c r="A78" s="311" t="str">
        <f>Gröddata!A18</f>
        <v>Havre</v>
      </c>
      <c r="B78" s="2652">
        <f>+AI76</f>
        <v>0.34318867924528301</v>
      </c>
      <c r="C78" s="2652">
        <f>+AJ76</f>
        <v>0.12065637735849054</v>
      </c>
      <c r="D78" s="2652"/>
      <c r="E78" s="2652"/>
      <c r="F78" s="2652"/>
      <c r="G78" s="2653">
        <f t="shared" si="13"/>
        <v>0.22692700729927009</v>
      </c>
      <c r="H78" s="2653">
        <f t="shared" si="13"/>
        <v>0.32767883211678839</v>
      </c>
      <c r="I78" s="2652">
        <f t="shared" si="10"/>
        <v>0.34318867924528301</v>
      </c>
      <c r="J78" s="2652">
        <f t="shared" si="11"/>
        <v>0.12065637735849054</v>
      </c>
      <c r="K78" s="486"/>
      <c r="L78" s="486"/>
      <c r="M78" s="486">
        <f t="shared" si="12"/>
        <v>0.26012215855424714</v>
      </c>
      <c r="N78" s="486"/>
      <c r="O78" s="486"/>
      <c r="P78" s="486"/>
      <c r="Q78" s="473" t="s">
        <v>1381</v>
      </c>
      <c r="R78" s="473">
        <f>6000*0.86</f>
        <v>5160</v>
      </c>
      <c r="S78" s="809"/>
      <c r="T78" s="809">
        <f>0.45*R78*0.86</f>
        <v>1996.92</v>
      </c>
      <c r="V78" s="2588">
        <v>0.41099999999999998</v>
      </c>
      <c r="W78" s="2588">
        <v>0.24099999999999999</v>
      </c>
      <c r="X78" s="2588">
        <v>0.21099999999999999</v>
      </c>
      <c r="Y78" s="2588">
        <v>0.13700000000000001</v>
      </c>
      <c r="Z78" s="473"/>
      <c r="AA78" s="2585">
        <f t="shared" si="14"/>
        <v>1170.9433576642336</v>
      </c>
      <c r="AB78" s="2585">
        <f t="shared" si="15"/>
        <v>1025.1827737226279</v>
      </c>
      <c r="AC78" s="2585">
        <f t="shared" si="16"/>
        <v>665.64000000000021</v>
      </c>
      <c r="AD78" s="2585">
        <f t="shared" si="22"/>
        <v>1690.822773722628</v>
      </c>
      <c r="AE78" s="2585">
        <f t="shared" si="17"/>
        <v>4858.6861313868621</v>
      </c>
      <c r="AF78" s="2585">
        <f t="shared" si="18"/>
        <v>2861.7661313868616</v>
      </c>
      <c r="AG78" s="809" t="str">
        <f>+Q78</f>
        <v>korn insådd</v>
      </c>
      <c r="AH78" s="809"/>
      <c r="AI78" s="2847">
        <f t="shared" si="19"/>
        <v>0.22692700729927009</v>
      </c>
      <c r="AJ78" s="2847">
        <f>(+(X78+Y78)*AE78/R78)</f>
        <v>0.32767883211678839</v>
      </c>
      <c r="AK78" s="2846">
        <f t="shared" si="20"/>
        <v>0.55460583941605845</v>
      </c>
      <c r="AL78" s="100">
        <f t="shared" si="21"/>
        <v>0.99999999999999989</v>
      </c>
    </row>
    <row r="79" spans="1:38">
      <c r="A79" s="2326" t="str">
        <f>Gröddata!A19</f>
        <v>Oljeväxter</v>
      </c>
      <c r="B79" s="2655"/>
      <c r="C79" s="2655"/>
      <c r="D79" s="2655"/>
      <c r="E79" s="2655"/>
      <c r="F79" s="2655"/>
      <c r="G79" s="2655"/>
      <c r="H79" s="2655"/>
      <c r="I79" s="2655"/>
      <c r="J79" s="2655"/>
      <c r="K79" s="486"/>
      <c r="L79" s="486"/>
      <c r="M79" s="486"/>
      <c r="N79" s="486"/>
      <c r="O79" s="486"/>
      <c r="P79" s="486"/>
      <c r="Q79" s="473" t="s">
        <v>1364</v>
      </c>
      <c r="R79" s="473">
        <v>7000</v>
      </c>
      <c r="S79" s="903"/>
      <c r="T79" s="473">
        <f>0.45*R79</f>
        <v>3150</v>
      </c>
      <c r="V79" s="2684">
        <v>0.55000000000000004</v>
      </c>
      <c r="W79" s="2684">
        <v>0.55000000000000004</v>
      </c>
      <c r="X79" s="2684">
        <v>0</v>
      </c>
      <c r="Y79" s="2684">
        <v>0.18</v>
      </c>
      <c r="Z79" s="473">
        <v>0.27</v>
      </c>
      <c r="AA79" s="2585">
        <f t="shared" si="14"/>
        <v>3150</v>
      </c>
      <c r="AB79" s="2585">
        <f t="shared" si="15"/>
        <v>0</v>
      </c>
      <c r="AC79" s="2585">
        <f t="shared" si="16"/>
        <v>1030.9090909090908</v>
      </c>
      <c r="AD79" s="2585">
        <f t="shared" si="22"/>
        <v>1030.9090909090908</v>
      </c>
      <c r="AE79" s="2585">
        <f t="shared" si="17"/>
        <v>5727.272727272727</v>
      </c>
      <c r="AF79" s="2585">
        <f t="shared" si="18"/>
        <v>4180.909090909091</v>
      </c>
      <c r="AG79" s="809" t="str">
        <f>+Q79</f>
        <v>gräs, år1</v>
      </c>
      <c r="AH79" s="903"/>
      <c r="AI79" s="2847">
        <f t="shared" si="19"/>
        <v>0.45</v>
      </c>
      <c r="AJ79" s="2847">
        <f>(+(X79+Y79)*AE79/R79)</f>
        <v>0.14727272727272725</v>
      </c>
      <c r="AK79" s="2846">
        <f t="shared" si="20"/>
        <v>0.59727272727272729</v>
      </c>
      <c r="AL79" s="100">
        <f t="shared" si="21"/>
        <v>1.28</v>
      </c>
    </row>
    <row r="80" spans="1:38">
      <c r="A80" s="2080" t="str">
        <f>Gröddata!A20</f>
        <v xml:space="preserve">Höstraps </v>
      </c>
      <c r="B80" s="2652">
        <f>+AI85</f>
        <v>1.2305272277227721</v>
      </c>
      <c r="C80" s="2652">
        <f>+AJ85</f>
        <v>0.38720049504950488</v>
      </c>
      <c r="D80" s="2652"/>
      <c r="E80" s="2652"/>
      <c r="F80" s="2652"/>
      <c r="G80" s="2654">
        <f t="shared" ref="G80:H82" si="23">B80</f>
        <v>1.2305272277227721</v>
      </c>
      <c r="H80" s="2654">
        <f t="shared" si="23"/>
        <v>0.38720049504950488</v>
      </c>
      <c r="I80" s="2654">
        <f t="shared" ref="I80:J82" si="24">B80</f>
        <v>1.2305272277227721</v>
      </c>
      <c r="J80" s="2654">
        <f t="shared" si="24"/>
        <v>0.38720049504950488</v>
      </c>
      <c r="K80" s="486"/>
      <c r="L80" s="486"/>
      <c r="M80" s="486"/>
      <c r="N80" s="486"/>
      <c r="O80" s="486"/>
      <c r="P80" s="486"/>
      <c r="Q80" s="473" t="s">
        <v>1641</v>
      </c>
      <c r="R80" s="473">
        <v>7000</v>
      </c>
      <c r="S80" s="1140">
        <f>H22/100</f>
        <v>0.2</v>
      </c>
      <c r="T80" s="473">
        <f>0.45*R80</f>
        <v>3150</v>
      </c>
      <c r="V80" s="2684">
        <v>0.55000000000000004</v>
      </c>
      <c r="W80" s="2684">
        <v>0.55000000000000004</v>
      </c>
      <c r="X80" s="2684">
        <v>0</v>
      </c>
      <c r="Y80" s="2684">
        <v>0.18</v>
      </c>
      <c r="Z80" s="473"/>
      <c r="AA80" s="2585">
        <f t="shared" si="14"/>
        <v>3150</v>
      </c>
      <c r="AB80" s="2585">
        <f t="shared" si="15"/>
        <v>0</v>
      </c>
      <c r="AC80" s="2585">
        <f t="shared" si="16"/>
        <v>1030.9090909090908</v>
      </c>
      <c r="AD80" s="2585">
        <f t="shared" ref="AD80" si="25">+AB80+AC80</f>
        <v>1030.9090909090908</v>
      </c>
      <c r="AE80" s="2585">
        <f t="shared" si="17"/>
        <v>5727.272727272727</v>
      </c>
      <c r="AF80" s="2585">
        <f t="shared" si="18"/>
        <v>4180.909090909091</v>
      </c>
      <c r="AG80" s="809" t="s">
        <v>1738</v>
      </c>
      <c r="AH80" s="809"/>
      <c r="AI80" s="2847">
        <f t="shared" si="19"/>
        <v>0.45</v>
      </c>
      <c r="AJ80" s="2847">
        <f>(+(Y80)*AE80/R80)</f>
        <v>0.14727272727272725</v>
      </c>
      <c r="AK80" s="2846">
        <f t="shared" si="20"/>
        <v>0.59727272727272729</v>
      </c>
      <c r="AL80" s="100">
        <f t="shared" si="21"/>
        <v>1.28</v>
      </c>
    </row>
    <row r="81" spans="1:40">
      <c r="A81" s="2080" t="str">
        <f>Gröddata!A21</f>
        <v>Vårraps</v>
      </c>
      <c r="B81" s="2652">
        <f>+AI85</f>
        <v>1.2305272277227721</v>
      </c>
      <c r="C81" s="2652">
        <f>+AJ85</f>
        <v>0.38720049504950488</v>
      </c>
      <c r="D81" s="2652"/>
      <c r="E81" s="2652"/>
      <c r="F81" s="2652"/>
      <c r="G81" s="2654">
        <f t="shared" si="23"/>
        <v>1.2305272277227721</v>
      </c>
      <c r="H81" s="2654">
        <f t="shared" si="23"/>
        <v>0.38720049504950488</v>
      </c>
      <c r="I81" s="2654">
        <f t="shared" si="24"/>
        <v>1.2305272277227721</v>
      </c>
      <c r="J81" s="2654">
        <f t="shared" si="24"/>
        <v>0.38720049504950488</v>
      </c>
      <c r="K81" s="486"/>
      <c r="L81" s="486"/>
      <c r="M81" s="486"/>
      <c r="N81" s="486"/>
      <c r="O81" s="486"/>
      <c r="P81" s="486"/>
      <c r="Q81" s="473" t="s">
        <v>1365</v>
      </c>
      <c r="R81" s="473">
        <v>7000</v>
      </c>
      <c r="S81" s="903"/>
      <c r="T81" s="473">
        <f>0.45*R81</f>
        <v>3150</v>
      </c>
      <c r="V81" s="2684">
        <v>0.55000000000000004</v>
      </c>
      <c r="W81" s="2684">
        <v>0.55000000000000004</v>
      </c>
      <c r="X81" s="2684">
        <v>0.27</v>
      </c>
      <c r="Y81" s="2684">
        <v>0.18</v>
      </c>
      <c r="Z81" s="473"/>
      <c r="AA81" s="2585">
        <f t="shared" si="14"/>
        <v>3150</v>
      </c>
      <c r="AB81" s="2585">
        <f t="shared" si="15"/>
        <v>1546.3636363636365</v>
      </c>
      <c r="AC81" s="2585">
        <f t="shared" si="16"/>
        <v>1030.9090909090908</v>
      </c>
      <c r="AD81" s="2585">
        <f t="shared" si="22"/>
        <v>2577.272727272727</v>
      </c>
      <c r="AE81" s="2585">
        <f t="shared" si="17"/>
        <v>5727.272727272727</v>
      </c>
      <c r="AF81" s="2585">
        <f t="shared" si="18"/>
        <v>5727.272727272727</v>
      </c>
      <c r="AG81" s="809" t="str">
        <f t="shared" ref="AG81:AG90" si="26">+Q81</f>
        <v>gräs avbrott</v>
      </c>
      <c r="AH81" s="903"/>
      <c r="AI81" s="2847">
        <f t="shared" si="19"/>
        <v>0.45</v>
      </c>
      <c r="AJ81" s="2847">
        <f t="shared" ref="AJ81:AJ90" si="27">(+(X81+Y81)*AE81/R81)</f>
        <v>0.36818181818181817</v>
      </c>
      <c r="AK81" s="2846">
        <f t="shared" si="20"/>
        <v>0.81818181818181812</v>
      </c>
      <c r="AL81" s="100">
        <f t="shared" si="21"/>
        <v>1.55</v>
      </c>
    </row>
    <row r="82" spans="1:40">
      <c r="A82" s="2080" t="str">
        <f>Gröddata!A22</f>
        <v>Oljelin</v>
      </c>
      <c r="B82" s="2653">
        <f>+AI85</f>
        <v>1.2305272277227721</v>
      </c>
      <c r="C82" s="2653">
        <f>+AJ85</f>
        <v>0.38720049504950488</v>
      </c>
      <c r="D82" s="2652"/>
      <c r="E82" s="2652"/>
      <c r="F82" s="2652"/>
      <c r="G82" s="2654">
        <f t="shared" si="23"/>
        <v>1.2305272277227721</v>
      </c>
      <c r="H82" s="2654">
        <f t="shared" si="23"/>
        <v>0.38720049504950488</v>
      </c>
      <c r="I82" s="2654">
        <f t="shared" si="24"/>
        <v>1.2305272277227721</v>
      </c>
      <c r="J82" s="2654">
        <f t="shared" si="24"/>
        <v>0.38720049504950488</v>
      </c>
      <c r="K82" s="486"/>
      <c r="L82" s="486"/>
      <c r="M82" s="486"/>
      <c r="N82" s="486"/>
      <c r="O82" s="486"/>
      <c r="P82" s="486"/>
      <c r="Q82" s="473" t="s">
        <v>1642</v>
      </c>
      <c r="R82" s="473">
        <v>7000</v>
      </c>
      <c r="S82" s="1140">
        <f>H22/100</f>
        <v>0.2</v>
      </c>
      <c r="T82" s="473">
        <f>0.45*R82</f>
        <v>3150</v>
      </c>
      <c r="V82" s="2684">
        <v>0.55000000000000004</v>
      </c>
      <c r="W82" s="2684">
        <v>0.55000000000000004</v>
      </c>
      <c r="X82" s="2684">
        <v>0.27</v>
      </c>
      <c r="Y82" s="2684">
        <v>0.18</v>
      </c>
      <c r="Z82" s="473"/>
      <c r="AA82" s="2585">
        <f t="shared" si="14"/>
        <v>3150</v>
      </c>
      <c r="AB82" s="2585">
        <f t="shared" si="15"/>
        <v>1546.3636363636365</v>
      </c>
      <c r="AC82" s="2585">
        <f t="shared" si="16"/>
        <v>1030.9090909090908</v>
      </c>
      <c r="AD82" s="2585">
        <f t="shared" ref="AD82" si="28">+AB82+AC82</f>
        <v>2577.272727272727</v>
      </c>
      <c r="AE82" s="2585">
        <f t="shared" si="17"/>
        <v>5727.272727272727</v>
      </c>
      <c r="AF82" s="2585">
        <f t="shared" si="18"/>
        <v>5727.272727272727</v>
      </c>
      <c r="AG82" s="809" t="str">
        <f t="shared" si="26"/>
        <v>Avbrott alt 2</v>
      </c>
      <c r="AH82" s="809"/>
      <c r="AI82" s="2847">
        <f t="shared" si="19"/>
        <v>0.45</v>
      </c>
      <c r="AJ82" s="2847">
        <f t="shared" si="27"/>
        <v>0.36818181818181817</v>
      </c>
      <c r="AK82" s="2846">
        <f t="shared" si="20"/>
        <v>0.81818181818181812</v>
      </c>
      <c r="AL82" s="100">
        <f t="shared" si="21"/>
        <v>1.55</v>
      </c>
    </row>
    <row r="83" spans="1:40">
      <c r="A83" s="2329" t="str">
        <f>Gröddata!A23</f>
        <v>Trindsäd</v>
      </c>
      <c r="B83" s="2655"/>
      <c r="C83" s="2655"/>
      <c r="D83" s="2655"/>
      <c r="E83" s="2655"/>
      <c r="F83" s="2655"/>
      <c r="G83" s="2655"/>
      <c r="H83" s="2655"/>
      <c r="I83" s="2655"/>
      <c r="J83" s="2655"/>
      <c r="K83" s="486"/>
      <c r="L83" s="486"/>
      <c r="M83" s="486"/>
      <c r="N83" s="486"/>
      <c r="O83" s="486"/>
      <c r="P83" s="486"/>
      <c r="Q83" s="473" t="s">
        <v>337</v>
      </c>
      <c r="R83" s="473">
        <v>50000</v>
      </c>
      <c r="S83" s="809"/>
      <c r="T83" s="473">
        <f>0.45*R83*0.2</f>
        <v>4500</v>
      </c>
      <c r="V83" s="2588">
        <v>0.73899999999999999</v>
      </c>
      <c r="W83" s="2588">
        <v>0.23599999999999999</v>
      </c>
      <c r="X83" s="2588">
        <v>2.5000000000000001E-2</v>
      </c>
      <c r="Y83" s="2588">
        <v>0</v>
      </c>
      <c r="Z83" s="473"/>
      <c r="AA83" s="2585">
        <f t="shared" si="14"/>
        <v>1437.0771312584573</v>
      </c>
      <c r="AB83" s="2585">
        <f t="shared" si="15"/>
        <v>152.23274695534505</v>
      </c>
      <c r="AC83" s="2585">
        <f t="shared" si="16"/>
        <v>0</v>
      </c>
      <c r="AD83" s="2585">
        <f t="shared" si="22"/>
        <v>152.23274695534505</v>
      </c>
      <c r="AE83" s="2585">
        <f t="shared" si="17"/>
        <v>6089.3098782138022</v>
      </c>
      <c r="AF83" s="2585">
        <f t="shared" si="18"/>
        <v>1589.3098782138022</v>
      </c>
      <c r="AG83" s="809" t="str">
        <f t="shared" si="26"/>
        <v>Potatis</v>
      </c>
      <c r="AH83" s="809"/>
      <c r="AI83" s="2847">
        <f t="shared" si="19"/>
        <v>2.8741542625169144E-2</v>
      </c>
      <c r="AJ83" s="2847">
        <f t="shared" si="27"/>
        <v>3.0446549391069011E-3</v>
      </c>
      <c r="AK83" s="2846">
        <f t="shared" ref="AK83:AK89" si="29">+AI83+AJ83</f>
        <v>3.1786197564276045E-2</v>
      </c>
      <c r="AL83" s="100">
        <f t="shared" si="21"/>
        <v>1</v>
      </c>
    </row>
    <row r="84" spans="1:40">
      <c r="A84" s="2565" t="str">
        <f>Gröddata!A24</f>
        <v>Foderärt</v>
      </c>
      <c r="B84" s="2653">
        <f t="shared" ref="B84:C86" si="30">AI86</f>
        <v>0.37220523138833</v>
      </c>
      <c r="C84" s="2653">
        <f t="shared" si="30"/>
        <v>1.9466800804828977E-2</v>
      </c>
      <c r="D84" s="2652"/>
      <c r="E84" s="2652"/>
      <c r="F84" s="2652"/>
      <c r="G84" s="2652">
        <f t="shared" ref="G84:H86" si="31">B84</f>
        <v>0.37220523138833</v>
      </c>
      <c r="H84" s="2652">
        <f t="shared" si="31"/>
        <v>1.9466800804828977E-2</v>
      </c>
      <c r="I84" s="2652">
        <f t="shared" ref="I84:J86" si="32">B84</f>
        <v>0.37220523138833</v>
      </c>
      <c r="J84" s="2652">
        <f t="shared" si="32"/>
        <v>1.9466800804828977E-2</v>
      </c>
      <c r="K84" s="486"/>
      <c r="L84" s="486"/>
      <c r="M84" s="486"/>
      <c r="N84" s="486"/>
      <c r="O84" s="486"/>
      <c r="P84" s="486"/>
      <c r="Q84" s="473" t="s">
        <v>171</v>
      </c>
      <c r="R84" s="473">
        <v>50000</v>
      </c>
      <c r="S84" s="809"/>
      <c r="T84" s="473">
        <f>0.45*R84*0.2</f>
        <v>4500</v>
      </c>
      <c r="V84" s="2588">
        <v>0.626</v>
      </c>
      <c r="W84" s="2588">
        <v>0.35699999999999998</v>
      </c>
      <c r="X84" s="2588">
        <v>1.7000000000000001E-2</v>
      </c>
      <c r="Y84" s="2588">
        <v>0</v>
      </c>
      <c r="Z84" s="473"/>
      <c r="AA84" s="2585">
        <f t="shared" si="14"/>
        <v>2566.2939297124599</v>
      </c>
      <c r="AB84" s="2585">
        <f t="shared" si="15"/>
        <v>122.20447284345049</v>
      </c>
      <c r="AC84" s="2585">
        <f t="shared" si="16"/>
        <v>0</v>
      </c>
      <c r="AD84" s="2585">
        <f t="shared" si="22"/>
        <v>122.20447284345049</v>
      </c>
      <c r="AE84" s="2585">
        <f t="shared" si="17"/>
        <v>7188.4984025559106</v>
      </c>
      <c r="AF84" s="2585">
        <f t="shared" si="18"/>
        <v>2688.4984025559102</v>
      </c>
      <c r="AG84" s="809" t="str">
        <f t="shared" si="26"/>
        <v>Sockerbetor</v>
      </c>
      <c r="AH84" s="809"/>
      <c r="AI84" s="2847">
        <f t="shared" si="19"/>
        <v>5.1325878594249197E-2</v>
      </c>
      <c r="AJ84" s="2847">
        <f t="shared" si="27"/>
        <v>2.4440894568690096E-3</v>
      </c>
      <c r="AK84" s="2846">
        <f t="shared" si="29"/>
        <v>5.3769968051118208E-2</v>
      </c>
      <c r="AL84" s="100">
        <f t="shared" si="21"/>
        <v>1</v>
      </c>
    </row>
    <row r="85" spans="1:40">
      <c r="A85" s="2565" t="str">
        <f>Gröddata!A25</f>
        <v>Konservärter</v>
      </c>
      <c r="B85" s="2653">
        <f t="shared" si="30"/>
        <v>0.37220523138833</v>
      </c>
      <c r="C85" s="2653">
        <f t="shared" si="30"/>
        <v>1.9466800804828977E-2</v>
      </c>
      <c r="D85" s="2652"/>
      <c r="E85" s="2652"/>
      <c r="F85" s="2652"/>
      <c r="G85" s="2652">
        <f t="shared" si="31"/>
        <v>0.37220523138833</v>
      </c>
      <c r="H85" s="2652">
        <f t="shared" si="31"/>
        <v>1.9466800804828977E-2</v>
      </c>
      <c r="I85" s="2652">
        <f t="shared" si="32"/>
        <v>0.37220523138833</v>
      </c>
      <c r="J85" s="2652">
        <f t="shared" si="32"/>
        <v>1.9466800804828977E-2</v>
      </c>
      <c r="K85" s="486"/>
      <c r="L85" s="486"/>
      <c r="M85" s="486"/>
      <c r="N85" s="486"/>
      <c r="O85" s="486"/>
      <c r="P85" s="486"/>
      <c r="Q85" s="473" t="s">
        <v>627</v>
      </c>
      <c r="R85" s="473">
        <v>3000</v>
      </c>
      <c r="S85" s="809"/>
      <c r="T85" s="473">
        <f>+R85*0.45*0.91</f>
        <v>1228.5</v>
      </c>
      <c r="V85" s="2588">
        <v>0.20200000000000001</v>
      </c>
      <c r="W85" s="2588">
        <v>0.60699999999999998</v>
      </c>
      <c r="X85" s="2588">
        <v>0.11600000000000001</v>
      </c>
      <c r="Y85" s="2588">
        <v>7.4999999999999997E-2</v>
      </c>
      <c r="Z85" s="473"/>
      <c r="AA85" s="2585">
        <f t="shared" si="14"/>
        <v>3691.5816831683164</v>
      </c>
      <c r="AB85" s="2585">
        <f t="shared" si="15"/>
        <v>705.47524752475249</v>
      </c>
      <c r="AC85" s="2585">
        <f t="shared" si="16"/>
        <v>456.12623762376234</v>
      </c>
      <c r="AD85" s="2585">
        <f t="shared" si="22"/>
        <v>1161.6014851485147</v>
      </c>
      <c r="AE85" s="2585">
        <f t="shared" si="17"/>
        <v>6081.6831683168311</v>
      </c>
      <c r="AF85" s="2585">
        <f t="shared" si="18"/>
        <v>4853.1831683168311</v>
      </c>
      <c r="AG85" s="809" t="str">
        <f t="shared" si="26"/>
        <v>Oljeväxt</v>
      </c>
      <c r="AH85" s="809"/>
      <c r="AI85" s="2847">
        <f t="shared" si="19"/>
        <v>1.2305272277227721</v>
      </c>
      <c r="AJ85" s="2847">
        <f t="shared" si="27"/>
        <v>0.38720049504950488</v>
      </c>
      <c r="AK85" s="2846">
        <f t="shared" si="29"/>
        <v>1.6177277227722771</v>
      </c>
      <c r="AL85" s="100">
        <f t="shared" si="21"/>
        <v>0.99999999999999989</v>
      </c>
    </row>
    <row r="86" spans="1:40">
      <c r="A86" s="2565" t="str">
        <f>Gröddata!A26</f>
        <v>Åkerbönor</v>
      </c>
      <c r="B86" s="2653">
        <f t="shared" si="30"/>
        <v>0.51235218508997427</v>
      </c>
      <c r="C86" s="2653">
        <f t="shared" si="30"/>
        <v>9.5506426735218503E-2</v>
      </c>
      <c r="D86" s="2652"/>
      <c r="E86" s="2652"/>
      <c r="F86" s="2652"/>
      <c r="G86" s="2652">
        <f t="shared" si="31"/>
        <v>0.51235218508997427</v>
      </c>
      <c r="H86" s="2652">
        <f t="shared" si="31"/>
        <v>9.5506426735218503E-2</v>
      </c>
      <c r="I86" s="2652">
        <f t="shared" si="32"/>
        <v>0.51235218508997427</v>
      </c>
      <c r="J86" s="2652">
        <f t="shared" si="32"/>
        <v>9.5506426735218503E-2</v>
      </c>
      <c r="K86" s="486"/>
      <c r="L86" s="486"/>
      <c r="M86" s="486"/>
      <c r="N86" s="486"/>
      <c r="O86" s="486"/>
      <c r="P86" s="486"/>
      <c r="Q86" s="2538" t="s">
        <v>1600</v>
      </c>
      <c r="R86" s="2537">
        <v>4000</v>
      </c>
      <c r="S86" s="2539"/>
      <c r="T86" s="2537">
        <f>0.45*R86*0.86</f>
        <v>1548</v>
      </c>
      <c r="V86" s="2586">
        <v>0.497</v>
      </c>
      <c r="W86" s="2586">
        <v>0.47799999999999998</v>
      </c>
      <c r="X86" s="2586">
        <v>1.4999999999999999E-2</v>
      </c>
      <c r="Y86" s="2586">
        <v>0.01</v>
      </c>
      <c r="Z86" s="2537"/>
      <c r="AA86" s="2585">
        <f t="shared" si="14"/>
        <v>1488.82092555332</v>
      </c>
      <c r="AB86" s="2585">
        <f t="shared" si="15"/>
        <v>46.720321931589538</v>
      </c>
      <c r="AC86" s="2585">
        <f t="shared" si="16"/>
        <v>31.146881287726362</v>
      </c>
      <c r="AD86" s="2585">
        <f t="shared" si="22"/>
        <v>77.867203219315897</v>
      </c>
      <c r="AE86" s="2585">
        <f t="shared" si="17"/>
        <v>3114.688128772636</v>
      </c>
      <c r="AF86" s="2585">
        <f t="shared" si="18"/>
        <v>1566.6881287726358</v>
      </c>
      <c r="AG86" s="2539" t="str">
        <f t="shared" si="26"/>
        <v>foderärt</v>
      </c>
      <c r="AH86" s="2539"/>
      <c r="AI86" s="2847">
        <f t="shared" si="19"/>
        <v>0.37220523138833</v>
      </c>
      <c r="AJ86" s="2847">
        <f t="shared" si="27"/>
        <v>1.9466800804828977E-2</v>
      </c>
      <c r="AK86" s="2846">
        <f t="shared" si="29"/>
        <v>0.39167203219315899</v>
      </c>
      <c r="AL86" s="100">
        <f t="shared" si="21"/>
        <v>1</v>
      </c>
    </row>
    <row r="87" spans="1:40">
      <c r="A87" s="2330" t="str">
        <f>Gröddata!A27</f>
        <v>Sockerbetor och potatis</v>
      </c>
      <c r="B87" s="2655"/>
      <c r="C87" s="2655"/>
      <c r="D87" s="2655"/>
      <c r="E87" s="2655"/>
      <c r="F87" s="2655"/>
      <c r="G87" s="2655"/>
      <c r="H87" s="2655"/>
      <c r="I87" s="2655"/>
      <c r="J87" s="2655"/>
      <c r="K87" s="486"/>
      <c r="L87" s="486"/>
      <c r="M87" s="486"/>
      <c r="N87" s="486"/>
      <c r="O87" s="486"/>
      <c r="P87" s="486"/>
      <c r="Q87" s="2538" t="s">
        <v>1601</v>
      </c>
      <c r="R87" s="2537">
        <v>4000</v>
      </c>
      <c r="S87" s="2539"/>
      <c r="T87" s="2537">
        <f>0.45*R87*0.86</f>
        <v>1548</v>
      </c>
      <c r="V87" s="2586">
        <v>0.497</v>
      </c>
      <c r="W87" s="2586">
        <v>0.47799999999999998</v>
      </c>
      <c r="X87" s="2586">
        <v>1.4999999999999999E-2</v>
      </c>
      <c r="Y87" s="2586">
        <v>0.01</v>
      </c>
      <c r="Z87" s="2537"/>
      <c r="AA87" s="2585">
        <f t="shared" si="14"/>
        <v>1488.82092555332</v>
      </c>
      <c r="AB87" s="2585">
        <f t="shared" si="15"/>
        <v>46.720321931589538</v>
      </c>
      <c r="AC87" s="2585">
        <f t="shared" si="16"/>
        <v>31.146881287726362</v>
      </c>
      <c r="AD87" s="2585">
        <f t="shared" si="22"/>
        <v>77.867203219315897</v>
      </c>
      <c r="AE87" s="2585">
        <f t="shared" si="17"/>
        <v>3114.688128772636</v>
      </c>
      <c r="AF87" s="2585">
        <f t="shared" si="18"/>
        <v>1566.6881287726358</v>
      </c>
      <c r="AG87" s="2539" t="str">
        <f t="shared" si="26"/>
        <v>konservärt</v>
      </c>
      <c r="AH87" s="2539"/>
      <c r="AI87" s="2847">
        <f t="shared" si="19"/>
        <v>0.37220523138833</v>
      </c>
      <c r="AJ87" s="2847">
        <f t="shared" si="27"/>
        <v>1.9466800804828977E-2</v>
      </c>
      <c r="AK87" s="2846">
        <f t="shared" si="29"/>
        <v>0.39167203219315899</v>
      </c>
      <c r="AL87" s="100">
        <f t="shared" si="21"/>
        <v>1</v>
      </c>
    </row>
    <row r="88" spans="1:40">
      <c r="A88" s="2080" t="str">
        <f>Gröddata!A28</f>
        <v>Sockerbetor</v>
      </c>
      <c r="B88" s="2652">
        <f>+AI84</f>
        <v>5.1325878594249197E-2</v>
      </c>
      <c r="C88" s="2652">
        <f>+AJ84</f>
        <v>2.4440894568690096E-3</v>
      </c>
      <c r="D88" s="2652"/>
      <c r="E88" s="2652"/>
      <c r="F88" s="2652"/>
      <c r="G88" s="2652">
        <f>B88</f>
        <v>5.1325878594249197E-2</v>
      </c>
      <c r="H88" s="2652">
        <f>C88</f>
        <v>2.4440894568690096E-3</v>
      </c>
      <c r="I88" s="2652">
        <f>B88</f>
        <v>5.1325878594249197E-2</v>
      </c>
      <c r="J88" s="2652">
        <f>C88</f>
        <v>2.4440894568690096E-3</v>
      </c>
      <c r="K88" s="486"/>
      <c r="L88" s="486"/>
      <c r="M88" s="486"/>
      <c r="N88" s="486"/>
      <c r="O88" s="486"/>
      <c r="P88" s="486"/>
      <c r="Q88" s="2538" t="s">
        <v>1602</v>
      </c>
      <c r="R88" s="2537">
        <v>4000</v>
      </c>
      <c r="S88" s="2540"/>
      <c r="T88" s="2537">
        <f>0.45*R88*0.86</f>
        <v>1548</v>
      </c>
      <c r="V88" s="2586">
        <v>0.38900000000000001</v>
      </c>
      <c r="W88" s="2586">
        <v>0.51500000000000001</v>
      </c>
      <c r="X88" s="2586">
        <v>5.8000000000000003E-2</v>
      </c>
      <c r="Y88" s="2586">
        <v>3.7999999999999999E-2</v>
      </c>
      <c r="Z88" s="2537"/>
      <c r="AA88" s="2585">
        <f t="shared" si="14"/>
        <v>2049.4087403598969</v>
      </c>
      <c r="AB88" s="2585">
        <f t="shared" si="15"/>
        <v>230.80719794344472</v>
      </c>
      <c r="AC88" s="2585">
        <f t="shared" si="16"/>
        <v>151.2185089974293</v>
      </c>
      <c r="AD88" s="2585">
        <f t="shared" si="22"/>
        <v>382.02570694087399</v>
      </c>
      <c r="AE88" s="2585">
        <f t="shared" si="17"/>
        <v>3979.4344473007709</v>
      </c>
      <c r="AF88" s="2585">
        <f t="shared" si="18"/>
        <v>2431.4344473007709</v>
      </c>
      <c r="AG88" s="2540" t="str">
        <f t="shared" si="26"/>
        <v>åkerböna</v>
      </c>
      <c r="AH88" s="2540"/>
      <c r="AI88" s="2847">
        <f t="shared" si="19"/>
        <v>0.51235218508997427</v>
      </c>
      <c r="AJ88" s="2847">
        <f t="shared" si="27"/>
        <v>9.5506426735218503E-2</v>
      </c>
      <c r="AK88" s="2846">
        <f t="shared" si="29"/>
        <v>0.60785861182519274</v>
      </c>
      <c r="AL88" s="100">
        <f t="shared" si="21"/>
        <v>1</v>
      </c>
    </row>
    <row r="89" spans="1:40">
      <c r="A89" s="2080" t="str">
        <f>Gröddata!A29</f>
        <v>Matpotatis (parti)*</v>
      </c>
      <c r="B89" s="2652">
        <f>+AI83</f>
        <v>2.8741542625169144E-2</v>
      </c>
      <c r="C89" s="2652">
        <f>+AJ83</f>
        <v>3.0446549391069011E-3</v>
      </c>
      <c r="D89" s="2652"/>
      <c r="E89" s="2652"/>
      <c r="F89" s="2652"/>
      <c r="G89" s="2652">
        <f>B89</f>
        <v>2.8741542625169144E-2</v>
      </c>
      <c r="H89" s="2652">
        <f>C89</f>
        <v>3.0446549391069011E-3</v>
      </c>
      <c r="I89" s="2652">
        <f>B89</f>
        <v>2.8741542625169144E-2</v>
      </c>
      <c r="J89" s="2652">
        <f>C89</f>
        <v>3.0446549391069011E-3</v>
      </c>
      <c r="K89" s="486"/>
      <c r="L89" s="486"/>
      <c r="M89" s="486"/>
      <c r="N89" s="486"/>
      <c r="O89" s="486"/>
      <c r="P89" s="486"/>
      <c r="Q89" s="2538" t="s">
        <v>1603</v>
      </c>
      <c r="R89" s="2537">
        <v>6000</v>
      </c>
      <c r="S89" s="2540"/>
      <c r="T89" s="2537">
        <v>810</v>
      </c>
      <c r="V89" s="2587">
        <v>0.77241379310344838</v>
      </c>
      <c r="W89" s="2587">
        <v>0</v>
      </c>
      <c r="X89" s="2587">
        <v>0.13793103448275862</v>
      </c>
      <c r="Y89" s="2587">
        <v>8.9655172413793102E-2</v>
      </c>
      <c r="Z89" s="2537"/>
      <c r="AA89" s="2585">
        <f t="shared" si="14"/>
        <v>0</v>
      </c>
      <c r="AB89" s="2585">
        <f t="shared" si="15"/>
        <v>144.64285714285714</v>
      </c>
      <c r="AC89" s="2585">
        <f t="shared" si="16"/>
        <v>94.017857142857139</v>
      </c>
      <c r="AD89" s="2585">
        <f t="shared" si="22"/>
        <v>238.66071428571428</v>
      </c>
      <c r="AE89" s="2585">
        <f t="shared" si="17"/>
        <v>1048.6607142857142</v>
      </c>
      <c r="AF89" s="2585">
        <f t="shared" si="18"/>
        <v>238.66071428571428</v>
      </c>
      <c r="AG89" s="2540" t="str">
        <f t="shared" si="26"/>
        <v>fodermajs</v>
      </c>
      <c r="AH89" s="2540"/>
      <c r="AI89" s="2847">
        <f t="shared" si="19"/>
        <v>0</v>
      </c>
      <c r="AJ89" s="2847">
        <f t="shared" si="27"/>
        <v>3.9776785714285716E-2</v>
      </c>
      <c r="AK89" s="2846">
        <f t="shared" si="29"/>
        <v>3.9776785714285716E-2</v>
      </c>
      <c r="AL89" s="100">
        <f t="shared" si="21"/>
        <v>1</v>
      </c>
    </row>
    <row r="90" spans="1:40">
      <c r="A90" s="2329" t="str">
        <f>Gröddata!A30</f>
        <v>Grovfoder</v>
      </c>
      <c r="B90" s="2655"/>
      <c r="C90" s="2655"/>
      <c r="D90" s="2655"/>
      <c r="E90" s="2655"/>
      <c r="F90" s="2655"/>
      <c r="G90" s="2655"/>
      <c r="H90" s="2655"/>
      <c r="I90" s="2655"/>
      <c r="J90" s="2655"/>
      <c r="K90" s="486"/>
      <c r="L90" s="486"/>
      <c r="M90" s="486"/>
      <c r="N90" s="486"/>
      <c r="P90" s="486"/>
      <c r="Q90" s="1996" t="s">
        <v>1610</v>
      </c>
      <c r="R90" s="1996">
        <v>600</v>
      </c>
      <c r="S90" s="2706"/>
      <c r="T90" s="2707">
        <f>0.45*R90*0.86</f>
        <v>232.2</v>
      </c>
      <c r="V90" s="2594">
        <v>0.54800000000000004</v>
      </c>
      <c r="W90" s="2594">
        <v>0</v>
      </c>
      <c r="X90" s="2594">
        <v>0.27400000000000002</v>
      </c>
      <c r="Y90" s="2594">
        <v>0.17799999999999999</v>
      </c>
      <c r="AA90" s="2595">
        <f t="shared" si="14"/>
        <v>0</v>
      </c>
      <c r="AB90" s="2595">
        <f t="shared" si="15"/>
        <v>116.1</v>
      </c>
      <c r="AC90" s="2595">
        <f t="shared" si="16"/>
        <v>75.422627737226264</v>
      </c>
      <c r="AD90" s="2595">
        <f t="shared" si="22"/>
        <v>191.52262773722626</v>
      </c>
      <c r="AE90" s="2595">
        <f t="shared" si="17"/>
        <v>423.72262773722622</v>
      </c>
      <c r="AF90" s="2595">
        <f t="shared" si="18"/>
        <v>191.52262773722626</v>
      </c>
      <c r="AG90" s="2596" t="str">
        <f t="shared" si="26"/>
        <v>fröodling</v>
      </c>
      <c r="AH90" s="2597"/>
      <c r="AI90" s="2848">
        <f t="shared" si="19"/>
        <v>0</v>
      </c>
      <c r="AJ90" s="2848">
        <f t="shared" si="27"/>
        <v>0.31920437956204378</v>
      </c>
      <c r="AK90" s="2849">
        <f t="shared" ref="AK90" si="33">+AI90+AJ90</f>
        <v>0.31920437956204378</v>
      </c>
      <c r="AL90" s="100">
        <f t="shared" si="21"/>
        <v>1</v>
      </c>
    </row>
    <row r="91" spans="1:40">
      <c r="A91" s="311" t="str">
        <f>Gröddata!A31</f>
        <v>Slåttervall, ensilage</v>
      </c>
      <c r="B91" s="2652">
        <f>+AI80</f>
        <v>0.45</v>
      </c>
      <c r="C91" s="2652">
        <f>+AJ80</f>
        <v>0.14727272727272725</v>
      </c>
      <c r="D91" s="2652"/>
      <c r="E91" s="2652"/>
      <c r="F91" s="2652"/>
      <c r="G91" s="2652">
        <f t="shared" ref="G91:H93" si="34">B91</f>
        <v>0.45</v>
      </c>
      <c r="H91" s="2652">
        <f t="shared" si="34"/>
        <v>0.14727272727272725</v>
      </c>
      <c r="I91" s="2652">
        <f>+AI82</f>
        <v>0.45</v>
      </c>
      <c r="J91" s="2652">
        <f>AJ82</f>
        <v>0.36818181818181817</v>
      </c>
      <c r="K91" s="486"/>
      <c r="L91" s="486"/>
      <c r="M91" s="486"/>
      <c r="N91" s="486"/>
      <c r="O91" s="1354" t="s">
        <v>1734</v>
      </c>
      <c r="P91" s="486"/>
      <c r="Q91" s="1996"/>
      <c r="R91" s="1996"/>
      <c r="S91" s="2706"/>
      <c r="T91" s="2707"/>
      <c r="V91" s="2598"/>
      <c r="W91" s="2598"/>
      <c r="X91" s="2598"/>
      <c r="Y91" s="2598"/>
      <c r="Z91" s="74"/>
      <c r="AA91" s="281"/>
      <c r="AB91" s="281"/>
      <c r="AC91" s="281"/>
      <c r="AD91" s="281"/>
      <c r="AE91" s="281"/>
      <c r="AF91" s="281"/>
      <c r="AG91" s="2599"/>
      <c r="AH91" s="2593"/>
      <c r="AI91" s="2850"/>
      <c r="AJ91" s="2850"/>
      <c r="AK91" s="2598"/>
      <c r="AL91" s="2593"/>
      <c r="AM91" s="74"/>
      <c r="AN91" s="74"/>
    </row>
    <row r="92" spans="1:40">
      <c r="A92" s="311" t="str">
        <f>Gröddata!A32</f>
        <v>Helsädesensilage</v>
      </c>
      <c r="B92" s="2652">
        <f>B75</f>
        <v>0.34695278969957083</v>
      </c>
      <c r="C92" s="2652">
        <f>C75</f>
        <v>0.12197974248927038</v>
      </c>
      <c r="D92" s="2652"/>
      <c r="E92" s="2652"/>
      <c r="F92" s="2652"/>
      <c r="G92" s="2652">
        <f t="shared" si="34"/>
        <v>0.34695278969957083</v>
      </c>
      <c r="H92" s="2652">
        <f t="shared" si="34"/>
        <v>0.12197974248927038</v>
      </c>
      <c r="I92" s="2652">
        <f>B92</f>
        <v>0.34695278969957083</v>
      </c>
      <c r="J92" s="2652">
        <f>C92</f>
        <v>0.12197974248927038</v>
      </c>
      <c r="K92" s="486"/>
      <c r="L92" s="486"/>
      <c r="M92" s="486"/>
      <c r="N92" s="486"/>
      <c r="O92" s="1354">
        <v>1</v>
      </c>
      <c r="P92" s="486"/>
      <c r="Q92" s="1996"/>
      <c r="R92" s="2543">
        <f>R75</f>
        <v>6000</v>
      </c>
      <c r="S92" s="2543"/>
      <c r="T92" s="2543">
        <f t="shared" ref="T92:AL92" si="35">T75</f>
        <v>2322</v>
      </c>
      <c r="U92" s="2543">
        <f t="shared" si="35"/>
        <v>0</v>
      </c>
      <c r="V92" s="2846">
        <f t="shared" si="35"/>
        <v>0.45</v>
      </c>
      <c r="W92" s="2846">
        <f t="shared" si="35"/>
        <v>0.40343347639484978</v>
      </c>
      <c r="X92" s="2846">
        <f t="shared" si="35"/>
        <v>8.5836909871244621E-2</v>
      </c>
      <c r="Y92" s="2846">
        <f t="shared" si="35"/>
        <v>5.6000000000000001E-2</v>
      </c>
      <c r="Z92" s="2846">
        <f t="shared" si="35"/>
        <v>5.5793991416309009E-2</v>
      </c>
      <c r="AA92" s="2707">
        <f t="shared" si="35"/>
        <v>2081.716738197425</v>
      </c>
      <c r="AB92" s="2707">
        <f t="shared" si="35"/>
        <v>442.91845493562226</v>
      </c>
      <c r="AC92" s="2707">
        <f t="shared" si="35"/>
        <v>288.95999999999998</v>
      </c>
      <c r="AD92" s="2707">
        <f t="shared" si="35"/>
        <v>731.87845493562224</v>
      </c>
      <c r="AE92" s="2707">
        <f t="shared" si="35"/>
        <v>5160</v>
      </c>
      <c r="AF92" s="2707">
        <f t="shared" si="35"/>
        <v>2813.5951931330474</v>
      </c>
      <c r="AG92" s="2543" t="str">
        <f t="shared" si="35"/>
        <v>korn</v>
      </c>
      <c r="AH92" s="2543">
        <f t="shared" si="35"/>
        <v>0</v>
      </c>
      <c r="AI92" s="2847">
        <f t="shared" si="35"/>
        <v>0.34695278969957083</v>
      </c>
      <c r="AJ92" s="2847">
        <f t="shared" si="35"/>
        <v>0.12197974248927038</v>
      </c>
      <c r="AK92" s="2847">
        <f t="shared" si="35"/>
        <v>0.46893253218884123</v>
      </c>
      <c r="AL92" s="2706">
        <f t="shared" si="35"/>
        <v>0.99527038626609443</v>
      </c>
      <c r="AM92" s="74"/>
      <c r="AN92" s="74"/>
    </row>
    <row r="93" spans="1:40">
      <c r="A93" s="2080" t="str">
        <f>Gröddata!A33</f>
        <v>Fodermajs</v>
      </c>
      <c r="B93" s="2653">
        <f>AI89</f>
        <v>0</v>
      </c>
      <c r="C93" s="2653">
        <f>AJ89</f>
        <v>3.9776785714285716E-2</v>
      </c>
      <c r="D93" s="2652"/>
      <c r="E93" s="2652"/>
      <c r="F93" s="2652"/>
      <c r="G93" s="2652">
        <f t="shared" si="34"/>
        <v>0</v>
      </c>
      <c r="H93" s="2652">
        <f t="shared" si="34"/>
        <v>3.9776785714285716E-2</v>
      </c>
      <c r="I93" s="2652">
        <f>B93</f>
        <v>0</v>
      </c>
      <c r="J93" s="2652">
        <f>C93</f>
        <v>3.9776785714285716E-2</v>
      </c>
      <c r="K93" s="486"/>
      <c r="L93" s="486"/>
      <c r="M93" s="486"/>
      <c r="N93" s="486"/>
      <c r="O93" s="1354">
        <v>2</v>
      </c>
      <c r="P93" s="486"/>
      <c r="Q93" s="1996"/>
      <c r="R93" s="473">
        <f>R80</f>
        <v>7000</v>
      </c>
      <c r="S93" s="473"/>
      <c r="T93" s="473">
        <f t="shared" ref="T93:AL93" si="36">T80</f>
        <v>3150</v>
      </c>
      <c r="U93" s="473">
        <f t="shared" si="36"/>
        <v>0</v>
      </c>
      <c r="V93" s="2656">
        <f t="shared" si="36"/>
        <v>0.55000000000000004</v>
      </c>
      <c r="W93" s="2656">
        <f t="shared" si="36"/>
        <v>0.55000000000000004</v>
      </c>
      <c r="X93" s="2656">
        <f t="shared" si="36"/>
        <v>0</v>
      </c>
      <c r="Y93" s="2656">
        <f t="shared" si="36"/>
        <v>0.18</v>
      </c>
      <c r="Z93" s="2656">
        <f t="shared" si="36"/>
        <v>0</v>
      </c>
      <c r="AA93" s="809">
        <f t="shared" si="36"/>
        <v>3150</v>
      </c>
      <c r="AB93" s="809">
        <f t="shared" si="36"/>
        <v>0</v>
      </c>
      <c r="AC93" s="809">
        <f t="shared" si="36"/>
        <v>1030.9090909090908</v>
      </c>
      <c r="AD93" s="809">
        <f t="shared" si="36"/>
        <v>1030.9090909090908</v>
      </c>
      <c r="AE93" s="809">
        <f t="shared" si="36"/>
        <v>5727.272727272727</v>
      </c>
      <c r="AF93" s="809">
        <f t="shared" si="36"/>
        <v>4180.909090909091</v>
      </c>
      <c r="AG93" s="473" t="str">
        <f t="shared" si="36"/>
        <v>vall</v>
      </c>
      <c r="AH93" s="473">
        <f t="shared" si="36"/>
        <v>0</v>
      </c>
      <c r="AI93" s="2851">
        <f t="shared" si="36"/>
        <v>0.45</v>
      </c>
      <c r="AJ93" s="2851">
        <f t="shared" si="36"/>
        <v>0.14727272727272725</v>
      </c>
      <c r="AK93" s="2851">
        <f t="shared" si="36"/>
        <v>0.59727272727272729</v>
      </c>
      <c r="AL93" s="473">
        <f t="shared" si="36"/>
        <v>1.28</v>
      </c>
      <c r="AM93" s="74"/>
      <c r="AN93" s="74"/>
    </row>
    <row r="94" spans="1:40">
      <c r="A94" s="2080">
        <f>Gröddata!A34</f>
        <v>0</v>
      </c>
      <c r="B94" s="2652"/>
      <c r="C94" s="2652"/>
      <c r="D94" s="2652"/>
      <c r="E94" s="2652"/>
      <c r="F94" s="2652"/>
      <c r="G94" s="2652"/>
      <c r="H94" s="2652"/>
      <c r="I94" s="2652"/>
      <c r="J94" s="2652"/>
      <c r="K94" s="486"/>
      <c r="L94" s="486"/>
      <c r="M94" s="486"/>
      <c r="N94" s="486"/>
      <c r="O94" s="1354">
        <v>3</v>
      </c>
      <c r="P94" s="486"/>
      <c r="Q94" s="1996"/>
      <c r="R94" s="473">
        <f>R83</f>
        <v>50000</v>
      </c>
      <c r="S94" s="473"/>
      <c r="T94" s="473">
        <f t="shared" ref="T94:AL94" si="37">T83</f>
        <v>4500</v>
      </c>
      <c r="U94" s="473">
        <f t="shared" si="37"/>
        <v>0</v>
      </c>
      <c r="V94" s="473">
        <f t="shared" si="37"/>
        <v>0.73899999999999999</v>
      </c>
      <c r="W94" s="473">
        <f t="shared" si="37"/>
        <v>0.23599999999999999</v>
      </c>
      <c r="X94" s="473">
        <f t="shared" si="37"/>
        <v>2.5000000000000001E-2</v>
      </c>
      <c r="Y94" s="473">
        <f t="shared" si="37"/>
        <v>0</v>
      </c>
      <c r="Z94" s="2656">
        <f t="shared" si="37"/>
        <v>0</v>
      </c>
      <c r="AA94" s="809">
        <f t="shared" si="37"/>
        <v>1437.0771312584573</v>
      </c>
      <c r="AB94" s="809">
        <f t="shared" si="37"/>
        <v>152.23274695534505</v>
      </c>
      <c r="AC94" s="809">
        <f t="shared" si="37"/>
        <v>0</v>
      </c>
      <c r="AD94" s="809">
        <f t="shared" si="37"/>
        <v>152.23274695534505</v>
      </c>
      <c r="AE94" s="809">
        <f t="shared" si="37"/>
        <v>6089.3098782138022</v>
      </c>
      <c r="AF94" s="809">
        <f t="shared" si="37"/>
        <v>1589.3098782138022</v>
      </c>
      <c r="AG94" s="473" t="str">
        <f t="shared" si="37"/>
        <v>Potatis</v>
      </c>
      <c r="AH94" s="473">
        <f t="shared" si="37"/>
        <v>0</v>
      </c>
      <c r="AI94" s="2851">
        <f t="shared" si="37"/>
        <v>2.8741542625169144E-2</v>
      </c>
      <c r="AJ94" s="2851">
        <f t="shared" si="37"/>
        <v>3.0446549391069011E-3</v>
      </c>
      <c r="AK94" s="2851">
        <f t="shared" si="37"/>
        <v>3.1786197564276045E-2</v>
      </c>
      <c r="AL94" s="473">
        <f t="shared" si="37"/>
        <v>1</v>
      </c>
      <c r="AM94" s="74"/>
      <c r="AN94" s="74"/>
    </row>
    <row r="95" spans="1:40">
      <c r="A95" s="2080">
        <f>Gröddata!A35</f>
        <v>0</v>
      </c>
      <c r="B95" s="2652"/>
      <c r="C95" s="2652"/>
      <c r="D95" s="2652"/>
      <c r="E95" s="2652"/>
      <c r="F95" s="2652"/>
      <c r="G95" s="2652"/>
      <c r="H95" s="2652"/>
      <c r="I95" s="2652"/>
      <c r="J95" s="2652"/>
      <c r="K95" s="486"/>
      <c r="L95" s="486"/>
      <c r="M95" s="486"/>
      <c r="N95" s="486"/>
      <c r="P95" s="486"/>
      <c r="Q95" s="153"/>
      <c r="V95" s="2598"/>
      <c r="W95" s="2598"/>
      <c r="X95" s="2598"/>
      <c r="Y95" s="2598"/>
      <c r="Z95" s="74"/>
      <c r="AA95" s="281"/>
      <c r="AB95" s="281"/>
      <c r="AC95" s="281"/>
      <c r="AD95" s="281"/>
      <c r="AE95" s="281"/>
      <c r="AF95" s="2424"/>
      <c r="AG95" s="2599"/>
      <c r="AH95" s="2593"/>
      <c r="AI95" s="2600"/>
      <c r="AJ95" s="2600"/>
      <c r="AK95" s="2601"/>
      <c r="AL95" s="2593"/>
      <c r="AM95" s="74"/>
      <c r="AN95" s="74"/>
    </row>
    <row r="96" spans="1:40">
      <c r="A96" s="2326" t="str">
        <f>Gröddata!A36</f>
        <v>Annan gröda</v>
      </c>
      <c r="B96" s="2655"/>
      <c r="C96" s="2655"/>
      <c r="D96" s="2655"/>
      <c r="E96" s="2655"/>
      <c r="F96" s="2655"/>
      <c r="G96" s="2655"/>
      <c r="H96" s="2655"/>
      <c r="I96" s="2655"/>
      <c r="J96" s="2655"/>
      <c r="K96" s="486"/>
      <c r="L96" s="486"/>
      <c r="M96" s="486"/>
      <c r="N96" s="486"/>
      <c r="O96" s="1354">
        <v>1</v>
      </c>
      <c r="P96" s="486">
        <v>2</v>
      </c>
      <c r="Q96" s="1354">
        <v>3</v>
      </c>
      <c r="R96" s="486">
        <v>4</v>
      </c>
      <c r="S96" s="1354">
        <v>5</v>
      </c>
      <c r="T96" s="486">
        <v>6</v>
      </c>
      <c r="U96" s="1354">
        <v>7</v>
      </c>
      <c r="V96" s="486">
        <v>8</v>
      </c>
      <c r="W96" s="1354">
        <v>9</v>
      </c>
      <c r="X96" s="486">
        <v>10</v>
      </c>
      <c r="Y96" s="1354">
        <v>11</v>
      </c>
      <c r="Z96" s="486">
        <v>12</v>
      </c>
      <c r="AA96" s="1354">
        <v>13</v>
      </c>
      <c r="AB96" s="486">
        <v>14</v>
      </c>
      <c r="AC96" s="1354">
        <v>15</v>
      </c>
      <c r="AD96" s="486">
        <v>16</v>
      </c>
      <c r="AE96" s="1354">
        <v>17</v>
      </c>
      <c r="AF96" s="486">
        <v>18</v>
      </c>
      <c r="AG96" s="1354">
        <v>19</v>
      </c>
      <c r="AH96" s="486">
        <v>20</v>
      </c>
      <c r="AI96" s="1354">
        <v>21</v>
      </c>
      <c r="AJ96" s="486">
        <v>22</v>
      </c>
      <c r="AK96" s="1354">
        <v>23</v>
      </c>
      <c r="AL96" s="486">
        <v>24</v>
      </c>
      <c r="AM96" s="74"/>
      <c r="AN96" s="74"/>
    </row>
    <row r="97" spans="1:34">
      <c r="A97" s="2331">
        <f>Gröddata!A37</f>
        <v>0</v>
      </c>
      <c r="B97" s="2655"/>
      <c r="C97" s="2655"/>
      <c r="D97" s="2655"/>
      <c r="E97" s="2655"/>
      <c r="F97" s="2655"/>
      <c r="G97" s="2655"/>
      <c r="H97" s="2655"/>
      <c r="I97" s="2655"/>
      <c r="J97" s="2655"/>
      <c r="K97" s="486"/>
      <c r="L97" s="486"/>
      <c r="M97" s="486"/>
      <c r="N97" s="486"/>
      <c r="P97" s="486"/>
      <c r="U97">
        <v>24</v>
      </c>
      <c r="V97" s="64"/>
      <c r="W97" s="97"/>
      <c r="X97" s="64"/>
      <c r="Z97" s="64"/>
      <c r="AD97" s="13"/>
      <c r="AE97" s="13"/>
      <c r="AF97" s="13"/>
      <c r="AG97" s="13"/>
      <c r="AH97" s="13"/>
    </row>
    <row r="98" spans="1:34" ht="13.5" thickBot="1">
      <c r="A98" s="2081" t="str">
        <f>Gröddata!A38</f>
        <v>Gröngödsling</v>
      </c>
      <c r="B98" s="2653">
        <f>B91</f>
        <v>0.45</v>
      </c>
      <c r="C98" s="2653">
        <f>C91</f>
        <v>0.14727272727272725</v>
      </c>
      <c r="D98" s="2652"/>
      <c r="E98" s="2652"/>
      <c r="F98" s="2652"/>
      <c r="G98" s="2652">
        <f>G91</f>
        <v>0.45</v>
      </c>
      <c r="H98" s="2652">
        <f t="shared" ref="H98:J98" si="38">H91</f>
        <v>0.14727272727272725</v>
      </c>
      <c r="I98" s="2652">
        <f t="shared" si="38"/>
        <v>0.45</v>
      </c>
      <c r="J98" s="2652">
        <f t="shared" si="38"/>
        <v>0.36818181818181817</v>
      </c>
      <c r="K98" s="486"/>
      <c r="L98" s="486"/>
      <c r="M98" s="486"/>
      <c r="N98" s="486"/>
      <c r="O98" s="486"/>
      <c r="P98" s="486"/>
      <c r="U98">
        <v>25</v>
      </c>
      <c r="V98" s="64"/>
      <c r="W98" s="97"/>
      <c r="X98" s="64"/>
      <c r="Z98" s="64"/>
      <c r="AD98" s="13"/>
      <c r="AE98" s="13"/>
      <c r="AF98" s="13"/>
      <c r="AG98" s="13"/>
      <c r="AH98" s="13"/>
    </row>
    <row r="99" spans="1:34">
      <c r="A99" s="2081" t="str">
        <f>Gröddata!A39</f>
        <v>Fröodling</v>
      </c>
      <c r="B99" s="2653">
        <f>B91*K99</f>
        <v>4.5</v>
      </c>
      <c r="C99" s="2653">
        <f>C91*K99</f>
        <v>1.4727272727272724</v>
      </c>
      <c r="D99" s="2652">
        <f t="shared" ref="D99" si="39">D91</f>
        <v>0</v>
      </c>
      <c r="E99" s="2652"/>
      <c r="F99" s="2652"/>
      <c r="G99" s="2652">
        <f>B99</f>
        <v>4.5</v>
      </c>
      <c r="H99" s="2652">
        <f>C99</f>
        <v>1.4727272727272724</v>
      </c>
      <c r="I99" s="2652">
        <f>AI90*K99</f>
        <v>0</v>
      </c>
      <c r="J99" s="2652">
        <f>AJ90*K99</f>
        <v>3.1920437956204379</v>
      </c>
      <c r="K99" s="2845">
        <v>10</v>
      </c>
      <c r="L99" s="486"/>
      <c r="M99" s="486"/>
      <c r="N99" s="486"/>
      <c r="O99" s="486"/>
      <c r="P99" s="486"/>
      <c r="U99">
        <v>26</v>
      </c>
      <c r="V99" s="64"/>
      <c r="W99" s="97"/>
      <c r="X99" s="64"/>
      <c r="Z99" s="64"/>
      <c r="AD99" s="13"/>
      <c r="AE99" s="13"/>
      <c r="AF99" s="13"/>
      <c r="AG99" s="13"/>
      <c r="AH99" s="13"/>
    </row>
    <row r="100" spans="1:34">
      <c r="A100" s="2081">
        <f>Gröddata!A40</f>
        <v>0</v>
      </c>
      <c r="B100" s="2652" t="str">
        <f>IF(K100&gt;0,VLOOKUP($K100,$O$92:$AL$94,21,FALSE)," ")</f>
        <v xml:space="preserve"> </v>
      </c>
      <c r="C100" s="2652" t="str">
        <f>IF(K100&gt;0,VLOOKUP($K100,$O$92:$AL$94,22,FALSE)," ")</f>
        <v xml:space="preserve"> </v>
      </c>
      <c r="D100" s="2652"/>
      <c r="E100" s="2652"/>
      <c r="F100" s="2652"/>
      <c r="G100" s="2652" t="str">
        <f>IF($K100=1,G$75,IF($K100=2,G$91,IF($K100=3,G$88," ")))</f>
        <v xml:space="preserve"> </v>
      </c>
      <c r="H100" s="2652" t="str">
        <f t="shared" ref="H100:J104" si="40">IF($K100=1,H$75,IF($K100=2,H$91,IF($K100=3,H$88," ")))</f>
        <v xml:space="preserve"> </v>
      </c>
      <c r="I100" s="2652" t="str">
        <f t="shared" si="40"/>
        <v xml:space="preserve"> </v>
      </c>
      <c r="J100" s="2652" t="str">
        <f t="shared" si="40"/>
        <v xml:space="preserve"> </v>
      </c>
      <c r="K100" s="696">
        <f>Gröddata!N40</f>
        <v>0</v>
      </c>
      <c r="L100" s="486"/>
      <c r="M100" s="2844" t="s">
        <v>1714</v>
      </c>
      <c r="N100" s="486"/>
      <c r="O100" s="486"/>
      <c r="P100" s="486"/>
      <c r="U100">
        <v>27</v>
      </c>
      <c r="V100" s="64"/>
      <c r="W100" s="97"/>
      <c r="X100" s="64"/>
      <c r="Z100" s="64"/>
      <c r="AD100" s="13"/>
      <c r="AE100" s="13"/>
      <c r="AF100" s="13"/>
      <c r="AG100" s="13"/>
      <c r="AH100" s="13"/>
    </row>
    <row r="101" spans="1:34">
      <c r="A101" s="2081">
        <f>Gröddata!A41</f>
        <v>0</v>
      </c>
      <c r="B101" s="2652" t="str">
        <f t="shared" ref="B101:B104" si="41">IF(K101&gt;0,VLOOKUP($K101,$O$92:$AL$94,21,FALSE)," ")</f>
        <v xml:space="preserve"> </v>
      </c>
      <c r="C101" s="2652" t="str">
        <f t="shared" ref="C101:C104" si="42">IF(K101&gt;0,VLOOKUP($K101,$O$92:$AL$94,22,FALSE)," ")</f>
        <v xml:space="preserve"> </v>
      </c>
      <c r="D101" s="2652"/>
      <c r="E101" s="2652"/>
      <c r="F101" s="2652"/>
      <c r="G101" s="2652" t="str">
        <f t="shared" ref="G101:G104" si="43">IF($K101=1,G$75,IF($K101=2,G$91,IF($K101=3,G$88," ")))</f>
        <v xml:space="preserve"> </v>
      </c>
      <c r="H101" s="2652" t="str">
        <f t="shared" si="40"/>
        <v xml:space="preserve"> </v>
      </c>
      <c r="I101" s="2652" t="str">
        <f t="shared" si="40"/>
        <v xml:space="preserve"> </v>
      </c>
      <c r="J101" s="2652" t="str">
        <f t="shared" si="40"/>
        <v xml:space="preserve"> </v>
      </c>
      <c r="K101" s="696">
        <f>Gröddata!N41</f>
        <v>0</v>
      </c>
      <c r="L101" s="486"/>
      <c r="M101" s="2844" t="s">
        <v>1057</v>
      </c>
      <c r="N101" s="486"/>
      <c r="O101" s="486"/>
      <c r="P101" s="486"/>
      <c r="U101">
        <v>28</v>
      </c>
      <c r="V101" s="64"/>
      <c r="W101" s="97"/>
      <c r="X101" s="64"/>
      <c r="Z101" s="64"/>
      <c r="AD101" s="13"/>
      <c r="AE101" s="13"/>
      <c r="AF101" s="13"/>
      <c r="AG101" s="13"/>
      <c r="AH101" s="13"/>
    </row>
    <row r="102" spans="1:34">
      <c r="A102" s="2081">
        <f>Gröddata!A42</f>
        <v>0</v>
      </c>
      <c r="B102" s="2652" t="str">
        <f t="shared" si="41"/>
        <v xml:space="preserve"> </v>
      </c>
      <c r="C102" s="2652" t="str">
        <f t="shared" si="42"/>
        <v xml:space="preserve"> </v>
      </c>
      <c r="D102" s="2652"/>
      <c r="E102" s="2652"/>
      <c r="F102" s="2652"/>
      <c r="G102" s="2652" t="str">
        <f t="shared" si="43"/>
        <v xml:space="preserve"> </v>
      </c>
      <c r="H102" s="2652" t="str">
        <f t="shared" si="40"/>
        <v xml:space="preserve"> </v>
      </c>
      <c r="I102" s="2652" t="str">
        <f t="shared" si="40"/>
        <v xml:space="preserve"> </v>
      </c>
      <c r="J102" s="2652" t="str">
        <f t="shared" si="40"/>
        <v xml:space="preserve"> </v>
      </c>
      <c r="K102" s="696">
        <f>Gröddata!N42</f>
        <v>0</v>
      </c>
      <c r="L102" s="486"/>
      <c r="M102" s="2844"/>
      <c r="N102" s="486"/>
      <c r="O102" s="486"/>
      <c r="P102" s="486"/>
      <c r="U102">
        <v>29</v>
      </c>
      <c r="V102" s="64"/>
      <c r="W102" s="97"/>
      <c r="X102" s="64"/>
      <c r="Z102" s="64"/>
      <c r="AD102" s="13"/>
      <c r="AE102" s="13"/>
      <c r="AF102" s="13"/>
      <c r="AG102" s="13"/>
      <c r="AH102" s="13"/>
    </row>
    <row r="103" spans="1:34">
      <c r="A103" s="2081">
        <f>Gröddata!A43</f>
        <v>0</v>
      </c>
      <c r="B103" s="2652" t="str">
        <f t="shared" si="41"/>
        <v xml:space="preserve"> </v>
      </c>
      <c r="C103" s="2652" t="str">
        <f t="shared" si="42"/>
        <v xml:space="preserve"> </v>
      </c>
      <c r="D103" s="2652"/>
      <c r="E103" s="2652"/>
      <c r="F103" s="2652"/>
      <c r="G103" s="2652" t="str">
        <f t="shared" si="43"/>
        <v xml:space="preserve"> </v>
      </c>
      <c r="H103" s="2652" t="str">
        <f t="shared" si="40"/>
        <v xml:space="preserve"> </v>
      </c>
      <c r="I103" s="2652" t="str">
        <f t="shared" si="40"/>
        <v xml:space="preserve"> </v>
      </c>
      <c r="J103" s="2652" t="str">
        <f t="shared" si="40"/>
        <v xml:space="preserve"> </v>
      </c>
      <c r="K103" s="696">
        <f>Gröddata!N43</f>
        <v>0</v>
      </c>
      <c r="L103" s="486"/>
      <c r="M103" s="2844"/>
      <c r="N103" s="486"/>
      <c r="O103" s="486"/>
      <c r="P103" s="486"/>
      <c r="U103">
        <v>30</v>
      </c>
      <c r="V103" s="64"/>
      <c r="W103" s="97"/>
      <c r="X103" s="64"/>
      <c r="Z103" s="64"/>
      <c r="AD103" s="13"/>
      <c r="AE103" s="13"/>
      <c r="AF103" s="13"/>
      <c r="AG103" s="13"/>
      <c r="AH103" s="13"/>
    </row>
    <row r="104" spans="1:34">
      <c r="A104" s="2080">
        <f>Gröddata!A44</f>
        <v>0</v>
      </c>
      <c r="B104" s="2652" t="str">
        <f t="shared" si="41"/>
        <v xml:space="preserve"> </v>
      </c>
      <c r="C104" s="2652" t="str">
        <f t="shared" si="42"/>
        <v xml:space="preserve"> </v>
      </c>
      <c r="D104" s="2652"/>
      <c r="E104" s="2652"/>
      <c r="F104" s="2652"/>
      <c r="G104" s="2652" t="str">
        <f t="shared" si="43"/>
        <v xml:space="preserve"> </v>
      </c>
      <c r="H104" s="2652" t="str">
        <f t="shared" si="40"/>
        <v xml:space="preserve"> </v>
      </c>
      <c r="I104" s="2652" t="str">
        <f t="shared" si="40"/>
        <v xml:space="preserve"> </v>
      </c>
      <c r="J104" s="2652" t="str">
        <f t="shared" si="40"/>
        <v xml:space="preserve"> </v>
      </c>
      <c r="K104" s="696">
        <f>Gröddata!N44</f>
        <v>0</v>
      </c>
      <c r="L104" s="486"/>
      <c r="M104" s="2844"/>
      <c r="N104" s="486"/>
      <c r="O104" s="486"/>
      <c r="P104" s="486"/>
      <c r="U104" s="74"/>
      <c r="V104" s="2421"/>
      <c r="W104" s="281"/>
      <c r="X104" s="2421"/>
      <c r="Z104" s="64"/>
      <c r="AB104" s="64"/>
      <c r="AC104" s="64"/>
      <c r="AD104" s="13"/>
      <c r="AE104" s="13"/>
      <c r="AF104" s="13"/>
      <c r="AG104" s="13"/>
      <c r="AH104" s="13"/>
    </row>
    <row r="105" spans="1:34">
      <c r="M105" s="20"/>
      <c r="U105" s="74"/>
      <c r="V105" s="157"/>
      <c r="W105" s="157"/>
      <c r="X105" s="157"/>
      <c r="Z105" s="64"/>
      <c r="AB105" s="64"/>
      <c r="AC105" s="64"/>
      <c r="AD105" s="13"/>
      <c r="AE105" s="13"/>
      <c r="AF105" s="13"/>
      <c r="AG105" s="13"/>
      <c r="AH105" s="13"/>
    </row>
    <row r="106" spans="1:34">
      <c r="U106" s="74"/>
      <c r="V106" s="74"/>
      <c r="W106" s="74"/>
      <c r="X106" s="74"/>
      <c r="Z106" s="64"/>
      <c r="AB106" s="64"/>
      <c r="AC106" s="64"/>
      <c r="AD106" s="13"/>
      <c r="AE106" s="13"/>
      <c r="AF106" s="13"/>
      <c r="AG106" s="13"/>
      <c r="AH106" s="13"/>
    </row>
    <row r="107" spans="1:34">
      <c r="U107" s="74"/>
      <c r="V107" s="74"/>
      <c r="W107" s="74"/>
      <c r="X107" s="74"/>
      <c r="Z107" s="64"/>
      <c r="AB107" s="64"/>
      <c r="AC107" s="64"/>
      <c r="AD107" s="13"/>
      <c r="AE107" s="13"/>
      <c r="AF107" s="13"/>
      <c r="AG107" s="13"/>
      <c r="AH107" s="13"/>
    </row>
    <row r="108" spans="1:34" ht="14.25">
      <c r="U108" s="74"/>
      <c r="V108" s="2422"/>
      <c r="W108" s="2423"/>
      <c r="X108" s="2423"/>
      <c r="Z108" s="64"/>
      <c r="AB108" s="64"/>
      <c r="AC108" s="64"/>
      <c r="AD108" s="13"/>
      <c r="AE108" s="13"/>
      <c r="AF108" s="13"/>
      <c r="AG108" s="13"/>
      <c r="AH108" s="13"/>
    </row>
    <row r="109" spans="1:34">
      <c r="U109" s="74"/>
      <c r="V109" s="74"/>
      <c r="W109" s="74"/>
      <c r="X109" s="74"/>
      <c r="Z109" s="64"/>
      <c r="AB109" s="64"/>
      <c r="AC109" s="64"/>
      <c r="AD109" s="13"/>
      <c r="AE109" s="13"/>
      <c r="AF109" s="13"/>
      <c r="AG109" s="13"/>
      <c r="AH109" s="13"/>
    </row>
    <row r="110" spans="1:34">
      <c r="K110">
        <v>6</v>
      </c>
      <c r="M110">
        <f>K110</f>
        <v>6</v>
      </c>
      <c r="N110">
        <f>IF(M110&lt;2,1,5)</f>
        <v>5</v>
      </c>
      <c r="U110" s="74"/>
      <c r="V110" s="74"/>
      <c r="W110" s="2423"/>
      <c r="X110" s="2423"/>
      <c r="Z110" s="64"/>
      <c r="AB110" s="64"/>
      <c r="AC110" s="64"/>
      <c r="AD110" s="13"/>
      <c r="AE110" s="13"/>
      <c r="AF110" s="13"/>
      <c r="AG110" s="13"/>
      <c r="AH110" s="13"/>
    </row>
    <row r="111" spans="1:34">
      <c r="U111" s="74"/>
      <c r="V111" s="74"/>
      <c r="W111" s="74"/>
      <c r="X111" s="74"/>
      <c r="Z111" s="64"/>
      <c r="AB111" s="64"/>
      <c r="AC111" s="64"/>
      <c r="AD111" s="13"/>
      <c r="AE111" s="13"/>
      <c r="AF111" s="13"/>
      <c r="AG111" s="13"/>
      <c r="AH111" s="13"/>
    </row>
    <row r="112" spans="1:34">
      <c r="U112" s="74"/>
      <c r="V112" s="74"/>
      <c r="W112" s="74"/>
      <c r="X112" s="74"/>
      <c r="Z112" s="64"/>
      <c r="AB112" s="64"/>
      <c r="AC112" s="64"/>
      <c r="AD112" s="13"/>
      <c r="AE112" s="13"/>
      <c r="AF112" s="13"/>
      <c r="AG112" s="13"/>
      <c r="AH112" s="13"/>
    </row>
    <row r="113" spans="21:34">
      <c r="U113" s="74"/>
      <c r="V113" s="74"/>
      <c r="W113" s="74"/>
      <c r="X113" s="74"/>
      <c r="Z113" s="64"/>
      <c r="AB113" s="64"/>
      <c r="AC113" s="64"/>
      <c r="AD113" s="13"/>
      <c r="AE113" s="13"/>
      <c r="AF113" s="13"/>
      <c r="AG113" s="13"/>
      <c r="AH113" s="13"/>
    </row>
    <row r="114" spans="21:34">
      <c r="U114" s="74"/>
      <c r="V114" s="74"/>
      <c r="W114" s="74"/>
      <c r="X114" s="2424"/>
      <c r="Z114" s="64"/>
      <c r="AB114" s="64"/>
      <c r="AC114" s="64"/>
      <c r="AD114" s="13"/>
      <c r="AE114" s="13"/>
      <c r="AF114" s="13"/>
      <c r="AG114" s="13"/>
      <c r="AH114" s="13"/>
    </row>
    <row r="115" spans="21:34">
      <c r="U115" s="74"/>
      <c r="V115" s="153"/>
      <c r="W115" s="74"/>
      <c r="X115" s="2424"/>
      <c r="Z115" s="64"/>
      <c r="AB115" s="64"/>
      <c r="AC115" s="64"/>
      <c r="AD115" s="13"/>
      <c r="AE115" s="13"/>
      <c r="AF115" s="13"/>
      <c r="AG115" s="13"/>
      <c r="AH115" s="13"/>
    </row>
    <row r="116" spans="21:34">
      <c r="U116" s="74"/>
      <c r="V116" s="74"/>
      <c r="W116" s="74"/>
      <c r="X116" s="74"/>
      <c r="Z116" s="64"/>
      <c r="AB116" s="64"/>
      <c r="AC116" s="64"/>
      <c r="AD116" s="13"/>
      <c r="AE116" s="13"/>
      <c r="AF116" s="13"/>
      <c r="AG116" s="13"/>
      <c r="AH116" s="13"/>
    </row>
    <row r="117" spans="21:34">
      <c r="U117" s="74"/>
      <c r="V117" s="74"/>
      <c r="W117" s="74"/>
      <c r="X117" s="74"/>
      <c r="Z117" s="64"/>
      <c r="AB117" s="64"/>
      <c r="AC117" s="64"/>
      <c r="AD117" s="13"/>
      <c r="AE117" s="13"/>
      <c r="AF117" s="13"/>
      <c r="AG117" s="13"/>
      <c r="AH117" s="13"/>
    </row>
    <row r="118" spans="21:34">
      <c r="U118" s="74"/>
      <c r="V118" s="153"/>
      <c r="W118" s="74"/>
      <c r="X118" s="74"/>
      <c r="Z118" s="64"/>
      <c r="AB118" s="64"/>
      <c r="AC118" s="64"/>
      <c r="AD118" s="13"/>
      <c r="AE118" s="13"/>
      <c r="AF118" s="13"/>
      <c r="AG118" s="13"/>
      <c r="AH118" s="13"/>
    </row>
    <row r="119" spans="21:34">
      <c r="U119" s="74"/>
      <c r="V119" s="153"/>
      <c r="W119" s="74"/>
      <c r="X119" s="74"/>
      <c r="Z119" s="64"/>
      <c r="AB119" s="64"/>
      <c r="AC119" s="64"/>
      <c r="AD119" s="13"/>
      <c r="AE119" s="13"/>
      <c r="AF119" s="13"/>
      <c r="AG119" s="13"/>
      <c r="AH119" s="13"/>
    </row>
    <row r="120" spans="21:34">
      <c r="U120" s="74"/>
      <c r="V120" s="74"/>
      <c r="W120" s="74"/>
      <c r="X120" s="74"/>
      <c r="Z120" s="64"/>
      <c r="AB120" s="64"/>
      <c r="AC120" s="64"/>
      <c r="AD120" s="13"/>
      <c r="AE120" s="13"/>
      <c r="AF120" s="13"/>
      <c r="AG120" s="13"/>
      <c r="AH120" s="13"/>
    </row>
    <row r="121" spans="21:34">
      <c r="U121" s="74"/>
      <c r="V121" s="153"/>
      <c r="W121" s="74"/>
      <c r="X121" s="74"/>
      <c r="Z121" s="64"/>
      <c r="AB121" s="64"/>
      <c r="AC121" s="64"/>
      <c r="AD121" s="13"/>
      <c r="AE121" s="13"/>
      <c r="AF121" s="13"/>
      <c r="AG121" s="13"/>
      <c r="AH121" s="13"/>
    </row>
    <row r="122" spans="21:34">
      <c r="U122" s="74"/>
      <c r="V122" s="2421"/>
      <c r="W122" s="281"/>
      <c r="X122" s="2421"/>
      <c r="Z122" s="64"/>
      <c r="AB122" s="64"/>
      <c r="AC122" s="64"/>
      <c r="AD122" s="13"/>
      <c r="AE122" s="13"/>
      <c r="AF122" s="13"/>
      <c r="AG122" s="13"/>
      <c r="AH122" s="13"/>
    </row>
    <row r="123" spans="21:34">
      <c r="U123">
        <v>50</v>
      </c>
      <c r="V123" s="64"/>
      <c r="W123" s="97"/>
      <c r="X123" s="64"/>
      <c r="Z123" s="64"/>
      <c r="AB123" s="64"/>
      <c r="AC123" s="64"/>
      <c r="AD123" s="13"/>
      <c r="AE123" s="13"/>
      <c r="AF123" s="13"/>
      <c r="AG123" s="13"/>
      <c r="AH123" s="13"/>
    </row>
    <row r="124" spans="21:34">
      <c r="U124">
        <v>51</v>
      </c>
      <c r="V124" s="64"/>
      <c r="W124" s="97"/>
      <c r="X124" s="64"/>
      <c r="Z124" s="64"/>
      <c r="AB124" s="64"/>
      <c r="AC124" s="64"/>
      <c r="AD124" s="13"/>
      <c r="AE124" s="13"/>
      <c r="AF124" s="13"/>
      <c r="AG124" s="13"/>
      <c r="AH124" s="13"/>
    </row>
    <row r="125" spans="21:34">
      <c r="U125">
        <v>52</v>
      </c>
      <c r="V125" s="64"/>
      <c r="W125" s="97"/>
      <c r="X125" s="64"/>
      <c r="Z125" s="64"/>
      <c r="AB125" s="64"/>
      <c r="AC125" s="64"/>
      <c r="AD125" s="13"/>
      <c r="AE125" s="13"/>
      <c r="AF125" s="13"/>
      <c r="AG125" s="13"/>
      <c r="AH125" s="13"/>
    </row>
    <row r="126" spans="21:34">
      <c r="U126">
        <v>53</v>
      </c>
      <c r="V126" s="64"/>
      <c r="W126" s="97"/>
      <c r="X126" s="64"/>
      <c r="Z126" s="64"/>
      <c r="AB126" s="64"/>
      <c r="AC126" s="64"/>
      <c r="AD126" s="13"/>
      <c r="AE126" s="13"/>
      <c r="AF126" s="13"/>
      <c r="AG126" s="13"/>
      <c r="AH126" s="13"/>
    </row>
    <row r="127" spans="21:34">
      <c r="U127">
        <v>54</v>
      </c>
      <c r="V127" s="64"/>
      <c r="W127" s="97"/>
      <c r="X127" s="64"/>
      <c r="Z127" s="64"/>
      <c r="AB127" s="64"/>
      <c r="AC127" s="64"/>
      <c r="AD127" s="13"/>
      <c r="AE127" s="13"/>
      <c r="AF127" s="13"/>
      <c r="AG127" s="13"/>
      <c r="AH127" s="13"/>
    </row>
    <row r="128" spans="21:34">
      <c r="U128">
        <v>55</v>
      </c>
      <c r="V128" s="64"/>
      <c r="W128" s="97"/>
      <c r="X128" s="64"/>
      <c r="Z128" s="64"/>
      <c r="AB128" s="64"/>
      <c r="AC128" s="64"/>
      <c r="AD128" s="13"/>
      <c r="AE128" s="13"/>
      <c r="AF128" s="13"/>
      <c r="AG128" s="13"/>
      <c r="AH128" s="13"/>
    </row>
    <row r="129" spans="21:34">
      <c r="U129">
        <v>56</v>
      </c>
      <c r="V129" s="64"/>
      <c r="W129" s="97"/>
      <c r="X129" s="64"/>
      <c r="Z129" s="64"/>
      <c r="AB129" s="64"/>
      <c r="AC129" s="64"/>
      <c r="AD129" s="13"/>
      <c r="AE129" s="13"/>
      <c r="AF129" s="13"/>
      <c r="AG129" s="13"/>
      <c r="AH129" s="13"/>
    </row>
    <row r="130" spans="21:34">
      <c r="U130">
        <v>57</v>
      </c>
      <c r="V130" s="64"/>
      <c r="W130" s="97"/>
      <c r="X130" s="64"/>
      <c r="Z130" s="64"/>
      <c r="AB130" s="64"/>
      <c r="AC130" s="64"/>
      <c r="AD130" s="13"/>
      <c r="AE130" s="13"/>
      <c r="AF130" s="13"/>
      <c r="AG130" s="13"/>
      <c r="AH130" s="13"/>
    </row>
    <row r="131" spans="21:34">
      <c r="U131">
        <v>58</v>
      </c>
      <c r="V131" s="64"/>
      <c r="W131" s="97"/>
      <c r="X131" s="64"/>
      <c r="Z131" s="64"/>
      <c r="AB131" s="64"/>
      <c r="AC131" s="64"/>
      <c r="AD131" s="13"/>
      <c r="AE131" s="13"/>
      <c r="AF131" s="13"/>
      <c r="AG131" s="13"/>
      <c r="AH131" s="13"/>
    </row>
    <row r="132" spans="21:34">
      <c r="U132">
        <v>59</v>
      </c>
      <c r="V132" s="64"/>
      <c r="W132" s="97"/>
      <c r="X132" s="64"/>
      <c r="Z132" s="64"/>
      <c r="AB132" s="64"/>
      <c r="AC132" s="64"/>
      <c r="AD132" s="13"/>
      <c r="AE132" s="13"/>
      <c r="AF132" s="13"/>
      <c r="AG132" s="13"/>
      <c r="AH132" s="13"/>
    </row>
    <row r="133" spans="21:34">
      <c r="U133">
        <v>60</v>
      </c>
      <c r="V133" s="64"/>
      <c r="W133" s="97"/>
      <c r="X133" s="64"/>
      <c r="Z133" s="64"/>
      <c r="AB133" s="64"/>
      <c r="AC133" s="64"/>
      <c r="AD133" s="13"/>
      <c r="AE133" s="13"/>
      <c r="AF133" s="13"/>
      <c r="AG133" s="13"/>
      <c r="AH133" s="13"/>
    </row>
    <row r="134" spans="21:34">
      <c r="U134">
        <v>61</v>
      </c>
      <c r="V134" s="64"/>
      <c r="W134" s="97"/>
      <c r="X134" s="64"/>
      <c r="Z134" s="64"/>
      <c r="AB134" s="64"/>
      <c r="AC134" s="64"/>
      <c r="AD134" s="13"/>
      <c r="AE134" s="13"/>
      <c r="AF134" s="13"/>
      <c r="AG134" s="13"/>
      <c r="AH134" s="13"/>
    </row>
    <row r="135" spans="21:34">
      <c r="U135">
        <v>62</v>
      </c>
      <c r="V135" s="64"/>
      <c r="W135" s="97"/>
      <c r="X135" s="64"/>
      <c r="Z135" s="64"/>
      <c r="AB135" s="64"/>
      <c r="AC135" s="64"/>
      <c r="AD135" s="13"/>
      <c r="AE135" s="13"/>
      <c r="AF135" s="13"/>
      <c r="AG135" s="13"/>
      <c r="AH135" s="13"/>
    </row>
    <row r="136" spans="21:34">
      <c r="U136">
        <v>63</v>
      </c>
      <c r="V136" s="64"/>
      <c r="W136" s="97"/>
      <c r="X136" s="64"/>
      <c r="Z136" s="64"/>
      <c r="AB136" s="64"/>
      <c r="AC136" s="64"/>
      <c r="AD136" s="13"/>
      <c r="AE136" s="13"/>
      <c r="AF136" s="13"/>
      <c r="AG136" s="13"/>
      <c r="AH136" s="13"/>
    </row>
    <row r="137" spans="21:34">
      <c r="U137">
        <v>64</v>
      </c>
      <c r="V137" s="64"/>
      <c r="W137" s="97"/>
      <c r="X137" s="64"/>
      <c r="Z137" s="64"/>
      <c r="AB137" s="64"/>
      <c r="AC137" s="64"/>
      <c r="AD137" s="13"/>
      <c r="AE137" s="13"/>
      <c r="AF137" s="13"/>
      <c r="AG137" s="13"/>
      <c r="AH137" s="13"/>
    </row>
    <row r="138" spans="21:34">
      <c r="U138">
        <v>65</v>
      </c>
      <c r="V138" s="64"/>
      <c r="W138" s="97"/>
      <c r="X138" s="64"/>
      <c r="Z138" s="64"/>
      <c r="AB138" s="64"/>
      <c r="AC138" s="64"/>
      <c r="AD138" s="13"/>
      <c r="AE138" s="13"/>
      <c r="AF138" s="13"/>
      <c r="AG138" s="13"/>
      <c r="AH138" s="13"/>
    </row>
    <row r="139" spans="21:34">
      <c r="U139">
        <v>66</v>
      </c>
      <c r="V139" s="64"/>
      <c r="W139" s="97"/>
      <c r="X139" s="64"/>
      <c r="Z139" s="64"/>
      <c r="AB139" s="64"/>
      <c r="AC139" s="64"/>
      <c r="AD139" s="13"/>
      <c r="AE139" s="13"/>
      <c r="AF139" s="13"/>
      <c r="AG139" s="13"/>
      <c r="AH139" s="13"/>
    </row>
    <row r="140" spans="21:34">
      <c r="U140">
        <v>67</v>
      </c>
      <c r="V140" s="64"/>
      <c r="W140" s="97"/>
      <c r="X140" s="64"/>
      <c r="Z140" s="64"/>
      <c r="AB140" s="64"/>
      <c r="AC140" s="64"/>
      <c r="AD140" s="13"/>
      <c r="AE140" s="13"/>
      <c r="AF140" s="13"/>
      <c r="AG140" s="13"/>
      <c r="AH140" s="13"/>
    </row>
    <row r="141" spans="21:34">
      <c r="U141">
        <v>68</v>
      </c>
      <c r="V141" s="64"/>
      <c r="W141" s="97"/>
      <c r="X141" s="64"/>
      <c r="Z141" s="64"/>
      <c r="AB141" s="64"/>
      <c r="AC141" s="64"/>
      <c r="AD141" s="13"/>
      <c r="AE141" s="13"/>
      <c r="AF141" s="13"/>
      <c r="AG141" s="13"/>
      <c r="AH141" s="13"/>
    </row>
    <row r="142" spans="21:34">
      <c r="U142">
        <v>69</v>
      </c>
      <c r="V142" s="64"/>
      <c r="W142" s="97"/>
      <c r="X142" s="64"/>
      <c r="Z142" s="64"/>
      <c r="AB142" s="64"/>
      <c r="AC142" s="64"/>
      <c r="AD142" s="13"/>
      <c r="AE142" s="13"/>
      <c r="AF142" s="13"/>
      <c r="AG142" s="13"/>
      <c r="AH142" s="13"/>
    </row>
    <row r="143" spans="21:34">
      <c r="U143">
        <v>70</v>
      </c>
      <c r="V143" s="64"/>
      <c r="W143" s="97"/>
      <c r="X143" s="64"/>
      <c r="Z143" s="64"/>
      <c r="AB143" s="64"/>
      <c r="AC143" s="64"/>
      <c r="AD143" s="13"/>
      <c r="AE143" s="13"/>
      <c r="AF143" s="13"/>
      <c r="AG143" s="13"/>
      <c r="AH143" s="13"/>
    </row>
    <row r="144" spans="21:34">
      <c r="U144">
        <v>71</v>
      </c>
      <c r="V144" s="64"/>
      <c r="W144" s="97"/>
      <c r="X144" s="64"/>
      <c r="Z144" s="64"/>
      <c r="AB144" s="64"/>
      <c r="AC144" s="64"/>
      <c r="AD144" s="13"/>
      <c r="AE144" s="13"/>
      <c r="AF144" s="13"/>
      <c r="AG144" s="13"/>
      <c r="AH144" s="13"/>
    </row>
    <row r="145" spans="21:34">
      <c r="U145">
        <v>72</v>
      </c>
      <c r="V145" s="64"/>
      <c r="W145" s="97"/>
      <c r="X145" s="64"/>
      <c r="Z145" s="64"/>
      <c r="AB145" s="64"/>
      <c r="AC145" s="64"/>
      <c r="AD145" s="13"/>
      <c r="AE145" s="13"/>
      <c r="AF145" s="13"/>
      <c r="AG145" s="13"/>
      <c r="AH145" s="13"/>
    </row>
    <row r="146" spans="21:34">
      <c r="U146">
        <v>73</v>
      </c>
      <c r="V146" s="64"/>
      <c r="W146" s="97"/>
      <c r="X146" s="64"/>
      <c r="Z146" s="64"/>
      <c r="AB146" s="64"/>
      <c r="AC146" s="64"/>
      <c r="AD146" s="13"/>
      <c r="AE146" s="13"/>
      <c r="AF146" s="13"/>
      <c r="AG146" s="13"/>
      <c r="AH146" s="13"/>
    </row>
    <row r="147" spans="21:34">
      <c r="U147">
        <v>74</v>
      </c>
      <c r="V147" s="64"/>
      <c r="W147" s="97"/>
      <c r="X147" s="64"/>
      <c r="Z147" s="64"/>
      <c r="AB147" s="64"/>
      <c r="AC147" s="64"/>
      <c r="AD147" s="13"/>
      <c r="AE147" s="13"/>
      <c r="AF147" s="13"/>
      <c r="AG147" s="13"/>
      <c r="AH147" s="13"/>
    </row>
    <row r="148" spans="21:34">
      <c r="U148">
        <v>75</v>
      </c>
      <c r="V148" s="64"/>
      <c r="W148" s="97"/>
      <c r="X148" s="64"/>
      <c r="Z148" s="64"/>
      <c r="AB148" s="64"/>
      <c r="AC148" s="64"/>
      <c r="AD148" s="13"/>
      <c r="AE148" s="13"/>
      <c r="AF148" s="13"/>
      <c r="AG148" s="13"/>
      <c r="AH148" s="13"/>
    </row>
    <row r="149" spans="21:34">
      <c r="U149">
        <v>76</v>
      </c>
      <c r="V149" s="64"/>
      <c r="W149" s="97"/>
      <c r="X149" s="64"/>
      <c r="Z149" s="64"/>
      <c r="AB149" s="64"/>
      <c r="AC149" s="64"/>
      <c r="AD149" s="13"/>
      <c r="AE149" s="13"/>
      <c r="AF149" s="13"/>
    </row>
    <row r="150" spans="21:34">
      <c r="U150">
        <v>77</v>
      </c>
      <c r="V150" s="64"/>
      <c r="W150" s="97"/>
      <c r="X150" s="64"/>
      <c r="Z150" s="64"/>
      <c r="AB150" s="64"/>
      <c r="AC150" s="64"/>
      <c r="AD150" s="13"/>
      <c r="AE150" s="13"/>
      <c r="AF150" s="13"/>
    </row>
    <row r="151" spans="21:34">
      <c r="U151">
        <v>78</v>
      </c>
      <c r="V151" s="64"/>
      <c r="W151" s="97"/>
      <c r="X151" s="64"/>
      <c r="Z151" s="64"/>
      <c r="AB151" s="64"/>
      <c r="AC151" s="64"/>
      <c r="AD151" s="13"/>
      <c r="AE151" s="13"/>
      <c r="AF151" s="13"/>
    </row>
    <row r="152" spans="21:34">
      <c r="U152">
        <v>79</v>
      </c>
      <c r="V152" s="64"/>
      <c r="W152" s="97"/>
      <c r="X152" s="64"/>
      <c r="Z152" s="64"/>
      <c r="AB152" s="64"/>
      <c r="AC152" s="64"/>
      <c r="AD152" s="13"/>
      <c r="AE152" s="13"/>
      <c r="AF152" s="13"/>
    </row>
    <row r="153" spans="21:34">
      <c r="U153">
        <v>80</v>
      </c>
      <c r="V153" s="64"/>
      <c r="W153" s="97"/>
      <c r="X153" s="64"/>
      <c r="Z153" s="64"/>
      <c r="AB153" s="64"/>
      <c r="AC153" s="64"/>
      <c r="AD153" s="13"/>
      <c r="AE153" s="13"/>
      <c r="AF153" s="13"/>
    </row>
    <row r="154" spans="21:34">
      <c r="U154">
        <v>81</v>
      </c>
      <c r="V154" s="64"/>
      <c r="W154" s="97"/>
      <c r="X154" s="64"/>
      <c r="Z154" s="64"/>
      <c r="AB154" s="64"/>
      <c r="AC154" s="64"/>
      <c r="AD154" s="13"/>
      <c r="AE154" s="13"/>
      <c r="AF154" s="13"/>
    </row>
    <row r="155" spans="21:34">
      <c r="U155">
        <v>82</v>
      </c>
      <c r="V155" s="64"/>
      <c r="W155" s="97"/>
      <c r="X155" s="64"/>
      <c r="Z155" s="64"/>
      <c r="AB155" s="64"/>
      <c r="AC155" s="64"/>
      <c r="AD155" s="13"/>
      <c r="AE155" s="13"/>
      <c r="AF155" s="13"/>
    </row>
    <row r="156" spans="21:34">
      <c r="U156">
        <v>83</v>
      </c>
      <c r="V156" s="64"/>
      <c r="W156" s="97"/>
      <c r="X156" s="64"/>
      <c r="Z156" s="64"/>
      <c r="AB156" s="64"/>
      <c r="AC156" s="64"/>
      <c r="AD156" s="13"/>
      <c r="AE156" s="13"/>
      <c r="AF156" s="13"/>
    </row>
    <row r="157" spans="21:34">
      <c r="U157">
        <v>84</v>
      </c>
      <c r="V157" s="64"/>
      <c r="W157" s="97"/>
      <c r="X157" s="64"/>
      <c r="Z157" s="64"/>
      <c r="AB157" s="64"/>
      <c r="AC157" s="64"/>
      <c r="AD157" s="13"/>
      <c r="AE157" s="13"/>
      <c r="AF157" s="13"/>
    </row>
    <row r="158" spans="21:34">
      <c r="U158">
        <v>85</v>
      </c>
      <c r="V158" s="64"/>
      <c r="W158" s="97"/>
      <c r="X158" s="64"/>
      <c r="Z158" s="64"/>
      <c r="AB158" s="64"/>
      <c r="AC158" s="64"/>
      <c r="AD158" s="13"/>
      <c r="AE158" s="13"/>
      <c r="AF158" s="13"/>
    </row>
    <row r="159" spans="21:34">
      <c r="U159">
        <v>86</v>
      </c>
      <c r="V159" s="64"/>
      <c r="W159" s="97"/>
      <c r="X159" s="64"/>
      <c r="Z159" s="64"/>
      <c r="AB159" s="64"/>
      <c r="AC159" s="64"/>
      <c r="AD159" s="13"/>
      <c r="AE159" s="13"/>
      <c r="AF159" s="13"/>
    </row>
    <row r="160" spans="21:34">
      <c r="U160">
        <v>87</v>
      </c>
      <c r="V160" s="64"/>
      <c r="W160" s="97"/>
      <c r="X160" s="64"/>
      <c r="Z160" s="64"/>
      <c r="AB160" s="64"/>
      <c r="AC160" s="64"/>
      <c r="AD160" s="13"/>
      <c r="AE160" s="13"/>
      <c r="AF160" s="13"/>
    </row>
    <row r="161" spans="21:32">
      <c r="U161">
        <v>88</v>
      </c>
      <c r="V161" s="64"/>
      <c r="W161" s="97"/>
      <c r="X161" s="64"/>
      <c r="Z161" s="64"/>
      <c r="AB161" s="64"/>
      <c r="AC161" s="64"/>
      <c r="AD161" s="13"/>
      <c r="AE161" s="13"/>
      <c r="AF161" s="13"/>
    </row>
    <row r="162" spans="21:32">
      <c r="U162">
        <v>89</v>
      </c>
      <c r="V162" s="64"/>
      <c r="W162" s="97"/>
      <c r="X162" s="64"/>
      <c r="Z162" s="64"/>
      <c r="AB162" s="64"/>
      <c r="AC162" s="64"/>
      <c r="AD162" s="13"/>
      <c r="AE162" s="13"/>
      <c r="AF162" s="13"/>
    </row>
    <row r="163" spans="21:32">
      <c r="U163">
        <v>90</v>
      </c>
      <c r="V163" s="64"/>
      <c r="W163" s="97"/>
      <c r="X163" s="64"/>
      <c r="Z163" s="64"/>
      <c r="AB163" s="64"/>
      <c r="AC163" s="64"/>
      <c r="AD163" s="13"/>
      <c r="AE163" s="13"/>
      <c r="AF163" s="13"/>
    </row>
    <row r="164" spans="21:32">
      <c r="U164">
        <v>91</v>
      </c>
      <c r="V164" s="64"/>
      <c r="W164" s="97"/>
      <c r="X164" s="64"/>
      <c r="Z164" s="64"/>
      <c r="AB164" s="64"/>
      <c r="AC164" s="64"/>
      <c r="AD164" s="13"/>
      <c r="AE164" s="13"/>
      <c r="AF164" s="13"/>
    </row>
    <row r="165" spans="21:32">
      <c r="U165">
        <v>92</v>
      </c>
      <c r="V165" s="64"/>
      <c r="W165" s="97"/>
      <c r="X165" s="64"/>
      <c r="Z165" s="64"/>
      <c r="AB165" s="64"/>
      <c r="AC165" s="64"/>
      <c r="AD165" s="13"/>
      <c r="AE165" s="13"/>
      <c r="AF165" s="13"/>
    </row>
    <row r="166" spans="21:32">
      <c r="U166">
        <v>93</v>
      </c>
      <c r="V166" s="64"/>
      <c r="W166" s="97"/>
      <c r="X166" s="64"/>
      <c r="Z166" s="64"/>
      <c r="AB166" s="64"/>
      <c r="AC166" s="64"/>
      <c r="AD166" s="13"/>
      <c r="AE166" s="13"/>
      <c r="AF166" s="13"/>
    </row>
    <row r="167" spans="21:32">
      <c r="U167">
        <v>94</v>
      </c>
      <c r="V167" s="64"/>
      <c r="W167" s="97"/>
      <c r="X167" s="64"/>
      <c r="Z167" s="64"/>
      <c r="AB167" s="64"/>
      <c r="AC167" s="64"/>
      <c r="AD167" s="13"/>
      <c r="AE167" s="13"/>
      <c r="AF167" s="13"/>
    </row>
    <row r="168" spans="21:32">
      <c r="U168">
        <v>95</v>
      </c>
      <c r="V168" s="64"/>
      <c r="W168" s="97"/>
      <c r="X168" s="64"/>
      <c r="Z168" s="64"/>
      <c r="AB168" s="64"/>
      <c r="AC168" s="64"/>
      <c r="AD168" s="13"/>
      <c r="AE168" s="13"/>
      <c r="AF168" s="13"/>
    </row>
    <row r="169" spans="21:32">
      <c r="U169">
        <v>96</v>
      </c>
      <c r="V169" s="64"/>
      <c r="W169" s="97"/>
      <c r="X169" s="64"/>
      <c r="Z169" s="64"/>
      <c r="AB169" s="64"/>
      <c r="AC169" s="64"/>
      <c r="AD169" s="13"/>
      <c r="AE169" s="13"/>
      <c r="AF169" s="13"/>
    </row>
    <row r="170" spans="21:32">
      <c r="U170">
        <v>97</v>
      </c>
      <c r="V170" s="64"/>
      <c r="W170" s="97"/>
      <c r="X170" s="64"/>
      <c r="Z170" s="64"/>
      <c r="AB170" s="64"/>
      <c r="AC170" s="64"/>
      <c r="AD170" s="13"/>
      <c r="AE170" s="13"/>
      <c r="AF170" s="13"/>
    </row>
    <row r="171" spans="21:32">
      <c r="U171">
        <v>98</v>
      </c>
      <c r="V171" s="64"/>
      <c r="W171" s="97"/>
      <c r="X171" s="64"/>
      <c r="Z171" s="64"/>
      <c r="AB171" s="64"/>
      <c r="AC171" s="64"/>
      <c r="AD171" s="13"/>
      <c r="AE171" s="13"/>
      <c r="AF171" s="13"/>
    </row>
    <row r="172" spans="21:32">
      <c r="U172">
        <v>99</v>
      </c>
      <c r="V172" s="64"/>
      <c r="W172" s="97"/>
      <c r="X172" s="64"/>
      <c r="Z172" s="64"/>
      <c r="AB172" s="64"/>
      <c r="AC172" s="64"/>
      <c r="AD172" s="13"/>
      <c r="AE172" s="13"/>
      <c r="AF172" s="13"/>
    </row>
    <row r="173" spans="21:32">
      <c r="U173">
        <v>100</v>
      </c>
      <c r="V173" s="64"/>
      <c r="W173" s="97"/>
      <c r="X173" s="64"/>
      <c r="Z173" s="64"/>
      <c r="AB173" s="64"/>
      <c r="AC173" s="64"/>
      <c r="AD173" s="13"/>
      <c r="AE173" s="13"/>
      <c r="AF173" s="13"/>
    </row>
    <row r="174" spans="21:32">
      <c r="U174">
        <v>101</v>
      </c>
      <c r="V174" s="64"/>
      <c r="W174" s="97"/>
      <c r="X174" s="64"/>
      <c r="Z174" s="64"/>
      <c r="AB174" s="64"/>
      <c r="AC174" s="64"/>
      <c r="AD174" s="13"/>
      <c r="AE174" s="13"/>
      <c r="AF174" s="13"/>
    </row>
    <row r="262" spans="19:19">
      <c r="S262" t="s">
        <v>1382</v>
      </c>
    </row>
    <row r="269" spans="19:19">
      <c r="S269" t="s">
        <v>1383</v>
      </c>
    </row>
    <row r="274" spans="23:23">
      <c r="W274" t="s">
        <v>1383</v>
      </c>
    </row>
    <row r="284" spans="23:23">
      <c r="W284" t="s">
        <v>1383</v>
      </c>
    </row>
    <row r="331" spans="19:19">
      <c r="S331" t="s">
        <v>1383</v>
      </c>
    </row>
    <row r="461" spans="3:3">
      <c r="C461" s="2444" t="s">
        <v>1463</v>
      </c>
    </row>
    <row r="628" spans="3:3">
      <c r="C628" t="s">
        <v>1464</v>
      </c>
    </row>
  </sheetData>
  <sheetProtection sheet="1" objects="1" scenarios="1"/>
  <protectedRanges>
    <protectedRange sqref="H22 J36:K36 O36 T36 V18:X18 H45 J59:K59 O59 T59" name="Område1"/>
  </protectedRanges>
  <mergeCells count="1">
    <mergeCell ref="L18:M18"/>
  </mergeCells>
  <pageMargins left="0.7" right="0.7" top="0.75" bottom="0.75" header="0.3" footer="0.3"/>
  <pageSetup paperSize="9" scale="32" fitToHeight="0"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'C:\mal\531029-001\My Documents\Hans filer\GREPPA\Projekt\Mullutveckling\Material Göte\Underlag OP jan 2017\[Test_ny OP_HN.xlsx]Tekniskt underlag'!#REF!</xm:f>
          </x14:formula1>
          <xm:sqref>V108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Blad33">
    <tabColor rgb="FFFF0000"/>
  </sheetPr>
  <dimension ref="A1:BS152"/>
  <sheetViews>
    <sheetView zoomScale="70" zoomScaleNormal="70" workbookViewId="0">
      <selection activeCell="Q103" sqref="Q103"/>
    </sheetView>
  </sheetViews>
  <sheetFormatPr defaultRowHeight="12.75"/>
  <cols>
    <col min="2" max="2" width="10.85546875" customWidth="1"/>
    <col min="3" max="3" width="11.140625" customWidth="1"/>
    <col min="4" max="4" width="11.5703125" customWidth="1"/>
    <col min="5" max="5" width="12.140625" customWidth="1"/>
    <col min="6" max="6" width="9.5703125" bestFit="1" customWidth="1"/>
    <col min="8" max="8" width="9.28515625" bestFit="1" customWidth="1"/>
    <col min="9" max="9" width="12.28515625" customWidth="1"/>
    <col min="10" max="10" width="11.42578125" customWidth="1"/>
    <col min="11" max="11" width="15.85546875" customWidth="1"/>
    <col min="12" max="12" width="13.42578125" customWidth="1"/>
    <col min="13" max="13" width="10.42578125" customWidth="1"/>
    <col min="14" max="14" width="14.140625" customWidth="1"/>
    <col min="15" max="15" width="13.5703125" customWidth="1"/>
    <col min="16" max="16" width="12" customWidth="1"/>
    <col min="17" max="17" width="11.42578125" customWidth="1"/>
    <col min="18" max="18" width="11" customWidth="1"/>
    <col min="20" max="20" width="11" customWidth="1"/>
    <col min="23" max="23" width="8.7109375" customWidth="1"/>
    <col min="24" max="24" width="9.5703125" bestFit="1" customWidth="1"/>
    <col min="25" max="25" width="26" bestFit="1" customWidth="1"/>
    <col min="27" max="27" width="12" customWidth="1"/>
    <col min="28" max="28" width="11" customWidth="1"/>
    <col min="29" max="29" width="11.85546875" customWidth="1"/>
    <col min="30" max="30" width="11" customWidth="1"/>
    <col min="31" max="31" width="12" customWidth="1"/>
    <col min="32" max="32" width="17.5703125" customWidth="1"/>
    <col min="36" max="36" width="10.7109375" customWidth="1"/>
    <col min="49" max="49" width="49.42578125" customWidth="1"/>
    <col min="258" max="258" width="10.85546875" customWidth="1"/>
    <col min="260" max="260" width="9.7109375" customWidth="1"/>
    <col min="265" max="265" width="12.28515625" customWidth="1"/>
    <col min="267" max="267" width="15.85546875" customWidth="1"/>
    <col min="268" max="268" width="11.140625" customWidth="1"/>
    <col min="270" max="270" width="10.28515625" customWidth="1"/>
    <col min="279" max="279" width="8.7109375" customWidth="1"/>
    <col min="283" max="283" width="9.5703125" customWidth="1"/>
    <col min="284" max="284" width="10.140625" customWidth="1"/>
    <col min="285" max="285" width="6.5703125" customWidth="1"/>
    <col min="286" max="286" width="11" customWidth="1"/>
    <col min="514" max="514" width="10.85546875" customWidth="1"/>
    <col min="516" max="516" width="9.7109375" customWidth="1"/>
    <col min="521" max="521" width="12.28515625" customWidth="1"/>
    <col min="523" max="523" width="15.85546875" customWidth="1"/>
    <col min="524" max="524" width="11.140625" customWidth="1"/>
    <col min="526" max="526" width="10.28515625" customWidth="1"/>
    <col min="535" max="535" width="8.7109375" customWidth="1"/>
    <col min="539" max="539" width="9.5703125" customWidth="1"/>
    <col min="540" max="540" width="10.140625" customWidth="1"/>
    <col min="541" max="541" width="6.5703125" customWidth="1"/>
    <col min="542" max="542" width="11" customWidth="1"/>
    <col min="770" max="770" width="10.85546875" customWidth="1"/>
    <col min="772" max="772" width="9.7109375" customWidth="1"/>
    <col min="777" max="777" width="12.28515625" customWidth="1"/>
    <col min="779" max="779" width="15.85546875" customWidth="1"/>
    <col min="780" max="780" width="11.140625" customWidth="1"/>
    <col min="782" max="782" width="10.28515625" customWidth="1"/>
    <col min="791" max="791" width="8.7109375" customWidth="1"/>
    <col min="795" max="795" width="9.5703125" customWidth="1"/>
    <col min="796" max="796" width="10.140625" customWidth="1"/>
    <col min="797" max="797" width="6.5703125" customWidth="1"/>
    <col min="798" max="798" width="11" customWidth="1"/>
    <col min="1026" max="1026" width="10.85546875" customWidth="1"/>
    <col min="1028" max="1028" width="9.7109375" customWidth="1"/>
    <col min="1033" max="1033" width="12.28515625" customWidth="1"/>
    <col min="1035" max="1035" width="15.85546875" customWidth="1"/>
    <col min="1036" max="1036" width="11.140625" customWidth="1"/>
    <col min="1038" max="1038" width="10.28515625" customWidth="1"/>
    <col min="1047" max="1047" width="8.7109375" customWidth="1"/>
    <col min="1051" max="1051" width="9.5703125" customWidth="1"/>
    <col min="1052" max="1052" width="10.140625" customWidth="1"/>
    <col min="1053" max="1053" width="6.5703125" customWidth="1"/>
    <col min="1054" max="1054" width="11" customWidth="1"/>
    <col min="1282" max="1282" width="10.85546875" customWidth="1"/>
    <col min="1284" max="1284" width="9.7109375" customWidth="1"/>
    <col min="1289" max="1289" width="12.28515625" customWidth="1"/>
    <col min="1291" max="1291" width="15.85546875" customWidth="1"/>
    <col min="1292" max="1292" width="11.140625" customWidth="1"/>
    <col min="1294" max="1294" width="10.28515625" customWidth="1"/>
    <col min="1303" max="1303" width="8.7109375" customWidth="1"/>
    <col min="1307" max="1307" width="9.5703125" customWidth="1"/>
    <col min="1308" max="1308" width="10.140625" customWidth="1"/>
    <col min="1309" max="1309" width="6.5703125" customWidth="1"/>
    <col min="1310" max="1310" width="11" customWidth="1"/>
    <col min="1538" max="1538" width="10.85546875" customWidth="1"/>
    <col min="1540" max="1540" width="9.7109375" customWidth="1"/>
    <col min="1545" max="1545" width="12.28515625" customWidth="1"/>
    <col min="1547" max="1547" width="15.85546875" customWidth="1"/>
    <col min="1548" max="1548" width="11.140625" customWidth="1"/>
    <col min="1550" max="1550" width="10.28515625" customWidth="1"/>
    <col min="1559" max="1559" width="8.7109375" customWidth="1"/>
    <col min="1563" max="1563" width="9.5703125" customWidth="1"/>
    <col min="1564" max="1564" width="10.140625" customWidth="1"/>
    <col min="1565" max="1565" width="6.5703125" customWidth="1"/>
    <col min="1566" max="1566" width="11" customWidth="1"/>
    <col min="1794" max="1794" width="10.85546875" customWidth="1"/>
    <col min="1796" max="1796" width="9.7109375" customWidth="1"/>
    <col min="1801" max="1801" width="12.28515625" customWidth="1"/>
    <col min="1803" max="1803" width="15.85546875" customWidth="1"/>
    <col min="1804" max="1804" width="11.140625" customWidth="1"/>
    <col min="1806" max="1806" width="10.28515625" customWidth="1"/>
    <col min="1815" max="1815" width="8.7109375" customWidth="1"/>
    <col min="1819" max="1819" width="9.5703125" customWidth="1"/>
    <col min="1820" max="1820" width="10.140625" customWidth="1"/>
    <col min="1821" max="1821" width="6.5703125" customWidth="1"/>
    <col min="1822" max="1822" width="11" customWidth="1"/>
    <col min="2050" max="2050" width="10.85546875" customWidth="1"/>
    <col min="2052" max="2052" width="9.7109375" customWidth="1"/>
    <col min="2057" max="2057" width="12.28515625" customWidth="1"/>
    <col min="2059" max="2059" width="15.85546875" customWidth="1"/>
    <col min="2060" max="2060" width="11.140625" customWidth="1"/>
    <col min="2062" max="2062" width="10.28515625" customWidth="1"/>
    <col min="2071" max="2071" width="8.7109375" customWidth="1"/>
    <col min="2075" max="2075" width="9.5703125" customWidth="1"/>
    <col min="2076" max="2076" width="10.140625" customWidth="1"/>
    <col min="2077" max="2077" width="6.5703125" customWidth="1"/>
    <col min="2078" max="2078" width="11" customWidth="1"/>
    <col min="2306" max="2306" width="10.85546875" customWidth="1"/>
    <col min="2308" max="2308" width="9.7109375" customWidth="1"/>
    <col min="2313" max="2313" width="12.28515625" customWidth="1"/>
    <col min="2315" max="2315" width="15.85546875" customWidth="1"/>
    <col min="2316" max="2316" width="11.140625" customWidth="1"/>
    <col min="2318" max="2318" width="10.28515625" customWidth="1"/>
    <col min="2327" max="2327" width="8.7109375" customWidth="1"/>
    <col min="2331" max="2331" width="9.5703125" customWidth="1"/>
    <col min="2332" max="2332" width="10.140625" customWidth="1"/>
    <col min="2333" max="2333" width="6.5703125" customWidth="1"/>
    <col min="2334" max="2334" width="11" customWidth="1"/>
    <col min="2562" max="2562" width="10.85546875" customWidth="1"/>
    <col min="2564" max="2564" width="9.7109375" customWidth="1"/>
    <col min="2569" max="2569" width="12.28515625" customWidth="1"/>
    <col min="2571" max="2571" width="15.85546875" customWidth="1"/>
    <col min="2572" max="2572" width="11.140625" customWidth="1"/>
    <col min="2574" max="2574" width="10.28515625" customWidth="1"/>
    <col min="2583" max="2583" width="8.7109375" customWidth="1"/>
    <col min="2587" max="2587" width="9.5703125" customWidth="1"/>
    <col min="2588" max="2588" width="10.140625" customWidth="1"/>
    <col min="2589" max="2589" width="6.5703125" customWidth="1"/>
    <col min="2590" max="2590" width="11" customWidth="1"/>
    <col min="2818" max="2818" width="10.85546875" customWidth="1"/>
    <col min="2820" max="2820" width="9.7109375" customWidth="1"/>
    <col min="2825" max="2825" width="12.28515625" customWidth="1"/>
    <col min="2827" max="2827" width="15.85546875" customWidth="1"/>
    <col min="2828" max="2828" width="11.140625" customWidth="1"/>
    <col min="2830" max="2830" width="10.28515625" customWidth="1"/>
    <col min="2839" max="2839" width="8.7109375" customWidth="1"/>
    <col min="2843" max="2843" width="9.5703125" customWidth="1"/>
    <col min="2844" max="2844" width="10.140625" customWidth="1"/>
    <col min="2845" max="2845" width="6.5703125" customWidth="1"/>
    <col min="2846" max="2846" width="11" customWidth="1"/>
    <col min="3074" max="3074" width="10.85546875" customWidth="1"/>
    <col min="3076" max="3076" width="9.7109375" customWidth="1"/>
    <col min="3081" max="3081" width="12.28515625" customWidth="1"/>
    <col min="3083" max="3083" width="15.85546875" customWidth="1"/>
    <col min="3084" max="3084" width="11.140625" customWidth="1"/>
    <col min="3086" max="3086" width="10.28515625" customWidth="1"/>
    <col min="3095" max="3095" width="8.7109375" customWidth="1"/>
    <col min="3099" max="3099" width="9.5703125" customWidth="1"/>
    <col min="3100" max="3100" width="10.140625" customWidth="1"/>
    <col min="3101" max="3101" width="6.5703125" customWidth="1"/>
    <col min="3102" max="3102" width="11" customWidth="1"/>
    <col min="3330" max="3330" width="10.85546875" customWidth="1"/>
    <col min="3332" max="3332" width="9.7109375" customWidth="1"/>
    <col min="3337" max="3337" width="12.28515625" customWidth="1"/>
    <col min="3339" max="3339" width="15.85546875" customWidth="1"/>
    <col min="3340" max="3340" width="11.140625" customWidth="1"/>
    <col min="3342" max="3342" width="10.28515625" customWidth="1"/>
    <col min="3351" max="3351" width="8.7109375" customWidth="1"/>
    <col min="3355" max="3355" width="9.5703125" customWidth="1"/>
    <col min="3356" max="3356" width="10.140625" customWidth="1"/>
    <col min="3357" max="3357" width="6.5703125" customWidth="1"/>
    <col min="3358" max="3358" width="11" customWidth="1"/>
    <col min="3586" max="3586" width="10.85546875" customWidth="1"/>
    <col min="3588" max="3588" width="9.7109375" customWidth="1"/>
    <col min="3593" max="3593" width="12.28515625" customWidth="1"/>
    <col min="3595" max="3595" width="15.85546875" customWidth="1"/>
    <col min="3596" max="3596" width="11.140625" customWidth="1"/>
    <col min="3598" max="3598" width="10.28515625" customWidth="1"/>
    <col min="3607" max="3607" width="8.7109375" customWidth="1"/>
    <col min="3611" max="3611" width="9.5703125" customWidth="1"/>
    <col min="3612" max="3612" width="10.140625" customWidth="1"/>
    <col min="3613" max="3613" width="6.5703125" customWidth="1"/>
    <col min="3614" max="3614" width="11" customWidth="1"/>
    <col min="3842" max="3842" width="10.85546875" customWidth="1"/>
    <col min="3844" max="3844" width="9.7109375" customWidth="1"/>
    <col min="3849" max="3849" width="12.28515625" customWidth="1"/>
    <col min="3851" max="3851" width="15.85546875" customWidth="1"/>
    <col min="3852" max="3852" width="11.140625" customWidth="1"/>
    <col min="3854" max="3854" width="10.28515625" customWidth="1"/>
    <col min="3863" max="3863" width="8.7109375" customWidth="1"/>
    <col min="3867" max="3867" width="9.5703125" customWidth="1"/>
    <col min="3868" max="3868" width="10.140625" customWidth="1"/>
    <col min="3869" max="3869" width="6.5703125" customWidth="1"/>
    <col min="3870" max="3870" width="11" customWidth="1"/>
    <col min="4098" max="4098" width="10.85546875" customWidth="1"/>
    <col min="4100" max="4100" width="9.7109375" customWidth="1"/>
    <col min="4105" max="4105" width="12.28515625" customWidth="1"/>
    <col min="4107" max="4107" width="15.85546875" customWidth="1"/>
    <col min="4108" max="4108" width="11.140625" customWidth="1"/>
    <col min="4110" max="4110" width="10.28515625" customWidth="1"/>
    <col min="4119" max="4119" width="8.7109375" customWidth="1"/>
    <col min="4123" max="4123" width="9.5703125" customWidth="1"/>
    <col min="4124" max="4124" width="10.140625" customWidth="1"/>
    <col min="4125" max="4125" width="6.5703125" customWidth="1"/>
    <col min="4126" max="4126" width="11" customWidth="1"/>
    <col min="4354" max="4354" width="10.85546875" customWidth="1"/>
    <col min="4356" max="4356" width="9.7109375" customWidth="1"/>
    <col min="4361" max="4361" width="12.28515625" customWidth="1"/>
    <col min="4363" max="4363" width="15.85546875" customWidth="1"/>
    <col min="4364" max="4364" width="11.140625" customWidth="1"/>
    <col min="4366" max="4366" width="10.28515625" customWidth="1"/>
    <col min="4375" max="4375" width="8.7109375" customWidth="1"/>
    <col min="4379" max="4379" width="9.5703125" customWidth="1"/>
    <col min="4380" max="4380" width="10.140625" customWidth="1"/>
    <col min="4381" max="4381" width="6.5703125" customWidth="1"/>
    <col min="4382" max="4382" width="11" customWidth="1"/>
    <col min="4610" max="4610" width="10.85546875" customWidth="1"/>
    <col min="4612" max="4612" width="9.7109375" customWidth="1"/>
    <col min="4617" max="4617" width="12.28515625" customWidth="1"/>
    <col min="4619" max="4619" width="15.85546875" customWidth="1"/>
    <col min="4620" max="4620" width="11.140625" customWidth="1"/>
    <col min="4622" max="4622" width="10.28515625" customWidth="1"/>
    <col min="4631" max="4631" width="8.7109375" customWidth="1"/>
    <col min="4635" max="4635" width="9.5703125" customWidth="1"/>
    <col min="4636" max="4636" width="10.140625" customWidth="1"/>
    <col min="4637" max="4637" width="6.5703125" customWidth="1"/>
    <col min="4638" max="4638" width="11" customWidth="1"/>
    <col min="4866" max="4866" width="10.85546875" customWidth="1"/>
    <col min="4868" max="4868" width="9.7109375" customWidth="1"/>
    <col min="4873" max="4873" width="12.28515625" customWidth="1"/>
    <col min="4875" max="4875" width="15.85546875" customWidth="1"/>
    <col min="4876" max="4876" width="11.140625" customWidth="1"/>
    <col min="4878" max="4878" width="10.28515625" customWidth="1"/>
    <col min="4887" max="4887" width="8.7109375" customWidth="1"/>
    <col min="4891" max="4891" width="9.5703125" customWidth="1"/>
    <col min="4892" max="4892" width="10.140625" customWidth="1"/>
    <col min="4893" max="4893" width="6.5703125" customWidth="1"/>
    <col min="4894" max="4894" width="11" customWidth="1"/>
    <col min="5122" max="5122" width="10.85546875" customWidth="1"/>
    <col min="5124" max="5124" width="9.7109375" customWidth="1"/>
    <col min="5129" max="5129" width="12.28515625" customWidth="1"/>
    <col min="5131" max="5131" width="15.85546875" customWidth="1"/>
    <col min="5132" max="5132" width="11.140625" customWidth="1"/>
    <col min="5134" max="5134" width="10.28515625" customWidth="1"/>
    <col min="5143" max="5143" width="8.7109375" customWidth="1"/>
    <col min="5147" max="5147" width="9.5703125" customWidth="1"/>
    <col min="5148" max="5148" width="10.140625" customWidth="1"/>
    <col min="5149" max="5149" width="6.5703125" customWidth="1"/>
    <col min="5150" max="5150" width="11" customWidth="1"/>
    <col min="5378" max="5378" width="10.85546875" customWidth="1"/>
    <col min="5380" max="5380" width="9.7109375" customWidth="1"/>
    <col min="5385" max="5385" width="12.28515625" customWidth="1"/>
    <col min="5387" max="5387" width="15.85546875" customWidth="1"/>
    <col min="5388" max="5388" width="11.140625" customWidth="1"/>
    <col min="5390" max="5390" width="10.28515625" customWidth="1"/>
    <col min="5399" max="5399" width="8.7109375" customWidth="1"/>
    <col min="5403" max="5403" width="9.5703125" customWidth="1"/>
    <col min="5404" max="5404" width="10.140625" customWidth="1"/>
    <col min="5405" max="5405" width="6.5703125" customWidth="1"/>
    <col min="5406" max="5406" width="11" customWidth="1"/>
    <col min="5634" max="5634" width="10.85546875" customWidth="1"/>
    <col min="5636" max="5636" width="9.7109375" customWidth="1"/>
    <col min="5641" max="5641" width="12.28515625" customWidth="1"/>
    <col min="5643" max="5643" width="15.85546875" customWidth="1"/>
    <col min="5644" max="5644" width="11.140625" customWidth="1"/>
    <col min="5646" max="5646" width="10.28515625" customWidth="1"/>
    <col min="5655" max="5655" width="8.7109375" customWidth="1"/>
    <col min="5659" max="5659" width="9.5703125" customWidth="1"/>
    <col min="5660" max="5660" width="10.140625" customWidth="1"/>
    <col min="5661" max="5661" width="6.5703125" customWidth="1"/>
    <col min="5662" max="5662" width="11" customWidth="1"/>
    <col min="5890" max="5890" width="10.85546875" customWidth="1"/>
    <col min="5892" max="5892" width="9.7109375" customWidth="1"/>
    <col min="5897" max="5897" width="12.28515625" customWidth="1"/>
    <col min="5899" max="5899" width="15.85546875" customWidth="1"/>
    <col min="5900" max="5900" width="11.140625" customWidth="1"/>
    <col min="5902" max="5902" width="10.28515625" customWidth="1"/>
    <col min="5911" max="5911" width="8.7109375" customWidth="1"/>
    <col min="5915" max="5915" width="9.5703125" customWidth="1"/>
    <col min="5916" max="5916" width="10.140625" customWidth="1"/>
    <col min="5917" max="5917" width="6.5703125" customWidth="1"/>
    <col min="5918" max="5918" width="11" customWidth="1"/>
    <col min="6146" max="6146" width="10.85546875" customWidth="1"/>
    <col min="6148" max="6148" width="9.7109375" customWidth="1"/>
    <col min="6153" max="6153" width="12.28515625" customWidth="1"/>
    <col min="6155" max="6155" width="15.85546875" customWidth="1"/>
    <col min="6156" max="6156" width="11.140625" customWidth="1"/>
    <col min="6158" max="6158" width="10.28515625" customWidth="1"/>
    <col min="6167" max="6167" width="8.7109375" customWidth="1"/>
    <col min="6171" max="6171" width="9.5703125" customWidth="1"/>
    <col min="6172" max="6172" width="10.140625" customWidth="1"/>
    <col min="6173" max="6173" width="6.5703125" customWidth="1"/>
    <col min="6174" max="6174" width="11" customWidth="1"/>
    <col min="6402" max="6402" width="10.85546875" customWidth="1"/>
    <col min="6404" max="6404" width="9.7109375" customWidth="1"/>
    <col min="6409" max="6409" width="12.28515625" customWidth="1"/>
    <col min="6411" max="6411" width="15.85546875" customWidth="1"/>
    <col min="6412" max="6412" width="11.140625" customWidth="1"/>
    <col min="6414" max="6414" width="10.28515625" customWidth="1"/>
    <col min="6423" max="6423" width="8.7109375" customWidth="1"/>
    <col min="6427" max="6427" width="9.5703125" customWidth="1"/>
    <col min="6428" max="6428" width="10.140625" customWidth="1"/>
    <col min="6429" max="6429" width="6.5703125" customWidth="1"/>
    <col min="6430" max="6430" width="11" customWidth="1"/>
    <col min="6658" max="6658" width="10.85546875" customWidth="1"/>
    <col min="6660" max="6660" width="9.7109375" customWidth="1"/>
    <col min="6665" max="6665" width="12.28515625" customWidth="1"/>
    <col min="6667" max="6667" width="15.85546875" customWidth="1"/>
    <col min="6668" max="6668" width="11.140625" customWidth="1"/>
    <col min="6670" max="6670" width="10.28515625" customWidth="1"/>
    <col min="6679" max="6679" width="8.7109375" customWidth="1"/>
    <col min="6683" max="6683" width="9.5703125" customWidth="1"/>
    <col min="6684" max="6684" width="10.140625" customWidth="1"/>
    <col min="6685" max="6685" width="6.5703125" customWidth="1"/>
    <col min="6686" max="6686" width="11" customWidth="1"/>
    <col min="6914" max="6914" width="10.85546875" customWidth="1"/>
    <col min="6916" max="6916" width="9.7109375" customWidth="1"/>
    <col min="6921" max="6921" width="12.28515625" customWidth="1"/>
    <col min="6923" max="6923" width="15.85546875" customWidth="1"/>
    <col min="6924" max="6924" width="11.140625" customWidth="1"/>
    <col min="6926" max="6926" width="10.28515625" customWidth="1"/>
    <col min="6935" max="6935" width="8.7109375" customWidth="1"/>
    <col min="6939" max="6939" width="9.5703125" customWidth="1"/>
    <col min="6940" max="6940" width="10.140625" customWidth="1"/>
    <col min="6941" max="6941" width="6.5703125" customWidth="1"/>
    <col min="6942" max="6942" width="11" customWidth="1"/>
    <col min="7170" max="7170" width="10.85546875" customWidth="1"/>
    <col min="7172" max="7172" width="9.7109375" customWidth="1"/>
    <col min="7177" max="7177" width="12.28515625" customWidth="1"/>
    <col min="7179" max="7179" width="15.85546875" customWidth="1"/>
    <col min="7180" max="7180" width="11.140625" customWidth="1"/>
    <col min="7182" max="7182" width="10.28515625" customWidth="1"/>
    <col min="7191" max="7191" width="8.7109375" customWidth="1"/>
    <col min="7195" max="7195" width="9.5703125" customWidth="1"/>
    <col min="7196" max="7196" width="10.140625" customWidth="1"/>
    <col min="7197" max="7197" width="6.5703125" customWidth="1"/>
    <col min="7198" max="7198" width="11" customWidth="1"/>
    <col min="7426" max="7426" width="10.85546875" customWidth="1"/>
    <col min="7428" max="7428" width="9.7109375" customWidth="1"/>
    <col min="7433" max="7433" width="12.28515625" customWidth="1"/>
    <col min="7435" max="7435" width="15.85546875" customWidth="1"/>
    <col min="7436" max="7436" width="11.140625" customWidth="1"/>
    <col min="7438" max="7438" width="10.28515625" customWidth="1"/>
    <col min="7447" max="7447" width="8.7109375" customWidth="1"/>
    <col min="7451" max="7451" width="9.5703125" customWidth="1"/>
    <col min="7452" max="7452" width="10.140625" customWidth="1"/>
    <col min="7453" max="7453" width="6.5703125" customWidth="1"/>
    <col min="7454" max="7454" width="11" customWidth="1"/>
    <col min="7682" max="7682" width="10.85546875" customWidth="1"/>
    <col min="7684" max="7684" width="9.7109375" customWidth="1"/>
    <col min="7689" max="7689" width="12.28515625" customWidth="1"/>
    <col min="7691" max="7691" width="15.85546875" customWidth="1"/>
    <col min="7692" max="7692" width="11.140625" customWidth="1"/>
    <col min="7694" max="7694" width="10.28515625" customWidth="1"/>
    <col min="7703" max="7703" width="8.7109375" customWidth="1"/>
    <col min="7707" max="7707" width="9.5703125" customWidth="1"/>
    <col min="7708" max="7708" width="10.140625" customWidth="1"/>
    <col min="7709" max="7709" width="6.5703125" customWidth="1"/>
    <col min="7710" max="7710" width="11" customWidth="1"/>
    <col min="7938" max="7938" width="10.85546875" customWidth="1"/>
    <col min="7940" max="7940" width="9.7109375" customWidth="1"/>
    <col min="7945" max="7945" width="12.28515625" customWidth="1"/>
    <col min="7947" max="7947" width="15.85546875" customWidth="1"/>
    <col min="7948" max="7948" width="11.140625" customWidth="1"/>
    <col min="7950" max="7950" width="10.28515625" customWidth="1"/>
    <col min="7959" max="7959" width="8.7109375" customWidth="1"/>
    <col min="7963" max="7963" width="9.5703125" customWidth="1"/>
    <col min="7964" max="7964" width="10.140625" customWidth="1"/>
    <col min="7965" max="7965" width="6.5703125" customWidth="1"/>
    <col min="7966" max="7966" width="11" customWidth="1"/>
    <col min="8194" max="8194" width="10.85546875" customWidth="1"/>
    <col min="8196" max="8196" width="9.7109375" customWidth="1"/>
    <col min="8201" max="8201" width="12.28515625" customWidth="1"/>
    <col min="8203" max="8203" width="15.85546875" customWidth="1"/>
    <col min="8204" max="8204" width="11.140625" customWidth="1"/>
    <col min="8206" max="8206" width="10.28515625" customWidth="1"/>
    <col min="8215" max="8215" width="8.7109375" customWidth="1"/>
    <col min="8219" max="8219" width="9.5703125" customWidth="1"/>
    <col min="8220" max="8220" width="10.140625" customWidth="1"/>
    <col min="8221" max="8221" width="6.5703125" customWidth="1"/>
    <col min="8222" max="8222" width="11" customWidth="1"/>
    <col min="8450" max="8450" width="10.85546875" customWidth="1"/>
    <col min="8452" max="8452" width="9.7109375" customWidth="1"/>
    <col min="8457" max="8457" width="12.28515625" customWidth="1"/>
    <col min="8459" max="8459" width="15.85546875" customWidth="1"/>
    <col min="8460" max="8460" width="11.140625" customWidth="1"/>
    <col min="8462" max="8462" width="10.28515625" customWidth="1"/>
    <col min="8471" max="8471" width="8.7109375" customWidth="1"/>
    <col min="8475" max="8475" width="9.5703125" customWidth="1"/>
    <col min="8476" max="8476" width="10.140625" customWidth="1"/>
    <col min="8477" max="8477" width="6.5703125" customWidth="1"/>
    <col min="8478" max="8478" width="11" customWidth="1"/>
    <col min="8706" max="8706" width="10.85546875" customWidth="1"/>
    <col min="8708" max="8708" width="9.7109375" customWidth="1"/>
    <col min="8713" max="8713" width="12.28515625" customWidth="1"/>
    <col min="8715" max="8715" width="15.85546875" customWidth="1"/>
    <col min="8716" max="8716" width="11.140625" customWidth="1"/>
    <col min="8718" max="8718" width="10.28515625" customWidth="1"/>
    <col min="8727" max="8727" width="8.7109375" customWidth="1"/>
    <col min="8731" max="8731" width="9.5703125" customWidth="1"/>
    <col min="8732" max="8732" width="10.140625" customWidth="1"/>
    <col min="8733" max="8733" width="6.5703125" customWidth="1"/>
    <col min="8734" max="8734" width="11" customWidth="1"/>
    <col min="8962" max="8962" width="10.85546875" customWidth="1"/>
    <col min="8964" max="8964" width="9.7109375" customWidth="1"/>
    <col min="8969" max="8969" width="12.28515625" customWidth="1"/>
    <col min="8971" max="8971" width="15.85546875" customWidth="1"/>
    <col min="8972" max="8972" width="11.140625" customWidth="1"/>
    <col min="8974" max="8974" width="10.28515625" customWidth="1"/>
    <col min="8983" max="8983" width="8.7109375" customWidth="1"/>
    <col min="8987" max="8987" width="9.5703125" customWidth="1"/>
    <col min="8988" max="8988" width="10.140625" customWidth="1"/>
    <col min="8989" max="8989" width="6.5703125" customWidth="1"/>
    <col min="8990" max="8990" width="11" customWidth="1"/>
    <col min="9218" max="9218" width="10.85546875" customWidth="1"/>
    <col min="9220" max="9220" width="9.7109375" customWidth="1"/>
    <col min="9225" max="9225" width="12.28515625" customWidth="1"/>
    <col min="9227" max="9227" width="15.85546875" customWidth="1"/>
    <col min="9228" max="9228" width="11.140625" customWidth="1"/>
    <col min="9230" max="9230" width="10.28515625" customWidth="1"/>
    <col min="9239" max="9239" width="8.7109375" customWidth="1"/>
    <col min="9243" max="9243" width="9.5703125" customWidth="1"/>
    <col min="9244" max="9244" width="10.140625" customWidth="1"/>
    <col min="9245" max="9245" width="6.5703125" customWidth="1"/>
    <col min="9246" max="9246" width="11" customWidth="1"/>
    <col min="9474" max="9474" width="10.85546875" customWidth="1"/>
    <col min="9476" max="9476" width="9.7109375" customWidth="1"/>
    <col min="9481" max="9481" width="12.28515625" customWidth="1"/>
    <col min="9483" max="9483" width="15.85546875" customWidth="1"/>
    <col min="9484" max="9484" width="11.140625" customWidth="1"/>
    <col min="9486" max="9486" width="10.28515625" customWidth="1"/>
    <col min="9495" max="9495" width="8.7109375" customWidth="1"/>
    <col min="9499" max="9499" width="9.5703125" customWidth="1"/>
    <col min="9500" max="9500" width="10.140625" customWidth="1"/>
    <col min="9501" max="9501" width="6.5703125" customWidth="1"/>
    <col min="9502" max="9502" width="11" customWidth="1"/>
    <col min="9730" max="9730" width="10.85546875" customWidth="1"/>
    <col min="9732" max="9732" width="9.7109375" customWidth="1"/>
    <col min="9737" max="9737" width="12.28515625" customWidth="1"/>
    <col min="9739" max="9739" width="15.85546875" customWidth="1"/>
    <col min="9740" max="9740" width="11.140625" customWidth="1"/>
    <col min="9742" max="9742" width="10.28515625" customWidth="1"/>
    <col min="9751" max="9751" width="8.7109375" customWidth="1"/>
    <col min="9755" max="9755" width="9.5703125" customWidth="1"/>
    <col min="9756" max="9756" width="10.140625" customWidth="1"/>
    <col min="9757" max="9757" width="6.5703125" customWidth="1"/>
    <col min="9758" max="9758" width="11" customWidth="1"/>
    <col min="9986" max="9986" width="10.85546875" customWidth="1"/>
    <col min="9988" max="9988" width="9.7109375" customWidth="1"/>
    <col min="9993" max="9993" width="12.28515625" customWidth="1"/>
    <col min="9995" max="9995" width="15.85546875" customWidth="1"/>
    <col min="9996" max="9996" width="11.140625" customWidth="1"/>
    <col min="9998" max="9998" width="10.28515625" customWidth="1"/>
    <col min="10007" max="10007" width="8.7109375" customWidth="1"/>
    <col min="10011" max="10011" width="9.5703125" customWidth="1"/>
    <col min="10012" max="10012" width="10.140625" customWidth="1"/>
    <col min="10013" max="10013" width="6.5703125" customWidth="1"/>
    <col min="10014" max="10014" width="11" customWidth="1"/>
    <col min="10242" max="10242" width="10.85546875" customWidth="1"/>
    <col min="10244" max="10244" width="9.7109375" customWidth="1"/>
    <col min="10249" max="10249" width="12.28515625" customWidth="1"/>
    <col min="10251" max="10251" width="15.85546875" customWidth="1"/>
    <col min="10252" max="10252" width="11.140625" customWidth="1"/>
    <col min="10254" max="10254" width="10.28515625" customWidth="1"/>
    <col min="10263" max="10263" width="8.7109375" customWidth="1"/>
    <col min="10267" max="10267" width="9.5703125" customWidth="1"/>
    <col min="10268" max="10268" width="10.140625" customWidth="1"/>
    <col min="10269" max="10269" width="6.5703125" customWidth="1"/>
    <col min="10270" max="10270" width="11" customWidth="1"/>
    <col min="10498" max="10498" width="10.85546875" customWidth="1"/>
    <col min="10500" max="10500" width="9.7109375" customWidth="1"/>
    <col min="10505" max="10505" width="12.28515625" customWidth="1"/>
    <col min="10507" max="10507" width="15.85546875" customWidth="1"/>
    <col min="10508" max="10508" width="11.140625" customWidth="1"/>
    <col min="10510" max="10510" width="10.28515625" customWidth="1"/>
    <col min="10519" max="10519" width="8.7109375" customWidth="1"/>
    <col min="10523" max="10523" width="9.5703125" customWidth="1"/>
    <col min="10524" max="10524" width="10.140625" customWidth="1"/>
    <col min="10525" max="10525" width="6.5703125" customWidth="1"/>
    <col min="10526" max="10526" width="11" customWidth="1"/>
    <col min="10754" max="10754" width="10.85546875" customWidth="1"/>
    <col min="10756" max="10756" width="9.7109375" customWidth="1"/>
    <col min="10761" max="10761" width="12.28515625" customWidth="1"/>
    <col min="10763" max="10763" width="15.85546875" customWidth="1"/>
    <col min="10764" max="10764" width="11.140625" customWidth="1"/>
    <col min="10766" max="10766" width="10.28515625" customWidth="1"/>
    <col min="10775" max="10775" width="8.7109375" customWidth="1"/>
    <col min="10779" max="10779" width="9.5703125" customWidth="1"/>
    <col min="10780" max="10780" width="10.140625" customWidth="1"/>
    <col min="10781" max="10781" width="6.5703125" customWidth="1"/>
    <col min="10782" max="10782" width="11" customWidth="1"/>
    <col min="11010" max="11010" width="10.85546875" customWidth="1"/>
    <col min="11012" max="11012" width="9.7109375" customWidth="1"/>
    <col min="11017" max="11017" width="12.28515625" customWidth="1"/>
    <col min="11019" max="11019" width="15.85546875" customWidth="1"/>
    <col min="11020" max="11020" width="11.140625" customWidth="1"/>
    <col min="11022" max="11022" width="10.28515625" customWidth="1"/>
    <col min="11031" max="11031" width="8.7109375" customWidth="1"/>
    <col min="11035" max="11035" width="9.5703125" customWidth="1"/>
    <col min="11036" max="11036" width="10.140625" customWidth="1"/>
    <col min="11037" max="11037" width="6.5703125" customWidth="1"/>
    <col min="11038" max="11038" width="11" customWidth="1"/>
    <col min="11266" max="11266" width="10.85546875" customWidth="1"/>
    <col min="11268" max="11268" width="9.7109375" customWidth="1"/>
    <col min="11273" max="11273" width="12.28515625" customWidth="1"/>
    <col min="11275" max="11275" width="15.85546875" customWidth="1"/>
    <col min="11276" max="11276" width="11.140625" customWidth="1"/>
    <col min="11278" max="11278" width="10.28515625" customWidth="1"/>
    <col min="11287" max="11287" width="8.7109375" customWidth="1"/>
    <col min="11291" max="11291" width="9.5703125" customWidth="1"/>
    <col min="11292" max="11292" width="10.140625" customWidth="1"/>
    <col min="11293" max="11293" width="6.5703125" customWidth="1"/>
    <col min="11294" max="11294" width="11" customWidth="1"/>
    <col min="11522" max="11522" width="10.85546875" customWidth="1"/>
    <col min="11524" max="11524" width="9.7109375" customWidth="1"/>
    <col min="11529" max="11529" width="12.28515625" customWidth="1"/>
    <col min="11531" max="11531" width="15.85546875" customWidth="1"/>
    <col min="11532" max="11532" width="11.140625" customWidth="1"/>
    <col min="11534" max="11534" width="10.28515625" customWidth="1"/>
    <col min="11543" max="11543" width="8.7109375" customWidth="1"/>
    <col min="11547" max="11547" width="9.5703125" customWidth="1"/>
    <col min="11548" max="11548" width="10.140625" customWidth="1"/>
    <col min="11549" max="11549" width="6.5703125" customWidth="1"/>
    <col min="11550" max="11550" width="11" customWidth="1"/>
    <col min="11778" max="11778" width="10.85546875" customWidth="1"/>
    <col min="11780" max="11780" width="9.7109375" customWidth="1"/>
    <col min="11785" max="11785" width="12.28515625" customWidth="1"/>
    <col min="11787" max="11787" width="15.85546875" customWidth="1"/>
    <col min="11788" max="11788" width="11.140625" customWidth="1"/>
    <col min="11790" max="11790" width="10.28515625" customWidth="1"/>
    <col min="11799" max="11799" width="8.7109375" customWidth="1"/>
    <col min="11803" max="11803" width="9.5703125" customWidth="1"/>
    <col min="11804" max="11804" width="10.140625" customWidth="1"/>
    <col min="11805" max="11805" width="6.5703125" customWidth="1"/>
    <col min="11806" max="11806" width="11" customWidth="1"/>
    <col min="12034" max="12034" width="10.85546875" customWidth="1"/>
    <col min="12036" max="12036" width="9.7109375" customWidth="1"/>
    <col min="12041" max="12041" width="12.28515625" customWidth="1"/>
    <col min="12043" max="12043" width="15.85546875" customWidth="1"/>
    <col min="12044" max="12044" width="11.140625" customWidth="1"/>
    <col min="12046" max="12046" width="10.28515625" customWidth="1"/>
    <col min="12055" max="12055" width="8.7109375" customWidth="1"/>
    <col min="12059" max="12059" width="9.5703125" customWidth="1"/>
    <col min="12060" max="12060" width="10.140625" customWidth="1"/>
    <col min="12061" max="12061" width="6.5703125" customWidth="1"/>
    <col min="12062" max="12062" width="11" customWidth="1"/>
    <col min="12290" max="12290" width="10.85546875" customWidth="1"/>
    <col min="12292" max="12292" width="9.7109375" customWidth="1"/>
    <col min="12297" max="12297" width="12.28515625" customWidth="1"/>
    <col min="12299" max="12299" width="15.85546875" customWidth="1"/>
    <col min="12300" max="12300" width="11.140625" customWidth="1"/>
    <col min="12302" max="12302" width="10.28515625" customWidth="1"/>
    <col min="12311" max="12311" width="8.7109375" customWidth="1"/>
    <col min="12315" max="12315" width="9.5703125" customWidth="1"/>
    <col min="12316" max="12316" width="10.140625" customWidth="1"/>
    <col min="12317" max="12317" width="6.5703125" customWidth="1"/>
    <col min="12318" max="12318" width="11" customWidth="1"/>
    <col min="12546" max="12546" width="10.85546875" customWidth="1"/>
    <col min="12548" max="12548" width="9.7109375" customWidth="1"/>
    <col min="12553" max="12553" width="12.28515625" customWidth="1"/>
    <col min="12555" max="12555" width="15.85546875" customWidth="1"/>
    <col min="12556" max="12556" width="11.140625" customWidth="1"/>
    <col min="12558" max="12558" width="10.28515625" customWidth="1"/>
    <col min="12567" max="12567" width="8.7109375" customWidth="1"/>
    <col min="12571" max="12571" width="9.5703125" customWidth="1"/>
    <col min="12572" max="12572" width="10.140625" customWidth="1"/>
    <col min="12573" max="12573" width="6.5703125" customWidth="1"/>
    <col min="12574" max="12574" width="11" customWidth="1"/>
    <col min="12802" max="12802" width="10.85546875" customWidth="1"/>
    <col min="12804" max="12804" width="9.7109375" customWidth="1"/>
    <col min="12809" max="12809" width="12.28515625" customWidth="1"/>
    <col min="12811" max="12811" width="15.85546875" customWidth="1"/>
    <col min="12812" max="12812" width="11.140625" customWidth="1"/>
    <col min="12814" max="12814" width="10.28515625" customWidth="1"/>
    <col min="12823" max="12823" width="8.7109375" customWidth="1"/>
    <col min="12827" max="12827" width="9.5703125" customWidth="1"/>
    <col min="12828" max="12828" width="10.140625" customWidth="1"/>
    <col min="12829" max="12829" width="6.5703125" customWidth="1"/>
    <col min="12830" max="12830" width="11" customWidth="1"/>
    <col min="13058" max="13058" width="10.85546875" customWidth="1"/>
    <col min="13060" max="13060" width="9.7109375" customWidth="1"/>
    <col min="13065" max="13065" width="12.28515625" customWidth="1"/>
    <col min="13067" max="13067" width="15.85546875" customWidth="1"/>
    <col min="13068" max="13068" width="11.140625" customWidth="1"/>
    <col min="13070" max="13070" width="10.28515625" customWidth="1"/>
    <col min="13079" max="13079" width="8.7109375" customWidth="1"/>
    <col min="13083" max="13083" width="9.5703125" customWidth="1"/>
    <col min="13084" max="13084" width="10.140625" customWidth="1"/>
    <col min="13085" max="13085" width="6.5703125" customWidth="1"/>
    <col min="13086" max="13086" width="11" customWidth="1"/>
    <col min="13314" max="13314" width="10.85546875" customWidth="1"/>
    <col min="13316" max="13316" width="9.7109375" customWidth="1"/>
    <col min="13321" max="13321" width="12.28515625" customWidth="1"/>
    <col min="13323" max="13323" width="15.85546875" customWidth="1"/>
    <col min="13324" max="13324" width="11.140625" customWidth="1"/>
    <col min="13326" max="13326" width="10.28515625" customWidth="1"/>
    <col min="13335" max="13335" width="8.7109375" customWidth="1"/>
    <col min="13339" max="13339" width="9.5703125" customWidth="1"/>
    <col min="13340" max="13340" width="10.140625" customWidth="1"/>
    <col min="13341" max="13341" width="6.5703125" customWidth="1"/>
    <col min="13342" max="13342" width="11" customWidth="1"/>
    <col min="13570" max="13570" width="10.85546875" customWidth="1"/>
    <col min="13572" max="13572" width="9.7109375" customWidth="1"/>
    <col min="13577" max="13577" width="12.28515625" customWidth="1"/>
    <col min="13579" max="13579" width="15.85546875" customWidth="1"/>
    <col min="13580" max="13580" width="11.140625" customWidth="1"/>
    <col min="13582" max="13582" width="10.28515625" customWidth="1"/>
    <col min="13591" max="13591" width="8.7109375" customWidth="1"/>
    <col min="13595" max="13595" width="9.5703125" customWidth="1"/>
    <col min="13596" max="13596" width="10.140625" customWidth="1"/>
    <col min="13597" max="13597" width="6.5703125" customWidth="1"/>
    <col min="13598" max="13598" width="11" customWidth="1"/>
    <col min="13826" max="13826" width="10.85546875" customWidth="1"/>
    <col min="13828" max="13828" width="9.7109375" customWidth="1"/>
    <col min="13833" max="13833" width="12.28515625" customWidth="1"/>
    <col min="13835" max="13835" width="15.85546875" customWidth="1"/>
    <col min="13836" max="13836" width="11.140625" customWidth="1"/>
    <col min="13838" max="13838" width="10.28515625" customWidth="1"/>
    <col min="13847" max="13847" width="8.7109375" customWidth="1"/>
    <col min="13851" max="13851" width="9.5703125" customWidth="1"/>
    <col min="13852" max="13852" width="10.140625" customWidth="1"/>
    <col min="13853" max="13853" width="6.5703125" customWidth="1"/>
    <col min="13854" max="13854" width="11" customWidth="1"/>
    <col min="14082" max="14082" width="10.85546875" customWidth="1"/>
    <col min="14084" max="14084" width="9.7109375" customWidth="1"/>
    <col min="14089" max="14089" width="12.28515625" customWidth="1"/>
    <col min="14091" max="14091" width="15.85546875" customWidth="1"/>
    <col min="14092" max="14092" width="11.140625" customWidth="1"/>
    <col min="14094" max="14094" width="10.28515625" customWidth="1"/>
    <col min="14103" max="14103" width="8.7109375" customWidth="1"/>
    <col min="14107" max="14107" width="9.5703125" customWidth="1"/>
    <col min="14108" max="14108" width="10.140625" customWidth="1"/>
    <col min="14109" max="14109" width="6.5703125" customWidth="1"/>
    <col min="14110" max="14110" width="11" customWidth="1"/>
    <col min="14338" max="14338" width="10.85546875" customWidth="1"/>
    <col min="14340" max="14340" width="9.7109375" customWidth="1"/>
    <col min="14345" max="14345" width="12.28515625" customWidth="1"/>
    <col min="14347" max="14347" width="15.85546875" customWidth="1"/>
    <col min="14348" max="14348" width="11.140625" customWidth="1"/>
    <col min="14350" max="14350" width="10.28515625" customWidth="1"/>
    <col min="14359" max="14359" width="8.7109375" customWidth="1"/>
    <col min="14363" max="14363" width="9.5703125" customWidth="1"/>
    <col min="14364" max="14364" width="10.140625" customWidth="1"/>
    <col min="14365" max="14365" width="6.5703125" customWidth="1"/>
    <col min="14366" max="14366" width="11" customWidth="1"/>
    <col min="14594" max="14594" width="10.85546875" customWidth="1"/>
    <col min="14596" max="14596" width="9.7109375" customWidth="1"/>
    <col min="14601" max="14601" width="12.28515625" customWidth="1"/>
    <col min="14603" max="14603" width="15.85546875" customWidth="1"/>
    <col min="14604" max="14604" width="11.140625" customWidth="1"/>
    <col min="14606" max="14606" width="10.28515625" customWidth="1"/>
    <col min="14615" max="14615" width="8.7109375" customWidth="1"/>
    <col min="14619" max="14619" width="9.5703125" customWidth="1"/>
    <col min="14620" max="14620" width="10.140625" customWidth="1"/>
    <col min="14621" max="14621" width="6.5703125" customWidth="1"/>
    <col min="14622" max="14622" width="11" customWidth="1"/>
    <col min="14850" max="14850" width="10.85546875" customWidth="1"/>
    <col min="14852" max="14852" width="9.7109375" customWidth="1"/>
    <col min="14857" max="14857" width="12.28515625" customWidth="1"/>
    <col min="14859" max="14859" width="15.85546875" customWidth="1"/>
    <col min="14860" max="14860" width="11.140625" customWidth="1"/>
    <col min="14862" max="14862" width="10.28515625" customWidth="1"/>
    <col min="14871" max="14871" width="8.7109375" customWidth="1"/>
    <col min="14875" max="14875" width="9.5703125" customWidth="1"/>
    <col min="14876" max="14876" width="10.140625" customWidth="1"/>
    <col min="14877" max="14877" width="6.5703125" customWidth="1"/>
    <col min="14878" max="14878" width="11" customWidth="1"/>
    <col min="15106" max="15106" width="10.85546875" customWidth="1"/>
    <col min="15108" max="15108" width="9.7109375" customWidth="1"/>
    <col min="15113" max="15113" width="12.28515625" customWidth="1"/>
    <col min="15115" max="15115" width="15.85546875" customWidth="1"/>
    <col min="15116" max="15116" width="11.140625" customWidth="1"/>
    <col min="15118" max="15118" width="10.28515625" customWidth="1"/>
    <col min="15127" max="15127" width="8.7109375" customWidth="1"/>
    <col min="15131" max="15131" width="9.5703125" customWidth="1"/>
    <col min="15132" max="15132" width="10.140625" customWidth="1"/>
    <col min="15133" max="15133" width="6.5703125" customWidth="1"/>
    <col min="15134" max="15134" width="11" customWidth="1"/>
    <col min="15362" max="15362" width="10.85546875" customWidth="1"/>
    <col min="15364" max="15364" width="9.7109375" customWidth="1"/>
    <col min="15369" max="15369" width="12.28515625" customWidth="1"/>
    <col min="15371" max="15371" width="15.85546875" customWidth="1"/>
    <col min="15372" max="15372" width="11.140625" customWidth="1"/>
    <col min="15374" max="15374" width="10.28515625" customWidth="1"/>
    <col min="15383" max="15383" width="8.7109375" customWidth="1"/>
    <col min="15387" max="15387" width="9.5703125" customWidth="1"/>
    <col min="15388" max="15388" width="10.140625" customWidth="1"/>
    <col min="15389" max="15389" width="6.5703125" customWidth="1"/>
    <col min="15390" max="15390" width="11" customWidth="1"/>
    <col min="15618" max="15618" width="10.85546875" customWidth="1"/>
    <col min="15620" max="15620" width="9.7109375" customWidth="1"/>
    <col min="15625" max="15625" width="12.28515625" customWidth="1"/>
    <col min="15627" max="15627" width="15.85546875" customWidth="1"/>
    <col min="15628" max="15628" width="11.140625" customWidth="1"/>
    <col min="15630" max="15630" width="10.28515625" customWidth="1"/>
    <col min="15639" max="15639" width="8.7109375" customWidth="1"/>
    <col min="15643" max="15643" width="9.5703125" customWidth="1"/>
    <col min="15644" max="15644" width="10.140625" customWidth="1"/>
    <col min="15645" max="15645" width="6.5703125" customWidth="1"/>
    <col min="15646" max="15646" width="11" customWidth="1"/>
    <col min="15874" max="15874" width="10.85546875" customWidth="1"/>
    <col min="15876" max="15876" width="9.7109375" customWidth="1"/>
    <col min="15881" max="15881" width="12.28515625" customWidth="1"/>
    <col min="15883" max="15883" width="15.85546875" customWidth="1"/>
    <col min="15884" max="15884" width="11.140625" customWidth="1"/>
    <col min="15886" max="15886" width="10.28515625" customWidth="1"/>
    <col min="15895" max="15895" width="8.7109375" customWidth="1"/>
    <col min="15899" max="15899" width="9.5703125" customWidth="1"/>
    <col min="15900" max="15900" width="10.140625" customWidth="1"/>
    <col min="15901" max="15901" width="6.5703125" customWidth="1"/>
    <col min="15902" max="15902" width="11" customWidth="1"/>
    <col min="16130" max="16130" width="10.85546875" customWidth="1"/>
    <col min="16132" max="16132" width="9.7109375" customWidth="1"/>
    <col min="16137" max="16137" width="12.28515625" customWidth="1"/>
    <col min="16139" max="16139" width="15.85546875" customWidth="1"/>
    <col min="16140" max="16140" width="11.140625" customWidth="1"/>
    <col min="16142" max="16142" width="10.28515625" customWidth="1"/>
    <col min="16151" max="16151" width="8.7109375" customWidth="1"/>
    <col min="16155" max="16155" width="9.5703125" customWidth="1"/>
    <col min="16156" max="16156" width="10.140625" customWidth="1"/>
    <col min="16157" max="16157" width="6.5703125" customWidth="1"/>
    <col min="16158" max="16158" width="11" customWidth="1"/>
  </cols>
  <sheetData>
    <row r="1" spans="1:66" ht="15.75">
      <c r="A1" s="1202"/>
      <c r="B1" s="1202"/>
      <c r="C1" s="1202"/>
      <c r="D1" s="1202"/>
      <c r="E1" s="1202"/>
      <c r="F1" s="1202"/>
      <c r="G1" s="1202"/>
      <c r="H1" s="2604"/>
      <c r="I1" s="2605"/>
      <c r="J1" s="2606"/>
      <c r="K1" s="2605"/>
      <c r="L1" s="2605"/>
      <c r="M1" s="2605"/>
      <c r="N1" s="2606"/>
      <c r="O1" s="2605"/>
      <c r="P1" s="2605"/>
      <c r="Q1" s="710"/>
      <c r="R1" s="486"/>
      <c r="S1" s="486"/>
      <c r="T1" s="486"/>
      <c r="U1" s="2605"/>
      <c r="V1" s="2605"/>
      <c r="W1" s="2328"/>
      <c r="X1" s="2328"/>
      <c r="Y1" s="2797"/>
      <c r="Z1" s="1202"/>
      <c r="AA1" s="486"/>
      <c r="AB1" s="486"/>
      <c r="AC1" s="486"/>
      <c r="AD1" s="486"/>
      <c r="AE1" s="486"/>
      <c r="AF1" s="486"/>
      <c r="AG1" s="486"/>
      <c r="AH1" s="486"/>
      <c r="AI1" s="486"/>
      <c r="AJ1" s="486"/>
      <c r="AK1" s="486"/>
      <c r="AL1" s="486"/>
      <c r="AM1" s="486"/>
      <c r="AN1" s="486"/>
      <c r="AO1" s="486"/>
      <c r="AP1" s="486"/>
      <c r="AQ1" s="486"/>
      <c r="AR1" s="486"/>
      <c r="AS1" s="710"/>
      <c r="AT1" s="710"/>
      <c r="AU1" s="73"/>
      <c r="AV1" s="73"/>
      <c r="AW1" s="73"/>
      <c r="AY1" s="2345" t="s">
        <v>1400</v>
      </c>
      <c r="AZ1" s="2344" t="s">
        <v>1401</v>
      </c>
      <c r="BA1" s="2347" t="s">
        <v>1402</v>
      </c>
      <c r="BB1" s="2347" t="s">
        <v>1393</v>
      </c>
    </row>
    <row r="2" spans="1:66" ht="30">
      <c r="A2" s="2790" t="s">
        <v>1720</v>
      </c>
      <c r="B2" s="1202"/>
      <c r="C2" s="1202"/>
      <c r="D2" s="1202"/>
      <c r="E2" s="1202"/>
      <c r="F2" s="1202"/>
      <c r="G2" s="1202"/>
      <c r="H2" s="2605"/>
      <c r="I2" s="2606"/>
      <c r="J2" s="2605"/>
      <c r="K2" s="2605"/>
      <c r="L2" s="2605"/>
      <c r="M2" s="2606"/>
      <c r="N2" s="2605"/>
      <c r="O2" s="2605"/>
      <c r="P2" s="710"/>
      <c r="Q2" s="710"/>
      <c r="R2" s="486"/>
      <c r="S2" s="486"/>
      <c r="T2" s="486"/>
      <c r="U2" s="2605"/>
      <c r="V2" s="2605"/>
      <c r="W2" s="2796" t="s">
        <v>1669</v>
      </c>
      <c r="X2" s="486"/>
      <c r="Y2" s="2608"/>
      <c r="Z2" s="1202"/>
      <c r="AA2" s="486"/>
      <c r="AB2" s="486"/>
      <c r="AC2" s="486"/>
      <c r="AD2" s="486"/>
      <c r="AE2" s="486"/>
      <c r="AF2" s="486"/>
      <c r="AG2" s="486"/>
      <c r="AH2" s="486"/>
      <c r="AI2" s="486"/>
      <c r="AJ2" s="486"/>
      <c r="AK2" s="486"/>
      <c r="AL2" s="486"/>
      <c r="AM2" s="486"/>
      <c r="AN2" s="486"/>
      <c r="AO2" s="486"/>
      <c r="AP2" s="486"/>
      <c r="AQ2" s="486"/>
      <c r="AR2" s="486"/>
      <c r="AS2" s="710"/>
      <c r="AT2" s="710"/>
      <c r="AU2" s="73"/>
      <c r="AV2" s="73"/>
      <c r="AW2" s="73"/>
      <c r="AY2" s="2345" t="s">
        <v>1404</v>
      </c>
      <c r="AZ2" s="2344" t="s">
        <v>1405</v>
      </c>
      <c r="BA2" s="2344" t="s">
        <v>1406</v>
      </c>
      <c r="BB2" s="2347" t="s">
        <v>1407</v>
      </c>
    </row>
    <row r="3" spans="1:66" ht="30">
      <c r="A3" s="2790" t="s">
        <v>1721</v>
      </c>
      <c r="B3" s="1202"/>
      <c r="C3" s="1202"/>
      <c r="D3" s="1202"/>
      <c r="E3" s="1202"/>
      <c r="F3" s="1202"/>
      <c r="G3" s="1202"/>
      <c r="H3" s="2610"/>
      <c r="I3" s="2612"/>
      <c r="J3" s="2612"/>
      <c r="K3" s="2612"/>
      <c r="L3" s="2612"/>
      <c r="M3" s="2612"/>
      <c r="N3" s="2608"/>
      <c r="O3" s="2792"/>
      <c r="P3" s="710"/>
      <c r="Q3" s="710"/>
      <c r="R3" s="486"/>
      <c r="S3" s="486"/>
      <c r="T3" s="486"/>
      <c r="U3" s="2613"/>
      <c r="V3" s="2613"/>
      <c r="W3" s="2788"/>
      <c r="X3" s="2788"/>
      <c r="Y3" s="2611"/>
      <c r="Z3" s="1202"/>
      <c r="AA3" s="486"/>
      <c r="AB3" s="486"/>
      <c r="AC3" s="486"/>
      <c r="AD3" s="486"/>
      <c r="AE3" s="486"/>
      <c r="AF3" s="486"/>
      <c r="AG3" s="486"/>
      <c r="AH3" s="486"/>
      <c r="AI3" s="486"/>
      <c r="AJ3" s="486"/>
      <c r="AK3" s="486"/>
      <c r="AL3" s="486"/>
      <c r="AM3" s="486"/>
      <c r="AN3" s="486"/>
      <c r="AO3" s="486"/>
      <c r="AP3" s="486"/>
      <c r="AQ3" s="486"/>
      <c r="AR3" s="486"/>
      <c r="AS3" s="1047"/>
      <c r="AT3" s="1047"/>
      <c r="AU3" s="73"/>
      <c r="AV3" s="73"/>
      <c r="AW3" s="73"/>
      <c r="AY3" s="2375">
        <v>1</v>
      </c>
      <c r="AZ3" s="2376">
        <v>25</v>
      </c>
      <c r="BA3" s="2377">
        <v>1.1000000000000001</v>
      </c>
      <c r="BB3" s="2377">
        <f>(AY3*AZ3*BA3)/10</f>
        <v>2.7500000000000004</v>
      </c>
    </row>
    <row r="4" spans="1:66" ht="15.75">
      <c r="A4" s="1081" t="s">
        <v>1723</v>
      </c>
      <c r="B4" s="1202"/>
      <c r="C4" s="1202"/>
      <c r="D4" s="1202"/>
      <c r="E4" s="1202"/>
      <c r="F4" s="1202"/>
      <c r="G4" s="1202"/>
      <c r="H4" s="2605"/>
      <c r="I4" s="2608"/>
      <c r="J4" s="2793"/>
      <c r="K4" s="2789"/>
      <c r="L4" s="2789"/>
      <c r="M4" s="2789"/>
      <c r="N4" s="2794"/>
      <c r="O4" s="2789"/>
      <c r="P4" s="710"/>
      <c r="Q4" s="710"/>
      <c r="R4" s="486"/>
      <c r="S4" s="486"/>
      <c r="T4" s="486"/>
      <c r="U4" s="2789"/>
      <c r="V4" s="2789"/>
      <c r="W4" s="2789"/>
      <c r="X4" s="2789"/>
      <c r="Y4" s="2789"/>
      <c r="Z4" s="1202"/>
      <c r="AA4" s="1354"/>
      <c r="AB4" s="486"/>
      <c r="AC4" s="486"/>
      <c r="AD4" s="486"/>
      <c r="AE4" s="486"/>
      <c r="AF4" s="486"/>
      <c r="AG4" s="486"/>
      <c r="AH4" s="486"/>
      <c r="AI4" s="486"/>
      <c r="AJ4" s="486"/>
      <c r="AK4" s="486"/>
      <c r="AL4" s="486"/>
      <c r="AM4" s="486"/>
      <c r="AN4" s="486"/>
      <c r="AO4" s="486"/>
      <c r="AP4" s="486"/>
      <c r="AQ4" s="486"/>
      <c r="AR4" s="486"/>
      <c r="AS4" s="710"/>
      <c r="AT4" s="710"/>
      <c r="AU4" s="73"/>
      <c r="AV4" s="73"/>
      <c r="AW4" s="73"/>
      <c r="AY4" s="2375">
        <v>1.5</v>
      </c>
      <c r="AZ4" s="2376">
        <v>25</v>
      </c>
      <c r="BA4" s="2377">
        <v>1.1000000000000001</v>
      </c>
      <c r="BB4" s="2377">
        <f>(AY4*AZ4*BA4)/10</f>
        <v>4.125</v>
      </c>
    </row>
    <row r="5" spans="1:66" ht="27.75">
      <c r="A5" s="2025" t="s">
        <v>1617</v>
      </c>
      <c r="B5" s="2026" t="s">
        <v>1715</v>
      </c>
      <c r="C5" s="2791"/>
      <c r="D5" s="2791"/>
      <c r="E5" s="1202"/>
      <c r="F5" s="1202"/>
      <c r="G5" s="1202"/>
      <c r="I5" s="1202"/>
      <c r="J5" s="1202"/>
      <c r="K5" s="1202"/>
      <c r="L5" s="1202"/>
      <c r="M5" s="2605"/>
      <c r="N5" s="2606"/>
      <c r="O5" s="2605"/>
      <c r="P5" s="2608"/>
      <c r="Q5" s="2606"/>
      <c r="R5" s="2605"/>
      <c r="S5" s="2605"/>
      <c r="T5" s="2605"/>
      <c r="U5" s="2605"/>
      <c r="V5" s="2605"/>
      <c r="W5" s="2608"/>
      <c r="X5" s="2608"/>
      <c r="Y5" s="2608"/>
      <c r="Z5" s="1202"/>
      <c r="AA5" s="2126"/>
      <c r="AB5" s="486"/>
      <c r="AC5" s="486"/>
      <c r="AD5" s="486"/>
      <c r="AE5" s="486"/>
      <c r="AF5" s="486"/>
      <c r="AG5" s="486"/>
      <c r="AH5" s="486"/>
      <c r="AI5" s="486"/>
      <c r="AJ5" s="486"/>
      <c r="AK5" s="486"/>
      <c r="AL5" s="486"/>
      <c r="AM5" s="486"/>
      <c r="AN5" s="486"/>
      <c r="AO5" s="486"/>
      <c r="AP5" s="486"/>
      <c r="AQ5" s="486"/>
      <c r="AR5" s="486"/>
      <c r="AS5" s="710"/>
      <c r="AT5" s="710"/>
      <c r="AU5" s="73"/>
      <c r="AV5" s="73"/>
      <c r="AW5" s="73"/>
      <c r="AY5" s="2375">
        <v>2</v>
      </c>
      <c r="AZ5" s="2376">
        <v>25</v>
      </c>
      <c r="BA5" s="2377">
        <v>1.1000000000000001</v>
      </c>
      <c r="BB5" s="2377">
        <f>(AY5*AZ5*BA5)/10</f>
        <v>5.5000000000000009</v>
      </c>
    </row>
    <row r="6" spans="1:66" ht="26.25">
      <c r="A6" s="1202"/>
      <c r="B6" s="1202"/>
      <c r="C6" s="1202"/>
      <c r="D6" s="1202"/>
      <c r="E6" s="1202"/>
      <c r="F6" s="1202"/>
      <c r="G6" s="1202"/>
      <c r="H6" s="2795" t="s">
        <v>1722</v>
      </c>
      <c r="I6" s="486"/>
      <c r="J6" s="486"/>
      <c r="K6" s="1202"/>
      <c r="L6" s="1202"/>
      <c r="M6" s="2605"/>
      <c r="N6" s="2606"/>
      <c r="O6" s="2605"/>
      <c r="P6" s="2605"/>
      <c r="Q6" s="2606"/>
      <c r="R6" s="2605"/>
      <c r="S6" s="2605"/>
      <c r="T6" s="2605"/>
      <c r="U6" s="2605"/>
      <c r="V6" s="2605"/>
      <c r="W6" s="2608"/>
      <c r="X6" s="2608"/>
      <c r="Y6" s="2608"/>
      <c r="Z6" s="1202"/>
      <c r="AA6" s="2609"/>
      <c r="AB6" s="486"/>
      <c r="AC6" s="486"/>
      <c r="AD6" s="486"/>
      <c r="AE6" s="486"/>
      <c r="AF6" s="486"/>
      <c r="AG6" s="486"/>
      <c r="AH6" s="486"/>
      <c r="AI6" s="486"/>
      <c r="AJ6" s="486"/>
      <c r="AK6" s="486"/>
      <c r="AL6" s="486"/>
      <c r="AM6" s="486"/>
      <c r="AN6" s="486"/>
      <c r="AO6" s="486"/>
      <c r="AP6" s="486"/>
      <c r="AQ6" s="486"/>
      <c r="AR6" s="486"/>
      <c r="AS6" s="710"/>
      <c r="AT6" s="710"/>
      <c r="AU6" s="73"/>
      <c r="AV6" s="73"/>
      <c r="AW6" s="73"/>
    </row>
    <row r="7" spans="1:66" ht="15">
      <c r="A7" s="1202"/>
      <c r="B7" s="1202"/>
      <c r="C7" s="1202"/>
      <c r="D7" s="1202"/>
      <c r="E7" s="1202"/>
      <c r="F7" s="1202"/>
      <c r="G7" s="1202"/>
      <c r="H7" s="2620" t="s">
        <v>301</v>
      </c>
      <c r="I7" s="2627" t="s">
        <v>133</v>
      </c>
      <c r="J7" s="2628"/>
      <c r="K7" s="2629"/>
      <c r="L7" s="2630" t="s">
        <v>147</v>
      </c>
      <c r="M7" s="2631"/>
      <c r="N7" s="2632"/>
      <c r="O7" s="2641" t="s">
        <v>10</v>
      </c>
      <c r="P7" s="2631"/>
      <c r="Q7" s="2642"/>
      <c r="R7" s="2605"/>
      <c r="S7" s="2605"/>
      <c r="T7" s="2605"/>
      <c r="U7" s="2605"/>
      <c r="V7" s="2605"/>
      <c r="W7" s="1202"/>
      <c r="X7" s="2608"/>
      <c r="Y7" s="1202"/>
      <c r="Z7" s="1202"/>
      <c r="AA7" s="2609"/>
      <c r="AB7" s="2717"/>
      <c r="AC7" s="2717"/>
      <c r="AD7" s="486"/>
      <c r="AE7" s="486"/>
      <c r="AF7" s="2717"/>
      <c r="AG7" s="2717"/>
      <c r="AH7" s="486"/>
      <c r="AI7" s="486"/>
      <c r="AJ7" s="486"/>
      <c r="AK7" s="486"/>
      <c r="AL7" s="486"/>
      <c r="AM7" s="486"/>
      <c r="AN7" s="486"/>
      <c r="AO7" s="486"/>
      <c r="AP7" s="486"/>
      <c r="AQ7" s="486"/>
      <c r="AR7" s="486"/>
      <c r="AS7" s="710"/>
      <c r="AT7" s="710"/>
      <c r="AU7" s="73"/>
      <c r="AV7" s="73"/>
      <c r="AW7" s="73"/>
    </row>
    <row r="8" spans="1:66" ht="16.5" thickBot="1">
      <c r="A8" s="1202"/>
      <c r="B8" s="1202"/>
      <c r="C8" s="1202"/>
      <c r="D8" s="1202"/>
      <c r="E8" s="1202"/>
      <c r="F8" s="1202"/>
      <c r="G8" s="1202"/>
      <c r="H8" s="2634"/>
      <c r="I8" s="2635" t="s">
        <v>1643</v>
      </c>
      <c r="J8" s="2635" t="s">
        <v>1645</v>
      </c>
      <c r="K8" s="2635" t="s">
        <v>1644</v>
      </c>
      <c r="L8" s="2635" t="s">
        <v>1643</v>
      </c>
      <c r="M8" s="2635" t="s">
        <v>1645</v>
      </c>
      <c r="N8" s="2633" t="s">
        <v>1644</v>
      </c>
      <c r="O8" s="2639" t="s">
        <v>1646</v>
      </c>
      <c r="P8" s="2639" t="s">
        <v>1318</v>
      </c>
      <c r="Q8" s="2640" t="s">
        <v>139</v>
      </c>
      <c r="R8" s="2605"/>
      <c r="S8" s="2605"/>
      <c r="T8" s="2606"/>
      <c r="U8" s="2606"/>
      <c r="V8" s="2606"/>
      <c r="W8" s="1202"/>
      <c r="X8" s="2605"/>
      <c r="Y8" s="1202"/>
      <c r="Z8" s="1202"/>
      <c r="AA8" s="2609"/>
      <c r="AB8" s="2717"/>
      <c r="AC8" s="2717"/>
      <c r="AD8" s="486"/>
      <c r="AE8" s="486"/>
      <c r="AF8" s="2717"/>
      <c r="AG8" s="2717"/>
      <c r="AH8" s="486"/>
      <c r="AI8" s="486"/>
      <c r="AJ8" s="486"/>
      <c r="AK8" s="486"/>
      <c r="AL8" s="486"/>
      <c r="AM8" s="486"/>
      <c r="AN8" s="486"/>
      <c r="AO8" s="486"/>
      <c r="AP8" s="486"/>
      <c r="AQ8" s="486"/>
      <c r="AR8" s="486"/>
      <c r="AS8" s="710"/>
      <c r="AT8" s="710"/>
      <c r="AU8" s="73"/>
      <c r="AV8" s="73"/>
      <c r="AW8" s="73"/>
      <c r="AY8" s="2344"/>
      <c r="AZ8" s="2343"/>
      <c r="BA8" s="286"/>
      <c r="BB8" s="2352"/>
      <c r="BC8" s="2354"/>
      <c r="BD8" s="2354"/>
      <c r="BH8" t="s">
        <v>1757</v>
      </c>
      <c r="BI8" s="97">
        <f>K23</f>
        <v>50581.395348837206</v>
      </c>
      <c r="BK8" t="s">
        <v>1758</v>
      </c>
      <c r="BM8" s="97">
        <f>BI8-AZ23-BB23-BD23</f>
        <v>49791.99253802804</v>
      </c>
      <c r="BN8">
        <f>BM8*BR23</f>
        <v>49100.378171232769</v>
      </c>
    </row>
    <row r="9" spans="1:66" ht="27.75">
      <c r="A9" s="1202"/>
      <c r="B9" s="2791" t="s">
        <v>1398</v>
      </c>
      <c r="C9" s="1202"/>
      <c r="D9" s="1202"/>
      <c r="E9" s="1202"/>
      <c r="F9" s="1202"/>
      <c r="G9" s="1202"/>
      <c r="H9" s="2636"/>
      <c r="I9" s="2637" t="s">
        <v>318</v>
      </c>
      <c r="J9" s="2637" t="s">
        <v>318</v>
      </c>
      <c r="K9" s="2637" t="s">
        <v>318</v>
      </c>
      <c r="L9" s="2637" t="s">
        <v>318</v>
      </c>
      <c r="M9" s="2637" t="s">
        <v>318</v>
      </c>
      <c r="N9" s="2638" t="s">
        <v>318</v>
      </c>
      <c r="O9" s="2625" t="s">
        <v>120</v>
      </c>
      <c r="P9" s="2639" t="s">
        <v>120</v>
      </c>
      <c r="Q9" s="2624" t="s">
        <v>120</v>
      </c>
      <c r="R9" s="2605"/>
      <c r="S9" s="2608"/>
      <c r="T9" s="2606"/>
      <c r="U9" s="2606"/>
      <c r="V9" s="2606"/>
      <c r="W9" s="1202"/>
      <c r="X9" s="2605"/>
      <c r="Y9" s="1202"/>
      <c r="Z9" s="2613"/>
      <c r="AA9" s="2609" t="e">
        <f>ICBM!AX75:BS97</f>
        <v>#VALUE!</v>
      </c>
      <c r="AB9" s="2717"/>
      <c r="AC9" s="2717"/>
      <c r="AD9" s="486"/>
      <c r="AE9" s="486"/>
      <c r="AF9" s="2717"/>
      <c r="AG9" s="2717"/>
      <c r="AH9" s="486"/>
      <c r="AI9" s="486"/>
      <c r="AJ9" s="486"/>
      <c r="AK9" s="486"/>
      <c r="AL9" s="486"/>
      <c r="AM9" s="486"/>
      <c r="AN9" s="486"/>
      <c r="AO9" s="486"/>
      <c r="AP9" s="486"/>
      <c r="AQ9" s="486"/>
      <c r="AR9" s="486"/>
      <c r="AS9" s="710"/>
      <c r="AT9" s="710"/>
      <c r="AU9" s="73"/>
      <c r="AV9" s="73"/>
      <c r="AW9" s="73"/>
      <c r="AY9" s="2358"/>
      <c r="AZ9" s="2359" t="s">
        <v>135</v>
      </c>
      <c r="BA9" s="2360"/>
      <c r="BB9" s="2361"/>
      <c r="BC9" s="2362" t="s">
        <v>133</v>
      </c>
      <c r="BD9" s="2363" t="s">
        <v>147</v>
      </c>
      <c r="BE9" t="s">
        <v>1153</v>
      </c>
      <c r="BG9" t="s">
        <v>1753</v>
      </c>
      <c r="BH9" t="s">
        <v>1227</v>
      </c>
    </row>
    <row r="10" spans="1:66" ht="15.75">
      <c r="A10" s="1202"/>
      <c r="B10" s="1202"/>
      <c r="C10" s="1202"/>
      <c r="D10" s="1202"/>
      <c r="E10" s="1202"/>
      <c r="F10" s="1202"/>
      <c r="G10" s="1202"/>
      <c r="H10" s="2619">
        <v>5</v>
      </c>
      <c r="I10" s="2518">
        <f>Mull_ICBM!AA5+Mull_ICBM!AB5+Mull_ICBM!AC5+Mull_ICBM!AE5</f>
        <v>720.60772314724284</v>
      </c>
      <c r="J10" s="2518">
        <f>I10-K10</f>
        <v>600.25447737426703</v>
      </c>
      <c r="K10" s="2518">
        <f>(Q27-Q23)/H10</f>
        <v>120.35324577297578</v>
      </c>
      <c r="L10" s="2518">
        <f>Mull_ICBM!AA9+Mull_ICBM!AB9+Mull_ICBM!AC9+Mull_ICBM!AE9</f>
        <v>720.60871730742701</v>
      </c>
      <c r="M10" s="2518">
        <f>L10-N10</f>
        <v>600.2554715344512</v>
      </c>
      <c r="N10" s="2672">
        <f>(R27-R23)/H10</f>
        <v>120.35324577297578</v>
      </c>
      <c r="O10" s="2623">
        <f>AB28</f>
        <v>0</v>
      </c>
      <c r="P10" s="2622">
        <f>O10*Mull_ICBM!C$10</f>
        <v>0</v>
      </c>
      <c r="Q10" s="2626">
        <f>O10*Huvudinmatning!S$8/0.1</f>
        <v>0</v>
      </c>
      <c r="R10" s="2608"/>
      <c r="S10" s="2608"/>
      <c r="T10" s="2606"/>
      <c r="U10" s="2606"/>
      <c r="V10" s="2606"/>
      <c r="W10" s="1202"/>
      <c r="X10" s="486"/>
      <c r="Y10" s="486"/>
      <c r="Z10" s="486"/>
      <c r="AA10" s="486"/>
      <c r="AB10" s="486"/>
      <c r="AC10" s="486"/>
      <c r="AD10" s="486"/>
      <c r="AE10" s="486"/>
      <c r="AF10" s="2717"/>
      <c r="AG10" s="2717"/>
      <c r="AH10" s="486"/>
      <c r="AI10" s="486"/>
      <c r="AJ10" s="486"/>
      <c r="AK10" s="486"/>
      <c r="AL10" s="486"/>
      <c r="AM10" s="486"/>
      <c r="AN10" s="486"/>
      <c r="AO10" s="486"/>
      <c r="AP10" s="486"/>
      <c r="AQ10" s="486"/>
      <c r="AR10" s="486"/>
      <c r="AS10" s="710"/>
      <c r="AT10" s="710"/>
      <c r="AU10" s="73"/>
      <c r="AV10" s="73"/>
      <c r="AW10" s="73"/>
      <c r="AY10" s="2364"/>
      <c r="AZ10" s="2344" t="s">
        <v>1403</v>
      </c>
      <c r="BA10" s="2343"/>
      <c r="BB10" s="2365">
        <f>+L23</f>
        <v>50881.395348837206</v>
      </c>
      <c r="BC10" s="2366"/>
      <c r="BD10" s="2367"/>
      <c r="BG10" t="s">
        <v>1754</v>
      </c>
      <c r="BH10" t="s">
        <v>1748</v>
      </c>
    </row>
    <row r="11" spans="1:66" ht="19.5" thickBot="1">
      <c r="A11" s="2579" t="s">
        <v>1395</v>
      </c>
      <c r="B11" s="2615"/>
      <c r="C11" s="2932" t="s">
        <v>1399</v>
      </c>
      <c r="D11" s="2932"/>
      <c r="E11" s="2932"/>
      <c r="F11" s="2933"/>
      <c r="G11" s="1202"/>
      <c r="H11" s="2518">
        <v>10</v>
      </c>
      <c r="I11" s="2518">
        <f>I10</f>
        <v>720.60772314724284</v>
      </c>
      <c r="J11" s="2518">
        <f>I11-K11</f>
        <v>651.57868565836372</v>
      </c>
      <c r="K11" s="2518">
        <f>(Q32-Q23)/H11</f>
        <v>69.029037488879112</v>
      </c>
      <c r="L11" s="2518">
        <f>L10</f>
        <v>720.60871730742701</v>
      </c>
      <c r="M11" s="2518">
        <f t="shared" ref="M11:M19" si="0">L11-N11</f>
        <v>651.5796798185479</v>
      </c>
      <c r="N11" s="2672">
        <f>(R32-R$23)/H11</f>
        <v>69.029037488879112</v>
      </c>
      <c r="O11" s="2622">
        <f>AB32</f>
        <v>0</v>
      </c>
      <c r="P11" s="2622">
        <f>O11*Mull_ICBM!C$10</f>
        <v>0</v>
      </c>
      <c r="Q11" s="2626">
        <f>O11*Huvudinmatning!S$8/0.1</f>
        <v>0</v>
      </c>
      <c r="R11" s="2605"/>
      <c r="S11" s="2605" t="s">
        <v>327</v>
      </c>
      <c r="T11" s="2606"/>
      <c r="U11" s="2606"/>
      <c r="V11" s="2606"/>
      <c r="W11" s="1202"/>
      <c r="X11" s="486"/>
      <c r="Y11" s="486"/>
      <c r="Z11" s="486"/>
      <c r="AA11" s="486"/>
      <c r="AB11" s="486"/>
      <c r="AC11" s="486"/>
      <c r="AD11" s="486"/>
      <c r="AE11" s="486"/>
      <c r="AF11" s="2717"/>
      <c r="AG11" s="2717"/>
      <c r="AH11" s="486"/>
      <c r="AI11" s="486"/>
      <c r="AJ11" s="486"/>
      <c r="AK11" s="486"/>
      <c r="AL11" s="486"/>
      <c r="AM11" s="486"/>
      <c r="AN11" s="486"/>
      <c r="AO11" s="486"/>
      <c r="AP11" s="486"/>
      <c r="AQ11" s="486"/>
      <c r="AR11" s="486"/>
      <c r="AS11" s="710"/>
      <c r="AT11" s="710"/>
      <c r="AU11" s="73"/>
      <c r="AV11" s="73"/>
      <c r="AW11" s="73"/>
      <c r="AY11" s="2369"/>
      <c r="AZ11" s="2370" t="s">
        <v>1408</v>
      </c>
      <c r="BA11" s="2371"/>
      <c r="BB11" s="2372"/>
      <c r="BC11" s="2373">
        <f>+(Q42-Q32)/10</f>
        <v>15.889574486279889</v>
      </c>
      <c r="BD11" s="2574">
        <f>+(R42-R32)/10</f>
        <v>15.889574486279889</v>
      </c>
      <c r="BE11" s="97">
        <f>+BD11-BC11</f>
        <v>0</v>
      </c>
      <c r="BG11" t="s">
        <v>1369</v>
      </c>
      <c r="BH11" t="s">
        <v>1749</v>
      </c>
    </row>
    <row r="12" spans="1:66" ht="19.5" thickBot="1">
      <c r="A12" s="2579" t="s">
        <v>1396</v>
      </c>
      <c r="B12" s="2615"/>
      <c r="C12" s="2932" t="s">
        <v>1399</v>
      </c>
      <c r="D12" s="2932"/>
      <c r="E12" s="2932"/>
      <c r="F12" s="2933"/>
      <c r="G12" s="1202"/>
      <c r="H12" s="2519">
        <v>15</v>
      </c>
      <c r="I12" s="2518">
        <f t="shared" ref="I12:I19" si="1">I11</f>
        <v>720.60772314724284</v>
      </c>
      <c r="J12" s="2518">
        <f t="shared" ref="J12:J19" si="2">I12-K12</f>
        <v>669.10670221994678</v>
      </c>
      <c r="K12" s="2518">
        <f>(Q37-Q23)/H12</f>
        <v>51.501020927296004</v>
      </c>
      <c r="L12" s="2518">
        <f t="shared" ref="L12:L19" si="3">L11</f>
        <v>720.60871730742701</v>
      </c>
      <c r="M12" s="2518">
        <f t="shared" si="0"/>
        <v>669.10769638013096</v>
      </c>
      <c r="N12" s="2672">
        <f>(R37-R$23)/H12</f>
        <v>51.501020927296004</v>
      </c>
      <c r="O12" s="2622">
        <f>AB37</f>
        <v>0</v>
      </c>
      <c r="P12" s="2622">
        <f>O12*Mull_ICBM!C$10</f>
        <v>0</v>
      </c>
      <c r="Q12" s="2626">
        <f>O12*Huvudinmatning!S$8/0.1</f>
        <v>0</v>
      </c>
      <c r="R12" s="486"/>
      <c r="S12" s="486"/>
      <c r="T12" s="486"/>
      <c r="U12" s="486"/>
      <c r="V12" s="486"/>
      <c r="W12" s="2605"/>
      <c r="X12" s="486"/>
      <c r="Y12" s="486"/>
      <c r="Z12" s="486"/>
      <c r="AA12" s="486"/>
      <c r="AB12" s="486"/>
      <c r="AC12" s="486"/>
      <c r="AD12" s="486"/>
      <c r="AE12" s="486"/>
      <c r="AF12" s="2717"/>
      <c r="AG12" s="2717"/>
      <c r="AH12" s="486"/>
      <c r="AI12" s="486"/>
      <c r="AJ12" s="486"/>
      <c r="AK12" s="486"/>
      <c r="AL12" s="486"/>
      <c r="AM12" s="486"/>
      <c r="AN12" s="486"/>
      <c r="AO12" s="486"/>
      <c r="AP12" s="486"/>
      <c r="AQ12" s="486"/>
      <c r="AR12" s="486"/>
      <c r="AS12" s="710"/>
      <c r="AT12" s="710"/>
      <c r="AU12" s="73"/>
      <c r="AV12" s="73"/>
      <c r="AW12" s="73"/>
      <c r="AY12" s="2344"/>
      <c r="AZ12" s="2344"/>
      <c r="BA12" s="2347">
        <v>30</v>
      </c>
      <c r="BB12" s="2352"/>
      <c r="BC12" s="2373">
        <f>+(Q62-Q32)/30</f>
        <v>13.90571155283372</v>
      </c>
      <c r="BD12" s="2373">
        <f>+(R62-R32)/30</f>
        <v>13.90571155283372</v>
      </c>
      <c r="BE12" s="97">
        <f>+BD12-BC12</f>
        <v>0</v>
      </c>
    </row>
    <row r="13" spans="1:66" ht="19.5" thickBot="1">
      <c r="A13" s="2580" t="s">
        <v>1394</v>
      </c>
      <c r="B13" s="2615"/>
      <c r="C13" s="2932" t="s">
        <v>1399</v>
      </c>
      <c r="D13" s="2932"/>
      <c r="E13" s="2932"/>
      <c r="F13" s="2933"/>
      <c r="G13" s="1202"/>
      <c r="H13" s="2518">
        <v>20</v>
      </c>
      <c r="I13" s="2518">
        <f t="shared" si="1"/>
        <v>720.60772314724284</v>
      </c>
      <c r="J13" s="2518">
        <f t="shared" si="2"/>
        <v>678.14841715966338</v>
      </c>
      <c r="K13" s="2518">
        <f>(Q42-Q23)/H13</f>
        <v>42.459305987579498</v>
      </c>
      <c r="L13" s="2518">
        <f t="shared" si="3"/>
        <v>720.60871730742701</v>
      </c>
      <c r="M13" s="2518">
        <f t="shared" si="0"/>
        <v>678.14941131984756</v>
      </c>
      <c r="N13" s="2672">
        <f>(R42-R$23)/H13</f>
        <v>42.459305987579498</v>
      </c>
      <c r="O13" s="2622">
        <f>AB42</f>
        <v>0</v>
      </c>
      <c r="P13" s="2622">
        <f>O13*Mull_ICBM!C$10</f>
        <v>0</v>
      </c>
      <c r="Q13" s="2626">
        <f>O13*Huvudinmatning!S$8/0.1</f>
        <v>0</v>
      </c>
      <c r="R13" s="486"/>
      <c r="S13" s="486"/>
      <c r="T13" s="486"/>
      <c r="U13" s="486"/>
      <c r="V13" s="486"/>
      <c r="W13" s="2605"/>
      <c r="X13" s="486"/>
      <c r="Y13" s="486"/>
      <c r="Z13" s="486"/>
      <c r="AA13" s="486"/>
      <c r="AB13" s="486"/>
      <c r="AC13" s="486"/>
      <c r="AD13" s="486"/>
      <c r="AE13" s="486"/>
      <c r="AF13" s="2717"/>
      <c r="AG13" s="2717"/>
      <c r="AH13" s="486"/>
      <c r="AI13" s="486"/>
      <c r="AJ13" s="486"/>
      <c r="AK13" s="486"/>
      <c r="AL13" s="486"/>
      <c r="AM13" s="486"/>
      <c r="AN13" s="486"/>
      <c r="AO13" s="486"/>
      <c r="AP13" s="486"/>
      <c r="AQ13" s="486"/>
      <c r="AR13" s="486"/>
      <c r="AS13" s="710"/>
      <c r="AT13" s="710"/>
      <c r="AU13" s="73"/>
      <c r="AV13" s="73"/>
      <c r="AW13" s="73"/>
      <c r="AZ13" s="2344"/>
      <c r="BA13" s="2376">
        <v>50</v>
      </c>
      <c r="BB13" s="2352"/>
      <c r="BC13" s="2373">
        <f>+(Q72-Q24)/30</f>
        <v>24.996770194854133</v>
      </c>
      <c r="BD13" s="2373">
        <f>+(R72-R24)/30</f>
        <v>24.996770194854133</v>
      </c>
      <c r="BE13" s="97">
        <f>+BD13-BC13</f>
        <v>0</v>
      </c>
      <c r="BJ13" t="s">
        <v>1755</v>
      </c>
    </row>
    <row r="14" spans="1:66" ht="18.75">
      <c r="A14" s="2581" t="s">
        <v>1397</v>
      </c>
      <c r="B14" s="2615"/>
      <c r="C14" s="2932" t="s">
        <v>1399</v>
      </c>
      <c r="D14" s="2932"/>
      <c r="E14" s="2932"/>
      <c r="F14" s="2933"/>
      <c r="G14" s="1202"/>
      <c r="H14" s="2518">
        <v>25</v>
      </c>
      <c r="I14" s="2518">
        <f t="shared" si="1"/>
        <v>720.60772314724284</v>
      </c>
      <c r="J14" s="2518">
        <f t="shared" si="2"/>
        <v>683.78060338059095</v>
      </c>
      <c r="K14" s="2518">
        <f>(Q47-Q23)/H14</f>
        <v>36.827119766651883</v>
      </c>
      <c r="L14" s="2518">
        <f t="shared" si="3"/>
        <v>720.60871730742701</v>
      </c>
      <c r="M14" s="2518">
        <f t="shared" si="0"/>
        <v>683.78159754077512</v>
      </c>
      <c r="N14" s="2672">
        <f>(R47-R$23)/H14</f>
        <v>36.827119766651883</v>
      </c>
      <c r="O14" s="2622">
        <f>AB47</f>
        <v>0</v>
      </c>
      <c r="P14" s="2622">
        <f>O14*Mull_ICBM!C$10</f>
        <v>0</v>
      </c>
      <c r="Q14" s="2626">
        <f>O14*Huvudinmatning!S$8/0.1</f>
        <v>0</v>
      </c>
      <c r="R14" s="486"/>
      <c r="S14" s="486"/>
      <c r="T14" s="486"/>
      <c r="U14" s="486"/>
      <c r="V14" s="486"/>
      <c r="W14" s="2605"/>
      <c r="X14" s="486"/>
      <c r="Y14" s="486"/>
      <c r="Z14" s="486"/>
      <c r="AA14" s="486"/>
      <c r="AB14" s="486"/>
      <c r="AC14" s="486"/>
      <c r="AD14" s="486"/>
      <c r="AE14" s="486"/>
      <c r="AF14" s="2717"/>
      <c r="AG14" s="2717"/>
      <c r="AH14" s="486"/>
      <c r="AI14" s="486"/>
      <c r="AJ14" s="486"/>
      <c r="AK14" s="486"/>
      <c r="AL14" s="486"/>
      <c r="AM14" s="486"/>
      <c r="AN14" s="486"/>
      <c r="AO14" s="486"/>
      <c r="AP14" s="486"/>
      <c r="AQ14" s="486"/>
      <c r="AR14" s="486"/>
      <c r="AS14" s="710"/>
      <c r="AT14" s="710"/>
      <c r="AU14" s="73"/>
      <c r="AV14" s="73"/>
      <c r="AW14" s="73"/>
      <c r="BG14" t="s">
        <v>1753</v>
      </c>
      <c r="BH14" t="s">
        <v>1750</v>
      </c>
      <c r="BJ14">
        <f>BG23*BS23</f>
        <v>0</v>
      </c>
    </row>
    <row r="15" spans="1:66" ht="18.75">
      <c r="A15" s="2581" t="s">
        <v>1409</v>
      </c>
      <c r="B15" s="2616">
        <v>0.8</v>
      </c>
      <c r="C15" s="1202" t="s">
        <v>1680</v>
      </c>
      <c r="D15" s="1202"/>
      <c r="E15" s="1202"/>
      <c r="F15" s="1202"/>
      <c r="G15" s="1202"/>
      <c r="H15" s="2518">
        <v>30</v>
      </c>
      <c r="I15" s="2518">
        <f t="shared" si="1"/>
        <v>720.60772314724284</v>
      </c>
      <c r="J15" s="2518">
        <f t="shared" si="2"/>
        <v>687.69636442343153</v>
      </c>
      <c r="K15" s="2518">
        <f>(Q52-Q23)/H15</f>
        <v>32.911358723811283</v>
      </c>
      <c r="L15" s="2518">
        <f t="shared" si="3"/>
        <v>720.60871730742701</v>
      </c>
      <c r="M15" s="2518">
        <f t="shared" si="0"/>
        <v>687.69735858361571</v>
      </c>
      <c r="N15" s="2672">
        <f>(R52-R$23)/H15</f>
        <v>32.911358723811283</v>
      </c>
      <c r="O15" s="2622">
        <f>AB52</f>
        <v>0</v>
      </c>
      <c r="P15" s="2622">
        <f>O15*Mull_ICBM!C$10</f>
        <v>0</v>
      </c>
      <c r="Q15" s="2626">
        <f>O15*Huvudinmatning!S$8/0.1</f>
        <v>0</v>
      </c>
      <c r="R15" s="486"/>
      <c r="S15" s="486"/>
      <c r="T15" s="486"/>
      <c r="U15" s="486"/>
      <c r="V15" s="486"/>
      <c r="W15" s="2605"/>
      <c r="X15" s="486"/>
      <c r="Y15" s="486"/>
      <c r="Z15" s="486"/>
      <c r="AA15" s="486"/>
      <c r="AB15" s="486"/>
      <c r="AC15" s="486"/>
      <c r="AD15" s="486"/>
      <c r="AE15" s="486"/>
      <c r="AF15" s="2717"/>
      <c r="AG15" s="2717"/>
      <c r="AH15" s="486"/>
      <c r="AI15" s="486"/>
      <c r="AJ15" s="486"/>
      <c r="AK15" s="486"/>
      <c r="AL15" s="486"/>
      <c r="AM15" s="486"/>
      <c r="AN15" s="486"/>
      <c r="AO15" s="486"/>
      <c r="AP15" s="486"/>
      <c r="AQ15" s="486"/>
      <c r="AR15" s="486"/>
      <c r="AS15" s="710"/>
      <c r="AT15" s="710"/>
      <c r="AU15" s="73"/>
      <c r="AV15" s="73"/>
      <c r="AW15" s="73"/>
      <c r="BG15" t="s">
        <v>1754</v>
      </c>
      <c r="BH15" t="s">
        <v>1751</v>
      </c>
      <c r="BJ15">
        <f>BI23*BS23</f>
        <v>-78.541000180314981</v>
      </c>
    </row>
    <row r="16" spans="1:66" ht="18.75">
      <c r="A16" s="2581" t="s">
        <v>1410</v>
      </c>
      <c r="B16" s="2617">
        <v>6.1000000000000004E-3</v>
      </c>
      <c r="C16" s="1202" t="s">
        <v>1681</v>
      </c>
      <c r="D16" s="1202"/>
      <c r="E16" s="1202"/>
      <c r="F16" s="1202"/>
      <c r="G16" s="1202"/>
      <c r="H16" s="2518">
        <v>35</v>
      </c>
      <c r="I16" s="2518">
        <f t="shared" si="1"/>
        <v>720.60772314724284</v>
      </c>
      <c r="J16" s="2518">
        <f t="shared" si="2"/>
        <v>690.62199122918264</v>
      </c>
      <c r="K16" s="2518">
        <f>(Q57-Q$23)/H16</f>
        <v>29.985731918060214</v>
      </c>
      <c r="L16" s="2518">
        <f t="shared" si="3"/>
        <v>720.60871730742701</v>
      </c>
      <c r="M16" s="2518">
        <f t="shared" si="0"/>
        <v>690.62298538936682</v>
      </c>
      <c r="N16" s="2672">
        <f>(R57-R$23)/H16</f>
        <v>29.985731918060214</v>
      </c>
      <c r="O16" s="2622">
        <f>AB57</f>
        <v>0</v>
      </c>
      <c r="P16" s="2622">
        <f>O16*Mull_ICBM!C$10</f>
        <v>0</v>
      </c>
      <c r="Q16" s="2626">
        <f>O16*Huvudinmatning!S$8/0.1</f>
        <v>0</v>
      </c>
      <c r="R16" s="486"/>
      <c r="S16" s="486"/>
      <c r="T16" s="486"/>
      <c r="U16" s="486"/>
      <c r="V16" s="486"/>
      <c r="W16" s="2605"/>
      <c r="X16" s="486"/>
      <c r="Y16" s="486"/>
      <c r="Z16" s="486"/>
      <c r="AA16" s="486"/>
      <c r="AB16" s="486"/>
      <c r="AC16" s="486"/>
      <c r="AD16" s="486"/>
      <c r="AE16" s="486"/>
      <c r="AF16" s="2717"/>
      <c r="AG16" s="2717"/>
      <c r="AH16" s="486"/>
      <c r="AI16" s="486"/>
      <c r="AJ16" s="486"/>
      <c r="AK16" s="486"/>
      <c r="AL16" s="486"/>
      <c r="AM16" s="486"/>
      <c r="AN16" s="486"/>
      <c r="AO16" s="486"/>
      <c r="AP16" s="486"/>
      <c r="AQ16" s="486"/>
      <c r="AR16" s="486"/>
      <c r="AS16" s="710"/>
      <c r="AT16" s="710"/>
      <c r="AU16" s="73"/>
      <c r="AV16" s="73"/>
      <c r="AW16" s="73"/>
      <c r="BG16" t="s">
        <v>1369</v>
      </c>
      <c r="BH16" t="s">
        <v>1752</v>
      </c>
      <c r="BJ16">
        <f>BK23*BS23</f>
        <v>-47.531623492109951</v>
      </c>
    </row>
    <row r="17" spans="1:71" ht="15">
      <c r="A17" s="2582" t="s">
        <v>1411</v>
      </c>
      <c r="B17" s="2616">
        <f>Mull_ICBM!J36</f>
        <v>0.125</v>
      </c>
      <c r="C17" s="1202" t="s">
        <v>1652</v>
      </c>
      <c r="D17" s="1202"/>
      <c r="E17" s="1202"/>
      <c r="F17" s="1202"/>
      <c r="G17" s="1202"/>
      <c r="H17" s="2518">
        <v>40</v>
      </c>
      <c r="I17" s="2518">
        <f t="shared" si="1"/>
        <v>720.60772314724284</v>
      </c>
      <c r="J17" s="2518">
        <f t="shared" si="2"/>
        <v>692.92118011039781</v>
      </c>
      <c r="K17" s="2518">
        <f>(Q62-Q$23)/H17</f>
        <v>27.68654303684507</v>
      </c>
      <c r="L17" s="2518">
        <f t="shared" si="3"/>
        <v>720.60871730742701</v>
      </c>
      <c r="M17" s="2518">
        <f t="shared" si="0"/>
        <v>692.92217427058199</v>
      </c>
      <c r="N17" s="2672">
        <f>(R62-R$23)/H17</f>
        <v>27.68654303684507</v>
      </c>
      <c r="O17" s="2622">
        <f>AB62</f>
        <v>0</v>
      </c>
      <c r="P17" s="2622">
        <f>O17*Mull_ICBM!C$10</f>
        <v>0</v>
      </c>
      <c r="Q17" s="2626">
        <f>O17*Huvudinmatning!S$8/0.1</f>
        <v>0</v>
      </c>
      <c r="R17" s="1202"/>
      <c r="S17" s="1202"/>
      <c r="T17" s="1202"/>
      <c r="U17" s="1202"/>
      <c r="V17" s="1202"/>
      <c r="W17" s="1202"/>
      <c r="X17" s="1202"/>
      <c r="Y17" s="1202"/>
      <c r="Z17" s="1202"/>
      <c r="AA17" s="2609"/>
      <c r="AB17" s="2717"/>
      <c r="AC17" s="2717"/>
      <c r="AD17" s="486">
        <f>B16*B26*L26</f>
        <v>719.83529057118437</v>
      </c>
      <c r="AE17" s="486" t="s">
        <v>1767</v>
      </c>
      <c r="AF17" s="2717"/>
      <c r="AG17" s="2717"/>
      <c r="AH17" s="486"/>
      <c r="AI17" s="486"/>
      <c r="AJ17" s="486"/>
      <c r="AK17" s="486"/>
      <c r="AL17" s="486"/>
      <c r="AM17" s="486"/>
      <c r="AN17" s="486"/>
      <c r="AO17" s="486"/>
      <c r="AP17" s="486"/>
      <c r="AQ17" s="486"/>
      <c r="AR17" s="486"/>
      <c r="AS17" s="486"/>
      <c r="AT17" s="486"/>
      <c r="BI17" s="2344"/>
      <c r="BJ17" s="2344"/>
      <c r="BK17" s="2352"/>
      <c r="BL17" s="100"/>
      <c r="BM17" s="2354"/>
    </row>
    <row r="18" spans="1:71" ht="15">
      <c r="A18" s="2583" t="s">
        <v>1387</v>
      </c>
      <c r="B18" s="2618">
        <f>Mull_ICBM!K36</f>
        <v>0.25</v>
      </c>
      <c r="C18" s="1202" t="s">
        <v>1653</v>
      </c>
      <c r="D18" s="1202"/>
      <c r="E18" s="1202"/>
      <c r="F18" s="1202"/>
      <c r="G18" s="1202"/>
      <c r="H18" s="2518">
        <v>45</v>
      </c>
      <c r="I18" s="2518">
        <f t="shared" si="1"/>
        <v>720.60772314724284</v>
      </c>
      <c r="J18" s="2518">
        <f t="shared" si="2"/>
        <v>694.79644113758752</v>
      </c>
      <c r="K18" s="2518">
        <f>(Q67-Q$23)/H18</f>
        <v>25.811282009655326</v>
      </c>
      <c r="L18" s="2518">
        <f t="shared" si="3"/>
        <v>720.60871730742701</v>
      </c>
      <c r="M18" s="2518">
        <f t="shared" si="0"/>
        <v>694.7974352977717</v>
      </c>
      <c r="N18" s="2672">
        <f>(R67-R$23)/H18</f>
        <v>25.811282009655326</v>
      </c>
      <c r="O18" s="2622">
        <f>AB67</f>
        <v>0</v>
      </c>
      <c r="P18" s="2622">
        <f>O18*Mull_ICBM!C$10</f>
        <v>0</v>
      </c>
      <c r="Q18" s="2626">
        <f>O18*Huvudinmatning!S$8/0.1</f>
        <v>0</v>
      </c>
      <c r="R18" s="1202"/>
      <c r="S18" s="1202"/>
      <c r="T18" s="1202"/>
      <c r="U18" s="1202"/>
      <c r="V18" s="1202"/>
      <c r="W18" s="1202"/>
      <c r="X18" s="1202"/>
      <c r="Y18" s="1202"/>
      <c r="Z18" s="1202"/>
      <c r="AA18" s="2609"/>
      <c r="AB18" s="2717"/>
      <c r="AC18" s="2717"/>
      <c r="AD18" s="486">
        <f>B19*B15*B26*C26</f>
        <v>0</v>
      </c>
      <c r="AE18" s="486" t="s">
        <v>1768</v>
      </c>
      <c r="AF18" s="2717"/>
      <c r="AG18" s="2717"/>
      <c r="AH18" s="486"/>
      <c r="AI18" s="486"/>
      <c r="AJ18" s="486"/>
      <c r="AK18" s="486"/>
      <c r="AL18" s="486"/>
      <c r="AM18" s="486"/>
      <c r="AN18" s="486"/>
      <c r="AO18" s="486"/>
      <c r="AP18" s="486"/>
      <c r="AQ18" s="486"/>
      <c r="AR18" s="486"/>
      <c r="AS18" s="486"/>
      <c r="AT18" s="486"/>
      <c r="BN18" t="s">
        <v>1755</v>
      </c>
    </row>
    <row r="19" spans="1:71" ht="15.75">
      <c r="A19" s="2581" t="s">
        <v>1388</v>
      </c>
      <c r="B19" s="2618">
        <f>Mull_ICBM!T36</f>
        <v>0.31</v>
      </c>
      <c r="C19" s="1202" t="s">
        <v>1660</v>
      </c>
      <c r="D19" s="1202"/>
      <c r="E19" s="1202"/>
      <c r="F19" s="1202"/>
      <c r="G19" s="1202"/>
      <c r="H19" s="2518">
        <v>50</v>
      </c>
      <c r="I19" s="2518">
        <f t="shared" si="1"/>
        <v>720.60772314724284</v>
      </c>
      <c r="J19" s="2518">
        <f t="shared" si="2"/>
        <v>696.36966350443402</v>
      </c>
      <c r="K19" s="2518">
        <f>(Q72-Q$23)/H19</f>
        <v>24.238059642808803</v>
      </c>
      <c r="L19" s="2518">
        <f t="shared" si="3"/>
        <v>720.60871730742701</v>
      </c>
      <c r="M19" s="2518">
        <f t="shared" si="0"/>
        <v>696.37065766461819</v>
      </c>
      <c r="N19" s="2672">
        <f>(R72-R$23)/H19</f>
        <v>24.238059642808803</v>
      </c>
      <c r="O19" s="2622">
        <f>AB72</f>
        <v>0</v>
      </c>
      <c r="P19" s="2622">
        <f>O19*Mull_ICBM!C$10</f>
        <v>0</v>
      </c>
      <c r="Q19" s="2626">
        <f>O19*Huvudinmatning!S$8/0.1</f>
        <v>0</v>
      </c>
      <c r="R19" s="1202"/>
      <c r="S19" s="3004"/>
      <c r="T19" s="3005"/>
      <c r="U19" s="3005"/>
      <c r="V19" s="3005"/>
      <c r="W19" s="1202"/>
      <c r="X19" s="1202"/>
      <c r="Y19" s="1202"/>
      <c r="Z19" s="1202"/>
      <c r="AA19" s="2609"/>
      <c r="AB19" s="2717"/>
      <c r="AC19" s="2717"/>
      <c r="AD19">
        <f>B17*B15*B26*D26</f>
        <v>860.863384518526</v>
      </c>
      <c r="AE19" t="s">
        <v>1769</v>
      </c>
      <c r="AF19" s="2717"/>
      <c r="AG19" s="2717"/>
      <c r="AH19" s="486"/>
      <c r="AI19" s="486"/>
      <c r="AJ19" s="486"/>
      <c r="AK19" s="486"/>
      <c r="AL19" s="486"/>
      <c r="AM19" s="486"/>
      <c r="AN19" s="486"/>
      <c r="AO19" s="486"/>
      <c r="AP19" s="486"/>
      <c r="AQ19" s="486"/>
      <c r="AR19" s="486"/>
      <c r="AS19" s="486"/>
      <c r="AT19" s="486"/>
    </row>
    <row r="20" spans="1:71" ht="15.75">
      <c r="A20" s="2671"/>
      <c r="B20" s="2383"/>
      <c r="C20" s="1202"/>
      <c r="D20" s="1202"/>
      <c r="E20" s="1202"/>
      <c r="F20" s="1202"/>
      <c r="G20" s="1202"/>
      <c r="H20" s="2712"/>
      <c r="I20" s="2712"/>
      <c r="J20" s="2712"/>
      <c r="K20" s="2712"/>
      <c r="L20" s="2712"/>
      <c r="M20" s="2712"/>
      <c r="N20" s="2713"/>
      <c r="O20" s="2714"/>
      <c r="P20" s="2714"/>
      <c r="Q20" s="2715"/>
      <c r="R20" s="1202"/>
      <c r="S20" s="2785"/>
      <c r="T20" s="2786"/>
      <c r="U20" s="2786"/>
      <c r="V20" s="2786"/>
      <c r="W20" s="1202"/>
      <c r="X20" s="1202"/>
      <c r="Y20" s="1202"/>
      <c r="Z20" s="1202"/>
      <c r="AA20" s="2609"/>
      <c r="AB20" s="2717"/>
      <c r="AC20" s="2717"/>
      <c r="AD20" s="486">
        <f>B18*B15*B27*E27</f>
        <v>473.00404576142199</v>
      </c>
      <c r="AE20" s="486" t="s">
        <v>1770</v>
      </c>
      <c r="AF20" s="2717">
        <f>AD19+AD20-AD17</f>
        <v>614.03213970876357</v>
      </c>
      <c r="AG20" s="2717"/>
      <c r="AH20" s="486"/>
      <c r="AI20" s="486"/>
      <c r="AJ20" s="486"/>
      <c r="AK20" s="486"/>
      <c r="AL20" s="486"/>
      <c r="AM20" s="486"/>
      <c r="AN20" s="486"/>
      <c r="AO20" s="486"/>
      <c r="AP20" s="486"/>
      <c r="AQ20" s="486"/>
      <c r="AR20" s="486"/>
      <c r="AS20" s="486"/>
      <c r="AT20" s="486"/>
    </row>
    <row r="21" spans="1:71" ht="60">
      <c r="A21" s="2708"/>
      <c r="B21" s="2709" t="s">
        <v>1659</v>
      </c>
      <c r="C21" s="2709" t="s">
        <v>1670</v>
      </c>
      <c r="D21" s="2710" t="s">
        <v>1671</v>
      </c>
      <c r="E21" s="2710" t="s">
        <v>1672</v>
      </c>
      <c r="F21" s="2710" t="s">
        <v>1673</v>
      </c>
      <c r="G21" s="2711"/>
      <c r="H21" s="2710" t="s">
        <v>1682</v>
      </c>
      <c r="I21" s="2710" t="s">
        <v>1683</v>
      </c>
      <c r="J21" s="2710" t="s">
        <v>1685</v>
      </c>
      <c r="K21" s="2710" t="s">
        <v>1674</v>
      </c>
      <c r="L21" s="2710" t="s">
        <v>1675</v>
      </c>
      <c r="M21" s="2710" t="s">
        <v>1684</v>
      </c>
      <c r="N21" s="2711"/>
      <c r="O21" s="2711"/>
      <c r="P21" s="2711"/>
      <c r="Q21" s="2710" t="s">
        <v>1676</v>
      </c>
      <c r="R21" s="2710" t="s">
        <v>1677</v>
      </c>
      <c r="S21" s="1202"/>
      <c r="T21" s="486"/>
      <c r="U21" s="1202" t="s">
        <v>823</v>
      </c>
      <c r="V21" s="1202" t="s">
        <v>872</v>
      </c>
      <c r="W21" s="1018"/>
      <c r="X21" s="2696" t="s">
        <v>1412</v>
      </c>
      <c r="Y21" s="2697"/>
      <c r="Z21" s="1018" t="s">
        <v>1450</v>
      </c>
      <c r="AA21" s="2352"/>
      <c r="AB21" s="2700" t="s">
        <v>1667</v>
      </c>
      <c r="AC21" s="2354"/>
      <c r="AE21" t="s">
        <v>1543</v>
      </c>
      <c r="AI21" s="473" t="s">
        <v>1668</v>
      </c>
      <c r="AJ21" s="473" t="s">
        <v>823</v>
      </c>
      <c r="AK21" s="2702" t="s">
        <v>872</v>
      </c>
      <c r="AM21" s="473"/>
      <c r="AN21" s="473"/>
      <c r="AO21" s="473" t="s">
        <v>823</v>
      </c>
      <c r="AP21" s="473" t="s">
        <v>872</v>
      </c>
      <c r="AR21" s="473" t="s">
        <v>1300</v>
      </c>
      <c r="AS21" s="473" t="s">
        <v>823</v>
      </c>
      <c r="AT21" s="473" t="s">
        <v>872</v>
      </c>
      <c r="AU21" s="2719" t="s">
        <v>1691</v>
      </c>
      <c r="AV21" s="2719" t="s">
        <v>1692</v>
      </c>
      <c r="AX21" s="2897"/>
      <c r="AZ21" s="2898" t="s">
        <v>1753</v>
      </c>
      <c r="BA21" s="2899"/>
      <c r="BB21" s="2898" t="s">
        <v>1760</v>
      </c>
      <c r="BC21" s="2899"/>
      <c r="BD21" s="2898" t="s">
        <v>1369</v>
      </c>
      <c r="BE21" s="2899"/>
      <c r="BF21" s="2880"/>
      <c r="BG21" s="2898" t="s">
        <v>1753</v>
      </c>
      <c r="BH21" s="2899"/>
      <c r="BI21" s="2898" t="s">
        <v>1760</v>
      </c>
      <c r="BJ21" s="2899"/>
      <c r="BK21" s="2898" t="s">
        <v>1369</v>
      </c>
      <c r="BL21" s="2899"/>
      <c r="BM21" t="s">
        <v>1764</v>
      </c>
      <c r="BN21" t="s">
        <v>1763</v>
      </c>
      <c r="BP21" t="s">
        <v>1765</v>
      </c>
    </row>
    <row r="22" spans="1:71" ht="18.75">
      <c r="A22" s="2351" t="s">
        <v>137</v>
      </c>
      <c r="B22" s="2348" t="s">
        <v>1389</v>
      </c>
      <c r="C22" s="2348" t="s">
        <v>1392</v>
      </c>
      <c r="D22" s="2349" t="s">
        <v>1390</v>
      </c>
      <c r="E22" s="2349" t="s">
        <v>1391</v>
      </c>
      <c r="F22" s="2349" t="s">
        <v>1413</v>
      </c>
      <c r="G22" s="2349"/>
      <c r="H22" s="2385" t="s">
        <v>1414</v>
      </c>
      <c r="I22" s="2386" t="s">
        <v>1415</v>
      </c>
      <c r="J22" s="2386" t="s">
        <v>1416</v>
      </c>
      <c r="K22" s="2348" t="s">
        <v>1417</v>
      </c>
      <c r="L22" s="2387" t="s">
        <v>1418</v>
      </c>
      <c r="M22" s="2388"/>
      <c r="N22" s="2388" t="s">
        <v>1419</v>
      </c>
      <c r="O22" s="2388"/>
      <c r="P22" s="2388" t="s">
        <v>137</v>
      </c>
      <c r="Q22" s="2388" t="s">
        <v>823</v>
      </c>
      <c r="R22" s="2388" t="s">
        <v>872</v>
      </c>
      <c r="S22" s="2787" t="s">
        <v>823</v>
      </c>
      <c r="T22" s="2787" t="s">
        <v>872</v>
      </c>
      <c r="U22" s="2787"/>
      <c r="V22" s="2787" t="s">
        <v>1420</v>
      </c>
      <c r="W22" s="2388"/>
      <c r="X22" s="2698" t="s">
        <v>823</v>
      </c>
      <c r="Y22" s="2698" t="s">
        <v>872</v>
      </c>
      <c r="Z22" s="2388" t="s">
        <v>1451</v>
      </c>
      <c r="AA22" s="2352" t="s">
        <v>1452</v>
      </c>
      <c r="AB22" s="2701"/>
      <c r="AC22" s="2354"/>
      <c r="AE22" t="s">
        <v>1542</v>
      </c>
      <c r="AI22" s="473" t="s">
        <v>1390</v>
      </c>
      <c r="AJ22" s="809">
        <f>+D24</f>
        <v>3754.2723665615231</v>
      </c>
      <c r="AK22" s="809">
        <f>+D100</f>
        <v>3754.2723665615231</v>
      </c>
      <c r="AM22" s="473" t="s">
        <v>1686</v>
      </c>
      <c r="AN22" s="473"/>
      <c r="AO22" s="809">
        <f>AJ27*AJ25*AJ30*AJ22</f>
        <v>860.863384518526</v>
      </c>
      <c r="AP22" s="809">
        <f>AJ27*AJ25*AJ30*AK22</f>
        <v>860.863384518526</v>
      </c>
      <c r="AR22" s="473"/>
      <c r="AS22" s="473"/>
      <c r="AT22" s="473"/>
      <c r="AX22" s="2900" t="s">
        <v>1757</v>
      </c>
      <c r="AY22" t="s">
        <v>1766</v>
      </c>
      <c r="AZ22" s="2901" t="s">
        <v>1227</v>
      </c>
      <c r="BA22" s="2902" t="s">
        <v>1761</v>
      </c>
      <c r="BB22" s="2901" t="s">
        <v>1748</v>
      </c>
      <c r="BC22" s="2902" t="s">
        <v>1761</v>
      </c>
      <c r="BD22" s="2901" t="s">
        <v>1749</v>
      </c>
      <c r="BE22" s="2902" t="s">
        <v>1761</v>
      </c>
      <c r="BF22" s="2880"/>
      <c r="BG22" s="2901" t="s">
        <v>1750</v>
      </c>
      <c r="BH22" s="2902" t="s">
        <v>1756</v>
      </c>
      <c r="BI22" s="2901" t="s">
        <v>1751</v>
      </c>
      <c r="BJ22" s="2902" t="s">
        <v>1762</v>
      </c>
      <c r="BK22" s="2901" t="s">
        <v>1752</v>
      </c>
      <c r="BL22" s="2902" t="s">
        <v>1762</v>
      </c>
      <c r="BR22" t="s">
        <v>1759</v>
      </c>
      <c r="BS22" t="s">
        <v>1756</v>
      </c>
    </row>
    <row r="23" spans="1:71" ht="15.75">
      <c r="A23" s="2351">
        <v>0</v>
      </c>
      <c r="B23" s="2389">
        <f>Mull_ICBM!X37</f>
        <v>2.2930232558139534</v>
      </c>
      <c r="C23" s="2390">
        <f>Mull_ICBM!T35</f>
        <v>0</v>
      </c>
      <c r="D23" s="2569">
        <f>Mull_ICBM!J35</f>
        <v>3754.2723665615231</v>
      </c>
      <c r="E23" s="2569">
        <f>Mull_ICBM!K35</f>
        <v>1031.3982742262244</v>
      </c>
      <c r="F23" s="2569">
        <f>Mull_ICBM!O37</f>
        <v>0</v>
      </c>
      <c r="G23" s="2569"/>
      <c r="H23" s="2570">
        <f>B13</f>
        <v>0</v>
      </c>
      <c r="I23" s="2570">
        <f>Mull_ICBM!AN12</f>
        <v>150</v>
      </c>
      <c r="J23" s="2570">
        <f>Mull_ICBM!AO12</f>
        <v>150</v>
      </c>
      <c r="K23" s="2570">
        <f>Mull_ICBM!AJ12</f>
        <v>50581.395348837206</v>
      </c>
      <c r="L23" s="2571">
        <f>I23+K23+H23+J23</f>
        <v>50881.395348837206</v>
      </c>
      <c r="M23" s="1018"/>
      <c r="N23" s="1018"/>
      <c r="O23" s="1018">
        <v>1981</v>
      </c>
      <c r="P23" s="2351">
        <v>1</v>
      </c>
      <c r="Q23" s="1461">
        <f>L23</f>
        <v>50881.395348837206</v>
      </c>
      <c r="R23" s="2921">
        <f>+L98</f>
        <v>50881.395348837206</v>
      </c>
      <c r="S23" s="1018">
        <f>+U23*3</f>
        <v>4.8000000000000007</v>
      </c>
      <c r="T23" s="1018">
        <f>+V23*3</f>
        <v>4.8000000000000007</v>
      </c>
      <c r="U23">
        <v>1.6</v>
      </c>
      <c r="V23">
        <v>1.6</v>
      </c>
      <c r="W23" s="1018"/>
      <c r="X23" s="2699">
        <f>+Q23/30000</f>
        <v>1.6960465116279069</v>
      </c>
      <c r="Y23" s="2699">
        <f>+R23/30000</f>
        <v>1.6960465116279069</v>
      </c>
      <c r="Z23" s="1018">
        <f>+U23</f>
        <v>1.6</v>
      </c>
      <c r="AA23" s="2352">
        <f>+V23</f>
        <v>1.6</v>
      </c>
      <c r="AB23" s="2702">
        <f>+Y23-X23</f>
        <v>0</v>
      </c>
      <c r="AC23" s="2354"/>
      <c r="AI23" s="473" t="s">
        <v>1391</v>
      </c>
      <c r="AJ23" s="809">
        <f>+E24</f>
        <v>1031.3982742262244</v>
      </c>
      <c r="AK23" s="809">
        <f>+E100</f>
        <v>1031.3982742262244</v>
      </c>
      <c r="AM23" s="473" t="s">
        <v>1687</v>
      </c>
      <c r="AN23" s="473"/>
      <c r="AO23" s="809">
        <f>AJ28*AJ25*AJ30*AJ23</f>
        <v>473.00404576142199</v>
      </c>
      <c r="AP23" s="809">
        <f>AJ28*AJ25*AJ30*AK23</f>
        <v>473.00404576142199</v>
      </c>
      <c r="AR23" s="473">
        <f>A23</f>
        <v>0</v>
      </c>
      <c r="AS23" s="809">
        <f>AJ$26*AJ$30*K23</f>
        <v>707.50432666306108</v>
      </c>
      <c r="AT23" s="809">
        <f>AJ$26*AK$30*K98</f>
        <v>707.50432666306108</v>
      </c>
      <c r="AU23" s="97">
        <f>AO$26-AS23</f>
        <v>626.36310361688686</v>
      </c>
      <c r="AV23" s="97">
        <f>AP$26-AT23</f>
        <v>626.36310361688686</v>
      </c>
      <c r="AX23" s="2903">
        <f t="shared" ref="AX23:AX28" si="4">K23</f>
        <v>50581.395348837206</v>
      </c>
      <c r="AY23">
        <f>AX23*BR23</f>
        <v>49878.816120076881</v>
      </c>
      <c r="AZ23" s="2904">
        <f t="shared" ref="AZ23:AZ28" si="5">-$B$19 * $B$15* (H23+C23)/($B$16-$B$15)</f>
        <v>0</v>
      </c>
      <c r="BA23" s="2905">
        <f t="shared" ref="BA23:BA28" si="6">AZ23*BR23</f>
        <v>0</v>
      </c>
      <c r="BB23" s="2904">
        <f t="shared" ref="BB23:BB28" si="7">-$B$17* $B$15* (I23 + D23) / ($B$16-$B$15)</f>
        <v>491.78389804276645</v>
      </c>
      <c r="BC23" s="2905">
        <f t="shared" ref="BC23:BC28" si="8">BB23*BR23</f>
        <v>484.95298423699353</v>
      </c>
      <c r="BD23" s="2904">
        <f t="shared" ref="BD23:BD28" si="9">-$B$18*$B$15* (J23 + E23) / ($B$16-$B$15)</f>
        <v>297.61891276639989</v>
      </c>
      <c r="BE23" s="2905">
        <f t="shared" ref="BE23:BE28" si="10">BD23*BR23</f>
        <v>293.4849646071246</v>
      </c>
      <c r="BF23" s="104"/>
      <c r="BG23" s="2904">
        <f>+$B$19*$B$15* (H23 + C23) / ($B$16-$B$15)</f>
        <v>0</v>
      </c>
      <c r="BH23" s="2905">
        <f t="shared" ref="BH23:BH28" si="11">BG23*BS23</f>
        <v>0</v>
      </c>
      <c r="BI23" s="2904">
        <f>+$B$17*$B$15* (I23 + D23) / ($B$16-$B$15)</f>
        <v>-491.78389804276645</v>
      </c>
      <c r="BJ23" s="2905">
        <f t="shared" ref="BJ23:BJ28" si="12">BI23*BS23</f>
        <v>-78.541000180314981</v>
      </c>
      <c r="BK23" s="2904">
        <f t="shared" ref="BK23:BK28" si="13">+$B$18*$B$15* (J23 + E23) / ($B$16-$B$15)</f>
        <v>-297.61891276639989</v>
      </c>
      <c r="BL23" s="2905">
        <f t="shared" ref="BL23:BL28" si="14">BK23*BS23</f>
        <v>-47.531623492109951</v>
      </c>
      <c r="BM23" s="97">
        <f>F24</f>
        <v>0</v>
      </c>
      <c r="BN23" s="2896">
        <f>BM23+((AX23+AZ23+BB23+BD23)*BR23)</f>
        <v>50657.254068921</v>
      </c>
      <c r="BP23" s="97">
        <f>BN23+BH23+BJ23+BL23</f>
        <v>50531.181445248571</v>
      </c>
      <c r="BR23">
        <f t="shared" ref="BR23:BR28" si="15">EXP(-$B$16*B24)</f>
        <v>0.98610992789117524</v>
      </c>
      <c r="BS23">
        <f t="shared" ref="BS23:BS28" si="16">EXP(-$B$15*B24)</f>
        <v>0.15970632729720832</v>
      </c>
    </row>
    <row r="24" spans="1:71" s="804" customFormat="1" ht="15.75">
      <c r="A24" s="2881">
        <v>1</v>
      </c>
      <c r="B24" s="2882">
        <f t="shared" ref="B24:F39" si="17">+B23</f>
        <v>2.2930232558139534</v>
      </c>
      <c r="C24" s="2883">
        <f t="shared" si="17"/>
        <v>0</v>
      </c>
      <c r="D24" s="2884">
        <f t="shared" si="17"/>
        <v>3754.2723665615231</v>
      </c>
      <c r="E24" s="2884">
        <f t="shared" si="17"/>
        <v>1031.3982742262244</v>
      </c>
      <c r="F24" s="2884">
        <f t="shared" si="17"/>
        <v>0</v>
      </c>
      <c r="G24" s="2884"/>
      <c r="H24" s="2885">
        <f>(H23+C23)*EXP(-$B$15*B24)</f>
        <v>0</v>
      </c>
      <c r="I24" s="2885">
        <f>(I23+D23)*EXP(-$B$15*B24)</f>
        <v>623.53700043152071</v>
      </c>
      <c r="J24" s="2885">
        <f>(J23+E23)*EXP(-$B$15*B24)</f>
        <v>188.67677945193046</v>
      </c>
      <c r="K24" s="2885">
        <f>F23+(K23-$B$19*$B$15*(H23+C23)/($B$16-$B$15)-$B$17*$B$15*(I23+D23)/($B$16-$B$15)-$B$18*$B$15*(J23+E23)/($B$16-$B$15))*EXP(-$B$16*B24)+$B$19*$B$15*(H23+C23)/($B$16-$B$15)*EXP(-$B$15*B24)+$B$17*$B$15*(I23+D23)/($B$16-$B$15)*EXP(-$B$15*B24)+$B$18*$B$15*(J23+E23)/($B$16-$B$15)*EXP(-$B$15*B24)</f>
        <v>50531.181445248571</v>
      </c>
      <c r="L24" s="2886">
        <f t="shared" ref="L24:L72" si="18">I24+K24+H24+J24</f>
        <v>51343.395225132022</v>
      </c>
      <c r="M24" s="2885">
        <f>L24-L23</f>
        <v>461.9998762948162</v>
      </c>
      <c r="N24" s="2885" t="e">
        <f>+(L24-L$23)*10000/A23</f>
        <v>#DIV/0!</v>
      </c>
      <c r="O24" s="2887">
        <v>1982</v>
      </c>
      <c r="P24" s="2881">
        <v>2</v>
      </c>
      <c r="Q24" s="2885">
        <f t="shared" ref="Q24:Q72" si="19">L24</f>
        <v>51343.395225132022</v>
      </c>
      <c r="R24" s="2921">
        <f>+L99</f>
        <v>51343.395225132022</v>
      </c>
      <c r="S24" s="2887">
        <f t="shared" ref="S24:T72" si="20">+U24*3</f>
        <v>0</v>
      </c>
      <c r="T24" s="2887">
        <f t="shared" si="20"/>
        <v>0</v>
      </c>
      <c r="U24" s="2888"/>
      <c r="V24" s="2888"/>
      <c r="W24" s="2887"/>
      <c r="X24" s="2889">
        <f t="shared" ref="X24:X72" si="21">+Q24/30000</f>
        <v>1.7114465075044007</v>
      </c>
      <c r="Y24" s="2889">
        <f t="shared" ref="Y24:Y72" si="22">+R24/30000</f>
        <v>1.7114465075044007</v>
      </c>
      <c r="Z24" s="2887"/>
      <c r="AA24" s="2890"/>
      <c r="AB24" s="2891">
        <f t="shared" ref="AB24:AB72" si="23">+Y24-X24</f>
        <v>0</v>
      </c>
      <c r="AC24" s="2892"/>
      <c r="AE24" s="2893" t="e">
        <f>(R52-Q52)/((AK22-AJ22)*30)</f>
        <v>#DIV/0!</v>
      </c>
      <c r="AI24" s="2894" t="s">
        <v>1421</v>
      </c>
      <c r="AJ24" s="2895">
        <f>+C24</f>
        <v>0</v>
      </c>
      <c r="AK24" s="2895">
        <f>+C100</f>
        <v>0</v>
      </c>
      <c r="AM24" s="2894" t="s">
        <v>1688</v>
      </c>
      <c r="AN24" s="2894"/>
      <c r="AO24" s="2895">
        <f>AJ29*AJ25*AJ30*AJ24</f>
        <v>0</v>
      </c>
      <c r="AP24" s="2895">
        <f>AJ29*AJ25*AJ30*AK24</f>
        <v>0</v>
      </c>
      <c r="AR24" s="2894">
        <f t="shared" ref="AR24:AR73" si="24">A24</f>
        <v>1</v>
      </c>
      <c r="AS24" s="2895">
        <f t="shared" ref="AS24:AS72" si="25">AJ$26*AJ$30*K24</f>
        <v>706.80196260602804</v>
      </c>
      <c r="AT24" s="2895">
        <f t="shared" ref="AT24:AT55" si="26">AJ$26*AK$30*K100</f>
        <v>706.91145721911164</v>
      </c>
      <c r="AU24" s="2896">
        <f t="shared" ref="AU24:AU72" si="27">AO$26-AS24</f>
        <v>627.0654676739199</v>
      </c>
      <c r="AV24" s="2896">
        <f t="shared" ref="AV24:AV72" si="28">AP$26-AT24</f>
        <v>626.9559730608363</v>
      </c>
      <c r="AX24" s="2903">
        <f t="shared" si="4"/>
        <v>50531.181445248571</v>
      </c>
      <c r="AY24">
        <f t="shared" ref="AY24:AY28" si="29">AX24*BR24</f>
        <v>49829.299691229957</v>
      </c>
      <c r="AZ24" s="2906">
        <f t="shared" si="5"/>
        <v>0</v>
      </c>
      <c r="BA24" s="2907">
        <f t="shared" si="6"/>
        <v>0</v>
      </c>
      <c r="BB24" s="2906">
        <f t="shared" si="7"/>
        <v>551.43083096020212</v>
      </c>
      <c r="BC24" s="2907">
        <f t="shared" si="8"/>
        <v>543.77141695513581</v>
      </c>
      <c r="BD24" s="2906">
        <f t="shared" si="9"/>
        <v>307.36240173275093</v>
      </c>
      <c r="BE24" s="2907">
        <f t="shared" si="10"/>
        <v>303.09311580914147</v>
      </c>
      <c r="BF24" s="2908"/>
      <c r="BG24" s="2906">
        <f>+$B$19*$B$15*(H24 + C24)/($B$16-$B$15)</f>
        <v>0</v>
      </c>
      <c r="BH24" s="2907">
        <f t="shared" si="11"/>
        <v>0</v>
      </c>
      <c r="BI24" s="2906">
        <f>+$B$17*$B$15*(I24+D24)/($B$16-$B$15)</f>
        <v>-551.43083096020212</v>
      </c>
      <c r="BJ24" s="2907">
        <f t="shared" si="12"/>
        <v>-88.066992771101596</v>
      </c>
      <c r="BK24" s="2906">
        <f t="shared" si="13"/>
        <v>-307.36240173275093</v>
      </c>
      <c r="BL24" s="2907">
        <f t="shared" si="14"/>
        <v>-49.087720329986752</v>
      </c>
      <c r="BM24" s="97">
        <f t="shared" ref="BM24:BM43" si="30">F25</f>
        <v>0</v>
      </c>
      <c r="BN24" s="2896">
        <f t="shared" ref="BN24:BN43" si="31">BM24+((AX24+AZ24+BB24+BD24)*BR24)</f>
        <v>50676.164223994245</v>
      </c>
      <c r="BO24"/>
      <c r="BP24" s="97">
        <f t="shared" ref="BP24:BP43" si="32">BN24+BH24+BJ24+BL24</f>
        <v>50539.009510893156</v>
      </c>
      <c r="BR24" s="804">
        <f t="shared" si="15"/>
        <v>0.98610992789117524</v>
      </c>
      <c r="BS24" s="804">
        <f t="shared" si="16"/>
        <v>0.15970632729720832</v>
      </c>
    </row>
    <row r="25" spans="1:71" ht="18.75">
      <c r="A25" s="2351">
        <v>2</v>
      </c>
      <c r="B25" s="2389">
        <f t="shared" si="17"/>
        <v>2.2930232558139534</v>
      </c>
      <c r="C25" s="2390">
        <f t="shared" si="17"/>
        <v>0</v>
      </c>
      <c r="D25" s="2569">
        <f t="shared" si="17"/>
        <v>3754.2723665615231</v>
      </c>
      <c r="E25" s="2569">
        <f t="shared" si="17"/>
        <v>1031.3982742262244</v>
      </c>
      <c r="F25" s="2569">
        <f t="shared" si="17"/>
        <v>0</v>
      </c>
      <c r="G25" s="2569"/>
      <c r="H25" s="1461">
        <f>(H24+C24)*EXP(-$B$15*B25)</f>
        <v>0</v>
      </c>
      <c r="I25" s="1461">
        <f>(I24+D24)*EXP(-$B$15*B25)</f>
        <v>699.16385560977551</v>
      </c>
      <c r="J25" s="1461">
        <f>(J24+E24)*EXP(-$B$15*B25)</f>
        <v>194.85370584988243</v>
      </c>
      <c r="K25" s="1461">
        <f>F24+(K24-$B$19*$B$15*(H24+C24)/($B$16-$B$15)-$B$17*$B$15*(I24+D24)/($B$16-$B$15)-$B$18*$B$15*(J24+E24)/($B$16-$B$15))*EXP(-$B$16*B25)+$B$19*$B$15*(H24+C24)/($B$16-$B$15)*EXP(-$B$15*B25)+$B$17*$B$15*(I24+D24)/($B$16-$B$15)*EXP(-$B$15*B25)+$B$18*$B$15*(J24+E24)/($B$16-$B$15)*EXP(-$B$15*B25)</f>
        <v>50539.009510893156</v>
      </c>
      <c r="L25" s="2571">
        <f t="shared" si="18"/>
        <v>51433.027072352816</v>
      </c>
      <c r="M25" s="1461">
        <f t="shared" ref="M25:M72" si="33">L25-L24</f>
        <v>89.631847220793134</v>
      </c>
      <c r="N25" s="1461">
        <f t="shared" ref="N25:N38" si="34">+(L25-L$23)*10000/A24</f>
        <v>5516317.2351560937</v>
      </c>
      <c r="O25" s="1018">
        <v>1983</v>
      </c>
      <c r="P25" s="2351">
        <v>3</v>
      </c>
      <c r="Q25" s="1461">
        <f t="shared" si="19"/>
        <v>51433.027072352816</v>
      </c>
      <c r="R25" s="2921">
        <f t="shared" ref="R25:R72" si="35">+L100</f>
        <v>51433.027072352816</v>
      </c>
      <c r="S25" s="1018">
        <f t="shared" si="20"/>
        <v>0</v>
      </c>
      <c r="T25" s="1018">
        <f t="shared" si="20"/>
        <v>0</v>
      </c>
      <c r="U25" s="13"/>
      <c r="V25" s="13"/>
      <c r="W25" s="1461">
        <f t="shared" ref="W25:W72" si="36">R25-Q25</f>
        <v>0</v>
      </c>
      <c r="X25" s="2699">
        <f t="shared" si="21"/>
        <v>1.7144342357450939</v>
      </c>
      <c r="Y25" s="2699">
        <f t="shared" si="22"/>
        <v>1.7144342357450939</v>
      </c>
      <c r="Z25" s="1018"/>
      <c r="AA25" s="2352"/>
      <c r="AB25" s="2702">
        <f t="shared" si="23"/>
        <v>0</v>
      </c>
      <c r="AC25" s="2354"/>
      <c r="AE25" t="s">
        <v>1422</v>
      </c>
      <c r="AF25" s="98">
        <f>SUM(AJ22:AJ24)</f>
        <v>4785.6706407877473</v>
      </c>
      <c r="AG25" s="98">
        <f>SUM(AK22:AK24)</f>
        <v>4785.6706407877473</v>
      </c>
      <c r="AI25" s="2581" t="s">
        <v>1409</v>
      </c>
      <c r="AJ25" s="473">
        <f>B15</f>
        <v>0.8</v>
      </c>
      <c r="AK25" s="473"/>
      <c r="AM25" s="473" t="s">
        <v>1689</v>
      </c>
      <c r="AN25" s="473"/>
      <c r="AO25" s="809">
        <f>F25</f>
        <v>0</v>
      </c>
      <c r="AP25" s="809">
        <f>F101</f>
        <v>0</v>
      </c>
      <c r="AR25" s="473">
        <f t="shared" si="24"/>
        <v>2</v>
      </c>
      <c r="AS25" s="809">
        <f t="shared" si="25"/>
        <v>706.91145721911164</v>
      </c>
      <c r="AT25" s="809">
        <f t="shared" si="26"/>
        <v>707.14753183366645</v>
      </c>
      <c r="AU25" s="97">
        <f t="shared" si="27"/>
        <v>626.9559730608363</v>
      </c>
      <c r="AV25" s="97">
        <f t="shared" si="28"/>
        <v>626.71989844628149</v>
      </c>
      <c r="AX25" s="2903">
        <f t="shared" si="4"/>
        <v>50539.009510893156</v>
      </c>
      <c r="AY25">
        <f t="shared" si="29"/>
        <v>49837.019024478272</v>
      </c>
      <c r="AZ25" s="2904">
        <f t="shared" si="5"/>
        <v>0</v>
      </c>
      <c r="BA25" s="2905">
        <f t="shared" si="6"/>
        <v>0</v>
      </c>
      <c r="BB25" s="2904">
        <f t="shared" si="7"/>
        <v>560.95682355098859</v>
      </c>
      <c r="BC25" s="2905">
        <f t="shared" si="8"/>
        <v>553.16509282192806</v>
      </c>
      <c r="BD25" s="2904">
        <f t="shared" si="9"/>
        <v>308.91849857062778</v>
      </c>
      <c r="BE25" s="2905">
        <f t="shared" si="10"/>
        <v>304.6275983497319</v>
      </c>
      <c r="BF25" s="104"/>
      <c r="BG25" s="2904">
        <f>+$B$19*$B$15* (H25 + C25) / ($B$16-$B$15)</f>
        <v>0</v>
      </c>
      <c r="BH25" s="2905">
        <f t="shared" si="11"/>
        <v>0</v>
      </c>
      <c r="BI25" s="2904">
        <f>+$B$17*$B$15* (I25 + D25) / ($B$16-$B$15)</f>
        <v>-560.95682355098859</v>
      </c>
      <c r="BJ25" s="2905">
        <f t="shared" si="12"/>
        <v>-89.588354061636522</v>
      </c>
      <c r="BK25" s="2904">
        <f t="shared" si="13"/>
        <v>-308.91849857062778</v>
      </c>
      <c r="BL25" s="2905">
        <f t="shared" si="14"/>
        <v>-49.336238840882864</v>
      </c>
      <c r="BM25" s="97">
        <f t="shared" si="30"/>
        <v>0</v>
      </c>
      <c r="BN25" s="2896">
        <f t="shared" si="31"/>
        <v>50694.811715649928</v>
      </c>
      <c r="BP25" s="97">
        <f t="shared" si="32"/>
        <v>50555.887122747408</v>
      </c>
      <c r="BR25">
        <f t="shared" si="15"/>
        <v>0.98610992789117524</v>
      </c>
      <c r="BS25">
        <f t="shared" si="16"/>
        <v>0.15970632729720832</v>
      </c>
    </row>
    <row r="26" spans="1:71" ht="18.75">
      <c r="A26" s="2351">
        <v>3</v>
      </c>
      <c r="B26" s="2389">
        <f t="shared" si="17"/>
        <v>2.2930232558139534</v>
      </c>
      <c r="C26" s="2390">
        <f t="shared" si="17"/>
        <v>0</v>
      </c>
      <c r="D26" s="2569">
        <f t="shared" si="17"/>
        <v>3754.2723665615231</v>
      </c>
      <c r="E26" s="2569">
        <f t="shared" si="17"/>
        <v>1031.3982742262244</v>
      </c>
      <c r="F26" s="2569">
        <f t="shared" si="17"/>
        <v>0</v>
      </c>
      <c r="G26" s="2569"/>
      <c r="H26" s="1461">
        <f>(H25+C25)*EXP(-$B$15*B26)</f>
        <v>0</v>
      </c>
      <c r="I26" s="1461">
        <f>(I25+D25)*EXP(-$B$15*B26)</f>
        <v>711.24194289533227</v>
      </c>
      <c r="J26" s="1461">
        <f>(J25+E25)*EXP(-$B$15*B26)</f>
        <v>195.84020007888452</v>
      </c>
      <c r="K26" s="1461">
        <f>F25+(K25-$B$19*$B$15*(H25+C25)/($B$16-$B$15)-$B$17*$B$15*(I25+D25)/($B$16-$B$15)-$B$18*$B$15*(J25+E25)/($B$16-$B$15))*EXP(-$B$16*B26)+$B$19*$B$15*(H25+C25)/($B$16-$B$15)*EXP(-$B$15*B26)+$B$17*$B$15*(I25+D25)/($B$16-$B$15)*EXP(-$B$15*B26)+$B$18*$B$15*(J25+E25)/($B$16-$B$15)*EXP(-$B$15*B26)</f>
        <v>50555.887122747408</v>
      </c>
      <c r="L26" s="2571">
        <f t="shared" si="18"/>
        <v>51462.969265721622</v>
      </c>
      <c r="M26" s="1461">
        <f t="shared" si="33"/>
        <v>29.942193368806329</v>
      </c>
      <c r="N26" s="1461">
        <f t="shared" si="34"/>
        <v>2907869.5844220784</v>
      </c>
      <c r="O26" s="1018">
        <v>1984</v>
      </c>
      <c r="P26" s="2351">
        <v>4</v>
      </c>
      <c r="Q26" s="1461">
        <f t="shared" si="19"/>
        <v>51462.969265721622</v>
      </c>
      <c r="R26" s="2921">
        <f t="shared" si="35"/>
        <v>51462.969265721622</v>
      </c>
      <c r="S26" s="1018">
        <f t="shared" si="20"/>
        <v>0</v>
      </c>
      <c r="T26" s="1018">
        <f t="shared" si="20"/>
        <v>0</v>
      </c>
      <c r="U26" s="13"/>
      <c r="V26" s="13"/>
      <c r="W26" s="1461">
        <f t="shared" si="36"/>
        <v>0</v>
      </c>
      <c r="X26" s="2699">
        <f t="shared" si="21"/>
        <v>1.7154323088573873</v>
      </c>
      <c r="Y26" s="2699">
        <f t="shared" si="22"/>
        <v>1.7154323088573873</v>
      </c>
      <c r="Z26" s="1018"/>
      <c r="AA26" s="2352"/>
      <c r="AB26" s="2702">
        <f t="shared" si="23"/>
        <v>0</v>
      </c>
      <c r="AC26" s="2354"/>
      <c r="AE26" t="s">
        <v>1423</v>
      </c>
      <c r="AF26" s="98">
        <f>+Q57-Q27</f>
        <v>447.7343882672285</v>
      </c>
      <c r="AG26" s="98">
        <f>+R57-R27</f>
        <v>447.7343882672285</v>
      </c>
      <c r="AI26" s="2581" t="s">
        <v>1410</v>
      </c>
      <c r="AJ26" s="473">
        <f>B16</f>
        <v>6.1000000000000004E-3</v>
      </c>
      <c r="AK26" s="473"/>
      <c r="AO26" s="809">
        <f>SUM(AO22:AO25)</f>
        <v>1333.8674302799479</v>
      </c>
      <c r="AP26" s="809">
        <f>SUM(AP22:AP25)</f>
        <v>1333.8674302799479</v>
      </c>
      <c r="AR26" s="473">
        <f t="shared" si="24"/>
        <v>3</v>
      </c>
      <c r="AS26" s="809">
        <f t="shared" si="25"/>
        <v>707.14753183366645</v>
      </c>
      <c r="AT26" s="809">
        <f t="shared" si="26"/>
        <v>707.40078587739458</v>
      </c>
      <c r="AU26" s="97">
        <f t="shared" si="27"/>
        <v>626.71989844628149</v>
      </c>
      <c r="AV26" s="97">
        <f t="shared" si="28"/>
        <v>626.46664440255336</v>
      </c>
      <c r="AX26" s="2903">
        <f t="shared" si="4"/>
        <v>50555.887122747408</v>
      </c>
      <c r="AY26">
        <f t="shared" si="29"/>
        <v>49853.662205086839</v>
      </c>
      <c r="AZ26" s="2904">
        <f t="shared" si="5"/>
        <v>0</v>
      </c>
      <c r="BA26" s="2905">
        <f t="shared" si="6"/>
        <v>0</v>
      </c>
      <c r="BB26" s="2904">
        <f t="shared" si="7"/>
        <v>562.47818484152356</v>
      </c>
      <c r="BC26" s="2905">
        <f t="shared" si="8"/>
        <v>554.66532229443396</v>
      </c>
      <c r="BD26" s="2904">
        <f t="shared" si="9"/>
        <v>309.1670170815238</v>
      </c>
      <c r="BE26" s="2905">
        <f t="shared" si="10"/>
        <v>304.87266492059115</v>
      </c>
      <c r="BF26" s="104"/>
      <c r="BG26" s="2904">
        <f>+$B$19*$B$15* (H26 + C26) / ($B$16-$B$15)</f>
        <v>0</v>
      </c>
      <c r="BH26" s="2905">
        <f t="shared" si="11"/>
        <v>0</v>
      </c>
      <c r="BI26" s="2904">
        <f>+$B$17*$B$15* (I26 + D26) / ($B$16-$B$15)</f>
        <v>-562.47818484152356</v>
      </c>
      <c r="BJ26" s="2905">
        <f t="shared" si="12"/>
        <v>-89.831325085840007</v>
      </c>
      <c r="BK26" s="2904">
        <f t="shared" si="13"/>
        <v>-309.1670170815238</v>
      </c>
      <c r="BL26" s="2905">
        <f t="shared" si="14"/>
        <v>-49.375928819523438</v>
      </c>
      <c r="BM26" s="97">
        <f t="shared" si="30"/>
        <v>0</v>
      </c>
      <c r="BN26" s="2896">
        <f t="shared" si="31"/>
        <v>50713.200192301869</v>
      </c>
      <c r="BP26" s="97">
        <f t="shared" si="32"/>
        <v>50573.992938396506</v>
      </c>
      <c r="BR26">
        <f t="shared" si="15"/>
        <v>0.98610992789117524</v>
      </c>
      <c r="BS26">
        <f t="shared" si="16"/>
        <v>0.15970632729720832</v>
      </c>
    </row>
    <row r="27" spans="1:71" ht="15.75">
      <c r="A27" s="2351">
        <v>4</v>
      </c>
      <c r="B27" s="2389">
        <f t="shared" si="17"/>
        <v>2.2930232558139534</v>
      </c>
      <c r="C27" s="2390">
        <f t="shared" si="17"/>
        <v>0</v>
      </c>
      <c r="D27" s="2569">
        <f t="shared" si="17"/>
        <v>3754.2723665615231</v>
      </c>
      <c r="E27" s="2569">
        <f t="shared" si="17"/>
        <v>1031.3982742262244</v>
      </c>
      <c r="F27" s="2569">
        <f t="shared" si="17"/>
        <v>0</v>
      </c>
      <c r="G27" s="2569"/>
      <c r="H27" s="1461">
        <f>(H26+C26)*EXP(-$B$15*B27)</f>
        <v>0</v>
      </c>
      <c r="I27" s="1461">
        <f>(I26+D26)*EXP(-$B$15*B27)</f>
        <v>713.17088985648377</v>
      </c>
      <c r="J27" s="1461">
        <f>(J26+E26)*EXP(-$B$15*B27)</f>
        <v>195.99774944909831</v>
      </c>
      <c r="K27" s="1461">
        <f>F26+(K26-$B$19*$B$15*(H26+C26)/($B$16-$B$15)-$B$17*$B$15*(I26+D26)/($B$16-$B$15)-$B$18*$B$15*(J26+E26)/($B$16-$B$15))*EXP(-$B$16*B27)+$B$19*$B$15*(H26+C26)/($B$16-$B$15)*EXP(-$B$15*B27)+$B$17*$B$15*(I26+D26)/($B$16-$B$15)*EXP(-$B$15*B27)+$B$18*$B$15*(J26+E26)/($B$16-$B$15)*EXP(-$B$15*B27)</f>
        <v>50573.992938396506</v>
      </c>
      <c r="L27" s="2571">
        <f t="shared" si="18"/>
        <v>51483.161577702085</v>
      </c>
      <c r="M27" s="1461">
        <f t="shared" si="33"/>
        <v>20.192311980463273</v>
      </c>
      <c r="N27" s="1461">
        <f t="shared" si="34"/>
        <v>2005887.4295495965</v>
      </c>
      <c r="O27" s="1018">
        <v>1985</v>
      </c>
      <c r="P27" s="2351">
        <v>5</v>
      </c>
      <c r="Q27" s="1461">
        <f t="shared" si="19"/>
        <v>51483.161577702085</v>
      </c>
      <c r="R27" s="2921">
        <f t="shared" si="35"/>
        <v>51483.161577702085</v>
      </c>
      <c r="S27" s="1018">
        <f t="shared" si="20"/>
        <v>0</v>
      </c>
      <c r="T27" s="1018">
        <f t="shared" si="20"/>
        <v>0</v>
      </c>
      <c r="U27" s="13"/>
      <c r="V27" s="13"/>
      <c r="W27" s="1461">
        <f t="shared" si="36"/>
        <v>0</v>
      </c>
      <c r="X27" s="2699">
        <f t="shared" si="21"/>
        <v>1.7161053859234028</v>
      </c>
      <c r="Y27" s="2699">
        <f t="shared" si="22"/>
        <v>1.7161053859234028</v>
      </c>
      <c r="Z27" s="1018"/>
      <c r="AA27" s="2352"/>
      <c r="AB27" s="2702">
        <f t="shared" si="23"/>
        <v>0</v>
      </c>
      <c r="AC27" s="2354"/>
      <c r="AE27" t="s">
        <v>1424</v>
      </c>
      <c r="AF27" s="98" t="e">
        <f>+((AF26-AG26)/30)/(AF25-AG25)</f>
        <v>#DIV/0!</v>
      </c>
      <c r="AG27" s="98"/>
      <c r="AI27" s="2582" t="s">
        <v>1411</v>
      </c>
      <c r="AJ27" s="473">
        <f>B17</f>
        <v>0.125</v>
      </c>
      <c r="AK27" s="473"/>
      <c r="AR27" s="473">
        <f t="shared" si="24"/>
        <v>4</v>
      </c>
      <c r="AS27" s="809">
        <f t="shared" si="25"/>
        <v>707.40078587739458</v>
      </c>
      <c r="AT27" s="809">
        <f t="shared" si="26"/>
        <v>707.65378955969857</v>
      </c>
      <c r="AU27" s="97">
        <f t="shared" si="27"/>
        <v>626.46664440255336</v>
      </c>
      <c r="AV27" s="97">
        <f t="shared" si="28"/>
        <v>626.21364072024937</v>
      </c>
      <c r="AX27" s="2903">
        <f t="shared" si="4"/>
        <v>50573.992938396506</v>
      </c>
      <c r="AY27">
        <f t="shared" si="29"/>
        <v>49871.516529650988</v>
      </c>
      <c r="AZ27" s="2904">
        <f t="shared" si="5"/>
        <v>0</v>
      </c>
      <c r="BA27" s="2905">
        <f t="shared" si="6"/>
        <v>0</v>
      </c>
      <c r="BB27" s="2904">
        <f t="shared" si="7"/>
        <v>562.72115586572704</v>
      </c>
      <c r="BC27" s="2905">
        <f t="shared" si="8"/>
        <v>554.90491843359086</v>
      </c>
      <c r="BD27" s="2904">
        <f t="shared" si="9"/>
        <v>309.20670706016443</v>
      </c>
      <c r="BE27" s="2905">
        <f t="shared" si="10"/>
        <v>304.91180360256652</v>
      </c>
      <c r="BF27" s="104"/>
      <c r="BG27" s="2904">
        <f>+$B$19*$B$15* (H27 + C27) / ($B$16-$B$15)</f>
        <v>0</v>
      </c>
      <c r="BH27" s="2905">
        <f t="shared" si="11"/>
        <v>0</v>
      </c>
      <c r="BI27" s="2904">
        <f>+$B$17*$B$15* (I27 + D27) / ($B$16-$B$15)</f>
        <v>-562.72115586572704</v>
      </c>
      <c r="BJ27" s="2905">
        <f t="shared" si="12"/>
        <v>-89.870129095755175</v>
      </c>
      <c r="BK27" s="2904">
        <f t="shared" si="13"/>
        <v>-309.20670706016443</v>
      </c>
      <c r="BL27" s="2905">
        <f t="shared" si="14"/>
        <v>-49.382267560242639</v>
      </c>
      <c r="BM27" s="97">
        <f t="shared" si="30"/>
        <v>0</v>
      </c>
      <c r="BN27" s="2896">
        <f t="shared" si="31"/>
        <v>50731.333251687145</v>
      </c>
      <c r="BP27" s="97">
        <f t="shared" si="32"/>
        <v>50592.080855031149</v>
      </c>
      <c r="BQ27" s="97">
        <f>BP27-BP26</f>
        <v>18.08791663464217</v>
      </c>
      <c r="BR27">
        <f t="shared" si="15"/>
        <v>0.98610992789117524</v>
      </c>
      <c r="BS27">
        <f t="shared" si="16"/>
        <v>0.15970632729720832</v>
      </c>
    </row>
    <row r="28" spans="1:71" ht="15.75">
      <c r="A28" s="2351">
        <v>5</v>
      </c>
      <c r="B28" s="2389">
        <f t="shared" si="17"/>
        <v>2.2930232558139534</v>
      </c>
      <c r="C28" s="2390">
        <f t="shared" si="17"/>
        <v>0</v>
      </c>
      <c r="D28" s="2569">
        <f t="shared" si="17"/>
        <v>3754.2723665615231</v>
      </c>
      <c r="E28" s="2569">
        <f t="shared" si="17"/>
        <v>1031.3982742262244</v>
      </c>
      <c r="F28" s="2569">
        <f t="shared" si="17"/>
        <v>0</v>
      </c>
      <c r="G28" s="2569"/>
      <c r="H28" s="1461">
        <f>(H27+C27)*EXP(-$B$15*B28)</f>
        <v>0</v>
      </c>
      <c r="I28" s="1461">
        <f>(I27+D27)*EXP(-$B$15*B28)</f>
        <v>713.47895489120037</v>
      </c>
      <c r="J28" s="1461">
        <f>(J27+E27)*EXP(-$B$15*B28)</f>
        <v>196.02291108038315</v>
      </c>
      <c r="K28" s="1461">
        <f>F27+(K27-$B$19*$B$15*(H27+C27)/($B$16-$B$15)-$B$17*$B$15*(I27+D27)/($B$16-$B$15)-$B$18*$B$15*(J27+E27)/($B$16-$B$15))*EXP(-$B$16*B28)+$B$19*$B$15*(H27+C27)/($B$16-$B$15)*EXP(-$B$15*B28)+$B$17*$B$15*(I27+D27)/($B$16-$B$15)*EXP(-$B$15*B28)+$B$18*$B$15*(J27+E27)/($B$16-$B$15)*EXP(-$B$15*B28)</f>
        <v>50592.080855031149</v>
      </c>
      <c r="L28" s="2571">
        <f t="shared" si="18"/>
        <v>51501.582721002735</v>
      </c>
      <c r="M28" s="1461">
        <f t="shared" si="33"/>
        <v>18.421143300649419</v>
      </c>
      <c r="N28" s="1461">
        <f t="shared" si="34"/>
        <v>1550468.4304138208</v>
      </c>
      <c r="O28" s="1018">
        <v>1986</v>
      </c>
      <c r="P28" s="2351">
        <v>6</v>
      </c>
      <c r="Q28" s="1461">
        <f t="shared" si="19"/>
        <v>51501.582721002735</v>
      </c>
      <c r="R28" s="2921">
        <f t="shared" si="35"/>
        <v>51501.582721002735</v>
      </c>
      <c r="S28" s="1018">
        <f t="shared" si="20"/>
        <v>0</v>
      </c>
      <c r="T28" s="1018">
        <f t="shared" si="20"/>
        <v>0</v>
      </c>
      <c r="U28" s="13"/>
      <c r="V28" s="13"/>
      <c r="W28" s="1461">
        <f t="shared" si="36"/>
        <v>0</v>
      </c>
      <c r="X28" s="2699">
        <f t="shared" si="21"/>
        <v>1.7167194240334245</v>
      </c>
      <c r="Y28" s="2699">
        <f t="shared" si="22"/>
        <v>1.7167194240334245</v>
      </c>
      <c r="Z28" s="1018"/>
      <c r="AA28" s="2352"/>
      <c r="AB28" s="2702">
        <f t="shared" si="23"/>
        <v>0</v>
      </c>
      <c r="AC28" s="2354"/>
      <c r="AE28" t="s">
        <v>1425</v>
      </c>
      <c r="AF28" s="98">
        <f>(Q27-Q57)/30/Q27</f>
        <v>-2.898905030605496E-4</v>
      </c>
      <c r="AG28" s="98">
        <v>0.01</v>
      </c>
      <c r="AI28" s="2583" t="s">
        <v>1387</v>
      </c>
      <c r="AJ28" s="473">
        <f>B18</f>
        <v>0.25</v>
      </c>
      <c r="AK28" s="473"/>
      <c r="AR28" s="473">
        <f t="shared" si="24"/>
        <v>5</v>
      </c>
      <c r="AS28" s="809">
        <f t="shared" si="25"/>
        <v>707.65378955969857</v>
      </c>
      <c r="AT28" s="809">
        <f t="shared" si="26"/>
        <v>707.9038008199592</v>
      </c>
      <c r="AU28" s="97">
        <f t="shared" si="27"/>
        <v>626.21364072024937</v>
      </c>
      <c r="AV28" s="97">
        <f t="shared" si="28"/>
        <v>625.96362945998874</v>
      </c>
      <c r="AX28" s="2909">
        <f t="shared" si="4"/>
        <v>50592.080855031149</v>
      </c>
      <c r="AY28">
        <f t="shared" si="29"/>
        <v>49889.353203819272</v>
      </c>
      <c r="AZ28" s="2910">
        <f t="shared" si="5"/>
        <v>0</v>
      </c>
      <c r="BA28" s="2767">
        <f t="shared" si="6"/>
        <v>0</v>
      </c>
      <c r="BB28" s="2910">
        <f t="shared" si="7"/>
        <v>562.75995987564227</v>
      </c>
      <c r="BC28" s="2767">
        <f t="shared" si="8"/>
        <v>554.94318345301031</v>
      </c>
      <c r="BD28" s="2910">
        <f t="shared" si="9"/>
        <v>309.21304580088366</v>
      </c>
      <c r="BE28" s="2767">
        <f t="shared" si="10"/>
        <v>304.91805429772006</v>
      </c>
      <c r="BF28" s="104"/>
      <c r="BG28" s="2910">
        <f>+$B$19*$B$15* (H28 + C28) / ($B$16-$B$15)</f>
        <v>0</v>
      </c>
      <c r="BH28" s="2767">
        <f t="shared" si="11"/>
        <v>0</v>
      </c>
      <c r="BI28" s="2910">
        <f>+$B$17*$B$15* (I28 + D28) / ($B$16-$B$15)</f>
        <v>-562.75995987564227</v>
      </c>
      <c r="BJ28" s="2767">
        <f t="shared" si="12"/>
        <v>-89.876326341663145</v>
      </c>
      <c r="BK28" s="2910">
        <f t="shared" si="13"/>
        <v>-309.21304580088366</v>
      </c>
      <c r="BL28" s="2767">
        <f t="shared" si="14"/>
        <v>-49.383279897242595</v>
      </c>
      <c r="BM28" s="97">
        <f t="shared" si="30"/>
        <v>0</v>
      </c>
      <c r="BN28" s="2896">
        <f t="shared" si="31"/>
        <v>50749.214441570002</v>
      </c>
      <c r="BP28" s="97">
        <f t="shared" si="32"/>
        <v>50609.954835331097</v>
      </c>
      <c r="BQ28" s="97">
        <f t="shared" ref="BQ28:BQ39" si="37">BP28-BP27</f>
        <v>17.873980299948016</v>
      </c>
      <c r="BR28">
        <f t="shared" si="15"/>
        <v>0.98610992789117524</v>
      </c>
      <c r="BS28">
        <f t="shared" si="16"/>
        <v>0.15970632729720832</v>
      </c>
    </row>
    <row r="29" spans="1:71" ht="15.75">
      <c r="A29" s="2351">
        <v>6</v>
      </c>
      <c r="B29" s="2389">
        <f t="shared" si="17"/>
        <v>2.2930232558139534</v>
      </c>
      <c r="C29" s="2390">
        <f t="shared" si="17"/>
        <v>0</v>
      </c>
      <c r="D29" s="2569">
        <f t="shared" si="17"/>
        <v>3754.2723665615231</v>
      </c>
      <c r="E29" s="2569">
        <f t="shared" si="17"/>
        <v>1031.3982742262244</v>
      </c>
      <c r="F29" s="2569">
        <f t="shared" si="17"/>
        <v>0</v>
      </c>
      <c r="G29" s="2569"/>
      <c r="H29" s="1461">
        <f t="shared" ref="H29:H72" si="38">(H28+C28)*EXP(-$B$15*B29)</f>
        <v>0</v>
      </c>
      <c r="I29" s="1461">
        <f t="shared" ref="I29:I72" si="39">(I28+D28)*EXP(-$B$15*B29)</f>
        <v>713.52815482646361</v>
      </c>
      <c r="J29" s="1461">
        <f t="shared" ref="J29:J72" si="40">(J28+E28)*EXP(-$B$15*B29)</f>
        <v>196.02692955210446</v>
      </c>
      <c r="K29" s="1461">
        <f t="shared" ref="K29:K72" si="41">F28+(K28-$B$19*$B$15*(H28+C28)/($B$16-$B$15)-$B$17*$B$15*(I28+D28)/($B$16-$B$15)-$B$18*$B$15*(J28+E28)/($B$16-$B$15))*EXP(-$B$16*B29)+$B$19*$B$15*(H28+C28)/($B$16-$B$15)*EXP(-$B$15*B29)+$B$17*$B$15*(I28+D28)/($B$16-$B$15)*EXP(-$B$15*B29)+$B$18*$B$15*(J28+E28)/($B$16-$B$15)*EXP(-$B$15*B29)</f>
        <v>50609.954835331097</v>
      </c>
      <c r="L29" s="2571">
        <f t="shared" si="18"/>
        <v>51519.509919709664</v>
      </c>
      <c r="M29" s="1461">
        <f t="shared" si="33"/>
        <v>17.92719870692963</v>
      </c>
      <c r="N29" s="1461">
        <f t="shared" si="34"/>
        <v>1276229.1417449159</v>
      </c>
      <c r="O29" s="1018">
        <v>1987</v>
      </c>
      <c r="P29" s="2351">
        <v>7</v>
      </c>
      <c r="Q29" s="1461">
        <f t="shared" si="19"/>
        <v>51519.509919709664</v>
      </c>
      <c r="R29" s="2921">
        <f t="shared" si="35"/>
        <v>51519.509919709664</v>
      </c>
      <c r="S29" s="1018">
        <f t="shared" si="20"/>
        <v>0</v>
      </c>
      <c r="T29" s="1018">
        <f t="shared" si="20"/>
        <v>0</v>
      </c>
      <c r="U29" s="13"/>
      <c r="V29" s="13"/>
      <c r="W29" s="1461">
        <f t="shared" si="36"/>
        <v>0</v>
      </c>
      <c r="X29" s="2699">
        <f t="shared" si="21"/>
        <v>1.7173169973236555</v>
      </c>
      <c r="Y29" s="2699">
        <f t="shared" si="22"/>
        <v>1.7173169973236555</v>
      </c>
      <c r="Z29" s="1018"/>
      <c r="AA29" s="2352"/>
      <c r="AB29" s="2702">
        <f t="shared" si="23"/>
        <v>0</v>
      </c>
      <c r="AC29" s="2354"/>
      <c r="AE29" t="s">
        <v>1426</v>
      </c>
      <c r="AF29" s="98">
        <f>+I51+H51+J51</f>
        <v>909.56519907608435</v>
      </c>
      <c r="AG29" s="98">
        <f>+J126+I126+H126</f>
        <v>909.56519907608435</v>
      </c>
      <c r="AI29" s="2581" t="s">
        <v>1388</v>
      </c>
      <c r="AJ29" s="473">
        <f>B19</f>
        <v>0.31</v>
      </c>
      <c r="AK29" s="473"/>
      <c r="AR29" s="473">
        <f t="shared" si="24"/>
        <v>6</v>
      </c>
      <c r="AS29" s="809">
        <f t="shared" si="25"/>
        <v>707.9038008199592</v>
      </c>
      <c r="AT29" s="809">
        <f t="shared" si="26"/>
        <v>708.15042274331893</v>
      </c>
      <c r="AU29" s="97">
        <f t="shared" si="27"/>
        <v>625.96362945998874</v>
      </c>
      <c r="AV29" s="97">
        <f t="shared" si="28"/>
        <v>625.71700753662901</v>
      </c>
      <c r="AX29" s="2909">
        <f t="shared" ref="AX29:AX52" si="42">K29</f>
        <v>50609.954835331097</v>
      </c>
      <c r="AY29">
        <f t="shared" ref="AY29:AY52" si="43">AX29*BR29</f>
        <v>49906.978913243984</v>
      </c>
      <c r="AZ29" s="2910">
        <f t="shared" ref="AZ29:AZ52" si="44">-$B$19 * $B$15* (H29+C29)/($B$16-$B$15)</f>
        <v>0</v>
      </c>
      <c r="BA29" s="2767">
        <f t="shared" ref="BA29:BA52" si="45">AZ29*BR29</f>
        <v>0</v>
      </c>
      <c r="BB29" s="2910">
        <f t="shared" ref="BB29:BB52" si="46">-$B$17* $B$15* (I29 + D29) / ($B$16-$B$15)</f>
        <v>562.76615712155024</v>
      </c>
      <c r="BC29" s="2767">
        <f t="shared" ref="BC29:BC52" si="47">BB29*BR29</f>
        <v>554.94929461872573</v>
      </c>
      <c r="BD29" s="2910">
        <f t="shared" ref="BD29:BD52" si="48">-$B$18*$B$15* (J29 + E29) / ($B$16-$B$15)</f>
        <v>309.21405813788363</v>
      </c>
      <c r="BE29" s="2767">
        <f t="shared" ref="BE29:BE52" si="49">BD29*BR29</f>
        <v>304.91905257328608</v>
      </c>
      <c r="BF29" s="104"/>
      <c r="BG29" s="2910">
        <f t="shared" ref="BG29:BG52" si="50">+$B$19*$B$15* (H29 + C29) / ($B$16-$B$15)</f>
        <v>0</v>
      </c>
      <c r="BH29" s="2767">
        <f t="shared" ref="BH29:BH52" si="51">BG29*BS29</f>
        <v>0</v>
      </c>
      <c r="BI29" s="2910">
        <f t="shared" ref="BI29:BI52" si="52">+$B$17*$B$15* (I29 + D29) / ($B$16-$B$15)</f>
        <v>-562.76615712155024</v>
      </c>
      <c r="BJ29" s="2767">
        <f t="shared" ref="BJ29:BJ52" si="53">BI29*BS29</f>
        <v>-89.877316081046473</v>
      </c>
      <c r="BK29" s="2910">
        <f t="shared" ref="BK29:BK52" si="54">+$B$18*$B$15* (J29 + E29) / ($B$16-$B$15)</f>
        <v>-309.21405813788363</v>
      </c>
      <c r="BL29" s="2767">
        <f t="shared" ref="BL29:BL52" si="55">BK29*BS29</f>
        <v>-49.383441573866847</v>
      </c>
      <c r="BM29" s="97">
        <f t="shared" si="30"/>
        <v>0</v>
      </c>
      <c r="BN29" s="2896">
        <f t="shared" si="31"/>
        <v>50766.847260435999</v>
      </c>
      <c r="BP29" s="97">
        <f t="shared" si="32"/>
        <v>50627.586502781087</v>
      </c>
      <c r="BQ29" s="97">
        <f t="shared" si="37"/>
        <v>17.631667449990346</v>
      </c>
      <c r="BR29">
        <f t="shared" ref="BR29:BR52" si="56">EXP(-$B$16*B30)</f>
        <v>0.98610992789117524</v>
      </c>
      <c r="BS29">
        <f t="shared" ref="BS29:BS52" si="57">EXP(-$B$15*B30)</f>
        <v>0.15970632729720832</v>
      </c>
    </row>
    <row r="30" spans="1:71" ht="15.75">
      <c r="A30" s="2351">
        <v>7</v>
      </c>
      <c r="B30" s="2389">
        <f t="shared" si="17"/>
        <v>2.2930232558139534</v>
      </c>
      <c r="C30" s="2390">
        <f t="shared" si="17"/>
        <v>0</v>
      </c>
      <c r="D30" s="2569">
        <f t="shared" si="17"/>
        <v>3754.2723665615231</v>
      </c>
      <c r="E30" s="2569">
        <f t="shared" si="17"/>
        <v>1031.3982742262244</v>
      </c>
      <c r="F30" s="2569">
        <f t="shared" si="17"/>
        <v>0</v>
      </c>
      <c r="G30" s="2569"/>
      <c r="H30" s="1461">
        <f t="shared" si="38"/>
        <v>0</v>
      </c>
      <c r="I30" s="1461">
        <f t="shared" si="39"/>
        <v>713.53601236742782</v>
      </c>
      <c r="J30" s="1461">
        <f t="shared" si="40"/>
        <v>196.02757132746444</v>
      </c>
      <c r="K30" s="1461">
        <f t="shared" si="41"/>
        <v>50627.586502781087</v>
      </c>
      <c r="L30" s="2571">
        <f t="shared" si="18"/>
        <v>51537.15008647598</v>
      </c>
      <c r="M30" s="1461">
        <f t="shared" si="33"/>
        <v>17.640166766315815</v>
      </c>
      <c r="N30" s="1461">
        <f t="shared" si="34"/>
        <v>1092924.5627312895</v>
      </c>
      <c r="O30" s="1018">
        <v>1988</v>
      </c>
      <c r="P30" s="2351">
        <v>8</v>
      </c>
      <c r="Q30" s="1461">
        <f t="shared" si="19"/>
        <v>51537.15008647598</v>
      </c>
      <c r="R30" s="2921">
        <f t="shared" si="35"/>
        <v>51537.15008647598</v>
      </c>
      <c r="S30" s="1018">
        <f t="shared" si="20"/>
        <v>0</v>
      </c>
      <c r="T30" s="1018">
        <f t="shared" si="20"/>
        <v>0</v>
      </c>
      <c r="U30" s="13"/>
      <c r="V30" s="13"/>
      <c r="W30" s="1461">
        <f t="shared" si="36"/>
        <v>0</v>
      </c>
      <c r="X30" s="2699">
        <f t="shared" si="21"/>
        <v>1.7179050028825327</v>
      </c>
      <c r="Y30" s="2699">
        <f t="shared" si="22"/>
        <v>1.7179050028825327</v>
      </c>
      <c r="Z30" s="1018"/>
      <c r="AA30" s="2352"/>
      <c r="AB30" s="2702">
        <f t="shared" si="23"/>
        <v>0</v>
      </c>
      <c r="AC30" s="2354"/>
      <c r="AE30" t="s">
        <v>1441</v>
      </c>
      <c r="AF30" s="98">
        <f>+AF29/K51*100</f>
        <v>1.7853442331590332</v>
      </c>
      <c r="AG30" s="98">
        <f>+AG29/K126*100</f>
        <v>1.7853442331590332</v>
      </c>
      <c r="AI30" s="2718" t="s">
        <v>1690</v>
      </c>
      <c r="AJ30" s="2656">
        <f>B24</f>
        <v>2.2930232558139534</v>
      </c>
      <c r="AK30" s="2656">
        <f>B98</f>
        <v>2.2930232558139534</v>
      </c>
      <c r="AR30" s="473">
        <f t="shared" si="24"/>
        <v>7</v>
      </c>
      <c r="AS30" s="809">
        <f t="shared" si="25"/>
        <v>708.15042274331893</v>
      </c>
      <c r="AT30" s="809">
        <f t="shared" si="26"/>
        <v>708.39363237991074</v>
      </c>
      <c r="AU30" s="97">
        <f t="shared" si="27"/>
        <v>625.71700753662901</v>
      </c>
      <c r="AV30" s="97">
        <f t="shared" si="28"/>
        <v>625.4737979000372</v>
      </c>
      <c r="AX30" s="2909">
        <f t="shared" si="42"/>
        <v>50627.586502781087</v>
      </c>
      <c r="AY30">
        <f t="shared" si="43"/>
        <v>49924.365675561698</v>
      </c>
      <c r="AZ30" s="2910">
        <f t="shared" si="44"/>
        <v>0</v>
      </c>
      <c r="BA30" s="2767">
        <f t="shared" si="45"/>
        <v>0</v>
      </c>
      <c r="BB30" s="2910">
        <f t="shared" si="46"/>
        <v>562.76714686093351</v>
      </c>
      <c r="BC30" s="2767">
        <f t="shared" si="47"/>
        <v>554.9502706105576</v>
      </c>
      <c r="BD30" s="2910">
        <f t="shared" si="48"/>
        <v>309.21421981450777</v>
      </c>
      <c r="BE30" s="2767">
        <f t="shared" si="49"/>
        <v>304.91921200421029</v>
      </c>
      <c r="BF30" s="104"/>
      <c r="BG30" s="2910">
        <f t="shared" si="50"/>
        <v>0</v>
      </c>
      <c r="BH30" s="2767">
        <f t="shared" si="51"/>
        <v>0</v>
      </c>
      <c r="BI30" s="2910">
        <f t="shared" si="52"/>
        <v>-562.76714686093351</v>
      </c>
      <c r="BJ30" s="2767">
        <f t="shared" si="53"/>
        <v>-89.87747414868835</v>
      </c>
      <c r="BK30" s="2910">
        <f t="shared" si="54"/>
        <v>-309.21421981450777</v>
      </c>
      <c r="BL30" s="2767">
        <f t="shared" si="55"/>
        <v>-49.383467394646694</v>
      </c>
      <c r="BM30" s="97">
        <f t="shared" si="30"/>
        <v>0</v>
      </c>
      <c r="BN30" s="2896">
        <f t="shared" si="31"/>
        <v>50784.23515817646</v>
      </c>
      <c r="BP30" s="97">
        <f t="shared" si="32"/>
        <v>50644.974216633127</v>
      </c>
      <c r="BQ30" s="97">
        <f t="shared" si="37"/>
        <v>17.387713852040179</v>
      </c>
      <c r="BR30">
        <f t="shared" si="56"/>
        <v>0.98610992789117524</v>
      </c>
      <c r="BS30">
        <f t="shared" si="57"/>
        <v>0.15970632729720832</v>
      </c>
    </row>
    <row r="31" spans="1:71" ht="15.75">
      <c r="A31" s="2351">
        <v>8</v>
      </c>
      <c r="B31" s="2389">
        <f t="shared" si="17"/>
        <v>2.2930232558139534</v>
      </c>
      <c r="C31" s="2390">
        <f t="shared" si="17"/>
        <v>0</v>
      </c>
      <c r="D31" s="2569">
        <f t="shared" si="17"/>
        <v>3754.2723665615231</v>
      </c>
      <c r="E31" s="2569">
        <f t="shared" si="17"/>
        <v>1031.3982742262244</v>
      </c>
      <c r="F31" s="2569">
        <f t="shared" si="17"/>
        <v>0</v>
      </c>
      <c r="G31" s="2569"/>
      <c r="H31" s="1461">
        <f t="shared" si="38"/>
        <v>0</v>
      </c>
      <c r="I31" s="1461">
        <f t="shared" si="39"/>
        <v>713.53726726643686</v>
      </c>
      <c r="J31" s="1461">
        <f t="shared" si="40"/>
        <v>196.02767382305009</v>
      </c>
      <c r="K31" s="1461">
        <f t="shared" si="41"/>
        <v>50644.974216633127</v>
      </c>
      <c r="L31" s="2571">
        <f t="shared" si="18"/>
        <v>51554.539157722618</v>
      </c>
      <c r="M31" s="1461">
        <f t="shared" si="33"/>
        <v>17.389071246638196</v>
      </c>
      <c r="N31" s="1461">
        <f t="shared" si="34"/>
        <v>961634.01269344578</v>
      </c>
      <c r="O31" s="1018">
        <v>1989</v>
      </c>
      <c r="P31" s="2351">
        <v>9</v>
      </c>
      <c r="Q31" s="1461">
        <f t="shared" si="19"/>
        <v>51554.539157722618</v>
      </c>
      <c r="R31" s="2921">
        <f t="shared" si="35"/>
        <v>51554.539157722618</v>
      </c>
      <c r="S31" s="1018">
        <f t="shared" si="20"/>
        <v>0</v>
      </c>
      <c r="T31" s="1018">
        <f t="shared" si="20"/>
        <v>0</v>
      </c>
      <c r="U31" s="13"/>
      <c r="V31" s="13"/>
      <c r="W31" s="1461">
        <f t="shared" si="36"/>
        <v>0</v>
      </c>
      <c r="X31" s="2699">
        <f t="shared" si="21"/>
        <v>1.718484638590754</v>
      </c>
      <c r="Y31" s="2699">
        <f t="shared" si="22"/>
        <v>1.718484638590754</v>
      </c>
      <c r="Z31" s="1018">
        <f t="shared" ref="Z31:AA55" si="58">+U31</f>
        <v>0</v>
      </c>
      <c r="AA31" s="2352">
        <f t="shared" si="58"/>
        <v>0</v>
      </c>
      <c r="AB31" s="2702">
        <f t="shared" si="23"/>
        <v>0</v>
      </c>
      <c r="AC31" s="2354"/>
      <c r="AG31" s="2354"/>
      <c r="AR31" s="473">
        <f t="shared" si="24"/>
        <v>8</v>
      </c>
      <c r="AS31" s="809">
        <f t="shared" si="25"/>
        <v>708.39363237991074</v>
      </c>
      <c r="AT31" s="809">
        <f t="shared" si="26"/>
        <v>708.633465942729</v>
      </c>
      <c r="AU31" s="97">
        <f t="shared" si="27"/>
        <v>625.4737979000372</v>
      </c>
      <c r="AV31" s="97">
        <f t="shared" si="28"/>
        <v>625.23396433721894</v>
      </c>
      <c r="AX31" s="2909">
        <f t="shared" si="42"/>
        <v>50644.974216633127</v>
      </c>
      <c r="AY31">
        <f t="shared" si="43"/>
        <v>49941.511872814524</v>
      </c>
      <c r="AZ31" s="2910">
        <f t="shared" si="44"/>
        <v>0</v>
      </c>
      <c r="BA31" s="2767">
        <f t="shared" si="45"/>
        <v>0</v>
      </c>
      <c r="BB31" s="2910">
        <f t="shared" si="46"/>
        <v>562.76730492857541</v>
      </c>
      <c r="BC31" s="2767">
        <f t="shared" si="47"/>
        <v>554.95042648262859</v>
      </c>
      <c r="BD31" s="2910">
        <f t="shared" si="48"/>
        <v>309.21424563528768</v>
      </c>
      <c r="BE31" s="2767">
        <f t="shared" si="49"/>
        <v>304.91923746633768</v>
      </c>
      <c r="BF31" s="104"/>
      <c r="BG31" s="2910">
        <f t="shared" si="50"/>
        <v>0</v>
      </c>
      <c r="BH31" s="2767">
        <f t="shared" si="51"/>
        <v>0</v>
      </c>
      <c r="BI31" s="2910">
        <f t="shared" si="52"/>
        <v>-562.76730492857541</v>
      </c>
      <c r="BJ31" s="2767">
        <f t="shared" si="53"/>
        <v>-89.877499393090901</v>
      </c>
      <c r="BK31" s="2910">
        <f t="shared" si="54"/>
        <v>-309.21424563528768</v>
      </c>
      <c r="BL31" s="2767">
        <f t="shared" si="55"/>
        <v>-49.383471518388625</v>
      </c>
      <c r="BM31" s="97">
        <f t="shared" si="30"/>
        <v>0</v>
      </c>
      <c r="BN31" s="2896">
        <f t="shared" si="31"/>
        <v>50801.381536763489</v>
      </c>
      <c r="BP31" s="97">
        <f t="shared" si="32"/>
        <v>50662.120565852005</v>
      </c>
      <c r="BQ31" s="97">
        <f t="shared" si="37"/>
        <v>17.146349218877731</v>
      </c>
      <c r="BR31">
        <f t="shared" si="56"/>
        <v>0.98610992789117524</v>
      </c>
      <c r="BS31">
        <f t="shared" si="57"/>
        <v>0.15970632729720832</v>
      </c>
    </row>
    <row r="32" spans="1:71" ht="15.75">
      <c r="A32" s="2351">
        <v>9</v>
      </c>
      <c r="B32" s="2389">
        <f t="shared" si="17"/>
        <v>2.2930232558139534</v>
      </c>
      <c r="C32" s="2390">
        <f t="shared" si="17"/>
        <v>0</v>
      </c>
      <c r="D32" s="2569">
        <f t="shared" si="17"/>
        <v>3754.2723665615231</v>
      </c>
      <c r="E32" s="2569">
        <f t="shared" si="17"/>
        <v>1031.3982742262244</v>
      </c>
      <c r="F32" s="2569">
        <f t="shared" si="17"/>
        <v>0</v>
      </c>
      <c r="G32" s="2569"/>
      <c r="H32" s="1461">
        <f t="shared" si="38"/>
        <v>0</v>
      </c>
      <c r="I32" s="1461">
        <f t="shared" si="39"/>
        <v>713.53746768174869</v>
      </c>
      <c r="J32" s="1461">
        <f t="shared" si="40"/>
        <v>196.02769019224365</v>
      </c>
      <c r="K32" s="1461">
        <f t="shared" si="41"/>
        <v>50662.120565852005</v>
      </c>
      <c r="L32" s="2571">
        <f t="shared" si="18"/>
        <v>51571.685723725997</v>
      </c>
      <c r="M32" s="1461">
        <f t="shared" si="33"/>
        <v>17.146566003379121</v>
      </c>
      <c r="N32" s="1461">
        <f t="shared" si="34"/>
        <v>862862.96861098893</v>
      </c>
      <c r="O32" s="1018">
        <v>1990</v>
      </c>
      <c r="P32" s="2351">
        <v>10</v>
      </c>
      <c r="Q32" s="1461">
        <f t="shared" si="19"/>
        <v>51571.685723725997</v>
      </c>
      <c r="R32" s="2921">
        <f t="shared" si="35"/>
        <v>51571.685723725997</v>
      </c>
      <c r="S32" s="1018">
        <f t="shared" si="20"/>
        <v>0</v>
      </c>
      <c r="T32" s="1018">
        <f t="shared" si="20"/>
        <v>0</v>
      </c>
      <c r="U32" s="13"/>
      <c r="V32" s="13"/>
      <c r="W32" s="1461">
        <f t="shared" si="36"/>
        <v>0</v>
      </c>
      <c r="X32" s="2699">
        <f t="shared" si="21"/>
        <v>1.7190561907908666</v>
      </c>
      <c r="Y32" s="2699">
        <f t="shared" si="22"/>
        <v>1.7190561907908666</v>
      </c>
      <c r="Z32" s="1018"/>
      <c r="AA32" s="2352"/>
      <c r="AB32" s="2702">
        <f t="shared" si="23"/>
        <v>0</v>
      </c>
      <c r="AC32" s="2354"/>
      <c r="AG32" s="2354"/>
      <c r="AR32" s="473">
        <f t="shared" si="24"/>
        <v>9</v>
      </c>
      <c r="AS32" s="809">
        <f t="shared" si="25"/>
        <v>708.633465942729</v>
      </c>
      <c r="AT32" s="809">
        <f t="shared" si="26"/>
        <v>708.8699685395402</v>
      </c>
      <c r="AU32" s="97">
        <f t="shared" si="27"/>
        <v>625.23396433721894</v>
      </c>
      <c r="AV32" s="97">
        <f t="shared" si="28"/>
        <v>624.99746174040774</v>
      </c>
      <c r="AX32" s="2909">
        <f t="shared" si="42"/>
        <v>50662.120565852005</v>
      </c>
      <c r="AY32">
        <f t="shared" si="43"/>
        <v>49958.420058006348</v>
      </c>
      <c r="AZ32" s="2910">
        <f t="shared" si="44"/>
        <v>0</v>
      </c>
      <c r="BA32" s="2767">
        <f t="shared" si="45"/>
        <v>0</v>
      </c>
      <c r="BB32" s="2910">
        <f t="shared" si="46"/>
        <v>562.76733017297784</v>
      </c>
      <c r="BC32" s="2767">
        <f t="shared" si="47"/>
        <v>554.95045137638442</v>
      </c>
      <c r="BD32" s="2910">
        <f t="shared" si="48"/>
        <v>309.2142497590296</v>
      </c>
      <c r="BE32" s="2767">
        <f t="shared" si="49"/>
        <v>304.91924153280053</v>
      </c>
      <c r="BF32" s="104"/>
      <c r="BG32" s="2910">
        <f t="shared" si="50"/>
        <v>0</v>
      </c>
      <c r="BH32" s="2767">
        <f t="shared" si="51"/>
        <v>0</v>
      </c>
      <c r="BI32" s="2910">
        <f t="shared" si="52"/>
        <v>-562.76733017297784</v>
      </c>
      <c r="BJ32" s="2767">
        <f t="shared" si="53"/>
        <v>-89.877503424781693</v>
      </c>
      <c r="BK32" s="2910">
        <f t="shared" si="54"/>
        <v>-309.2142497590296</v>
      </c>
      <c r="BL32" s="2767">
        <f t="shared" si="55"/>
        <v>-49.383472176976298</v>
      </c>
      <c r="BM32" s="97">
        <f t="shared" si="30"/>
        <v>0</v>
      </c>
      <c r="BN32" s="2896">
        <f t="shared" si="31"/>
        <v>50818.289750915537</v>
      </c>
      <c r="BP32" s="97">
        <f t="shared" si="32"/>
        <v>50679.028775313782</v>
      </c>
      <c r="BQ32" s="97">
        <f t="shared" si="37"/>
        <v>16.908209461777005</v>
      </c>
      <c r="BR32">
        <f t="shared" si="56"/>
        <v>0.98610992789117524</v>
      </c>
      <c r="BS32">
        <f t="shared" si="57"/>
        <v>0.15970632729720832</v>
      </c>
    </row>
    <row r="33" spans="1:71" ht="15.75">
      <c r="A33" s="2917">
        <v>10</v>
      </c>
      <c r="B33" s="2918">
        <f t="shared" si="17"/>
        <v>2.2930232558139534</v>
      </c>
      <c r="C33" s="2919">
        <f t="shared" si="17"/>
        <v>0</v>
      </c>
      <c r="D33" s="2920">
        <f t="shared" si="17"/>
        <v>3754.2723665615231</v>
      </c>
      <c r="E33" s="2920">
        <f t="shared" si="17"/>
        <v>1031.3982742262244</v>
      </c>
      <c r="F33" s="2920">
        <f t="shared" si="17"/>
        <v>0</v>
      </c>
      <c r="G33" s="2920"/>
      <c r="H33" s="2921">
        <f t="shared" si="38"/>
        <v>0</v>
      </c>
      <c r="I33" s="2921">
        <f t="shared" si="39"/>
        <v>713.53749968934198</v>
      </c>
      <c r="J33" s="2921">
        <f t="shared" si="40"/>
        <v>196.02769280650745</v>
      </c>
      <c r="K33" s="2921">
        <f t="shared" si="41"/>
        <v>50679.028775313782</v>
      </c>
      <c r="L33" s="2922">
        <f t="shared" si="18"/>
        <v>51588.593967809633</v>
      </c>
      <c r="M33" s="2921">
        <f t="shared" si="33"/>
        <v>16.908244083635509</v>
      </c>
      <c r="N33" s="2921">
        <f t="shared" si="34"/>
        <v>785776.24330269627</v>
      </c>
      <c r="O33" s="2923">
        <v>1991</v>
      </c>
      <c r="P33" s="2917">
        <v>11</v>
      </c>
      <c r="Q33" s="2921">
        <f t="shared" si="19"/>
        <v>51588.593967809633</v>
      </c>
      <c r="R33" s="2921">
        <f t="shared" si="35"/>
        <v>51588.593967809633</v>
      </c>
      <c r="S33" s="2923">
        <f t="shared" si="20"/>
        <v>0</v>
      </c>
      <c r="T33" s="2923">
        <f t="shared" si="20"/>
        <v>0</v>
      </c>
      <c r="U33" s="2924"/>
      <c r="V33" s="2924"/>
      <c r="W33" s="1461">
        <f t="shared" si="36"/>
        <v>0</v>
      </c>
      <c r="X33" s="2925">
        <f t="shared" si="21"/>
        <v>1.7196197989269877</v>
      </c>
      <c r="Y33" s="2925">
        <f t="shared" si="22"/>
        <v>1.7196197989269877</v>
      </c>
      <c r="Z33" s="2923"/>
      <c r="AA33" s="2926"/>
      <c r="AB33" s="2927">
        <f t="shared" si="23"/>
        <v>0</v>
      </c>
      <c r="AC33" s="2928"/>
      <c r="AD33" s="2912"/>
      <c r="AE33" s="2912"/>
      <c r="AF33" s="2928"/>
      <c r="AG33" s="2928"/>
      <c r="AH33" s="2912"/>
      <c r="AI33" s="2912"/>
      <c r="AJ33" s="2912"/>
      <c r="AK33" s="2912"/>
      <c r="AL33" s="2912"/>
      <c r="AM33" s="2912"/>
      <c r="AN33" s="2912"/>
      <c r="AO33" s="2912"/>
      <c r="AP33" s="2912"/>
      <c r="AQ33" s="2912"/>
      <c r="AR33" s="695">
        <f t="shared" si="24"/>
        <v>10</v>
      </c>
      <c r="AS33" s="2929">
        <f t="shared" si="25"/>
        <v>708.8699685395402</v>
      </c>
      <c r="AT33" s="2929">
        <f t="shared" si="26"/>
        <v>709.10318615244387</v>
      </c>
      <c r="AU33" s="2916">
        <f t="shared" si="27"/>
        <v>624.99746174040774</v>
      </c>
      <c r="AV33" s="2916">
        <f t="shared" si="28"/>
        <v>624.76424412750407</v>
      </c>
      <c r="AW33" s="2912"/>
      <c r="AX33" s="2911">
        <f t="shared" si="42"/>
        <v>50679.028775313782</v>
      </c>
      <c r="AY33" s="2912">
        <f t="shared" si="43"/>
        <v>49975.093411219466</v>
      </c>
      <c r="AZ33" s="2913">
        <f t="shared" si="44"/>
        <v>0</v>
      </c>
      <c r="BA33" s="2914">
        <f t="shared" si="45"/>
        <v>0</v>
      </c>
      <c r="BB33" s="2913">
        <f t="shared" si="46"/>
        <v>562.76733420466883</v>
      </c>
      <c r="BC33" s="2914">
        <f t="shared" si="47"/>
        <v>554.95045535207487</v>
      </c>
      <c r="BD33" s="2913">
        <f t="shared" si="48"/>
        <v>309.21425041761728</v>
      </c>
      <c r="BE33" s="2914">
        <f t="shared" si="49"/>
        <v>304.9192421822404</v>
      </c>
      <c r="BF33" s="2915"/>
      <c r="BG33" s="2913">
        <f t="shared" si="50"/>
        <v>0</v>
      </c>
      <c r="BH33" s="2914">
        <f t="shared" si="51"/>
        <v>0</v>
      </c>
      <c r="BI33" s="2913">
        <f t="shared" si="52"/>
        <v>-562.76733420466883</v>
      </c>
      <c r="BJ33" s="2914">
        <f t="shared" si="53"/>
        <v>-89.877504068668259</v>
      </c>
      <c r="BK33" s="2913">
        <f t="shared" si="54"/>
        <v>-309.21425041761728</v>
      </c>
      <c r="BL33" s="2914">
        <f t="shared" si="55"/>
        <v>-49.383472282156923</v>
      </c>
      <c r="BM33" s="2916">
        <f t="shared" si="30"/>
        <v>0</v>
      </c>
      <c r="BN33" s="2916">
        <f t="shared" si="31"/>
        <v>50834.963108753785</v>
      </c>
      <c r="BO33" s="2912"/>
      <c r="BP33" s="2916">
        <f t="shared" si="32"/>
        <v>50695.702132402963</v>
      </c>
      <c r="BQ33" s="2916">
        <f t="shared" si="37"/>
        <v>16.673357089181081</v>
      </c>
      <c r="BR33" s="2912">
        <f t="shared" si="56"/>
        <v>0.98610992789117524</v>
      </c>
      <c r="BS33" s="2912">
        <f t="shared" si="57"/>
        <v>0.15970632729720832</v>
      </c>
    </row>
    <row r="34" spans="1:71" ht="15.75">
      <c r="A34" s="2351">
        <v>11</v>
      </c>
      <c r="B34" s="2389">
        <f t="shared" si="17"/>
        <v>2.2930232558139534</v>
      </c>
      <c r="C34" s="2390">
        <f t="shared" si="17"/>
        <v>0</v>
      </c>
      <c r="D34" s="2569">
        <f t="shared" si="17"/>
        <v>3754.2723665615231</v>
      </c>
      <c r="E34" s="2569">
        <f t="shared" si="17"/>
        <v>1031.3982742262244</v>
      </c>
      <c r="F34" s="2569">
        <f t="shared" si="17"/>
        <v>0</v>
      </c>
      <c r="G34" s="2569"/>
      <c r="H34" s="1461">
        <f t="shared" si="38"/>
        <v>0</v>
      </c>
      <c r="I34" s="1461">
        <f t="shared" si="39"/>
        <v>713.5375048011573</v>
      </c>
      <c r="J34" s="1461">
        <f t="shared" si="40"/>
        <v>196.02769322402193</v>
      </c>
      <c r="K34" s="1461">
        <f t="shared" si="41"/>
        <v>50695.702132402963</v>
      </c>
      <c r="L34" s="2571">
        <f t="shared" si="18"/>
        <v>51605.267330428142</v>
      </c>
      <c r="M34" s="1461">
        <f t="shared" si="33"/>
        <v>16.673362618508691</v>
      </c>
      <c r="N34" s="1461">
        <f t="shared" si="34"/>
        <v>723871.98159093526</v>
      </c>
      <c r="O34" s="1018">
        <v>1992</v>
      </c>
      <c r="P34" s="2351">
        <v>12</v>
      </c>
      <c r="Q34" s="1461">
        <f t="shared" si="19"/>
        <v>51605.267330428142</v>
      </c>
      <c r="R34" s="2921">
        <f t="shared" si="35"/>
        <v>51605.267330428142</v>
      </c>
      <c r="S34" s="1018">
        <f t="shared" si="20"/>
        <v>0</v>
      </c>
      <c r="T34" s="1018">
        <f t="shared" si="20"/>
        <v>0</v>
      </c>
      <c r="U34" s="13"/>
      <c r="V34" s="13"/>
      <c r="W34" s="1461">
        <f t="shared" si="36"/>
        <v>0</v>
      </c>
      <c r="X34" s="2699">
        <f t="shared" si="21"/>
        <v>1.720175577680938</v>
      </c>
      <c r="Y34" s="2699">
        <f t="shared" si="22"/>
        <v>1.720175577680938</v>
      </c>
      <c r="Z34" s="1018"/>
      <c r="AA34" s="2352"/>
      <c r="AB34" s="2702">
        <f t="shared" si="23"/>
        <v>0</v>
      </c>
      <c r="AC34" s="2354"/>
      <c r="AF34" s="2354"/>
      <c r="AG34" s="2354"/>
      <c r="AR34" s="473">
        <f t="shared" si="24"/>
        <v>11</v>
      </c>
      <c r="AS34" s="809">
        <f t="shared" si="25"/>
        <v>709.10318615244387</v>
      </c>
      <c r="AT34" s="809">
        <f t="shared" si="26"/>
        <v>709.33316436454595</v>
      </c>
      <c r="AU34" s="97">
        <f t="shared" si="27"/>
        <v>624.76424412750407</v>
      </c>
      <c r="AV34" s="97">
        <f t="shared" si="28"/>
        <v>624.53426591540199</v>
      </c>
      <c r="AX34" s="2909">
        <f t="shared" si="42"/>
        <v>50695.702132402963</v>
      </c>
      <c r="AY34">
        <f t="shared" si="43"/>
        <v>49991.535174176388</v>
      </c>
      <c r="AZ34" s="2910">
        <f t="shared" si="44"/>
        <v>0</v>
      </c>
      <c r="BA34" s="2767">
        <f t="shared" si="45"/>
        <v>0</v>
      </c>
      <c r="BB34" s="2910">
        <f t="shared" si="46"/>
        <v>562.76733484855527</v>
      </c>
      <c r="BC34" s="2767">
        <f t="shared" si="47"/>
        <v>554.95045598701768</v>
      </c>
      <c r="BD34" s="2910">
        <f t="shared" si="48"/>
        <v>309.2142505227979</v>
      </c>
      <c r="BE34" s="2767">
        <f t="shared" si="49"/>
        <v>304.91924228596002</v>
      </c>
      <c r="BF34" s="104"/>
      <c r="BG34" s="2910">
        <f t="shared" si="50"/>
        <v>0</v>
      </c>
      <c r="BH34" s="2767">
        <f t="shared" si="51"/>
        <v>0</v>
      </c>
      <c r="BI34" s="2910">
        <f t="shared" si="52"/>
        <v>-562.76733484855527</v>
      </c>
      <c r="BJ34" s="2767">
        <f t="shared" si="53"/>
        <v>-89.877504171501002</v>
      </c>
      <c r="BK34" s="2910">
        <f t="shared" si="54"/>
        <v>-309.2142505227979</v>
      </c>
      <c r="BL34" s="2767">
        <f t="shared" si="55"/>
        <v>-49.383472298954928</v>
      </c>
      <c r="BM34" s="97">
        <f t="shared" si="30"/>
        <v>0</v>
      </c>
      <c r="BN34" s="2896">
        <f t="shared" si="31"/>
        <v>50851.404872449362</v>
      </c>
      <c r="BP34" s="97">
        <f t="shared" si="32"/>
        <v>50712.143895978908</v>
      </c>
      <c r="BQ34" s="97">
        <f t="shared" si="37"/>
        <v>16.441763575945515</v>
      </c>
      <c r="BR34">
        <f t="shared" si="56"/>
        <v>0.98610992789117524</v>
      </c>
      <c r="BS34">
        <f t="shared" si="57"/>
        <v>0.15970632729720832</v>
      </c>
    </row>
    <row r="35" spans="1:71" ht="15.75">
      <c r="A35" s="2351">
        <v>12</v>
      </c>
      <c r="B35" s="2389">
        <f t="shared" si="17"/>
        <v>2.2930232558139534</v>
      </c>
      <c r="C35" s="2390">
        <f t="shared" si="17"/>
        <v>0</v>
      </c>
      <c r="D35" s="2569">
        <f t="shared" si="17"/>
        <v>3754.2723665615231</v>
      </c>
      <c r="E35" s="2569">
        <f t="shared" si="17"/>
        <v>1031.3982742262244</v>
      </c>
      <c r="F35" s="2569">
        <f t="shared" si="17"/>
        <v>0</v>
      </c>
      <c r="G35" s="2569"/>
      <c r="H35" s="1461">
        <f t="shared" si="38"/>
        <v>0</v>
      </c>
      <c r="I35" s="1461">
        <f t="shared" si="39"/>
        <v>713.53750561754646</v>
      </c>
      <c r="J35" s="1461">
        <f t="shared" si="40"/>
        <v>196.02769329070162</v>
      </c>
      <c r="K35" s="1461">
        <f t="shared" si="41"/>
        <v>50712.143895978908</v>
      </c>
      <c r="L35" s="2571">
        <f t="shared" si="18"/>
        <v>51621.709094887156</v>
      </c>
      <c r="M35" s="1461">
        <f t="shared" si="33"/>
        <v>16.441764459013939</v>
      </c>
      <c r="N35" s="1461">
        <f t="shared" si="34"/>
        <v>673012.49640904472</v>
      </c>
      <c r="O35" s="1018">
        <v>1993</v>
      </c>
      <c r="P35" s="2351">
        <v>13</v>
      </c>
      <c r="Q35" s="1461">
        <f t="shared" si="19"/>
        <v>51621.709094887156</v>
      </c>
      <c r="R35" s="2921">
        <f t="shared" si="35"/>
        <v>51621.709094887156</v>
      </c>
      <c r="S35" s="1018">
        <f t="shared" si="20"/>
        <v>0</v>
      </c>
      <c r="T35" s="1018">
        <f t="shared" si="20"/>
        <v>0</v>
      </c>
      <c r="U35" s="13"/>
      <c r="V35" s="13"/>
      <c r="W35" s="1461">
        <f t="shared" si="36"/>
        <v>0</v>
      </c>
      <c r="X35" s="2699">
        <f t="shared" si="21"/>
        <v>1.7207236364962386</v>
      </c>
      <c r="Y35" s="2699">
        <f t="shared" si="22"/>
        <v>1.7207236364962386</v>
      </c>
      <c r="Z35" s="1018"/>
      <c r="AA35" s="2352"/>
      <c r="AB35" s="2702">
        <f t="shared" si="23"/>
        <v>0</v>
      </c>
      <c r="AC35" s="2354"/>
      <c r="AF35" s="2354"/>
      <c r="AG35" s="2354"/>
      <c r="AR35" s="473">
        <f t="shared" si="24"/>
        <v>12</v>
      </c>
      <c r="AS35" s="809">
        <f t="shared" si="25"/>
        <v>709.33316436454595</v>
      </c>
      <c r="AT35" s="809">
        <f t="shared" si="26"/>
        <v>709.55994816408111</v>
      </c>
      <c r="AU35" s="97">
        <f t="shared" si="27"/>
        <v>624.53426591540199</v>
      </c>
      <c r="AV35" s="97">
        <f t="shared" si="28"/>
        <v>624.30748211586683</v>
      </c>
      <c r="AX35" s="2909">
        <f t="shared" si="42"/>
        <v>50712.143895978908</v>
      </c>
      <c r="AY35">
        <f t="shared" si="43"/>
        <v>50007.748560470667</v>
      </c>
      <c r="AZ35" s="2910">
        <f t="shared" si="44"/>
        <v>0</v>
      </c>
      <c r="BA35" s="2767">
        <f t="shared" si="45"/>
        <v>0</v>
      </c>
      <c r="BB35" s="2910">
        <f t="shared" si="46"/>
        <v>562.76733495138797</v>
      </c>
      <c r="BC35" s="2767">
        <f t="shared" si="47"/>
        <v>554.95045608842202</v>
      </c>
      <c r="BD35" s="2910">
        <f t="shared" si="48"/>
        <v>309.21425053959592</v>
      </c>
      <c r="BE35" s="2767">
        <f t="shared" si="49"/>
        <v>304.91924230252471</v>
      </c>
      <c r="BF35" s="104"/>
      <c r="BG35" s="2910">
        <f t="shared" si="50"/>
        <v>0</v>
      </c>
      <c r="BH35" s="2767">
        <f t="shared" si="51"/>
        <v>0</v>
      </c>
      <c r="BI35" s="2910">
        <f t="shared" si="52"/>
        <v>-562.76733495138797</v>
      </c>
      <c r="BJ35" s="2767">
        <f t="shared" si="53"/>
        <v>-89.877504187924032</v>
      </c>
      <c r="BK35" s="2910">
        <f t="shared" si="54"/>
        <v>-309.21425053959592</v>
      </c>
      <c r="BL35" s="2767">
        <f t="shared" si="55"/>
        <v>-49.383472301637681</v>
      </c>
      <c r="BM35" s="97">
        <f t="shared" si="30"/>
        <v>0</v>
      </c>
      <c r="BN35" s="2896">
        <f t="shared" si="31"/>
        <v>50867.618258861607</v>
      </c>
      <c r="BP35" s="97">
        <f t="shared" si="32"/>
        <v>50728.357282372039</v>
      </c>
      <c r="BQ35" s="97">
        <f t="shared" si="37"/>
        <v>16.213386393130349</v>
      </c>
      <c r="BR35">
        <f t="shared" si="56"/>
        <v>0.98610992789117524</v>
      </c>
      <c r="BS35">
        <f t="shared" si="57"/>
        <v>0.15970632729720832</v>
      </c>
    </row>
    <row r="36" spans="1:71" ht="15.75">
      <c r="A36" s="2351">
        <v>13</v>
      </c>
      <c r="B36" s="2389">
        <f t="shared" si="17"/>
        <v>2.2930232558139534</v>
      </c>
      <c r="C36" s="2390">
        <f t="shared" si="17"/>
        <v>0</v>
      </c>
      <c r="D36" s="2569">
        <f t="shared" si="17"/>
        <v>3754.2723665615231</v>
      </c>
      <c r="E36" s="2569">
        <f t="shared" si="17"/>
        <v>1031.3982742262244</v>
      </c>
      <c r="F36" s="2569">
        <f t="shared" si="17"/>
        <v>0</v>
      </c>
      <c r="G36" s="2569"/>
      <c r="H36" s="1461">
        <f t="shared" si="38"/>
        <v>0</v>
      </c>
      <c r="I36" s="1461">
        <f t="shared" si="39"/>
        <v>713.53750574792889</v>
      </c>
      <c r="J36" s="1461">
        <f t="shared" si="40"/>
        <v>196.02769330135078</v>
      </c>
      <c r="K36" s="1461">
        <f t="shared" si="41"/>
        <v>50728.357282372039</v>
      </c>
      <c r="L36" s="2571">
        <f t="shared" si="18"/>
        <v>51637.922481421323</v>
      </c>
      <c r="M36" s="1461">
        <f t="shared" si="33"/>
        <v>16.213386534167512</v>
      </c>
      <c r="N36" s="1461">
        <f t="shared" si="34"/>
        <v>630439.27715343062</v>
      </c>
      <c r="O36" s="1018">
        <v>1994</v>
      </c>
      <c r="P36" s="2351">
        <v>14</v>
      </c>
      <c r="Q36" s="1461">
        <f t="shared" si="19"/>
        <v>51637.922481421323</v>
      </c>
      <c r="R36" s="2921">
        <f t="shared" si="35"/>
        <v>51637.922481421323</v>
      </c>
      <c r="S36" s="1018">
        <f t="shared" si="20"/>
        <v>0</v>
      </c>
      <c r="T36" s="1018">
        <f t="shared" si="20"/>
        <v>0</v>
      </c>
      <c r="U36" s="13"/>
      <c r="V36" s="13"/>
      <c r="W36" s="1461">
        <f t="shared" si="36"/>
        <v>0</v>
      </c>
      <c r="X36" s="2699">
        <f t="shared" si="21"/>
        <v>1.7212640827140442</v>
      </c>
      <c r="Y36" s="2699">
        <f t="shared" si="22"/>
        <v>1.7212640827140442</v>
      </c>
      <c r="Z36" s="1018"/>
      <c r="AA36" s="2352"/>
      <c r="AB36" s="2702">
        <f t="shared" si="23"/>
        <v>0</v>
      </c>
      <c r="AC36" s="2354"/>
      <c r="AR36" s="473">
        <f t="shared" si="24"/>
        <v>13</v>
      </c>
      <c r="AS36" s="809">
        <f t="shared" si="25"/>
        <v>709.55994816408111</v>
      </c>
      <c r="AT36" s="809">
        <f t="shared" si="26"/>
        <v>709.78358192050871</v>
      </c>
      <c r="AU36" s="97">
        <f t="shared" si="27"/>
        <v>624.30748211586683</v>
      </c>
      <c r="AV36" s="97">
        <f t="shared" si="28"/>
        <v>624.08384835943923</v>
      </c>
      <c r="AX36" s="2909">
        <f t="shared" si="42"/>
        <v>50728.357282372039</v>
      </c>
      <c r="AY36">
        <f t="shared" si="43"/>
        <v>50023.736741757668</v>
      </c>
      <c r="AZ36" s="2910">
        <f t="shared" si="44"/>
        <v>0</v>
      </c>
      <c r="BA36" s="2767">
        <f t="shared" si="45"/>
        <v>0</v>
      </c>
      <c r="BB36" s="2910">
        <f t="shared" si="46"/>
        <v>562.76733496781105</v>
      </c>
      <c r="BC36" s="2767">
        <f t="shared" si="47"/>
        <v>554.95045610461705</v>
      </c>
      <c r="BD36" s="2910">
        <f t="shared" si="48"/>
        <v>309.21425054227871</v>
      </c>
      <c r="BE36" s="2767">
        <f t="shared" si="49"/>
        <v>304.91924230517026</v>
      </c>
      <c r="BF36" s="104"/>
      <c r="BG36" s="2910">
        <f t="shared" si="50"/>
        <v>0</v>
      </c>
      <c r="BH36" s="2767">
        <f t="shared" si="51"/>
        <v>0</v>
      </c>
      <c r="BI36" s="2910">
        <f t="shared" si="52"/>
        <v>-562.76733496781105</v>
      </c>
      <c r="BJ36" s="2767">
        <f t="shared" si="53"/>
        <v>-89.877504190546901</v>
      </c>
      <c r="BK36" s="2910">
        <f t="shared" si="54"/>
        <v>-309.21425054227871</v>
      </c>
      <c r="BL36" s="2767">
        <f t="shared" si="55"/>
        <v>-49.383472302066139</v>
      </c>
      <c r="BM36" s="97">
        <f t="shared" si="30"/>
        <v>0</v>
      </c>
      <c r="BN36" s="2896">
        <f t="shared" si="31"/>
        <v>50883.606440167452</v>
      </c>
      <c r="BP36" s="97">
        <f t="shared" si="32"/>
        <v>50744.345463674843</v>
      </c>
      <c r="BQ36" s="97">
        <f t="shared" si="37"/>
        <v>15.988181302804151</v>
      </c>
      <c r="BR36">
        <f t="shared" si="56"/>
        <v>0.98610992789117524</v>
      </c>
      <c r="BS36">
        <f t="shared" si="57"/>
        <v>0.15970632729720832</v>
      </c>
    </row>
    <row r="37" spans="1:71" ht="15.75">
      <c r="A37" s="2351">
        <v>14</v>
      </c>
      <c r="B37" s="2389">
        <f t="shared" si="17"/>
        <v>2.2930232558139534</v>
      </c>
      <c r="C37" s="2390">
        <f t="shared" si="17"/>
        <v>0</v>
      </c>
      <c r="D37" s="2569">
        <f t="shared" si="17"/>
        <v>3754.2723665615231</v>
      </c>
      <c r="E37" s="2569">
        <f t="shared" si="17"/>
        <v>1031.3982742262244</v>
      </c>
      <c r="F37" s="2569">
        <f t="shared" si="17"/>
        <v>0</v>
      </c>
      <c r="G37" s="2569"/>
      <c r="H37" s="1461">
        <f t="shared" si="38"/>
        <v>0</v>
      </c>
      <c r="I37" s="1461">
        <f t="shared" si="39"/>
        <v>713.53750576875177</v>
      </c>
      <c r="J37" s="1461">
        <f t="shared" si="40"/>
        <v>196.02769330305154</v>
      </c>
      <c r="K37" s="1461">
        <f t="shared" si="41"/>
        <v>50744.345463674843</v>
      </c>
      <c r="L37" s="2571">
        <f t="shared" si="18"/>
        <v>51653.910662746646</v>
      </c>
      <c r="M37" s="1461">
        <f t="shared" si="33"/>
        <v>15.988181325323239</v>
      </c>
      <c r="N37" s="1461">
        <f t="shared" si="34"/>
        <v>594242.54916110775</v>
      </c>
      <c r="O37" s="1018">
        <v>1995</v>
      </c>
      <c r="P37" s="2351">
        <v>15</v>
      </c>
      <c r="Q37" s="1461">
        <f t="shared" si="19"/>
        <v>51653.910662746646</v>
      </c>
      <c r="R37" s="2921">
        <f t="shared" si="35"/>
        <v>51653.910662746646</v>
      </c>
      <c r="S37" s="1018">
        <f t="shared" si="20"/>
        <v>0</v>
      </c>
      <c r="T37" s="1018">
        <f t="shared" si="20"/>
        <v>0</v>
      </c>
      <c r="U37" s="13"/>
      <c r="V37" s="13"/>
      <c r="W37" s="1461">
        <f t="shared" si="36"/>
        <v>0</v>
      </c>
      <c r="X37" s="2699">
        <f t="shared" si="21"/>
        <v>1.7217970220915548</v>
      </c>
      <c r="Y37" s="2699">
        <f t="shared" si="22"/>
        <v>1.7217970220915548</v>
      </c>
      <c r="Z37" s="1018"/>
      <c r="AA37" s="2352"/>
      <c r="AB37" s="2702">
        <f t="shared" si="23"/>
        <v>0</v>
      </c>
      <c r="AC37" s="2354"/>
      <c r="AR37" s="473">
        <f t="shared" si="24"/>
        <v>14</v>
      </c>
      <c r="AS37" s="809">
        <f t="shared" si="25"/>
        <v>709.78358192050871</v>
      </c>
      <c r="AT37" s="809">
        <f t="shared" si="26"/>
        <v>710.0041093879687</v>
      </c>
      <c r="AU37" s="97">
        <f t="shared" si="27"/>
        <v>624.08384835943923</v>
      </c>
      <c r="AV37" s="97">
        <f t="shared" si="28"/>
        <v>623.86332089197924</v>
      </c>
      <c r="AX37" s="2909">
        <f t="shared" si="42"/>
        <v>50744.345463674843</v>
      </c>
      <c r="AY37">
        <f t="shared" si="43"/>
        <v>50039.502846069285</v>
      </c>
      <c r="AZ37" s="2910">
        <f t="shared" si="44"/>
        <v>0</v>
      </c>
      <c r="BA37" s="2767">
        <f t="shared" si="45"/>
        <v>0</v>
      </c>
      <c r="BB37" s="2910">
        <f t="shared" si="46"/>
        <v>562.76733497043392</v>
      </c>
      <c r="BC37" s="2767">
        <f t="shared" si="47"/>
        <v>554.95045610720342</v>
      </c>
      <c r="BD37" s="2910">
        <f t="shared" si="48"/>
        <v>309.21425054270713</v>
      </c>
      <c r="BE37" s="2767">
        <f t="shared" si="49"/>
        <v>304.91924230559272</v>
      </c>
      <c r="BF37" s="104"/>
      <c r="BG37" s="2910">
        <f t="shared" si="50"/>
        <v>0</v>
      </c>
      <c r="BH37" s="2767">
        <f t="shared" si="51"/>
        <v>0</v>
      </c>
      <c r="BI37" s="2910">
        <f t="shared" si="52"/>
        <v>-562.76733497043392</v>
      </c>
      <c r="BJ37" s="2767">
        <f t="shared" si="53"/>
        <v>-89.877504190965794</v>
      </c>
      <c r="BK37" s="2910">
        <f t="shared" si="54"/>
        <v>-309.21425054270713</v>
      </c>
      <c r="BL37" s="2767">
        <f t="shared" si="55"/>
        <v>-49.383472302134564</v>
      </c>
      <c r="BM37" s="97">
        <f t="shared" si="30"/>
        <v>0</v>
      </c>
      <c r="BN37" s="2896">
        <f t="shared" si="31"/>
        <v>50899.372544482081</v>
      </c>
      <c r="BP37" s="97">
        <f t="shared" si="32"/>
        <v>50760.111567988977</v>
      </c>
      <c r="BQ37" s="97">
        <f t="shared" si="37"/>
        <v>15.766104314134282</v>
      </c>
      <c r="BR37">
        <f t="shared" si="56"/>
        <v>0.98610992789117524</v>
      </c>
      <c r="BS37">
        <f t="shared" si="57"/>
        <v>0.15970632729720832</v>
      </c>
    </row>
    <row r="38" spans="1:71" ht="15.75">
      <c r="A38" s="2351">
        <v>15</v>
      </c>
      <c r="B38" s="2389">
        <f t="shared" si="17"/>
        <v>2.2930232558139534</v>
      </c>
      <c r="C38" s="2390">
        <f t="shared" si="17"/>
        <v>0</v>
      </c>
      <c r="D38" s="2569">
        <f t="shared" si="17"/>
        <v>3754.2723665615231</v>
      </c>
      <c r="E38" s="2569">
        <f t="shared" si="17"/>
        <v>1031.3982742262244</v>
      </c>
      <c r="F38" s="2569">
        <f t="shared" si="17"/>
        <v>0</v>
      </c>
      <c r="G38" s="2569"/>
      <c r="H38" s="1461">
        <f t="shared" si="38"/>
        <v>0</v>
      </c>
      <c r="I38" s="1461">
        <f t="shared" si="39"/>
        <v>713.53750577207734</v>
      </c>
      <c r="J38" s="1461">
        <f t="shared" si="40"/>
        <v>196.02769330332316</v>
      </c>
      <c r="K38" s="1461">
        <f t="shared" si="41"/>
        <v>50760.111567988977</v>
      </c>
      <c r="L38" s="2571">
        <f t="shared" si="18"/>
        <v>51669.676767064375</v>
      </c>
      <c r="M38" s="1461">
        <f t="shared" si="33"/>
        <v>15.766104317728605</v>
      </c>
      <c r="N38" s="1461">
        <f t="shared" si="34"/>
        <v>563058.15587654908</v>
      </c>
      <c r="O38" s="1018">
        <v>1996</v>
      </c>
      <c r="P38" s="2351">
        <v>16</v>
      </c>
      <c r="Q38" s="1461">
        <f t="shared" si="19"/>
        <v>51669.676767064375</v>
      </c>
      <c r="R38" s="2921">
        <f t="shared" si="35"/>
        <v>51669.676767064375</v>
      </c>
      <c r="S38" s="1018">
        <f t="shared" si="20"/>
        <v>4.26</v>
      </c>
      <c r="T38" s="1018">
        <f t="shared" si="20"/>
        <v>5.07</v>
      </c>
      <c r="U38" s="13">
        <v>1.42</v>
      </c>
      <c r="V38" s="13">
        <v>1.69</v>
      </c>
      <c r="W38" s="1461">
        <f t="shared" si="36"/>
        <v>0</v>
      </c>
      <c r="X38" s="2699">
        <f t="shared" si="21"/>
        <v>1.7223225589021458</v>
      </c>
      <c r="Y38" s="2699">
        <f t="shared" si="22"/>
        <v>1.7223225589021458</v>
      </c>
      <c r="Z38" s="1018"/>
      <c r="AA38" s="2352"/>
      <c r="AB38" s="2702">
        <f t="shared" si="23"/>
        <v>0</v>
      </c>
      <c r="AC38" s="2354"/>
      <c r="AR38" s="473">
        <f t="shared" si="24"/>
        <v>15</v>
      </c>
      <c r="AS38" s="809">
        <f t="shared" si="25"/>
        <v>710.0041093879687</v>
      </c>
      <c r="AT38" s="809">
        <f t="shared" si="26"/>
        <v>710.22157371300932</v>
      </c>
      <c r="AU38" s="97">
        <f t="shared" si="27"/>
        <v>623.86332089197924</v>
      </c>
      <c r="AV38" s="97">
        <f t="shared" si="28"/>
        <v>623.64585656693862</v>
      </c>
      <c r="AX38" s="2909">
        <f t="shared" si="42"/>
        <v>50760.111567988977</v>
      </c>
      <c r="AY38">
        <f t="shared" si="43"/>
        <v>50055.049958057622</v>
      </c>
      <c r="AZ38" s="2910">
        <f t="shared" si="44"/>
        <v>0</v>
      </c>
      <c r="BA38" s="2767">
        <f t="shared" si="45"/>
        <v>0</v>
      </c>
      <c r="BB38" s="2910">
        <f t="shared" si="46"/>
        <v>562.76733497085274</v>
      </c>
      <c r="BC38" s="2767">
        <f t="shared" si="47"/>
        <v>554.95045610761645</v>
      </c>
      <c r="BD38" s="2910">
        <f t="shared" si="48"/>
        <v>309.21425054277552</v>
      </c>
      <c r="BE38" s="2767">
        <f t="shared" si="49"/>
        <v>304.91924230566013</v>
      </c>
      <c r="BF38" s="104"/>
      <c r="BG38" s="2910">
        <f t="shared" si="50"/>
        <v>0</v>
      </c>
      <c r="BH38" s="2767">
        <f t="shared" si="51"/>
        <v>0</v>
      </c>
      <c r="BI38" s="2910">
        <f t="shared" si="52"/>
        <v>-562.76733497085274</v>
      </c>
      <c r="BJ38" s="2767">
        <f t="shared" si="53"/>
        <v>-89.877504191032685</v>
      </c>
      <c r="BK38" s="2910">
        <f t="shared" si="54"/>
        <v>-309.21425054277552</v>
      </c>
      <c r="BL38" s="2767">
        <f t="shared" si="55"/>
        <v>-49.383472302145485</v>
      </c>
      <c r="BM38" s="97">
        <f t="shared" si="30"/>
        <v>0</v>
      </c>
      <c r="BN38" s="2896">
        <f t="shared" si="31"/>
        <v>50914.919656470898</v>
      </c>
      <c r="BP38" s="97">
        <f t="shared" si="32"/>
        <v>50775.658679977721</v>
      </c>
      <c r="BQ38" s="97">
        <f t="shared" si="37"/>
        <v>15.547111988744291</v>
      </c>
      <c r="BR38">
        <f t="shared" si="56"/>
        <v>0.98610992789117524</v>
      </c>
      <c r="BS38">
        <f t="shared" si="57"/>
        <v>0.15970632729720832</v>
      </c>
    </row>
    <row r="39" spans="1:71" ht="15.75">
      <c r="A39" s="2351">
        <v>16</v>
      </c>
      <c r="B39" s="2389">
        <f t="shared" si="17"/>
        <v>2.2930232558139534</v>
      </c>
      <c r="C39" s="2390">
        <f t="shared" si="17"/>
        <v>0</v>
      </c>
      <c r="D39" s="2569">
        <f t="shared" si="17"/>
        <v>3754.2723665615231</v>
      </c>
      <c r="E39" s="2569">
        <f t="shared" si="17"/>
        <v>1031.3982742262244</v>
      </c>
      <c r="F39" s="2569">
        <f t="shared" si="17"/>
        <v>0</v>
      </c>
      <c r="G39" s="2569"/>
      <c r="H39" s="1461">
        <f t="shared" si="38"/>
        <v>0</v>
      </c>
      <c r="I39" s="1461">
        <f t="shared" si="39"/>
        <v>713.5375057726086</v>
      </c>
      <c r="J39" s="1461">
        <f t="shared" si="40"/>
        <v>196.0276933033665</v>
      </c>
      <c r="K39" s="1461">
        <f t="shared" si="41"/>
        <v>50775.658679977721</v>
      </c>
      <c r="L39" s="2571">
        <f t="shared" si="18"/>
        <v>51685.223879053694</v>
      </c>
      <c r="M39" s="1461">
        <f t="shared" si="33"/>
        <v>15.547111989319092</v>
      </c>
      <c r="N39" s="1461"/>
      <c r="O39" s="1018">
        <v>1997</v>
      </c>
      <c r="P39" s="2351">
        <v>17</v>
      </c>
      <c r="Q39" s="1461">
        <f t="shared" si="19"/>
        <v>51685.223879053694</v>
      </c>
      <c r="R39" s="2921">
        <f t="shared" si="35"/>
        <v>51685.223879053694</v>
      </c>
      <c r="S39" s="1018">
        <f t="shared" si="20"/>
        <v>0</v>
      </c>
      <c r="T39" s="1018">
        <f t="shared" si="20"/>
        <v>0</v>
      </c>
      <c r="U39" s="13"/>
      <c r="V39" s="13"/>
      <c r="W39" s="1461">
        <f t="shared" si="36"/>
        <v>0</v>
      </c>
      <c r="X39" s="2699">
        <f t="shared" si="21"/>
        <v>1.7228407959684564</v>
      </c>
      <c r="Y39" s="2699">
        <f t="shared" si="22"/>
        <v>1.7228407959684564</v>
      </c>
      <c r="Z39" s="1018">
        <f t="shared" si="58"/>
        <v>0</v>
      </c>
      <c r="AA39" s="2352">
        <f t="shared" si="58"/>
        <v>0</v>
      </c>
      <c r="AB39" s="2702">
        <f t="shared" si="23"/>
        <v>0</v>
      </c>
      <c r="AC39" s="2354"/>
      <c r="AR39" s="473">
        <f t="shared" si="24"/>
        <v>16</v>
      </c>
      <c r="AS39" s="809">
        <f t="shared" si="25"/>
        <v>710.22157371300932</v>
      </c>
      <c r="AT39" s="809">
        <f t="shared" si="26"/>
        <v>710.43601744289492</v>
      </c>
      <c r="AU39" s="97">
        <f t="shared" si="27"/>
        <v>623.64585656693862</v>
      </c>
      <c r="AV39" s="97">
        <f t="shared" si="28"/>
        <v>623.43141283705302</v>
      </c>
      <c r="AX39" s="2909">
        <f t="shared" si="42"/>
        <v>50775.658679977721</v>
      </c>
      <c r="AY39">
        <f t="shared" si="43"/>
        <v>50070.381119539757</v>
      </c>
      <c r="AZ39" s="2910">
        <f t="shared" si="44"/>
        <v>0</v>
      </c>
      <c r="BA39" s="2767">
        <f t="shared" si="45"/>
        <v>0</v>
      </c>
      <c r="BB39" s="2910">
        <f t="shared" si="46"/>
        <v>562.76733497091971</v>
      </c>
      <c r="BC39" s="2767">
        <f t="shared" si="47"/>
        <v>554.9504561076825</v>
      </c>
      <c r="BD39" s="2910">
        <f t="shared" si="48"/>
        <v>309.21425054278649</v>
      </c>
      <c r="BE39" s="2767">
        <f t="shared" si="49"/>
        <v>304.91924230567099</v>
      </c>
      <c r="BF39" s="104"/>
      <c r="BG39" s="2910">
        <f t="shared" si="50"/>
        <v>0</v>
      </c>
      <c r="BH39" s="2767">
        <f t="shared" si="51"/>
        <v>0</v>
      </c>
      <c r="BI39" s="2910">
        <f t="shared" si="52"/>
        <v>-562.76733497091971</v>
      </c>
      <c r="BJ39" s="2767">
        <f t="shared" si="53"/>
        <v>-89.877504191043371</v>
      </c>
      <c r="BK39" s="2910">
        <f t="shared" si="54"/>
        <v>-309.21425054278649</v>
      </c>
      <c r="BL39" s="2767">
        <f t="shared" si="55"/>
        <v>-49.383472302147233</v>
      </c>
      <c r="BM39" s="97">
        <f t="shared" si="30"/>
        <v>0</v>
      </c>
      <c r="BN39" s="2896">
        <f t="shared" si="31"/>
        <v>50930.250817953107</v>
      </c>
      <c r="BP39" s="97">
        <f t="shared" si="32"/>
        <v>50790.989841459916</v>
      </c>
      <c r="BQ39" s="97">
        <f t="shared" si="37"/>
        <v>15.331161482194148</v>
      </c>
      <c r="BR39">
        <f t="shared" si="56"/>
        <v>0.98610992789117524</v>
      </c>
      <c r="BS39">
        <f t="shared" si="57"/>
        <v>0.15970632729720832</v>
      </c>
    </row>
    <row r="40" spans="1:71" ht="15.75">
      <c r="A40" s="2351">
        <v>17</v>
      </c>
      <c r="B40" s="2389">
        <f t="shared" ref="B40:F55" si="59">+B39</f>
        <v>2.2930232558139534</v>
      </c>
      <c r="C40" s="2390">
        <f t="shared" si="59"/>
        <v>0</v>
      </c>
      <c r="D40" s="2569">
        <f t="shared" si="59"/>
        <v>3754.2723665615231</v>
      </c>
      <c r="E40" s="2569">
        <f t="shared" si="59"/>
        <v>1031.3982742262244</v>
      </c>
      <c r="F40" s="2569">
        <f t="shared" si="59"/>
        <v>0</v>
      </c>
      <c r="G40" s="2569"/>
      <c r="H40" s="1461">
        <f t="shared" si="38"/>
        <v>0</v>
      </c>
      <c r="I40" s="1461">
        <f t="shared" si="39"/>
        <v>713.53750577269341</v>
      </c>
      <c r="J40" s="1461">
        <f t="shared" si="40"/>
        <v>196.02769330337344</v>
      </c>
      <c r="K40" s="1461">
        <f t="shared" si="41"/>
        <v>50790.989841459916</v>
      </c>
      <c r="L40" s="2571">
        <f t="shared" si="18"/>
        <v>51700.555040535983</v>
      </c>
      <c r="M40" s="1461">
        <f t="shared" si="33"/>
        <v>15.331161482288735</v>
      </c>
      <c r="N40" s="1461"/>
      <c r="O40" s="1018">
        <v>1998</v>
      </c>
      <c r="P40" s="2351">
        <v>18</v>
      </c>
      <c r="Q40" s="1461">
        <f t="shared" si="19"/>
        <v>51700.555040535983</v>
      </c>
      <c r="R40" s="2921">
        <f t="shared" si="35"/>
        <v>51700.555040535983</v>
      </c>
      <c r="S40" s="1018">
        <f t="shared" si="20"/>
        <v>0</v>
      </c>
      <c r="T40" s="1018">
        <f t="shared" si="20"/>
        <v>0</v>
      </c>
      <c r="U40" s="13"/>
      <c r="V40" s="13"/>
      <c r="W40" s="1461">
        <f t="shared" si="36"/>
        <v>0</v>
      </c>
      <c r="X40" s="2699">
        <f t="shared" si="21"/>
        <v>1.7233518346845327</v>
      </c>
      <c r="Y40" s="2699">
        <f t="shared" si="22"/>
        <v>1.7233518346845327</v>
      </c>
      <c r="Z40" s="1018"/>
      <c r="AA40" s="2352"/>
      <c r="AB40" s="2702">
        <f t="shared" si="23"/>
        <v>0</v>
      </c>
      <c r="AC40" s="2354"/>
      <c r="AR40" s="473">
        <f t="shared" si="24"/>
        <v>17</v>
      </c>
      <c r="AS40" s="809">
        <f t="shared" si="25"/>
        <v>710.43601744289492</v>
      </c>
      <c r="AT40" s="809">
        <f t="shared" si="26"/>
        <v>710.64748253390928</v>
      </c>
      <c r="AU40" s="97">
        <f t="shared" si="27"/>
        <v>623.43141283705302</v>
      </c>
      <c r="AV40" s="97">
        <f t="shared" si="28"/>
        <v>623.21994774603866</v>
      </c>
      <c r="AX40" s="2909">
        <f t="shared" si="42"/>
        <v>50790.989841459916</v>
      </c>
      <c r="AY40">
        <f t="shared" si="43"/>
        <v>50085.499330083454</v>
      </c>
      <c r="AZ40" s="2910">
        <f t="shared" si="44"/>
        <v>0</v>
      </c>
      <c r="BA40" s="2767">
        <f t="shared" si="45"/>
        <v>0</v>
      </c>
      <c r="BB40" s="2910">
        <f t="shared" si="46"/>
        <v>562.76733497093039</v>
      </c>
      <c r="BC40" s="2767">
        <f t="shared" si="47"/>
        <v>554.95045610769307</v>
      </c>
      <c r="BD40" s="2910">
        <f t="shared" si="48"/>
        <v>309.21425054278825</v>
      </c>
      <c r="BE40" s="2767">
        <f t="shared" si="49"/>
        <v>304.9192423056727</v>
      </c>
      <c r="BF40" s="104"/>
      <c r="BG40" s="2910">
        <f t="shared" si="50"/>
        <v>0</v>
      </c>
      <c r="BH40" s="2767">
        <f t="shared" si="51"/>
        <v>0</v>
      </c>
      <c r="BI40" s="2910">
        <f t="shared" si="52"/>
        <v>-562.76733497093039</v>
      </c>
      <c r="BJ40" s="2767">
        <f t="shared" si="53"/>
        <v>-89.877504191045077</v>
      </c>
      <c r="BK40" s="2910">
        <f t="shared" si="54"/>
        <v>-309.21425054278825</v>
      </c>
      <c r="BL40" s="2767">
        <f t="shared" si="55"/>
        <v>-49.383472302147517</v>
      </c>
      <c r="BM40" s="97">
        <f t="shared" si="30"/>
        <v>0</v>
      </c>
      <c r="BN40" s="2896">
        <f t="shared" si="31"/>
        <v>50945.369028496818</v>
      </c>
      <c r="BP40" s="97">
        <f t="shared" si="32"/>
        <v>50806.108052003619</v>
      </c>
      <c r="BR40">
        <f t="shared" si="56"/>
        <v>0.98610992789117524</v>
      </c>
      <c r="BS40">
        <f t="shared" si="57"/>
        <v>0.15970632729720832</v>
      </c>
    </row>
    <row r="41" spans="1:71" ht="15.75">
      <c r="A41" s="2351">
        <v>18</v>
      </c>
      <c r="B41" s="2389">
        <f t="shared" si="59"/>
        <v>2.2930232558139534</v>
      </c>
      <c r="C41" s="2390">
        <f t="shared" si="59"/>
        <v>0</v>
      </c>
      <c r="D41" s="2569">
        <f t="shared" si="59"/>
        <v>3754.2723665615231</v>
      </c>
      <c r="E41" s="2569">
        <f t="shared" si="59"/>
        <v>1031.3982742262244</v>
      </c>
      <c r="F41" s="2569">
        <f t="shared" si="59"/>
        <v>0</v>
      </c>
      <c r="G41" s="2569"/>
      <c r="H41" s="1461">
        <f t="shared" si="38"/>
        <v>0</v>
      </c>
      <c r="I41" s="1461">
        <f t="shared" si="39"/>
        <v>713.53750577270694</v>
      </c>
      <c r="J41" s="1461">
        <f t="shared" si="40"/>
        <v>196.02769330337458</v>
      </c>
      <c r="K41" s="1461">
        <f t="shared" si="41"/>
        <v>50806.108052003619</v>
      </c>
      <c r="L41" s="2571">
        <f t="shared" si="18"/>
        <v>51715.673251079701</v>
      </c>
      <c r="M41" s="1461">
        <f>L41-L40</f>
        <v>15.118210543718305</v>
      </c>
      <c r="N41" s="1461"/>
      <c r="O41" s="1018">
        <v>1999</v>
      </c>
      <c r="P41" s="2351">
        <v>19</v>
      </c>
      <c r="Q41" s="1461">
        <f t="shared" si="19"/>
        <v>51715.673251079701</v>
      </c>
      <c r="R41" s="2921">
        <f t="shared" si="35"/>
        <v>51715.673251079701</v>
      </c>
      <c r="S41" s="1018">
        <f t="shared" si="20"/>
        <v>0</v>
      </c>
      <c r="T41" s="1018">
        <f t="shared" si="20"/>
        <v>0</v>
      </c>
      <c r="U41" s="13"/>
      <c r="V41" s="13"/>
      <c r="W41" s="1461">
        <f t="shared" si="36"/>
        <v>0</v>
      </c>
      <c r="X41" s="2699">
        <f t="shared" si="21"/>
        <v>1.72385577503599</v>
      </c>
      <c r="Y41" s="2699">
        <f t="shared" si="22"/>
        <v>1.72385577503599</v>
      </c>
      <c r="Z41" s="1018"/>
      <c r="AA41" s="2352"/>
      <c r="AB41" s="2702">
        <f t="shared" si="23"/>
        <v>0</v>
      </c>
      <c r="AC41" s="2354"/>
      <c r="AR41" s="473">
        <f t="shared" si="24"/>
        <v>18</v>
      </c>
      <c r="AS41" s="809">
        <f t="shared" si="25"/>
        <v>710.64748253390928</v>
      </c>
      <c r="AT41" s="809">
        <f t="shared" si="26"/>
        <v>710.85601035956097</v>
      </c>
      <c r="AU41" s="97">
        <f t="shared" si="27"/>
        <v>623.21994774603866</v>
      </c>
      <c r="AV41" s="97">
        <f t="shared" si="28"/>
        <v>623.01141992038697</v>
      </c>
      <c r="AX41" s="2909">
        <f t="shared" si="42"/>
        <v>50806.108052003619</v>
      </c>
      <c r="AY41">
        <f t="shared" si="43"/>
        <v>50100.407547592549</v>
      </c>
      <c r="AZ41" s="2910">
        <f t="shared" si="44"/>
        <v>0</v>
      </c>
      <c r="BA41" s="2767">
        <f t="shared" si="45"/>
        <v>0</v>
      </c>
      <c r="BB41" s="2910">
        <f t="shared" si="46"/>
        <v>562.7673349709321</v>
      </c>
      <c r="BC41" s="2767">
        <f t="shared" si="47"/>
        <v>554.95045610769466</v>
      </c>
      <c r="BD41" s="2910">
        <f t="shared" si="48"/>
        <v>309.21425054278848</v>
      </c>
      <c r="BE41" s="2767">
        <f t="shared" si="49"/>
        <v>304.91924230567292</v>
      </c>
      <c r="BF41" s="104"/>
      <c r="BG41" s="2910">
        <f t="shared" si="50"/>
        <v>0</v>
      </c>
      <c r="BH41" s="2767">
        <f t="shared" si="51"/>
        <v>0</v>
      </c>
      <c r="BI41" s="2910">
        <f t="shared" si="52"/>
        <v>-562.7673349709321</v>
      </c>
      <c r="BJ41" s="2767">
        <f t="shared" si="53"/>
        <v>-89.877504191045347</v>
      </c>
      <c r="BK41" s="2910">
        <f t="shared" si="54"/>
        <v>-309.21425054278848</v>
      </c>
      <c r="BL41" s="2767">
        <f t="shared" si="55"/>
        <v>-49.383472302147553</v>
      </c>
      <c r="BM41" s="97">
        <f t="shared" si="30"/>
        <v>0</v>
      </c>
      <c r="BN41" s="2896">
        <f t="shared" si="31"/>
        <v>50960.277246005913</v>
      </c>
      <c r="BP41" s="97">
        <f t="shared" si="32"/>
        <v>50821.016269512715</v>
      </c>
      <c r="BR41">
        <f t="shared" si="56"/>
        <v>0.98610992789117524</v>
      </c>
      <c r="BS41">
        <f t="shared" si="57"/>
        <v>0.15970632729720832</v>
      </c>
    </row>
    <row r="42" spans="1:71" ht="15.75">
      <c r="A42" s="2351">
        <v>19</v>
      </c>
      <c r="B42" s="2389">
        <f t="shared" si="59"/>
        <v>2.2930232558139534</v>
      </c>
      <c r="C42" s="2390">
        <f t="shared" si="59"/>
        <v>0</v>
      </c>
      <c r="D42" s="2569">
        <f t="shared" si="59"/>
        <v>3754.2723665615231</v>
      </c>
      <c r="E42" s="2569">
        <f t="shared" si="59"/>
        <v>1031.3982742262244</v>
      </c>
      <c r="F42" s="2569">
        <f t="shared" si="59"/>
        <v>0</v>
      </c>
      <c r="G42" s="2569"/>
      <c r="H42" s="1461">
        <f t="shared" si="38"/>
        <v>0</v>
      </c>
      <c r="I42" s="1461">
        <f t="shared" si="39"/>
        <v>713.5375057727091</v>
      </c>
      <c r="J42" s="1461">
        <f t="shared" si="40"/>
        <v>196.02769330337472</v>
      </c>
      <c r="K42" s="1461">
        <f t="shared" si="41"/>
        <v>50821.016269512715</v>
      </c>
      <c r="L42" s="2571">
        <f t="shared" si="18"/>
        <v>51730.581468588796</v>
      </c>
      <c r="M42" s="1461">
        <f t="shared" si="33"/>
        <v>14.908217509095266</v>
      </c>
      <c r="N42" s="1461"/>
      <c r="O42" s="1018">
        <v>2000</v>
      </c>
      <c r="P42" s="2351">
        <v>20</v>
      </c>
      <c r="Q42" s="1461">
        <f t="shared" si="19"/>
        <v>51730.581468588796</v>
      </c>
      <c r="R42" s="2921">
        <f t="shared" si="35"/>
        <v>51730.581468588796</v>
      </c>
      <c r="S42" s="1018">
        <f t="shared" si="20"/>
        <v>4.1999999999999993</v>
      </c>
      <c r="T42" s="1018">
        <f t="shared" si="20"/>
        <v>5.4</v>
      </c>
      <c r="U42" s="13">
        <v>1.4</v>
      </c>
      <c r="V42" s="13">
        <v>1.8</v>
      </c>
      <c r="W42" s="1461">
        <f t="shared" si="36"/>
        <v>0</v>
      </c>
      <c r="X42" s="2699">
        <f t="shared" si="21"/>
        <v>1.7243527156196266</v>
      </c>
      <c r="Y42" s="2699">
        <f t="shared" si="22"/>
        <v>1.7243527156196266</v>
      </c>
      <c r="Z42" s="1018"/>
      <c r="AA42" s="2352"/>
      <c r="AB42" s="2702">
        <f t="shared" si="23"/>
        <v>0</v>
      </c>
      <c r="AC42" s="2354"/>
      <c r="AR42" s="473">
        <f t="shared" si="24"/>
        <v>19</v>
      </c>
      <c r="AS42" s="809">
        <f t="shared" si="25"/>
        <v>710.85601035956097</v>
      </c>
      <c r="AT42" s="809">
        <f t="shared" si="26"/>
        <v>711.06164171867761</v>
      </c>
      <c r="AU42" s="97">
        <f t="shared" si="27"/>
        <v>623.01141992038697</v>
      </c>
      <c r="AV42" s="97">
        <f t="shared" si="28"/>
        <v>622.80578856127033</v>
      </c>
      <c r="AX42" s="2909">
        <f t="shared" si="42"/>
        <v>50821.016269512715</v>
      </c>
      <c r="AY42">
        <f t="shared" si="43"/>
        <v>50115.108688885426</v>
      </c>
      <c r="AZ42" s="2910">
        <f t="shared" si="44"/>
        <v>0</v>
      </c>
      <c r="BA42" s="2767">
        <f t="shared" si="45"/>
        <v>0</v>
      </c>
      <c r="BB42" s="2910">
        <f t="shared" si="46"/>
        <v>562.76733497093232</v>
      </c>
      <c r="BC42" s="2767">
        <f t="shared" si="47"/>
        <v>554.95045610769489</v>
      </c>
      <c r="BD42" s="2910">
        <f t="shared" si="48"/>
        <v>309.21425054278853</v>
      </c>
      <c r="BE42" s="2767">
        <f t="shared" si="49"/>
        <v>304.91924230567298</v>
      </c>
      <c r="BF42" s="104"/>
      <c r="BG42" s="2910">
        <f t="shared" si="50"/>
        <v>0</v>
      </c>
      <c r="BH42" s="2767">
        <f t="shared" si="51"/>
        <v>0</v>
      </c>
      <c r="BI42" s="2910">
        <f t="shared" si="52"/>
        <v>-562.76733497093232</v>
      </c>
      <c r="BJ42" s="2767">
        <f t="shared" si="53"/>
        <v>-89.877504191045389</v>
      </c>
      <c r="BK42" s="2910">
        <f t="shared" si="54"/>
        <v>-309.21425054278853</v>
      </c>
      <c r="BL42" s="2767">
        <f t="shared" si="55"/>
        <v>-49.38347230214756</v>
      </c>
      <c r="BM42" s="97">
        <f t="shared" si="30"/>
        <v>0</v>
      </c>
      <c r="BN42" s="2896">
        <f t="shared" si="31"/>
        <v>50974.978387298797</v>
      </c>
      <c r="BP42" s="97">
        <f t="shared" si="32"/>
        <v>50835.717410805599</v>
      </c>
      <c r="BR42">
        <f t="shared" si="56"/>
        <v>0.98610992789117524</v>
      </c>
      <c r="BS42">
        <f t="shared" si="57"/>
        <v>0.15970632729720832</v>
      </c>
    </row>
    <row r="43" spans="1:71" ht="15.75">
      <c r="A43" s="2351">
        <v>20</v>
      </c>
      <c r="B43" s="2389">
        <f t="shared" si="59"/>
        <v>2.2930232558139534</v>
      </c>
      <c r="C43" s="2390">
        <f t="shared" si="59"/>
        <v>0</v>
      </c>
      <c r="D43" s="2569">
        <f t="shared" si="59"/>
        <v>3754.2723665615231</v>
      </c>
      <c r="E43" s="2569">
        <f t="shared" si="59"/>
        <v>1031.3982742262244</v>
      </c>
      <c r="F43" s="2569">
        <f t="shared" si="59"/>
        <v>0</v>
      </c>
      <c r="G43" s="2569"/>
      <c r="H43" s="1461">
        <f t="shared" si="38"/>
        <v>0</v>
      </c>
      <c r="I43" s="1461">
        <f t="shared" si="39"/>
        <v>713.53750577270932</v>
      </c>
      <c r="J43" s="1461">
        <f t="shared" si="40"/>
        <v>196.02769330337475</v>
      </c>
      <c r="K43" s="1461">
        <f t="shared" si="41"/>
        <v>50835.717410805599</v>
      </c>
      <c r="L43" s="2571">
        <f t="shared" si="18"/>
        <v>51745.28260988168</v>
      </c>
      <c r="M43" s="1461">
        <f t="shared" si="33"/>
        <v>14.701141292884131</v>
      </c>
      <c r="N43" s="1461"/>
      <c r="O43" s="1018">
        <v>2001</v>
      </c>
      <c r="P43" s="2351">
        <v>21</v>
      </c>
      <c r="Q43" s="1461">
        <f t="shared" si="19"/>
        <v>51745.28260988168</v>
      </c>
      <c r="R43" s="2921">
        <f t="shared" si="35"/>
        <v>51745.28260988168</v>
      </c>
      <c r="S43" s="1018">
        <f t="shared" si="20"/>
        <v>0</v>
      </c>
      <c r="T43" s="1018">
        <f t="shared" si="20"/>
        <v>0</v>
      </c>
      <c r="U43" s="13"/>
      <c r="V43" s="13"/>
      <c r="W43" s="1461">
        <f t="shared" si="36"/>
        <v>0</v>
      </c>
      <c r="X43" s="2699">
        <f t="shared" si="21"/>
        <v>1.7248427536627227</v>
      </c>
      <c r="Y43" s="2699">
        <f t="shared" si="22"/>
        <v>1.7248427536627227</v>
      </c>
      <c r="Z43" s="1018">
        <f t="shared" si="58"/>
        <v>0</v>
      </c>
      <c r="AA43" s="2352">
        <f t="shared" si="58"/>
        <v>0</v>
      </c>
      <c r="AB43" s="2702">
        <f t="shared" si="23"/>
        <v>0</v>
      </c>
      <c r="AC43" s="2354"/>
      <c r="AR43" s="473">
        <f t="shared" si="24"/>
        <v>20</v>
      </c>
      <c r="AS43" s="809">
        <f t="shared" si="25"/>
        <v>711.06164171867761</v>
      </c>
      <c r="AT43" s="809">
        <f t="shared" si="26"/>
        <v>711.26441684338829</v>
      </c>
      <c r="AU43" s="97">
        <f t="shared" si="27"/>
        <v>622.80578856127033</v>
      </c>
      <c r="AV43" s="97">
        <f t="shared" si="28"/>
        <v>622.60301343655965</v>
      </c>
      <c r="AX43" s="2909">
        <f t="shared" si="42"/>
        <v>50835.717410805599</v>
      </c>
      <c r="AY43">
        <f t="shared" si="43"/>
        <v>50129.605630265673</v>
      </c>
      <c r="AZ43" s="2910">
        <f t="shared" si="44"/>
        <v>0</v>
      </c>
      <c r="BA43" s="2767">
        <f t="shared" si="45"/>
        <v>0</v>
      </c>
      <c r="BB43" s="2910">
        <f t="shared" si="46"/>
        <v>562.76733497093244</v>
      </c>
      <c r="BC43" s="2767">
        <f t="shared" si="47"/>
        <v>554.950456107695</v>
      </c>
      <c r="BD43" s="2910">
        <f t="shared" si="48"/>
        <v>309.21425054278853</v>
      </c>
      <c r="BE43" s="2767">
        <f t="shared" si="49"/>
        <v>304.91924230567298</v>
      </c>
      <c r="BF43" s="104"/>
      <c r="BG43" s="2910">
        <f t="shared" si="50"/>
        <v>0</v>
      </c>
      <c r="BH43" s="2767">
        <f t="shared" si="51"/>
        <v>0</v>
      </c>
      <c r="BI43" s="2910">
        <f t="shared" si="52"/>
        <v>-562.76733497093244</v>
      </c>
      <c r="BJ43" s="2767">
        <f t="shared" si="53"/>
        <v>-89.877504191045404</v>
      </c>
      <c r="BK43" s="2910">
        <f t="shared" si="54"/>
        <v>-309.21425054278853</v>
      </c>
      <c r="BL43" s="2767">
        <f t="shared" si="55"/>
        <v>-49.38347230214756</v>
      </c>
      <c r="BM43" s="97">
        <f t="shared" si="30"/>
        <v>0</v>
      </c>
      <c r="BN43" s="2896">
        <f t="shared" si="31"/>
        <v>50989.475328679036</v>
      </c>
      <c r="BP43" s="97">
        <f t="shared" si="32"/>
        <v>50850.214352185838</v>
      </c>
      <c r="BR43">
        <f t="shared" si="56"/>
        <v>0.98610992789117524</v>
      </c>
      <c r="BS43">
        <f t="shared" si="57"/>
        <v>0.15970632729720832</v>
      </c>
    </row>
    <row r="44" spans="1:71" ht="15.75">
      <c r="A44" s="2351">
        <v>21</v>
      </c>
      <c r="B44" s="2389">
        <f t="shared" si="59"/>
        <v>2.2930232558139534</v>
      </c>
      <c r="C44" s="2390">
        <f t="shared" si="59"/>
        <v>0</v>
      </c>
      <c r="D44" s="2569">
        <f t="shared" si="59"/>
        <v>3754.2723665615231</v>
      </c>
      <c r="E44" s="2569">
        <f t="shared" si="59"/>
        <v>1031.3982742262244</v>
      </c>
      <c r="F44" s="2569">
        <f t="shared" si="59"/>
        <v>0</v>
      </c>
      <c r="G44" s="2569"/>
      <c r="H44" s="1461">
        <f t="shared" si="38"/>
        <v>0</v>
      </c>
      <c r="I44" s="1461">
        <f t="shared" si="39"/>
        <v>713.53750577270955</v>
      </c>
      <c r="J44" s="1461">
        <f t="shared" si="40"/>
        <v>196.02769330337475</v>
      </c>
      <c r="K44" s="1461">
        <f t="shared" si="41"/>
        <v>50850.214352185838</v>
      </c>
      <c r="L44" s="2571">
        <f t="shared" si="18"/>
        <v>51759.77955126192</v>
      </c>
      <c r="M44" s="1461">
        <f t="shared" si="33"/>
        <v>14.49694138023915</v>
      </c>
      <c r="N44" s="1461"/>
      <c r="O44" s="1018">
        <v>2002</v>
      </c>
      <c r="P44" s="2351">
        <v>22</v>
      </c>
      <c r="Q44" s="1461">
        <f t="shared" si="19"/>
        <v>51759.77955126192</v>
      </c>
      <c r="R44" s="2921">
        <f t="shared" si="35"/>
        <v>51759.77955126192</v>
      </c>
      <c r="S44" s="1018">
        <f t="shared" si="20"/>
        <v>0</v>
      </c>
      <c r="T44" s="1018">
        <f t="shared" si="20"/>
        <v>0</v>
      </c>
      <c r="U44" s="13"/>
      <c r="V44" s="13"/>
      <c r="W44" s="1461">
        <f t="shared" si="36"/>
        <v>0</v>
      </c>
      <c r="X44" s="2699">
        <f t="shared" si="21"/>
        <v>1.7253259850420639</v>
      </c>
      <c r="Y44" s="2699">
        <f t="shared" si="22"/>
        <v>1.7253259850420639</v>
      </c>
      <c r="Z44" s="1018"/>
      <c r="AA44" s="2352"/>
      <c r="AB44" s="2702">
        <f t="shared" si="23"/>
        <v>0</v>
      </c>
      <c r="AC44" s="2354"/>
      <c r="AR44" s="473">
        <f t="shared" si="24"/>
        <v>21</v>
      </c>
      <c r="AS44" s="809">
        <f t="shared" si="25"/>
        <v>711.26441684338829</v>
      </c>
      <c r="AT44" s="809">
        <f t="shared" si="26"/>
        <v>711.4643754069948</v>
      </c>
      <c r="AU44" s="97">
        <f t="shared" si="27"/>
        <v>622.60301343655965</v>
      </c>
      <c r="AV44" s="97">
        <f t="shared" si="28"/>
        <v>622.40305487295313</v>
      </c>
      <c r="AX44" s="2909">
        <f t="shared" si="42"/>
        <v>50850.214352185838</v>
      </c>
      <c r="AY44">
        <f t="shared" si="43"/>
        <v>50143.901208084782</v>
      </c>
      <c r="AZ44" s="2910">
        <f t="shared" si="44"/>
        <v>0</v>
      </c>
      <c r="BA44" s="2767">
        <f t="shared" si="45"/>
        <v>0</v>
      </c>
      <c r="BB44" s="2910">
        <f t="shared" si="46"/>
        <v>562.76733497093244</v>
      </c>
      <c r="BC44" s="2767">
        <f t="shared" si="47"/>
        <v>554.950456107695</v>
      </c>
      <c r="BD44" s="2910">
        <f t="shared" si="48"/>
        <v>309.21425054278853</v>
      </c>
      <c r="BE44" s="2767">
        <f t="shared" si="49"/>
        <v>304.91924230567298</v>
      </c>
      <c r="BF44" s="104"/>
      <c r="BG44" s="2910">
        <f t="shared" si="50"/>
        <v>0</v>
      </c>
      <c r="BH44" s="2767">
        <f t="shared" si="51"/>
        <v>0</v>
      </c>
      <c r="BI44" s="2910">
        <f t="shared" si="52"/>
        <v>-562.76733497093244</v>
      </c>
      <c r="BJ44" s="2767">
        <f t="shared" si="53"/>
        <v>-89.877504191045404</v>
      </c>
      <c r="BK44" s="2910">
        <f t="shared" si="54"/>
        <v>-309.21425054278853</v>
      </c>
      <c r="BL44" s="2767">
        <f t="shared" si="55"/>
        <v>-49.38347230214756</v>
      </c>
      <c r="BM44" s="2896">
        <f t="shared" ref="BM44:BM52" si="60">F44</f>
        <v>0</v>
      </c>
      <c r="BN44" s="2896">
        <f t="shared" ref="BN44:BN52" si="61">BM44+((AX43+AZ44+BB44+BD44)*BR44)</f>
        <v>50989.475328679036</v>
      </c>
      <c r="BP44" s="2896">
        <f t="shared" ref="BP44:BP52" si="62">BN44+BH44+BJ44+BL44</f>
        <v>50850.214352185838</v>
      </c>
      <c r="BR44">
        <f t="shared" si="56"/>
        <v>0.98610992789117524</v>
      </c>
      <c r="BS44">
        <f t="shared" si="57"/>
        <v>0.15970632729720832</v>
      </c>
    </row>
    <row r="45" spans="1:71" ht="15.75">
      <c r="A45" s="2351">
        <v>22</v>
      </c>
      <c r="B45" s="2389">
        <f t="shared" si="59"/>
        <v>2.2930232558139534</v>
      </c>
      <c r="C45" s="2390">
        <f t="shared" si="59"/>
        <v>0</v>
      </c>
      <c r="D45" s="2569">
        <f t="shared" si="59"/>
        <v>3754.2723665615231</v>
      </c>
      <c r="E45" s="2569">
        <f t="shared" si="59"/>
        <v>1031.3982742262244</v>
      </c>
      <c r="F45" s="2569">
        <f t="shared" si="59"/>
        <v>0</v>
      </c>
      <c r="G45" s="2569"/>
      <c r="H45" s="1461">
        <f t="shared" si="38"/>
        <v>0</v>
      </c>
      <c r="I45" s="1461">
        <f t="shared" si="39"/>
        <v>713.53750577270955</v>
      </c>
      <c r="J45" s="1461">
        <f t="shared" si="40"/>
        <v>196.02769330337475</v>
      </c>
      <c r="K45" s="1461">
        <f t="shared" si="41"/>
        <v>50864.509930004948</v>
      </c>
      <c r="L45" s="2571">
        <f t="shared" si="18"/>
        <v>51774.075129081029</v>
      </c>
      <c r="M45" s="1461">
        <f t="shared" si="33"/>
        <v>14.295577819109894</v>
      </c>
      <c r="N45" s="1461"/>
      <c r="O45" s="1018">
        <v>2003</v>
      </c>
      <c r="P45" s="2351">
        <v>23</v>
      </c>
      <c r="Q45" s="1461">
        <f t="shared" si="19"/>
        <v>51774.075129081029</v>
      </c>
      <c r="R45" s="2921">
        <f t="shared" si="35"/>
        <v>51774.075129081029</v>
      </c>
      <c r="S45" s="1018">
        <f t="shared" si="20"/>
        <v>0</v>
      </c>
      <c r="T45" s="1018">
        <f t="shared" si="20"/>
        <v>0</v>
      </c>
      <c r="U45" s="13"/>
      <c r="V45" s="13"/>
      <c r="W45" s="1461">
        <f t="shared" si="36"/>
        <v>0</v>
      </c>
      <c r="X45" s="2699">
        <f t="shared" si="21"/>
        <v>1.725802504302701</v>
      </c>
      <c r="Y45" s="2699">
        <f t="shared" si="22"/>
        <v>1.725802504302701</v>
      </c>
      <c r="Z45" s="1018"/>
      <c r="AA45" s="2352"/>
      <c r="AB45" s="2702">
        <f t="shared" si="23"/>
        <v>0</v>
      </c>
      <c r="AC45" s="2354"/>
      <c r="AR45" s="473">
        <f t="shared" si="24"/>
        <v>22</v>
      </c>
      <c r="AS45" s="809">
        <f t="shared" si="25"/>
        <v>711.4643754069948</v>
      </c>
      <c r="AT45" s="809">
        <f t="shared" si="26"/>
        <v>711.66155653173416</v>
      </c>
      <c r="AU45" s="97">
        <f t="shared" si="27"/>
        <v>622.40305487295313</v>
      </c>
      <c r="AV45" s="97">
        <f t="shared" si="28"/>
        <v>622.20587374821378</v>
      </c>
      <c r="AX45" s="2909">
        <f t="shared" si="42"/>
        <v>50864.509930004948</v>
      </c>
      <c r="AY45">
        <f t="shared" si="43"/>
        <v>50157.998219297144</v>
      </c>
      <c r="AZ45" s="2910">
        <f t="shared" si="44"/>
        <v>0</v>
      </c>
      <c r="BA45" s="2767">
        <f t="shared" si="45"/>
        <v>0</v>
      </c>
      <c r="BB45" s="2910">
        <f t="shared" si="46"/>
        <v>562.76733497093244</v>
      </c>
      <c r="BC45" s="2767">
        <f t="shared" si="47"/>
        <v>554.950456107695</v>
      </c>
      <c r="BD45" s="2910">
        <f t="shared" si="48"/>
        <v>309.21425054278853</v>
      </c>
      <c r="BE45" s="2767">
        <f t="shared" si="49"/>
        <v>304.91924230567298</v>
      </c>
      <c r="BF45" s="104"/>
      <c r="BG45" s="2910">
        <f t="shared" si="50"/>
        <v>0</v>
      </c>
      <c r="BH45" s="2767">
        <f t="shared" si="51"/>
        <v>0</v>
      </c>
      <c r="BI45" s="2910">
        <f t="shared" si="52"/>
        <v>-562.76733497093244</v>
      </c>
      <c r="BJ45" s="2767">
        <f t="shared" si="53"/>
        <v>-89.877504191045404</v>
      </c>
      <c r="BK45" s="2910">
        <f t="shared" si="54"/>
        <v>-309.21425054278853</v>
      </c>
      <c r="BL45" s="2767">
        <f t="shared" si="55"/>
        <v>-49.38347230214756</v>
      </c>
      <c r="BM45" s="2896">
        <f t="shared" si="60"/>
        <v>0</v>
      </c>
      <c r="BN45" s="2896">
        <f t="shared" si="61"/>
        <v>51003.770906498146</v>
      </c>
      <c r="BP45" s="2896">
        <f t="shared" si="62"/>
        <v>50864.509930004948</v>
      </c>
      <c r="BR45">
        <f t="shared" si="56"/>
        <v>0.98610992789117524</v>
      </c>
      <c r="BS45">
        <f t="shared" si="57"/>
        <v>0.15970632729720832</v>
      </c>
    </row>
    <row r="46" spans="1:71" ht="15.75">
      <c r="A46" s="2351">
        <v>23</v>
      </c>
      <c r="B46" s="2389">
        <f t="shared" si="59"/>
        <v>2.2930232558139534</v>
      </c>
      <c r="C46" s="2390">
        <f t="shared" si="59"/>
        <v>0</v>
      </c>
      <c r="D46" s="2569">
        <f t="shared" si="59"/>
        <v>3754.2723665615231</v>
      </c>
      <c r="E46" s="2569">
        <f t="shared" si="59"/>
        <v>1031.3982742262244</v>
      </c>
      <c r="F46" s="2569">
        <f t="shared" si="59"/>
        <v>0</v>
      </c>
      <c r="G46" s="2569"/>
      <c r="H46" s="1461">
        <f t="shared" si="38"/>
        <v>0</v>
      </c>
      <c r="I46" s="1461">
        <f t="shared" si="39"/>
        <v>713.53750577270955</v>
      </c>
      <c r="J46" s="1461">
        <f t="shared" si="40"/>
        <v>196.02769330337475</v>
      </c>
      <c r="K46" s="1461">
        <f t="shared" si="41"/>
        <v>50878.606941217316</v>
      </c>
      <c r="L46" s="2571">
        <f t="shared" si="18"/>
        <v>51788.172140293398</v>
      </c>
      <c r="M46" s="1461">
        <f t="shared" si="33"/>
        <v>14.09701121236867</v>
      </c>
      <c r="N46" s="1461"/>
      <c r="O46" s="1018">
        <v>2004</v>
      </c>
      <c r="P46" s="2351">
        <v>24</v>
      </c>
      <c r="Q46" s="1461">
        <f t="shared" si="19"/>
        <v>51788.172140293398</v>
      </c>
      <c r="R46" s="2921">
        <f t="shared" si="35"/>
        <v>51788.172140293398</v>
      </c>
      <c r="S46" s="1018">
        <f t="shared" si="20"/>
        <v>0</v>
      </c>
      <c r="T46" s="1018">
        <f t="shared" si="20"/>
        <v>0</v>
      </c>
      <c r="U46" s="13"/>
      <c r="V46" s="13"/>
      <c r="W46" s="1461">
        <f t="shared" si="36"/>
        <v>0</v>
      </c>
      <c r="X46" s="2699">
        <f t="shared" si="21"/>
        <v>1.7262724046764466</v>
      </c>
      <c r="Y46" s="2699">
        <f t="shared" si="22"/>
        <v>1.7262724046764466</v>
      </c>
      <c r="Z46" s="1018"/>
      <c r="AA46" s="2352"/>
      <c r="AB46" s="2702">
        <f t="shared" si="23"/>
        <v>0</v>
      </c>
      <c r="AC46" s="2354"/>
      <c r="AF46" s="2354"/>
      <c r="AG46" s="2354"/>
      <c r="AR46" s="473">
        <f t="shared" si="24"/>
        <v>23</v>
      </c>
      <c r="AS46" s="809">
        <f t="shared" si="25"/>
        <v>711.66155653173416</v>
      </c>
      <c r="AT46" s="809">
        <f t="shared" si="26"/>
        <v>711.85599879643235</v>
      </c>
      <c r="AU46" s="97">
        <f t="shared" si="27"/>
        <v>622.20587374821378</v>
      </c>
      <c r="AV46" s="97">
        <f t="shared" si="28"/>
        <v>622.01143148351559</v>
      </c>
      <c r="AX46" s="2909">
        <f t="shared" si="42"/>
        <v>50878.606941217316</v>
      </c>
      <c r="AY46">
        <f t="shared" si="43"/>
        <v>50171.899422007256</v>
      </c>
      <c r="AZ46" s="2910">
        <f t="shared" si="44"/>
        <v>0</v>
      </c>
      <c r="BA46" s="2767">
        <f t="shared" si="45"/>
        <v>0</v>
      </c>
      <c r="BB46" s="2910">
        <f t="shared" si="46"/>
        <v>562.76733497093244</v>
      </c>
      <c r="BC46" s="2767">
        <f t="shared" si="47"/>
        <v>554.950456107695</v>
      </c>
      <c r="BD46" s="2910">
        <f t="shared" si="48"/>
        <v>309.21425054278853</v>
      </c>
      <c r="BE46" s="2767">
        <f t="shared" si="49"/>
        <v>304.91924230567298</v>
      </c>
      <c r="BF46" s="104"/>
      <c r="BG46" s="2910">
        <f t="shared" si="50"/>
        <v>0</v>
      </c>
      <c r="BH46" s="2767">
        <f t="shared" si="51"/>
        <v>0</v>
      </c>
      <c r="BI46" s="2910">
        <f t="shared" si="52"/>
        <v>-562.76733497093244</v>
      </c>
      <c r="BJ46" s="2767">
        <f t="shared" si="53"/>
        <v>-89.877504191045404</v>
      </c>
      <c r="BK46" s="2910">
        <f t="shared" si="54"/>
        <v>-309.21425054278853</v>
      </c>
      <c r="BL46" s="2767">
        <f t="shared" si="55"/>
        <v>-49.38347230214756</v>
      </c>
      <c r="BM46" s="2896">
        <f t="shared" si="60"/>
        <v>0</v>
      </c>
      <c r="BN46" s="2896">
        <f t="shared" si="61"/>
        <v>51017.867917710515</v>
      </c>
      <c r="BP46" s="2896">
        <f t="shared" si="62"/>
        <v>50878.606941217316</v>
      </c>
      <c r="BR46">
        <f t="shared" si="56"/>
        <v>0.98610992789117524</v>
      </c>
      <c r="BS46">
        <f t="shared" si="57"/>
        <v>0.15970632729720832</v>
      </c>
    </row>
    <row r="47" spans="1:71" ht="15.75">
      <c r="A47" s="2351">
        <v>24</v>
      </c>
      <c r="B47" s="2389">
        <f t="shared" si="59"/>
        <v>2.2930232558139534</v>
      </c>
      <c r="C47" s="2390">
        <f t="shared" si="59"/>
        <v>0</v>
      </c>
      <c r="D47" s="2569">
        <f t="shared" si="59"/>
        <v>3754.2723665615231</v>
      </c>
      <c r="E47" s="2569">
        <f t="shared" si="59"/>
        <v>1031.3982742262244</v>
      </c>
      <c r="F47" s="2569">
        <f t="shared" si="59"/>
        <v>0</v>
      </c>
      <c r="G47" s="2569"/>
      <c r="H47" s="1461">
        <f t="shared" si="38"/>
        <v>0</v>
      </c>
      <c r="I47" s="1461">
        <f t="shared" si="39"/>
        <v>713.53750577270955</v>
      </c>
      <c r="J47" s="1461">
        <f t="shared" si="40"/>
        <v>196.02769330337475</v>
      </c>
      <c r="K47" s="1461">
        <f t="shared" si="41"/>
        <v>50892.508143927422</v>
      </c>
      <c r="L47" s="2571">
        <f t="shared" si="18"/>
        <v>51802.073343003503</v>
      </c>
      <c r="M47" s="1461">
        <f t="shared" si="33"/>
        <v>13.901202710105281</v>
      </c>
      <c r="N47" s="1461"/>
      <c r="O47" s="1018">
        <v>2005</v>
      </c>
      <c r="P47" s="2351">
        <v>25</v>
      </c>
      <c r="Q47" s="1461">
        <f t="shared" si="19"/>
        <v>51802.073343003503</v>
      </c>
      <c r="R47" s="2921">
        <f t="shared" si="35"/>
        <v>51802.073343003503</v>
      </c>
      <c r="S47" s="1018">
        <f t="shared" si="20"/>
        <v>0</v>
      </c>
      <c r="T47" s="1018">
        <f t="shared" si="20"/>
        <v>0</v>
      </c>
      <c r="U47" s="13"/>
      <c r="V47" s="13"/>
      <c r="W47" s="1461">
        <f t="shared" si="36"/>
        <v>0</v>
      </c>
      <c r="X47" s="2699">
        <f t="shared" si="21"/>
        <v>1.7267357781001167</v>
      </c>
      <c r="Y47" s="2699">
        <f t="shared" si="22"/>
        <v>1.7267357781001167</v>
      </c>
      <c r="Z47" s="1018">
        <f t="shared" si="58"/>
        <v>0</v>
      </c>
      <c r="AA47" s="2352">
        <f t="shared" si="58"/>
        <v>0</v>
      </c>
      <c r="AB47" s="2702">
        <f t="shared" si="23"/>
        <v>0</v>
      </c>
      <c r="AC47" s="2354"/>
      <c r="AF47" s="2354"/>
      <c r="AG47" s="2354"/>
      <c r="AR47" s="473">
        <f t="shared" si="24"/>
        <v>24</v>
      </c>
      <c r="AS47" s="809">
        <f t="shared" si="25"/>
        <v>711.85599879643235</v>
      </c>
      <c r="AT47" s="809">
        <f t="shared" si="26"/>
        <v>712.04774024405287</v>
      </c>
      <c r="AU47" s="97">
        <f t="shared" si="27"/>
        <v>622.01143148351559</v>
      </c>
      <c r="AV47" s="97">
        <f t="shared" si="28"/>
        <v>621.81969003589506</v>
      </c>
      <c r="AX47" s="2909">
        <f t="shared" si="42"/>
        <v>50892.508143927422</v>
      </c>
      <c r="AY47">
        <f t="shared" si="43"/>
        <v>50185.607536009316</v>
      </c>
      <c r="AZ47" s="2910">
        <f t="shared" si="44"/>
        <v>0</v>
      </c>
      <c r="BA47" s="2767">
        <f t="shared" si="45"/>
        <v>0</v>
      </c>
      <c r="BB47" s="2910">
        <f t="shared" si="46"/>
        <v>562.76733497093244</v>
      </c>
      <c r="BC47" s="2767">
        <f t="shared" si="47"/>
        <v>554.950456107695</v>
      </c>
      <c r="BD47" s="2910">
        <f t="shared" si="48"/>
        <v>309.21425054278853</v>
      </c>
      <c r="BE47" s="2767">
        <f t="shared" si="49"/>
        <v>304.91924230567298</v>
      </c>
      <c r="BF47" s="104"/>
      <c r="BG47" s="2910">
        <f t="shared" si="50"/>
        <v>0</v>
      </c>
      <c r="BH47" s="2767">
        <f t="shared" si="51"/>
        <v>0</v>
      </c>
      <c r="BI47" s="2910">
        <f t="shared" si="52"/>
        <v>-562.76733497093244</v>
      </c>
      <c r="BJ47" s="2767">
        <f t="shared" si="53"/>
        <v>-89.877504191045404</v>
      </c>
      <c r="BK47" s="2910">
        <f t="shared" si="54"/>
        <v>-309.21425054278853</v>
      </c>
      <c r="BL47" s="2767">
        <f t="shared" si="55"/>
        <v>-49.38347230214756</v>
      </c>
      <c r="BM47" s="2896">
        <f t="shared" si="60"/>
        <v>0</v>
      </c>
      <c r="BN47" s="2896">
        <f t="shared" si="61"/>
        <v>51031.76912042062</v>
      </c>
      <c r="BP47" s="2896">
        <f t="shared" si="62"/>
        <v>50892.508143927422</v>
      </c>
      <c r="BR47">
        <f t="shared" si="56"/>
        <v>0.98610992789117524</v>
      </c>
      <c r="BS47">
        <f t="shared" si="57"/>
        <v>0.15970632729720832</v>
      </c>
    </row>
    <row r="48" spans="1:71" ht="15.75">
      <c r="A48" s="2351">
        <v>25</v>
      </c>
      <c r="B48" s="2389">
        <f t="shared" si="59"/>
        <v>2.2930232558139534</v>
      </c>
      <c r="C48" s="2390">
        <f t="shared" si="59"/>
        <v>0</v>
      </c>
      <c r="D48" s="2569">
        <f t="shared" si="59"/>
        <v>3754.2723665615231</v>
      </c>
      <c r="E48" s="2569">
        <f t="shared" si="59"/>
        <v>1031.3982742262244</v>
      </c>
      <c r="F48" s="2569">
        <f t="shared" si="59"/>
        <v>0</v>
      </c>
      <c r="G48" s="2569"/>
      <c r="H48" s="1461">
        <f t="shared" si="38"/>
        <v>0</v>
      </c>
      <c r="I48" s="1461">
        <f t="shared" si="39"/>
        <v>713.53750577270955</v>
      </c>
      <c r="J48" s="1461">
        <f t="shared" si="40"/>
        <v>196.02769330337475</v>
      </c>
      <c r="K48" s="1461">
        <f t="shared" si="41"/>
        <v>50906.216257929489</v>
      </c>
      <c r="L48" s="2571">
        <f t="shared" si="18"/>
        <v>51815.781457005571</v>
      </c>
      <c r="M48" s="1461">
        <f t="shared" si="33"/>
        <v>13.708114002067305</v>
      </c>
      <c r="N48" s="1461"/>
      <c r="O48" s="1018">
        <v>2006</v>
      </c>
      <c r="P48" s="2351">
        <v>26</v>
      </c>
      <c r="Q48" s="1461">
        <f t="shared" si="19"/>
        <v>51815.781457005571</v>
      </c>
      <c r="R48" s="2921">
        <f t="shared" si="35"/>
        <v>51815.781457005571</v>
      </c>
      <c r="S48" s="1018">
        <f t="shared" si="20"/>
        <v>4.1999999999999993</v>
      </c>
      <c r="T48" s="1018">
        <f t="shared" si="20"/>
        <v>5.49</v>
      </c>
      <c r="U48" s="13">
        <v>1.4</v>
      </c>
      <c r="V48" s="13">
        <v>1.83</v>
      </c>
      <c r="W48" s="1461">
        <f t="shared" si="36"/>
        <v>0</v>
      </c>
      <c r="X48" s="2699">
        <f t="shared" si="21"/>
        <v>1.7271927152335189</v>
      </c>
      <c r="Y48" s="2699">
        <f t="shared" si="22"/>
        <v>1.7271927152335189</v>
      </c>
      <c r="Z48" s="1018"/>
      <c r="AA48" s="2352"/>
      <c r="AB48" s="2702">
        <f t="shared" si="23"/>
        <v>0</v>
      </c>
      <c r="AC48" s="2354"/>
      <c r="AF48" s="2354"/>
      <c r="AG48" s="2354"/>
      <c r="AR48" s="473">
        <f t="shared" si="24"/>
        <v>25</v>
      </c>
      <c r="AS48" s="809">
        <f t="shared" si="25"/>
        <v>712.04774024405287</v>
      </c>
      <c r="AT48" s="809">
        <f t="shared" si="26"/>
        <v>712.23681838913967</v>
      </c>
      <c r="AU48" s="97">
        <f t="shared" si="27"/>
        <v>621.81969003589506</v>
      </c>
      <c r="AV48" s="97">
        <f t="shared" si="28"/>
        <v>621.63061189080827</v>
      </c>
      <c r="AX48" s="2909">
        <f t="shared" si="42"/>
        <v>50906.216257929489</v>
      </c>
      <c r="AY48">
        <f t="shared" si="43"/>
        <v>50199.125243319424</v>
      </c>
      <c r="AZ48" s="2910">
        <f t="shared" si="44"/>
        <v>0</v>
      </c>
      <c r="BA48" s="2767">
        <f t="shared" si="45"/>
        <v>0</v>
      </c>
      <c r="BB48" s="2910">
        <f t="shared" si="46"/>
        <v>562.76733497093244</v>
      </c>
      <c r="BC48" s="2767">
        <f t="shared" si="47"/>
        <v>554.950456107695</v>
      </c>
      <c r="BD48" s="2910">
        <f t="shared" si="48"/>
        <v>309.21425054278853</v>
      </c>
      <c r="BE48" s="2767">
        <f t="shared" si="49"/>
        <v>304.91924230567298</v>
      </c>
      <c r="BF48" s="104"/>
      <c r="BG48" s="2910">
        <f t="shared" si="50"/>
        <v>0</v>
      </c>
      <c r="BH48" s="2767">
        <f t="shared" si="51"/>
        <v>0</v>
      </c>
      <c r="BI48" s="2910">
        <f t="shared" si="52"/>
        <v>-562.76733497093244</v>
      </c>
      <c r="BJ48" s="2767">
        <f t="shared" si="53"/>
        <v>-89.877504191045404</v>
      </c>
      <c r="BK48" s="2910">
        <f t="shared" si="54"/>
        <v>-309.21425054278853</v>
      </c>
      <c r="BL48" s="2767">
        <f t="shared" si="55"/>
        <v>-49.38347230214756</v>
      </c>
      <c r="BM48" s="2896">
        <f t="shared" si="60"/>
        <v>0</v>
      </c>
      <c r="BN48" s="2896">
        <f t="shared" si="61"/>
        <v>51045.477234422688</v>
      </c>
      <c r="BP48" s="2896">
        <f t="shared" si="62"/>
        <v>50906.216257929489</v>
      </c>
      <c r="BR48">
        <f t="shared" si="56"/>
        <v>0.98610992789117524</v>
      </c>
      <c r="BS48">
        <f t="shared" si="57"/>
        <v>0.15970632729720832</v>
      </c>
    </row>
    <row r="49" spans="1:71" ht="15.75">
      <c r="A49" s="2351">
        <v>26</v>
      </c>
      <c r="B49" s="2389">
        <f t="shared" si="59"/>
        <v>2.2930232558139534</v>
      </c>
      <c r="C49" s="2390">
        <f t="shared" si="59"/>
        <v>0</v>
      </c>
      <c r="D49" s="2569">
        <f t="shared" si="59"/>
        <v>3754.2723665615231</v>
      </c>
      <c r="E49" s="2569">
        <f t="shared" si="59"/>
        <v>1031.3982742262244</v>
      </c>
      <c r="F49" s="2569">
        <f t="shared" si="59"/>
        <v>0</v>
      </c>
      <c r="G49" s="2569"/>
      <c r="H49" s="1461">
        <f t="shared" si="38"/>
        <v>0</v>
      </c>
      <c r="I49" s="1461">
        <f t="shared" si="39"/>
        <v>713.53750577270955</v>
      </c>
      <c r="J49" s="1461">
        <f t="shared" si="40"/>
        <v>196.02769330337475</v>
      </c>
      <c r="K49" s="1461">
        <f t="shared" si="41"/>
        <v>50919.733965239589</v>
      </c>
      <c r="L49" s="2571">
        <f t="shared" si="18"/>
        <v>51829.299164315671</v>
      </c>
      <c r="M49" s="1461">
        <f t="shared" si="33"/>
        <v>13.517707310100377</v>
      </c>
      <c r="N49" s="1461"/>
      <c r="O49" s="1018">
        <v>2007</v>
      </c>
      <c r="P49" s="2351">
        <v>27</v>
      </c>
      <c r="Q49" s="1461">
        <f t="shared" si="19"/>
        <v>51829.299164315671</v>
      </c>
      <c r="R49" s="2921">
        <f t="shared" si="35"/>
        <v>51829.299164315671</v>
      </c>
      <c r="S49" s="1018">
        <f t="shared" si="20"/>
        <v>0</v>
      </c>
      <c r="T49" s="1018">
        <f t="shared" si="20"/>
        <v>0</v>
      </c>
      <c r="U49" s="13"/>
      <c r="V49" s="13"/>
      <c r="W49" s="1461">
        <f t="shared" si="36"/>
        <v>0</v>
      </c>
      <c r="X49" s="2699">
        <f t="shared" si="21"/>
        <v>1.7276433054771891</v>
      </c>
      <c r="Y49" s="2699">
        <f t="shared" si="22"/>
        <v>1.7276433054771891</v>
      </c>
      <c r="Z49" s="1018"/>
      <c r="AA49" s="2352"/>
      <c r="AB49" s="2702">
        <f t="shared" si="23"/>
        <v>0</v>
      </c>
      <c r="AC49" s="2354"/>
      <c r="AF49" s="2354"/>
      <c r="AG49" s="2354"/>
      <c r="AR49" s="473">
        <f t="shared" si="24"/>
        <v>26</v>
      </c>
      <c r="AS49" s="809">
        <f t="shared" si="25"/>
        <v>712.23681838913967</v>
      </c>
      <c r="AT49" s="809">
        <f t="shared" si="26"/>
        <v>712.42327022515713</v>
      </c>
      <c r="AU49" s="97">
        <f t="shared" si="27"/>
        <v>621.63061189080827</v>
      </c>
      <c r="AV49" s="97">
        <f t="shared" si="28"/>
        <v>621.44416005479081</v>
      </c>
      <c r="AX49" s="2909">
        <f t="shared" si="42"/>
        <v>50919.733965239589</v>
      </c>
      <c r="AY49">
        <f t="shared" si="43"/>
        <v>50212.455188700238</v>
      </c>
      <c r="AZ49" s="2910">
        <f t="shared" si="44"/>
        <v>0</v>
      </c>
      <c r="BA49" s="2767">
        <f t="shared" si="45"/>
        <v>0</v>
      </c>
      <c r="BB49" s="2910">
        <f t="shared" si="46"/>
        <v>562.76733497093244</v>
      </c>
      <c r="BC49" s="2767">
        <f t="shared" si="47"/>
        <v>554.950456107695</v>
      </c>
      <c r="BD49" s="2910">
        <f t="shared" si="48"/>
        <v>309.21425054278853</v>
      </c>
      <c r="BE49" s="2767">
        <f t="shared" si="49"/>
        <v>304.91924230567298</v>
      </c>
      <c r="BF49" s="104"/>
      <c r="BG49" s="2910">
        <f t="shared" si="50"/>
        <v>0</v>
      </c>
      <c r="BH49" s="2767">
        <f t="shared" si="51"/>
        <v>0</v>
      </c>
      <c r="BI49" s="2910">
        <f t="shared" si="52"/>
        <v>-562.76733497093244</v>
      </c>
      <c r="BJ49" s="2767">
        <f t="shared" si="53"/>
        <v>-89.877504191045404</v>
      </c>
      <c r="BK49" s="2910">
        <f t="shared" si="54"/>
        <v>-309.21425054278853</v>
      </c>
      <c r="BL49" s="2767">
        <f t="shared" si="55"/>
        <v>-49.38347230214756</v>
      </c>
      <c r="BM49" s="2896">
        <f t="shared" si="60"/>
        <v>0</v>
      </c>
      <c r="BN49" s="2896">
        <f t="shared" si="61"/>
        <v>51058.994941732788</v>
      </c>
      <c r="BP49" s="2896">
        <f t="shared" si="62"/>
        <v>50919.733965239589</v>
      </c>
      <c r="BR49">
        <f t="shared" si="56"/>
        <v>0.98610992789117524</v>
      </c>
      <c r="BS49">
        <f t="shared" si="57"/>
        <v>0.15970632729720832</v>
      </c>
    </row>
    <row r="50" spans="1:71" ht="15.75">
      <c r="A50" s="2351">
        <v>27</v>
      </c>
      <c r="B50" s="2389">
        <f t="shared" si="59"/>
        <v>2.2930232558139534</v>
      </c>
      <c r="C50" s="2390">
        <f t="shared" si="59"/>
        <v>0</v>
      </c>
      <c r="D50" s="2569">
        <f t="shared" si="59"/>
        <v>3754.2723665615231</v>
      </c>
      <c r="E50" s="2569">
        <f t="shared" si="59"/>
        <v>1031.3982742262244</v>
      </c>
      <c r="F50" s="2569">
        <f t="shared" si="59"/>
        <v>0</v>
      </c>
      <c r="G50" s="2569"/>
      <c r="H50" s="1461">
        <f t="shared" si="38"/>
        <v>0</v>
      </c>
      <c r="I50" s="1461">
        <f t="shared" si="39"/>
        <v>713.53750577270955</v>
      </c>
      <c r="J50" s="1461">
        <f t="shared" si="40"/>
        <v>196.02769330337475</v>
      </c>
      <c r="K50" s="1461">
        <f t="shared" si="41"/>
        <v>50933.063910620411</v>
      </c>
      <c r="L50" s="2571">
        <f t="shared" si="18"/>
        <v>51842.629109696492</v>
      </c>
      <c r="M50" s="1461">
        <f t="shared" si="33"/>
        <v>13.3299453808213</v>
      </c>
      <c r="N50" s="1461"/>
      <c r="O50" s="1018">
        <v>2008</v>
      </c>
      <c r="P50" s="2351">
        <v>28</v>
      </c>
      <c r="Q50" s="1461">
        <f t="shared" si="19"/>
        <v>51842.629109696492</v>
      </c>
      <c r="R50" s="2921">
        <f t="shared" si="35"/>
        <v>51842.629109696492</v>
      </c>
      <c r="S50" s="1018">
        <f t="shared" si="20"/>
        <v>0</v>
      </c>
      <c r="T50" s="1018">
        <f t="shared" si="20"/>
        <v>0</v>
      </c>
      <c r="U50" s="13"/>
      <c r="V50" s="13"/>
      <c r="W50" s="1461">
        <f t="shared" si="36"/>
        <v>0</v>
      </c>
      <c r="X50" s="2699">
        <f t="shared" si="21"/>
        <v>1.728087636989883</v>
      </c>
      <c r="Y50" s="2699">
        <f t="shared" si="22"/>
        <v>1.728087636989883</v>
      </c>
      <c r="Z50" s="1018">
        <f t="shared" si="58"/>
        <v>0</v>
      </c>
      <c r="AA50" s="2352"/>
      <c r="AB50" s="2702">
        <f t="shared" si="23"/>
        <v>0</v>
      </c>
      <c r="AC50" s="2354"/>
      <c r="AF50" s="2354"/>
      <c r="AG50" s="2354"/>
      <c r="AR50" s="473">
        <f t="shared" si="24"/>
        <v>27</v>
      </c>
      <c r="AS50" s="809">
        <f t="shared" si="25"/>
        <v>712.42327022515713</v>
      </c>
      <c r="AT50" s="809">
        <f t="shared" si="26"/>
        <v>712.60713223172729</v>
      </c>
      <c r="AU50" s="97">
        <f t="shared" si="27"/>
        <v>621.44416005479081</v>
      </c>
      <c r="AV50" s="97">
        <f t="shared" si="28"/>
        <v>621.26029804822065</v>
      </c>
      <c r="AX50" s="2909">
        <f t="shared" si="42"/>
        <v>50933.063910620411</v>
      </c>
      <c r="AY50">
        <f t="shared" si="43"/>
        <v>50225.599980178515</v>
      </c>
      <c r="AZ50" s="2910">
        <f t="shared" si="44"/>
        <v>0</v>
      </c>
      <c r="BA50" s="2767">
        <f t="shared" si="45"/>
        <v>0</v>
      </c>
      <c r="BB50" s="2910">
        <f t="shared" si="46"/>
        <v>562.76733497093244</v>
      </c>
      <c r="BC50" s="2767">
        <f t="shared" si="47"/>
        <v>554.950456107695</v>
      </c>
      <c r="BD50" s="2910">
        <f t="shared" si="48"/>
        <v>309.21425054278853</v>
      </c>
      <c r="BE50" s="2767">
        <f t="shared" si="49"/>
        <v>304.91924230567298</v>
      </c>
      <c r="BF50" s="104"/>
      <c r="BG50" s="2910">
        <f t="shared" si="50"/>
        <v>0</v>
      </c>
      <c r="BH50" s="2767">
        <f t="shared" si="51"/>
        <v>0</v>
      </c>
      <c r="BI50" s="2910">
        <f t="shared" si="52"/>
        <v>-562.76733497093244</v>
      </c>
      <c r="BJ50" s="2767">
        <f t="shared" si="53"/>
        <v>-89.877504191045404</v>
      </c>
      <c r="BK50" s="2910">
        <f t="shared" si="54"/>
        <v>-309.21425054278853</v>
      </c>
      <c r="BL50" s="2767">
        <f t="shared" si="55"/>
        <v>-49.38347230214756</v>
      </c>
      <c r="BM50" s="2896">
        <f t="shared" si="60"/>
        <v>0</v>
      </c>
      <c r="BN50" s="2896">
        <f t="shared" si="61"/>
        <v>51072.324887113609</v>
      </c>
      <c r="BP50" s="2896">
        <f t="shared" si="62"/>
        <v>50933.063910620411</v>
      </c>
      <c r="BR50">
        <f t="shared" si="56"/>
        <v>0.98610992789117524</v>
      </c>
      <c r="BS50">
        <f t="shared" si="57"/>
        <v>0.15970632729720832</v>
      </c>
    </row>
    <row r="51" spans="1:71" ht="15.75">
      <c r="A51" s="2351">
        <v>28</v>
      </c>
      <c r="B51" s="2389">
        <f t="shared" si="59"/>
        <v>2.2930232558139534</v>
      </c>
      <c r="C51" s="2390">
        <f t="shared" si="59"/>
        <v>0</v>
      </c>
      <c r="D51" s="2569">
        <f t="shared" si="59"/>
        <v>3754.2723665615231</v>
      </c>
      <c r="E51" s="2569">
        <f t="shared" si="59"/>
        <v>1031.3982742262244</v>
      </c>
      <c r="F51" s="2569">
        <f t="shared" si="59"/>
        <v>0</v>
      </c>
      <c r="G51" s="2569"/>
      <c r="H51" s="1461">
        <f t="shared" si="38"/>
        <v>0</v>
      </c>
      <c r="I51" s="1461">
        <f t="shared" si="39"/>
        <v>713.53750577270955</v>
      </c>
      <c r="J51" s="1461">
        <f t="shared" si="40"/>
        <v>196.02769330337475</v>
      </c>
      <c r="K51" s="1461">
        <f t="shared" si="41"/>
        <v>50946.20870209868</v>
      </c>
      <c r="L51" s="2571">
        <f t="shared" si="18"/>
        <v>51855.773901174762</v>
      </c>
      <c r="M51" s="1461">
        <f>L51-L50</f>
        <v>13.144791478269326</v>
      </c>
      <c r="N51" s="1461"/>
      <c r="O51" s="1018">
        <v>2009</v>
      </c>
      <c r="P51" s="2351">
        <v>29</v>
      </c>
      <c r="Q51" s="1461">
        <f t="shared" si="19"/>
        <v>51855.773901174762</v>
      </c>
      <c r="R51" s="2921">
        <f t="shared" si="35"/>
        <v>51855.773901174762</v>
      </c>
      <c r="S51" s="1018">
        <f t="shared" si="20"/>
        <v>0</v>
      </c>
      <c r="T51" s="1018">
        <f t="shared" si="20"/>
        <v>5.6999999999999993</v>
      </c>
      <c r="U51" s="13"/>
      <c r="V51" s="13">
        <v>1.9</v>
      </c>
      <c r="W51" s="1461">
        <f t="shared" si="36"/>
        <v>0</v>
      </c>
      <c r="X51" s="2699">
        <f t="shared" si="21"/>
        <v>1.7285257967058254</v>
      </c>
      <c r="Y51" s="2699">
        <f t="shared" si="22"/>
        <v>1.7285257967058254</v>
      </c>
      <c r="Z51" s="1018"/>
      <c r="AA51" s="2352"/>
      <c r="AB51" s="2702">
        <f t="shared" si="23"/>
        <v>0</v>
      </c>
      <c r="AC51" s="2354"/>
      <c r="AF51" s="2354"/>
      <c r="AG51" s="2354"/>
      <c r="AR51" s="473">
        <f t="shared" si="24"/>
        <v>28</v>
      </c>
      <c r="AS51" s="809">
        <f t="shared" si="25"/>
        <v>712.60713223172729</v>
      </c>
      <c r="AT51" s="809">
        <f t="shared" si="26"/>
        <v>712.78844038176828</v>
      </c>
      <c r="AU51" s="97">
        <f t="shared" si="27"/>
        <v>621.26029804822065</v>
      </c>
      <c r="AV51" s="97">
        <f t="shared" si="28"/>
        <v>621.07898989817966</v>
      </c>
      <c r="AX51" s="2909">
        <f t="shared" si="42"/>
        <v>50946.20870209868</v>
      </c>
      <c r="AY51">
        <f t="shared" si="43"/>
        <v>50238.56218955529</v>
      </c>
      <c r="AZ51" s="2910">
        <f t="shared" si="44"/>
        <v>0</v>
      </c>
      <c r="BA51" s="2767">
        <f t="shared" si="45"/>
        <v>0</v>
      </c>
      <c r="BB51" s="2910">
        <f t="shared" si="46"/>
        <v>562.76733497093244</v>
      </c>
      <c r="BC51" s="2767">
        <f t="shared" si="47"/>
        <v>554.950456107695</v>
      </c>
      <c r="BD51" s="2910">
        <f t="shared" si="48"/>
        <v>309.21425054278853</v>
      </c>
      <c r="BE51" s="2767">
        <f t="shared" si="49"/>
        <v>304.91924230567298</v>
      </c>
      <c r="BF51" s="104"/>
      <c r="BG51" s="2910">
        <f t="shared" si="50"/>
        <v>0</v>
      </c>
      <c r="BH51" s="2767">
        <f t="shared" si="51"/>
        <v>0</v>
      </c>
      <c r="BI51" s="2910">
        <f t="shared" si="52"/>
        <v>-562.76733497093244</v>
      </c>
      <c r="BJ51" s="2767">
        <f t="shared" si="53"/>
        <v>-89.877504191045404</v>
      </c>
      <c r="BK51" s="2910">
        <f t="shared" si="54"/>
        <v>-309.21425054278853</v>
      </c>
      <c r="BL51" s="2767">
        <f t="shared" si="55"/>
        <v>-49.38347230214756</v>
      </c>
      <c r="BM51" s="2896">
        <f t="shared" si="60"/>
        <v>0</v>
      </c>
      <c r="BN51" s="2896">
        <f t="shared" si="61"/>
        <v>51085.469678591879</v>
      </c>
      <c r="BP51" s="2896">
        <f t="shared" si="62"/>
        <v>50946.20870209868</v>
      </c>
      <c r="BR51">
        <f t="shared" si="56"/>
        <v>0.98610992789117524</v>
      </c>
      <c r="BS51">
        <f t="shared" si="57"/>
        <v>0.15970632729720832</v>
      </c>
    </row>
    <row r="52" spans="1:71" ht="15.75">
      <c r="A52" s="2351">
        <v>29</v>
      </c>
      <c r="B52" s="2389">
        <f t="shared" si="59"/>
        <v>2.2930232558139534</v>
      </c>
      <c r="C52" s="2390">
        <f t="shared" si="59"/>
        <v>0</v>
      </c>
      <c r="D52" s="2569">
        <f t="shared" si="59"/>
        <v>3754.2723665615231</v>
      </c>
      <c r="E52" s="2569">
        <f t="shared" si="59"/>
        <v>1031.3982742262244</v>
      </c>
      <c r="F52" s="2569">
        <f t="shared" si="59"/>
        <v>0</v>
      </c>
      <c r="G52" s="2569"/>
      <c r="H52" s="1461">
        <f t="shared" si="38"/>
        <v>0</v>
      </c>
      <c r="I52" s="1461">
        <f t="shared" si="39"/>
        <v>713.53750577270955</v>
      </c>
      <c r="J52" s="1461">
        <f t="shared" si="40"/>
        <v>196.02769330337475</v>
      </c>
      <c r="K52" s="1461">
        <f t="shared" si="41"/>
        <v>50959.170911475463</v>
      </c>
      <c r="L52" s="2571">
        <f t="shared" si="18"/>
        <v>51868.736110551545</v>
      </c>
      <c r="M52" s="1461">
        <f t="shared" si="33"/>
        <v>12.962209376782994</v>
      </c>
      <c r="N52" s="1461"/>
      <c r="O52" s="1018">
        <v>2010</v>
      </c>
      <c r="P52" s="2351">
        <v>30</v>
      </c>
      <c r="Q52" s="1461">
        <f t="shared" si="19"/>
        <v>51868.736110551545</v>
      </c>
      <c r="R52" s="2921">
        <f t="shared" si="35"/>
        <v>51868.736110551545</v>
      </c>
      <c r="S52" s="1018">
        <f t="shared" si="20"/>
        <v>0</v>
      </c>
      <c r="T52" s="1018">
        <f t="shared" si="20"/>
        <v>0</v>
      </c>
      <c r="U52" s="13"/>
      <c r="V52" s="13"/>
      <c r="W52" s="1461">
        <f t="shared" si="36"/>
        <v>0</v>
      </c>
      <c r="X52" s="2699">
        <f t="shared" si="21"/>
        <v>1.7289578703517181</v>
      </c>
      <c r="Y52" s="2699">
        <f t="shared" si="22"/>
        <v>1.7289578703517181</v>
      </c>
      <c r="Z52" s="1018"/>
      <c r="AA52" s="2352"/>
      <c r="AB52" s="2702">
        <f t="shared" si="23"/>
        <v>0</v>
      </c>
      <c r="AC52" s="2354"/>
      <c r="AF52" s="2354"/>
      <c r="AG52" s="2354"/>
      <c r="AR52" s="473">
        <f t="shared" si="24"/>
        <v>29</v>
      </c>
      <c r="AS52" s="809">
        <f t="shared" si="25"/>
        <v>712.78844038176828</v>
      </c>
      <c r="AT52" s="809">
        <f t="shared" si="26"/>
        <v>712.96723014853114</v>
      </c>
      <c r="AU52" s="97">
        <f t="shared" si="27"/>
        <v>621.07898989817966</v>
      </c>
      <c r="AV52" s="97">
        <f t="shared" si="28"/>
        <v>620.9002001314168</v>
      </c>
      <c r="AX52" s="2909">
        <f t="shared" si="42"/>
        <v>50959.170911475463</v>
      </c>
      <c r="AY52">
        <f t="shared" si="43"/>
        <v>50251.344352909146</v>
      </c>
      <c r="AZ52" s="2910">
        <f t="shared" si="44"/>
        <v>0</v>
      </c>
      <c r="BA52" s="2767">
        <f t="shared" si="45"/>
        <v>0</v>
      </c>
      <c r="BB52" s="2910">
        <f t="shared" si="46"/>
        <v>562.76733497093244</v>
      </c>
      <c r="BC52" s="2767">
        <f t="shared" si="47"/>
        <v>554.950456107695</v>
      </c>
      <c r="BD52" s="2910">
        <f t="shared" si="48"/>
        <v>309.21425054278853</v>
      </c>
      <c r="BE52" s="2767">
        <f t="shared" si="49"/>
        <v>304.91924230567298</v>
      </c>
      <c r="BF52" s="104"/>
      <c r="BG52" s="2910">
        <f t="shared" si="50"/>
        <v>0</v>
      </c>
      <c r="BH52" s="2767">
        <f t="shared" si="51"/>
        <v>0</v>
      </c>
      <c r="BI52" s="2910">
        <f t="shared" si="52"/>
        <v>-562.76733497093244</v>
      </c>
      <c r="BJ52" s="2767">
        <f t="shared" si="53"/>
        <v>-89.877504191045404</v>
      </c>
      <c r="BK52" s="2910">
        <f t="shared" si="54"/>
        <v>-309.21425054278853</v>
      </c>
      <c r="BL52" s="2767">
        <f t="shared" si="55"/>
        <v>-49.38347230214756</v>
      </c>
      <c r="BM52" s="2896">
        <f t="shared" si="60"/>
        <v>0</v>
      </c>
      <c r="BN52" s="2896">
        <f t="shared" si="61"/>
        <v>51098.431887968662</v>
      </c>
      <c r="BP52" s="2896">
        <f t="shared" si="62"/>
        <v>50959.170911475463</v>
      </c>
      <c r="BR52">
        <f t="shared" si="56"/>
        <v>0.98610992789117524</v>
      </c>
      <c r="BS52">
        <f t="shared" si="57"/>
        <v>0.15970632729720832</v>
      </c>
    </row>
    <row r="53" spans="1:71" ht="15.75">
      <c r="A53" s="2351">
        <v>30</v>
      </c>
      <c r="B53" s="2389">
        <f t="shared" si="59"/>
        <v>2.2930232558139534</v>
      </c>
      <c r="C53" s="2390">
        <f t="shared" si="59"/>
        <v>0</v>
      </c>
      <c r="D53" s="2569">
        <f t="shared" si="59"/>
        <v>3754.2723665615231</v>
      </c>
      <c r="E53" s="2569">
        <f t="shared" si="59"/>
        <v>1031.3982742262244</v>
      </c>
      <c r="F53" s="2569">
        <f t="shared" si="59"/>
        <v>0</v>
      </c>
      <c r="G53" s="2569"/>
      <c r="H53" s="1461">
        <f t="shared" si="38"/>
        <v>0</v>
      </c>
      <c r="I53" s="1461">
        <f t="shared" si="39"/>
        <v>713.53750577270955</v>
      </c>
      <c r="J53" s="1461">
        <f t="shared" si="40"/>
        <v>196.02769330337475</v>
      </c>
      <c r="K53" s="1461">
        <f t="shared" si="41"/>
        <v>50971.953074829311</v>
      </c>
      <c r="L53" s="2571">
        <f t="shared" si="18"/>
        <v>51881.518273905393</v>
      </c>
      <c r="M53" s="1461">
        <f t="shared" si="33"/>
        <v>12.782163353847864</v>
      </c>
      <c r="N53" s="1461"/>
      <c r="O53" s="1018">
        <v>2011</v>
      </c>
      <c r="P53" s="2351">
        <v>31</v>
      </c>
      <c r="Q53" s="1461">
        <f t="shared" si="19"/>
        <v>51881.518273905393</v>
      </c>
      <c r="R53" s="2921">
        <f t="shared" si="35"/>
        <v>51881.518273905393</v>
      </c>
      <c r="S53" s="1018">
        <f t="shared" si="20"/>
        <v>0</v>
      </c>
      <c r="T53" s="1018">
        <f t="shared" si="20"/>
        <v>0</v>
      </c>
      <c r="U53" s="13"/>
      <c r="V53" s="13"/>
      <c r="W53" s="1461">
        <f t="shared" si="36"/>
        <v>0</v>
      </c>
      <c r="X53" s="2699">
        <f t="shared" si="21"/>
        <v>1.7293839424635131</v>
      </c>
      <c r="Y53" s="2699">
        <f t="shared" si="22"/>
        <v>1.7293839424635131</v>
      </c>
      <c r="Z53" s="1018"/>
      <c r="AA53" s="2352"/>
      <c r="AB53" s="2702">
        <f t="shared" si="23"/>
        <v>0</v>
      </c>
      <c r="AC53" s="2354"/>
      <c r="AF53" s="2354"/>
      <c r="AG53" s="2354"/>
      <c r="AR53" s="473">
        <f t="shared" si="24"/>
        <v>30</v>
      </c>
      <c r="AS53" s="809">
        <f t="shared" si="25"/>
        <v>712.96723014853114</v>
      </c>
      <c r="AT53" s="809">
        <f t="shared" si="26"/>
        <v>713.14353651254135</v>
      </c>
      <c r="AU53" s="97">
        <f t="shared" si="27"/>
        <v>620.9002001314168</v>
      </c>
      <c r="AV53" s="97">
        <f t="shared" si="28"/>
        <v>620.72389376740659</v>
      </c>
      <c r="AX53" s="2909">
        <f t="shared" ref="AX53:AX117" si="63">K53</f>
        <v>50971.953074829311</v>
      </c>
      <c r="AY53">
        <f t="shared" ref="AY53:AY117" si="64">AX53*BR53</f>
        <v>50263.948971092301</v>
      </c>
      <c r="AZ53" s="2910">
        <f t="shared" ref="AZ53:AZ117" si="65">-$B$19 * $B$15* (H53+C53)/($B$16-$B$15)</f>
        <v>0</v>
      </c>
      <c r="BA53" s="2767">
        <f t="shared" ref="BA53:BA117" si="66">AZ53*BR53</f>
        <v>0</v>
      </c>
      <c r="BB53" s="2910">
        <f t="shared" ref="BB53:BB117" si="67">-$B$17* $B$15* (I53 + D53) / ($B$16-$B$15)</f>
        <v>562.76733497093244</v>
      </c>
      <c r="BC53" s="2767">
        <f t="shared" ref="BC53:BC117" si="68">BB53*BR53</f>
        <v>554.950456107695</v>
      </c>
      <c r="BD53" s="2910">
        <f t="shared" ref="BD53:BD117" si="69">-$B$18*$B$15* (J53 + E53) / ($B$16-$B$15)</f>
        <v>309.21425054278853</v>
      </c>
      <c r="BE53" s="2767">
        <f t="shared" ref="BE53:BE117" si="70">BD53*BR53</f>
        <v>304.91924230567298</v>
      </c>
      <c r="BF53" s="104"/>
      <c r="BG53" s="2910">
        <f t="shared" ref="BG53:BG117" si="71">+$B$19*$B$15* (H53 + C53) / ($B$16-$B$15)</f>
        <v>0</v>
      </c>
      <c r="BH53" s="2767">
        <f t="shared" ref="BH53:BH117" si="72">BG53*BS53</f>
        <v>0</v>
      </c>
      <c r="BI53" s="2910">
        <f t="shared" ref="BI53:BI117" si="73">+$B$17*$B$15* (I53 + D53) / ($B$16-$B$15)</f>
        <v>-562.76733497093244</v>
      </c>
      <c r="BJ53" s="2767">
        <f t="shared" ref="BJ53:BJ117" si="74">BI53*BS53</f>
        <v>-89.877504191045404</v>
      </c>
      <c r="BK53" s="2910">
        <f t="shared" ref="BK53:BK117" si="75">+$B$18*$B$15* (J53 + E53) / ($B$16-$B$15)</f>
        <v>-309.21425054278853</v>
      </c>
      <c r="BL53" s="2767">
        <f t="shared" ref="BL53:BL117" si="76">BK53*BS53</f>
        <v>-49.38347230214756</v>
      </c>
      <c r="BM53" s="2896">
        <f t="shared" ref="BM53:BM117" si="77">F53</f>
        <v>0</v>
      </c>
      <c r="BN53" s="2896">
        <f t="shared" ref="BN53:BN117" si="78">BM53+((AX52+AZ53+BB53+BD53)*BR53)</f>
        <v>51111.214051322509</v>
      </c>
      <c r="BP53" s="2896">
        <f t="shared" ref="BP53:BP117" si="79">BN53+BH53+BJ53+BL53</f>
        <v>50971.953074829311</v>
      </c>
      <c r="BR53">
        <f t="shared" ref="BR53:BR117" si="80">EXP(-$B$16*B54)</f>
        <v>0.98610992789117524</v>
      </c>
      <c r="BS53">
        <f t="shared" ref="BS53:BS117" si="81">EXP(-$B$15*B54)</f>
        <v>0.15970632729720832</v>
      </c>
    </row>
    <row r="54" spans="1:71" ht="15.75">
      <c r="A54" s="2351">
        <v>31</v>
      </c>
      <c r="B54" s="2389">
        <f t="shared" si="59"/>
        <v>2.2930232558139534</v>
      </c>
      <c r="C54" s="2390">
        <f t="shared" si="59"/>
        <v>0</v>
      </c>
      <c r="D54" s="2569">
        <f t="shared" si="59"/>
        <v>3754.2723665615231</v>
      </c>
      <c r="E54" s="2569">
        <f t="shared" si="59"/>
        <v>1031.3982742262244</v>
      </c>
      <c r="F54" s="2569">
        <f t="shared" si="59"/>
        <v>0</v>
      </c>
      <c r="G54" s="2569"/>
      <c r="H54" s="1461">
        <f t="shared" si="38"/>
        <v>0</v>
      </c>
      <c r="I54" s="1461">
        <f t="shared" si="39"/>
        <v>713.53750577270955</v>
      </c>
      <c r="J54" s="1461">
        <f t="shared" si="40"/>
        <v>196.02769330337475</v>
      </c>
      <c r="K54" s="1461">
        <f t="shared" si="41"/>
        <v>50984.557693012466</v>
      </c>
      <c r="L54" s="2571">
        <f t="shared" si="18"/>
        <v>51894.122892088548</v>
      </c>
      <c r="M54" s="1461">
        <f t="shared" si="33"/>
        <v>12.604618183155253</v>
      </c>
      <c r="N54" s="1461"/>
      <c r="O54" s="1018">
        <v>2012</v>
      </c>
      <c r="P54" s="2351">
        <v>32</v>
      </c>
      <c r="Q54" s="1461">
        <f t="shared" si="19"/>
        <v>51894.122892088548</v>
      </c>
      <c r="R54" s="2921">
        <f t="shared" si="35"/>
        <v>51894.122892088548</v>
      </c>
      <c r="S54" s="1018">
        <f t="shared" si="20"/>
        <v>0</v>
      </c>
      <c r="T54" s="1018">
        <f t="shared" si="20"/>
        <v>0</v>
      </c>
      <c r="U54" s="13"/>
      <c r="V54" s="13"/>
      <c r="W54" s="1461">
        <f t="shared" si="36"/>
        <v>0</v>
      </c>
      <c r="X54" s="2699">
        <f t="shared" si="21"/>
        <v>1.7298040964029515</v>
      </c>
      <c r="Y54" s="2699">
        <f t="shared" si="22"/>
        <v>1.7298040964029515</v>
      </c>
      <c r="Z54" s="1018"/>
      <c r="AA54" s="2352"/>
      <c r="AB54" s="2702">
        <f t="shared" si="23"/>
        <v>0</v>
      </c>
      <c r="AC54" s="2354"/>
      <c r="AF54" s="2354"/>
      <c r="AG54" s="2354"/>
      <c r="AR54" s="473">
        <f t="shared" si="24"/>
        <v>31</v>
      </c>
      <c r="AS54" s="809">
        <f t="shared" si="25"/>
        <v>713.14353651254135</v>
      </c>
      <c r="AT54" s="809">
        <f t="shared" si="26"/>
        <v>713.31739396844239</v>
      </c>
      <c r="AU54" s="97">
        <f t="shared" si="27"/>
        <v>620.72389376740659</v>
      </c>
      <c r="AV54" s="97">
        <f t="shared" si="28"/>
        <v>620.55003631150555</v>
      </c>
      <c r="AX54" s="2909">
        <f t="shared" si="63"/>
        <v>50984.557693012466</v>
      </c>
      <c r="AY54">
        <f t="shared" si="64"/>
        <v>50276.378510219984</v>
      </c>
      <c r="AZ54" s="2910">
        <f t="shared" si="65"/>
        <v>0</v>
      </c>
      <c r="BA54" s="2767">
        <f t="shared" si="66"/>
        <v>0</v>
      </c>
      <c r="BB54" s="2910">
        <f t="shared" si="67"/>
        <v>562.76733497093244</v>
      </c>
      <c r="BC54" s="2767">
        <f t="shared" si="68"/>
        <v>554.950456107695</v>
      </c>
      <c r="BD54" s="2910">
        <f t="shared" si="69"/>
        <v>309.21425054278853</v>
      </c>
      <c r="BE54" s="2767">
        <f t="shared" si="70"/>
        <v>304.91924230567298</v>
      </c>
      <c r="BF54" s="104"/>
      <c r="BG54" s="2910">
        <f t="shared" si="71"/>
        <v>0</v>
      </c>
      <c r="BH54" s="2767">
        <f t="shared" si="72"/>
        <v>0</v>
      </c>
      <c r="BI54" s="2910">
        <f t="shared" si="73"/>
        <v>-562.76733497093244</v>
      </c>
      <c r="BJ54" s="2767">
        <f t="shared" si="74"/>
        <v>-89.877504191045404</v>
      </c>
      <c r="BK54" s="2910">
        <f t="shared" si="75"/>
        <v>-309.21425054278853</v>
      </c>
      <c r="BL54" s="2767">
        <f t="shared" si="76"/>
        <v>-49.38347230214756</v>
      </c>
      <c r="BM54" s="2896">
        <f t="shared" si="77"/>
        <v>0</v>
      </c>
      <c r="BN54" s="2896">
        <f t="shared" si="78"/>
        <v>51123.818669505665</v>
      </c>
      <c r="BP54" s="2896">
        <f t="shared" si="79"/>
        <v>50984.557693012466</v>
      </c>
      <c r="BR54">
        <f t="shared" si="80"/>
        <v>0.98610992789117524</v>
      </c>
      <c r="BS54">
        <f t="shared" si="81"/>
        <v>0.15970632729720832</v>
      </c>
    </row>
    <row r="55" spans="1:71" ht="15.75">
      <c r="A55" s="2351">
        <v>32</v>
      </c>
      <c r="B55" s="2389">
        <f t="shared" si="59"/>
        <v>2.2930232558139534</v>
      </c>
      <c r="C55" s="2390">
        <f t="shared" si="59"/>
        <v>0</v>
      </c>
      <c r="D55" s="2569">
        <f t="shared" si="59"/>
        <v>3754.2723665615231</v>
      </c>
      <c r="E55" s="2569">
        <f t="shared" si="59"/>
        <v>1031.3982742262244</v>
      </c>
      <c r="F55" s="2569">
        <f t="shared" si="59"/>
        <v>0</v>
      </c>
      <c r="G55" s="2569"/>
      <c r="H55" s="1461">
        <f t="shared" si="38"/>
        <v>0</v>
      </c>
      <c r="I55" s="1461">
        <f t="shared" si="39"/>
        <v>713.53750577270955</v>
      </c>
      <c r="J55" s="1461">
        <f t="shared" si="40"/>
        <v>196.02769330337475</v>
      </c>
      <c r="K55" s="1461">
        <f t="shared" si="41"/>
        <v>50996.987232140156</v>
      </c>
      <c r="L55" s="2571">
        <f t="shared" si="18"/>
        <v>51906.552431216238</v>
      </c>
      <c r="M55" s="1461">
        <f t="shared" si="33"/>
        <v>12.429539127690077</v>
      </c>
      <c r="N55" s="1461"/>
      <c r="O55" s="1018">
        <v>2013</v>
      </c>
      <c r="P55" s="2351">
        <v>33</v>
      </c>
      <c r="Q55" s="1461">
        <f t="shared" si="19"/>
        <v>51906.552431216238</v>
      </c>
      <c r="R55" s="2921">
        <f t="shared" si="35"/>
        <v>51906.552431216238</v>
      </c>
      <c r="S55" s="1018">
        <f t="shared" si="20"/>
        <v>4.1999999999999993</v>
      </c>
      <c r="T55" s="1018">
        <f t="shared" si="20"/>
        <v>6.24</v>
      </c>
      <c r="U55" s="13">
        <v>1.4</v>
      </c>
      <c r="V55" s="13">
        <v>2.08</v>
      </c>
      <c r="W55" s="1461">
        <f t="shared" si="36"/>
        <v>0</v>
      </c>
      <c r="X55" s="2699">
        <f t="shared" si="21"/>
        <v>1.7302184143738746</v>
      </c>
      <c r="Y55" s="2699">
        <f t="shared" si="22"/>
        <v>1.7302184143738746</v>
      </c>
      <c r="Z55" s="1018">
        <f t="shared" si="58"/>
        <v>1.4</v>
      </c>
      <c r="AA55" s="2352"/>
      <c r="AB55" s="2702">
        <f t="shared" si="23"/>
        <v>0</v>
      </c>
      <c r="AC55" s="2354"/>
      <c r="AF55" s="2354"/>
      <c r="AG55" s="2354"/>
      <c r="AR55" s="473">
        <f t="shared" si="24"/>
        <v>32</v>
      </c>
      <c r="AS55" s="809">
        <f t="shared" si="25"/>
        <v>713.31739396844239</v>
      </c>
      <c r="AT55" s="809">
        <f t="shared" si="26"/>
        <v>713.48883653174414</v>
      </c>
      <c r="AU55" s="97">
        <f t="shared" si="27"/>
        <v>620.55003631150555</v>
      </c>
      <c r="AV55" s="97">
        <f t="shared" si="28"/>
        <v>620.3785937482038</v>
      </c>
      <c r="AX55" s="2909">
        <f t="shared" si="63"/>
        <v>50996.987232140156</v>
      </c>
      <c r="AY55">
        <f t="shared" si="64"/>
        <v>50288.635402152911</v>
      </c>
      <c r="AZ55" s="2910">
        <f t="shared" si="65"/>
        <v>0</v>
      </c>
      <c r="BA55" s="2767">
        <f t="shared" si="66"/>
        <v>0</v>
      </c>
      <c r="BB55" s="2910">
        <f t="shared" si="67"/>
        <v>562.76733497093244</v>
      </c>
      <c r="BC55" s="2767">
        <f t="shared" si="68"/>
        <v>554.950456107695</v>
      </c>
      <c r="BD55" s="2910">
        <f t="shared" si="69"/>
        <v>309.21425054278853</v>
      </c>
      <c r="BE55" s="2767">
        <f t="shared" si="70"/>
        <v>304.91924230567298</v>
      </c>
      <c r="BF55" s="104"/>
      <c r="BG55" s="2910">
        <f t="shared" si="71"/>
        <v>0</v>
      </c>
      <c r="BH55" s="2767">
        <f t="shared" si="72"/>
        <v>0</v>
      </c>
      <c r="BI55" s="2910">
        <f t="shared" si="73"/>
        <v>-562.76733497093244</v>
      </c>
      <c r="BJ55" s="2767">
        <f t="shared" si="74"/>
        <v>-89.877504191045404</v>
      </c>
      <c r="BK55" s="2910">
        <f t="shared" si="75"/>
        <v>-309.21425054278853</v>
      </c>
      <c r="BL55" s="2767">
        <f t="shared" si="76"/>
        <v>-49.38347230214756</v>
      </c>
      <c r="BM55" s="2896">
        <f t="shared" si="77"/>
        <v>0</v>
      </c>
      <c r="BN55" s="2896">
        <f t="shared" si="78"/>
        <v>51136.248208633355</v>
      </c>
      <c r="BP55" s="2896">
        <f t="shared" si="79"/>
        <v>50996.987232140156</v>
      </c>
      <c r="BR55">
        <f t="shared" si="80"/>
        <v>0.98610992789117524</v>
      </c>
      <c r="BS55">
        <f t="shared" si="81"/>
        <v>0.15970632729720832</v>
      </c>
    </row>
    <row r="56" spans="1:71" ht="15.75">
      <c r="A56" s="2351">
        <v>33</v>
      </c>
      <c r="B56" s="2389">
        <f t="shared" ref="B56:F71" si="82">+B55</f>
        <v>2.2930232558139534</v>
      </c>
      <c r="C56" s="2390">
        <f t="shared" si="82"/>
        <v>0</v>
      </c>
      <c r="D56" s="2569">
        <f t="shared" si="82"/>
        <v>3754.2723665615231</v>
      </c>
      <c r="E56" s="2569">
        <f t="shared" si="82"/>
        <v>1031.3982742262244</v>
      </c>
      <c r="F56" s="2569">
        <f t="shared" si="82"/>
        <v>0</v>
      </c>
      <c r="G56" s="2569"/>
      <c r="H56" s="1461">
        <f t="shared" si="38"/>
        <v>0</v>
      </c>
      <c r="I56" s="1461">
        <f t="shared" si="39"/>
        <v>713.53750577270955</v>
      </c>
      <c r="J56" s="1461">
        <f t="shared" si="40"/>
        <v>196.02769330337475</v>
      </c>
      <c r="K56" s="1461">
        <f t="shared" si="41"/>
        <v>51009.244124073084</v>
      </c>
      <c r="L56" s="2571">
        <f t="shared" si="18"/>
        <v>51918.809323149166</v>
      </c>
      <c r="M56" s="1461">
        <f t="shared" si="33"/>
        <v>12.256891932927829</v>
      </c>
      <c r="N56" s="1461"/>
      <c r="O56" s="1018">
        <v>2014</v>
      </c>
      <c r="P56" s="2351">
        <v>34</v>
      </c>
      <c r="Q56" s="1461">
        <f t="shared" si="19"/>
        <v>51918.809323149166</v>
      </c>
      <c r="R56" s="2921">
        <f t="shared" si="35"/>
        <v>51918.809323149166</v>
      </c>
      <c r="S56" s="1018">
        <f t="shared" si="20"/>
        <v>0</v>
      </c>
      <c r="T56" s="1018">
        <f t="shared" si="20"/>
        <v>0</v>
      </c>
      <c r="U56" s="13"/>
      <c r="V56" s="13"/>
      <c r="W56" s="1461">
        <f t="shared" si="36"/>
        <v>0</v>
      </c>
      <c r="X56" s="2699">
        <f t="shared" si="21"/>
        <v>1.7306269774383056</v>
      </c>
      <c r="Y56" s="2699">
        <f t="shared" si="22"/>
        <v>1.7306269774383056</v>
      </c>
      <c r="Z56" s="1018"/>
      <c r="AA56" s="2352"/>
      <c r="AB56" s="2702">
        <f t="shared" si="23"/>
        <v>0</v>
      </c>
      <c r="AC56" s="2354"/>
      <c r="AF56" s="2354"/>
      <c r="AG56" s="2354"/>
      <c r="AR56" s="473">
        <f t="shared" si="24"/>
        <v>33</v>
      </c>
      <c r="AS56" s="809">
        <f t="shared" si="25"/>
        <v>713.48883653174414</v>
      </c>
      <c r="AT56" s="809">
        <f t="shared" ref="AT56:AT72" si="83">AJ$26*AK$30*K132</f>
        <v>713.6578977454792</v>
      </c>
      <c r="AU56" s="97">
        <f t="shared" si="27"/>
        <v>620.3785937482038</v>
      </c>
      <c r="AV56" s="97">
        <f t="shared" si="28"/>
        <v>620.20953253446874</v>
      </c>
      <c r="AX56" s="2909">
        <f t="shared" si="63"/>
        <v>51009.244124073084</v>
      </c>
      <c r="AY56">
        <f t="shared" si="64"/>
        <v>50300.722044973067</v>
      </c>
      <c r="AZ56" s="2910">
        <f t="shared" si="65"/>
        <v>0</v>
      </c>
      <c r="BA56" s="2767">
        <f t="shared" si="66"/>
        <v>0</v>
      </c>
      <c r="BB56" s="2910">
        <f t="shared" si="67"/>
        <v>562.76733497093244</v>
      </c>
      <c r="BC56" s="2767">
        <f t="shared" si="68"/>
        <v>554.950456107695</v>
      </c>
      <c r="BD56" s="2910">
        <f t="shared" si="69"/>
        <v>309.21425054278853</v>
      </c>
      <c r="BE56" s="2767">
        <f t="shared" si="70"/>
        <v>304.91924230567298</v>
      </c>
      <c r="BF56" s="104"/>
      <c r="BG56" s="2910">
        <f t="shared" si="71"/>
        <v>0</v>
      </c>
      <c r="BH56" s="2767">
        <f t="shared" si="72"/>
        <v>0</v>
      </c>
      <c r="BI56" s="2910">
        <f t="shared" si="73"/>
        <v>-562.76733497093244</v>
      </c>
      <c r="BJ56" s="2767">
        <f t="shared" si="74"/>
        <v>-89.877504191045404</v>
      </c>
      <c r="BK56" s="2910">
        <f t="shared" si="75"/>
        <v>-309.21425054278853</v>
      </c>
      <c r="BL56" s="2767">
        <f t="shared" si="76"/>
        <v>-49.38347230214756</v>
      </c>
      <c r="BM56" s="2896">
        <f t="shared" si="77"/>
        <v>0</v>
      </c>
      <c r="BN56" s="2896">
        <f t="shared" si="78"/>
        <v>51148.505100566283</v>
      </c>
      <c r="BP56" s="2896">
        <f t="shared" si="79"/>
        <v>51009.244124073084</v>
      </c>
      <c r="BR56">
        <f t="shared" si="80"/>
        <v>0.98610992789117524</v>
      </c>
      <c r="BS56">
        <f t="shared" si="81"/>
        <v>0.15970632729720832</v>
      </c>
    </row>
    <row r="57" spans="1:71" ht="15.75">
      <c r="A57" s="2351">
        <v>34</v>
      </c>
      <c r="B57" s="2389">
        <f t="shared" si="82"/>
        <v>2.2930232558139534</v>
      </c>
      <c r="C57" s="2390">
        <f t="shared" si="82"/>
        <v>0</v>
      </c>
      <c r="D57" s="2569">
        <f t="shared" si="82"/>
        <v>3754.2723665615231</v>
      </c>
      <c r="E57" s="2569">
        <f t="shared" si="82"/>
        <v>1031.3982742262244</v>
      </c>
      <c r="F57" s="2569">
        <f t="shared" si="82"/>
        <v>0</v>
      </c>
      <c r="G57" s="2569"/>
      <c r="H57" s="1461">
        <f t="shared" si="38"/>
        <v>0</v>
      </c>
      <c r="I57" s="1461">
        <f t="shared" si="39"/>
        <v>713.53750577270955</v>
      </c>
      <c r="J57" s="1461">
        <f t="shared" si="40"/>
        <v>196.02769330337475</v>
      </c>
      <c r="K57" s="1461">
        <f t="shared" si="41"/>
        <v>51021.330766893232</v>
      </c>
      <c r="L57" s="2571">
        <f t="shared" si="18"/>
        <v>51930.895965969314</v>
      </c>
      <c r="M57" s="1461">
        <f t="shared" si="33"/>
        <v>12.086642820147972</v>
      </c>
      <c r="N57" s="1461"/>
      <c r="O57" s="1018">
        <v>2015</v>
      </c>
      <c r="P57" s="2351">
        <v>35</v>
      </c>
      <c r="Q57" s="1461">
        <f t="shared" si="19"/>
        <v>51930.895965969314</v>
      </c>
      <c r="R57" s="2921">
        <f t="shared" si="35"/>
        <v>51930.895965969314</v>
      </c>
      <c r="S57" s="1018">
        <f t="shared" si="20"/>
        <v>0</v>
      </c>
      <c r="T57" s="1018">
        <f t="shared" si="20"/>
        <v>0</v>
      </c>
      <c r="U57" s="13"/>
      <c r="V57" s="13"/>
      <c r="W57" s="1461">
        <f t="shared" si="36"/>
        <v>0</v>
      </c>
      <c r="X57" s="2699">
        <f t="shared" si="21"/>
        <v>1.7310298655323104</v>
      </c>
      <c r="Y57" s="2699">
        <f t="shared" si="22"/>
        <v>1.7310298655323104</v>
      </c>
      <c r="Z57" s="1018"/>
      <c r="AA57" s="2352"/>
      <c r="AB57" s="2702">
        <f t="shared" si="23"/>
        <v>0</v>
      </c>
      <c r="AC57" s="2354"/>
      <c r="AF57" s="2354"/>
      <c r="AG57" s="2354"/>
      <c r="AR57" s="473">
        <f t="shared" si="24"/>
        <v>34</v>
      </c>
      <c r="AS57" s="809">
        <f t="shared" si="25"/>
        <v>713.6578977454792</v>
      </c>
      <c r="AT57" s="809">
        <f t="shared" si="83"/>
        <v>713.82461068676457</v>
      </c>
      <c r="AU57" s="97">
        <f t="shared" si="27"/>
        <v>620.20953253446874</v>
      </c>
      <c r="AV57" s="97">
        <f t="shared" si="28"/>
        <v>620.04281959318337</v>
      </c>
      <c r="AX57" s="2909">
        <f t="shared" si="63"/>
        <v>51021.330766893232</v>
      </c>
      <c r="AY57">
        <f t="shared" si="64"/>
        <v>50312.640803452887</v>
      </c>
      <c r="AZ57" s="2910">
        <f t="shared" si="65"/>
        <v>0</v>
      </c>
      <c r="BA57" s="2767">
        <f t="shared" si="66"/>
        <v>0</v>
      </c>
      <c r="BB57" s="2910">
        <f t="shared" si="67"/>
        <v>562.76733497093244</v>
      </c>
      <c r="BC57" s="2767">
        <f t="shared" si="68"/>
        <v>554.950456107695</v>
      </c>
      <c r="BD57" s="2910">
        <f t="shared" si="69"/>
        <v>309.21425054278853</v>
      </c>
      <c r="BE57" s="2767">
        <f t="shared" si="70"/>
        <v>304.91924230567298</v>
      </c>
      <c r="BF57" s="104"/>
      <c r="BG57" s="2910">
        <f t="shared" si="71"/>
        <v>0</v>
      </c>
      <c r="BH57" s="2767">
        <f t="shared" si="72"/>
        <v>0</v>
      </c>
      <c r="BI57" s="2910">
        <f t="shared" si="73"/>
        <v>-562.76733497093244</v>
      </c>
      <c r="BJ57" s="2767">
        <f t="shared" si="74"/>
        <v>-89.877504191045404</v>
      </c>
      <c r="BK57" s="2910">
        <f t="shared" si="75"/>
        <v>-309.21425054278853</v>
      </c>
      <c r="BL57" s="2767">
        <f t="shared" si="76"/>
        <v>-49.38347230214756</v>
      </c>
      <c r="BM57" s="2896">
        <f t="shared" si="77"/>
        <v>0</v>
      </c>
      <c r="BN57" s="2896">
        <f t="shared" si="78"/>
        <v>51160.591743386431</v>
      </c>
      <c r="BP57" s="2896">
        <f t="shared" si="79"/>
        <v>51021.330766893232</v>
      </c>
      <c r="BR57">
        <f t="shared" si="80"/>
        <v>0.98610992789117524</v>
      </c>
      <c r="BS57">
        <f t="shared" si="81"/>
        <v>0.15970632729720832</v>
      </c>
    </row>
    <row r="58" spans="1:71" ht="15.75">
      <c r="A58" s="2351">
        <v>35</v>
      </c>
      <c r="B58" s="2389">
        <f t="shared" si="82"/>
        <v>2.2930232558139534</v>
      </c>
      <c r="C58" s="2390">
        <f t="shared" si="82"/>
        <v>0</v>
      </c>
      <c r="D58" s="2569">
        <f t="shared" si="82"/>
        <v>3754.2723665615231</v>
      </c>
      <c r="E58" s="2569">
        <f t="shared" si="82"/>
        <v>1031.3982742262244</v>
      </c>
      <c r="F58" s="2569">
        <f t="shared" si="82"/>
        <v>0</v>
      </c>
      <c r="G58" s="2569"/>
      <c r="H58" s="1461">
        <f t="shared" si="38"/>
        <v>0</v>
      </c>
      <c r="I58" s="1461">
        <f t="shared" si="39"/>
        <v>713.53750577270955</v>
      </c>
      <c r="J58" s="1461">
        <f t="shared" si="40"/>
        <v>196.02769330337475</v>
      </c>
      <c r="K58" s="1461">
        <f t="shared" si="41"/>
        <v>51033.249525373052</v>
      </c>
      <c r="L58" s="2571">
        <f t="shared" si="18"/>
        <v>51942.814724449134</v>
      </c>
      <c r="M58" s="1461">
        <f t="shared" si="33"/>
        <v>11.918758479820099</v>
      </c>
      <c r="N58" s="1461"/>
      <c r="O58" s="1018">
        <v>2016</v>
      </c>
      <c r="P58" s="2351">
        <v>36</v>
      </c>
      <c r="Q58" s="1461">
        <f t="shared" si="19"/>
        <v>51942.814724449134</v>
      </c>
      <c r="R58" s="2921">
        <f t="shared" si="35"/>
        <v>51942.814724449134</v>
      </c>
      <c r="S58" s="1018">
        <f t="shared" si="20"/>
        <v>0</v>
      </c>
      <c r="T58" s="1018">
        <f t="shared" si="20"/>
        <v>0</v>
      </c>
      <c r="U58" s="13"/>
      <c r="V58" s="13"/>
      <c r="W58" s="1461">
        <f t="shared" si="36"/>
        <v>0</v>
      </c>
      <c r="X58" s="2699">
        <f t="shared" si="21"/>
        <v>1.7314271574816378</v>
      </c>
      <c r="Y58" s="2699">
        <f t="shared" si="22"/>
        <v>1.7314271574816378</v>
      </c>
      <c r="Z58" s="1018"/>
      <c r="AA58" s="2352"/>
      <c r="AB58" s="2702">
        <f t="shared" si="23"/>
        <v>0</v>
      </c>
      <c r="AC58" s="2354"/>
      <c r="AR58" s="473">
        <f t="shared" si="24"/>
        <v>35</v>
      </c>
      <c r="AS58" s="809">
        <f t="shared" si="25"/>
        <v>713.82461068676457</v>
      </c>
      <c r="AT58" s="809">
        <f t="shared" si="83"/>
        <v>713.98900797327417</v>
      </c>
      <c r="AU58" s="97">
        <f t="shared" si="27"/>
        <v>620.04281959318337</v>
      </c>
      <c r="AV58" s="97">
        <f t="shared" si="28"/>
        <v>619.87842230667377</v>
      </c>
      <c r="AX58" s="2909">
        <f t="shared" si="63"/>
        <v>51033.249525373052</v>
      </c>
      <c r="AY58">
        <f t="shared" si="64"/>
        <v>50324.394009517971</v>
      </c>
      <c r="AZ58" s="2910">
        <f t="shared" si="65"/>
        <v>0</v>
      </c>
      <c r="BA58" s="2767">
        <f t="shared" si="66"/>
        <v>0</v>
      </c>
      <c r="BB58" s="2910">
        <f t="shared" si="67"/>
        <v>562.76733497093244</v>
      </c>
      <c r="BC58" s="2767">
        <f t="shared" si="68"/>
        <v>554.950456107695</v>
      </c>
      <c r="BD58" s="2910">
        <f t="shared" si="69"/>
        <v>309.21425054278853</v>
      </c>
      <c r="BE58" s="2767">
        <f t="shared" si="70"/>
        <v>304.91924230567298</v>
      </c>
      <c r="BF58" s="104"/>
      <c r="BG58" s="2910">
        <f t="shared" si="71"/>
        <v>0</v>
      </c>
      <c r="BH58" s="2767">
        <f t="shared" si="72"/>
        <v>0</v>
      </c>
      <c r="BI58" s="2910">
        <f t="shared" si="73"/>
        <v>-562.76733497093244</v>
      </c>
      <c r="BJ58" s="2767">
        <f t="shared" si="74"/>
        <v>-89.877504191045404</v>
      </c>
      <c r="BK58" s="2910">
        <f t="shared" si="75"/>
        <v>-309.21425054278853</v>
      </c>
      <c r="BL58" s="2767">
        <f t="shared" si="76"/>
        <v>-49.38347230214756</v>
      </c>
      <c r="BM58" s="2896">
        <f t="shared" si="77"/>
        <v>0</v>
      </c>
      <c r="BN58" s="2896">
        <f t="shared" si="78"/>
        <v>51172.510501866251</v>
      </c>
      <c r="BP58" s="2896">
        <f t="shared" si="79"/>
        <v>51033.249525373052</v>
      </c>
      <c r="BR58">
        <f t="shared" si="80"/>
        <v>0.98610992789117524</v>
      </c>
      <c r="BS58">
        <f t="shared" si="81"/>
        <v>0.15970632729720832</v>
      </c>
    </row>
    <row r="59" spans="1:71" ht="15.75">
      <c r="A59" s="2351">
        <v>36</v>
      </c>
      <c r="B59" s="2389">
        <f t="shared" si="82"/>
        <v>2.2930232558139534</v>
      </c>
      <c r="C59" s="2390">
        <f t="shared" si="82"/>
        <v>0</v>
      </c>
      <c r="D59" s="2569">
        <f t="shared" si="82"/>
        <v>3754.2723665615231</v>
      </c>
      <c r="E59" s="2569">
        <f t="shared" si="82"/>
        <v>1031.3982742262244</v>
      </c>
      <c r="F59" s="2569">
        <f t="shared" si="82"/>
        <v>0</v>
      </c>
      <c r="G59" s="2569"/>
      <c r="H59" s="1461">
        <f t="shared" si="38"/>
        <v>0</v>
      </c>
      <c r="I59" s="1461">
        <f t="shared" si="39"/>
        <v>713.53750577270955</v>
      </c>
      <c r="J59" s="1461">
        <f t="shared" si="40"/>
        <v>196.02769330337475</v>
      </c>
      <c r="K59" s="1461">
        <f t="shared" si="41"/>
        <v>51045.002731438144</v>
      </c>
      <c r="L59" s="2571">
        <f t="shared" si="18"/>
        <v>51954.567930514226</v>
      </c>
      <c r="M59" s="1461">
        <f t="shared" si="33"/>
        <v>11.753206065091945</v>
      </c>
      <c r="N59" s="1461"/>
      <c r="O59" s="1018">
        <v>2017</v>
      </c>
      <c r="P59" s="2351">
        <v>37</v>
      </c>
      <c r="Q59" s="1461">
        <f t="shared" si="19"/>
        <v>51954.567930514226</v>
      </c>
      <c r="R59" s="2921">
        <f t="shared" si="35"/>
        <v>51954.567930514226</v>
      </c>
      <c r="S59" s="1018">
        <f t="shared" si="20"/>
        <v>0</v>
      </c>
      <c r="T59" s="1018">
        <f t="shared" si="20"/>
        <v>0</v>
      </c>
      <c r="U59" s="13"/>
      <c r="V59" s="13"/>
      <c r="W59" s="1461">
        <f t="shared" si="36"/>
        <v>0</v>
      </c>
      <c r="X59" s="2699">
        <f t="shared" si="21"/>
        <v>1.7318189310171408</v>
      </c>
      <c r="Y59" s="2699">
        <f t="shared" si="22"/>
        <v>1.7318189310171408</v>
      </c>
      <c r="Z59" s="1018"/>
      <c r="AA59" s="2352"/>
      <c r="AB59" s="2702">
        <f t="shared" si="23"/>
        <v>0</v>
      </c>
      <c r="AC59" s="2354"/>
      <c r="AR59" s="473">
        <f t="shared" si="24"/>
        <v>36</v>
      </c>
      <c r="AS59" s="809">
        <f t="shared" si="25"/>
        <v>713.98900797327417</v>
      </c>
      <c r="AT59" s="809">
        <f t="shared" si="83"/>
        <v>714.15112176961952</v>
      </c>
      <c r="AU59" s="97">
        <f t="shared" si="27"/>
        <v>619.87842230667377</v>
      </c>
      <c r="AV59" s="97">
        <f t="shared" si="28"/>
        <v>619.71630851032842</v>
      </c>
      <c r="AX59" s="2909">
        <f t="shared" si="63"/>
        <v>51045.002731438144</v>
      </c>
      <c r="AY59">
        <f t="shared" si="64"/>
        <v>50335.983962703314</v>
      </c>
      <c r="AZ59" s="2910">
        <f t="shared" si="65"/>
        <v>0</v>
      </c>
      <c r="BA59" s="2767">
        <f t="shared" si="66"/>
        <v>0</v>
      </c>
      <c r="BB59" s="2910">
        <f t="shared" si="67"/>
        <v>562.76733497093244</v>
      </c>
      <c r="BC59" s="2767">
        <f t="shared" si="68"/>
        <v>554.950456107695</v>
      </c>
      <c r="BD59" s="2910">
        <f t="shared" si="69"/>
        <v>309.21425054278853</v>
      </c>
      <c r="BE59" s="2767">
        <f t="shared" si="70"/>
        <v>304.91924230567298</v>
      </c>
      <c r="BF59" s="104"/>
      <c r="BG59" s="2910">
        <f t="shared" si="71"/>
        <v>0</v>
      </c>
      <c r="BH59" s="2767">
        <f t="shared" si="72"/>
        <v>0</v>
      </c>
      <c r="BI59" s="2910">
        <f t="shared" si="73"/>
        <v>-562.76733497093244</v>
      </c>
      <c r="BJ59" s="2767">
        <f t="shared" si="74"/>
        <v>-89.877504191045404</v>
      </c>
      <c r="BK59" s="2910">
        <f t="shared" si="75"/>
        <v>-309.21425054278853</v>
      </c>
      <c r="BL59" s="2767">
        <f t="shared" si="76"/>
        <v>-49.38347230214756</v>
      </c>
      <c r="BM59" s="2896">
        <f t="shared" si="77"/>
        <v>0</v>
      </c>
      <c r="BN59" s="2896">
        <f t="shared" si="78"/>
        <v>51184.263707931343</v>
      </c>
      <c r="BP59" s="2896">
        <f t="shared" si="79"/>
        <v>51045.002731438144</v>
      </c>
      <c r="BR59">
        <f t="shared" si="80"/>
        <v>0.98610992789117524</v>
      </c>
      <c r="BS59">
        <f t="shared" si="81"/>
        <v>0.15970632729720832</v>
      </c>
    </row>
    <row r="60" spans="1:71" ht="15.75">
      <c r="A60" s="2351">
        <v>37</v>
      </c>
      <c r="B60" s="2389">
        <f t="shared" si="82"/>
        <v>2.2930232558139534</v>
      </c>
      <c r="C60" s="2390">
        <f t="shared" si="82"/>
        <v>0</v>
      </c>
      <c r="D60" s="2569">
        <f t="shared" si="82"/>
        <v>3754.2723665615231</v>
      </c>
      <c r="E60" s="2569">
        <f t="shared" si="82"/>
        <v>1031.3982742262244</v>
      </c>
      <c r="F60" s="2569">
        <f t="shared" si="82"/>
        <v>0</v>
      </c>
      <c r="G60" s="2569"/>
      <c r="H60" s="1461">
        <f t="shared" si="38"/>
        <v>0</v>
      </c>
      <c r="I60" s="1461">
        <f t="shared" si="39"/>
        <v>713.53750577270955</v>
      </c>
      <c r="J60" s="1461">
        <f t="shared" si="40"/>
        <v>196.02769330337475</v>
      </c>
      <c r="K60" s="1461">
        <f t="shared" si="41"/>
        <v>51056.59268462348</v>
      </c>
      <c r="L60" s="2571">
        <f t="shared" si="18"/>
        <v>51966.157883699561</v>
      </c>
      <c r="M60" s="1461">
        <f t="shared" si="33"/>
        <v>11.589953185335617</v>
      </c>
      <c r="N60" s="1461"/>
      <c r="O60" s="1018">
        <v>2018</v>
      </c>
      <c r="P60" s="2351">
        <v>38</v>
      </c>
      <c r="Q60" s="1461">
        <f t="shared" si="19"/>
        <v>51966.157883699561</v>
      </c>
      <c r="R60" s="2921">
        <f t="shared" si="35"/>
        <v>51966.157883699561</v>
      </c>
      <c r="S60" s="1018">
        <f t="shared" si="20"/>
        <v>0</v>
      </c>
      <c r="T60" s="1018">
        <f t="shared" si="20"/>
        <v>0</v>
      </c>
      <c r="U60" s="13"/>
      <c r="V60" s="13"/>
      <c r="W60" s="1461">
        <f t="shared" si="36"/>
        <v>0</v>
      </c>
      <c r="X60" s="2699">
        <f t="shared" si="21"/>
        <v>1.7322052627899853</v>
      </c>
      <c r="Y60" s="2699">
        <f t="shared" si="22"/>
        <v>1.7322052627899853</v>
      </c>
      <c r="Z60" s="1018"/>
      <c r="AA60" s="2352"/>
      <c r="AB60" s="2702">
        <f t="shared" si="23"/>
        <v>0</v>
      </c>
      <c r="AC60" s="2354"/>
      <c r="AR60" s="473">
        <f t="shared" si="24"/>
        <v>37</v>
      </c>
      <c r="AS60" s="809">
        <f t="shared" si="25"/>
        <v>714.15112176961952</v>
      </c>
      <c r="AT60" s="809">
        <f t="shared" si="83"/>
        <v>714.31098379364391</v>
      </c>
      <c r="AU60" s="97">
        <f t="shared" si="27"/>
        <v>619.71630851032842</v>
      </c>
      <c r="AV60" s="97">
        <f t="shared" si="28"/>
        <v>619.55644648630403</v>
      </c>
      <c r="AX60" s="2909">
        <f t="shared" si="63"/>
        <v>51056.59268462348</v>
      </c>
      <c r="AY60">
        <f t="shared" si="64"/>
        <v>50347.412930603168</v>
      </c>
      <c r="AZ60" s="2910">
        <f t="shared" si="65"/>
        <v>0</v>
      </c>
      <c r="BA60" s="2767">
        <f t="shared" si="66"/>
        <v>0</v>
      </c>
      <c r="BB60" s="2910">
        <f t="shared" si="67"/>
        <v>562.76733497093244</v>
      </c>
      <c r="BC60" s="2767">
        <f t="shared" si="68"/>
        <v>554.950456107695</v>
      </c>
      <c r="BD60" s="2910">
        <f t="shared" si="69"/>
        <v>309.21425054278853</v>
      </c>
      <c r="BE60" s="2767">
        <f t="shared" si="70"/>
        <v>304.91924230567298</v>
      </c>
      <c r="BF60" s="104"/>
      <c r="BG60" s="2910">
        <f t="shared" si="71"/>
        <v>0</v>
      </c>
      <c r="BH60" s="2767">
        <f t="shared" si="72"/>
        <v>0</v>
      </c>
      <c r="BI60" s="2910">
        <f t="shared" si="73"/>
        <v>-562.76733497093244</v>
      </c>
      <c r="BJ60" s="2767">
        <f t="shared" si="74"/>
        <v>-89.877504191045404</v>
      </c>
      <c r="BK60" s="2910">
        <f t="shared" si="75"/>
        <v>-309.21425054278853</v>
      </c>
      <c r="BL60" s="2767">
        <f t="shared" si="76"/>
        <v>-49.38347230214756</v>
      </c>
      <c r="BM60" s="2896">
        <f t="shared" si="77"/>
        <v>0</v>
      </c>
      <c r="BN60" s="2896">
        <f t="shared" si="78"/>
        <v>51195.853661116678</v>
      </c>
      <c r="BP60" s="2896">
        <f t="shared" si="79"/>
        <v>51056.59268462348</v>
      </c>
      <c r="BR60">
        <f t="shared" si="80"/>
        <v>0.98610992789117524</v>
      </c>
      <c r="BS60">
        <f t="shared" si="81"/>
        <v>0.15970632729720832</v>
      </c>
    </row>
    <row r="61" spans="1:71" ht="15.75">
      <c r="A61" s="2351">
        <v>38</v>
      </c>
      <c r="B61" s="2389">
        <f t="shared" si="82"/>
        <v>2.2930232558139534</v>
      </c>
      <c r="C61" s="2390">
        <f t="shared" si="82"/>
        <v>0</v>
      </c>
      <c r="D61" s="2569">
        <f t="shared" si="82"/>
        <v>3754.2723665615231</v>
      </c>
      <c r="E61" s="2569">
        <f t="shared" si="82"/>
        <v>1031.3982742262244</v>
      </c>
      <c r="F61" s="2569">
        <f t="shared" si="82"/>
        <v>0</v>
      </c>
      <c r="G61" s="2569"/>
      <c r="H61" s="1461">
        <f t="shared" si="38"/>
        <v>0</v>
      </c>
      <c r="I61" s="1461">
        <f t="shared" si="39"/>
        <v>713.53750577270955</v>
      </c>
      <c r="J61" s="1461">
        <f t="shared" si="40"/>
        <v>196.02769330337475</v>
      </c>
      <c r="K61" s="1461">
        <f t="shared" si="41"/>
        <v>51068.021652523334</v>
      </c>
      <c r="L61" s="2571">
        <f t="shared" si="18"/>
        <v>51977.586851599415</v>
      </c>
      <c r="M61" s="1461">
        <f t="shared" si="33"/>
        <v>11.428967899853888</v>
      </c>
      <c r="N61" s="1461"/>
      <c r="O61" s="1018">
        <v>2019</v>
      </c>
      <c r="P61" s="2351">
        <v>39</v>
      </c>
      <c r="Q61" s="1461">
        <f t="shared" si="19"/>
        <v>51977.586851599415</v>
      </c>
      <c r="R61" s="2921">
        <f t="shared" si="35"/>
        <v>51977.586851599415</v>
      </c>
      <c r="S61" s="1018">
        <f t="shared" si="20"/>
        <v>0</v>
      </c>
      <c r="T61" s="1018">
        <f t="shared" si="20"/>
        <v>0</v>
      </c>
      <c r="U61" s="13"/>
      <c r="V61" s="13"/>
      <c r="W61" s="1461">
        <f t="shared" si="36"/>
        <v>0</v>
      </c>
      <c r="X61" s="2699">
        <f t="shared" si="21"/>
        <v>1.7325862283866471</v>
      </c>
      <c r="Y61" s="2699">
        <f t="shared" si="22"/>
        <v>1.7325862283866471</v>
      </c>
      <c r="Z61" s="1018"/>
      <c r="AA61" s="2352"/>
      <c r="AB61" s="2702">
        <f t="shared" si="23"/>
        <v>0</v>
      </c>
      <c r="AC61" s="2354"/>
      <c r="AR61" s="473">
        <f t="shared" si="24"/>
        <v>38</v>
      </c>
      <c r="AS61" s="809">
        <f t="shared" si="25"/>
        <v>714.31098379364391</v>
      </c>
      <c r="AT61" s="809">
        <f t="shared" si="83"/>
        <v>714.46862532262696</v>
      </c>
      <c r="AU61" s="97">
        <f t="shared" si="27"/>
        <v>619.55644648630403</v>
      </c>
      <c r="AV61" s="97">
        <f t="shared" si="28"/>
        <v>619.39880495732098</v>
      </c>
      <c r="AX61" s="2909">
        <f t="shared" si="63"/>
        <v>51068.021652523334</v>
      </c>
      <c r="AY61">
        <f t="shared" si="64"/>
        <v>50358.683149314762</v>
      </c>
      <c r="AZ61" s="2910">
        <f t="shared" si="65"/>
        <v>0</v>
      </c>
      <c r="BA61" s="2767">
        <f t="shared" si="66"/>
        <v>0</v>
      </c>
      <c r="BB61" s="2910">
        <f t="shared" si="67"/>
        <v>562.76733497093244</v>
      </c>
      <c r="BC61" s="2767">
        <f t="shared" si="68"/>
        <v>554.950456107695</v>
      </c>
      <c r="BD61" s="2910">
        <f t="shared" si="69"/>
        <v>309.21425054278853</v>
      </c>
      <c r="BE61" s="2767">
        <f t="shared" si="70"/>
        <v>304.91924230567298</v>
      </c>
      <c r="BF61" s="104"/>
      <c r="BG61" s="2910">
        <f t="shared" si="71"/>
        <v>0</v>
      </c>
      <c r="BH61" s="2767">
        <f t="shared" si="72"/>
        <v>0</v>
      </c>
      <c r="BI61" s="2910">
        <f t="shared" si="73"/>
        <v>-562.76733497093244</v>
      </c>
      <c r="BJ61" s="2767">
        <f t="shared" si="74"/>
        <v>-89.877504191045404</v>
      </c>
      <c r="BK61" s="2910">
        <f t="shared" si="75"/>
        <v>-309.21425054278853</v>
      </c>
      <c r="BL61" s="2767">
        <f t="shared" si="76"/>
        <v>-49.38347230214756</v>
      </c>
      <c r="BM61" s="2896">
        <f t="shared" si="77"/>
        <v>0</v>
      </c>
      <c r="BN61" s="2896">
        <f t="shared" si="78"/>
        <v>51207.282629016532</v>
      </c>
      <c r="BP61" s="2896">
        <f t="shared" si="79"/>
        <v>51068.021652523334</v>
      </c>
      <c r="BR61">
        <f t="shared" si="80"/>
        <v>0.98610992789117524</v>
      </c>
      <c r="BS61">
        <f t="shared" si="81"/>
        <v>0.15970632729720832</v>
      </c>
    </row>
    <row r="62" spans="1:71" ht="15.75">
      <c r="A62" s="2351">
        <v>39</v>
      </c>
      <c r="B62" s="2389">
        <f t="shared" si="82"/>
        <v>2.2930232558139534</v>
      </c>
      <c r="C62" s="2390">
        <f t="shared" si="82"/>
        <v>0</v>
      </c>
      <c r="D62" s="2569">
        <f t="shared" si="82"/>
        <v>3754.2723665615231</v>
      </c>
      <c r="E62" s="2569">
        <f t="shared" si="82"/>
        <v>1031.3982742262244</v>
      </c>
      <c r="F62" s="2569">
        <f t="shared" si="82"/>
        <v>0</v>
      </c>
      <c r="G62" s="2569"/>
      <c r="H62" s="1461">
        <f t="shared" si="38"/>
        <v>0</v>
      </c>
      <c r="I62" s="1461">
        <f t="shared" si="39"/>
        <v>713.53750577270955</v>
      </c>
      <c r="J62" s="1461">
        <f t="shared" si="40"/>
        <v>196.02769330337475</v>
      </c>
      <c r="K62" s="1461">
        <f t="shared" si="41"/>
        <v>51079.291871234927</v>
      </c>
      <c r="L62" s="2571">
        <f t="shared" si="18"/>
        <v>51988.857070311009</v>
      </c>
      <c r="M62" s="1461">
        <f t="shared" si="33"/>
        <v>11.27021871159377</v>
      </c>
      <c r="N62" s="1461"/>
      <c r="O62" s="1018">
        <v>2020</v>
      </c>
      <c r="P62" s="2351">
        <v>40</v>
      </c>
      <c r="Q62" s="1461">
        <f t="shared" si="19"/>
        <v>51988.857070311009</v>
      </c>
      <c r="R62" s="2921">
        <f t="shared" si="35"/>
        <v>51988.857070311009</v>
      </c>
      <c r="S62" s="1018">
        <f t="shared" si="20"/>
        <v>0</v>
      </c>
      <c r="T62" s="1018">
        <f t="shared" si="20"/>
        <v>0</v>
      </c>
      <c r="U62" s="13"/>
      <c r="V62" s="13"/>
      <c r="W62" s="1461">
        <f t="shared" si="36"/>
        <v>0</v>
      </c>
      <c r="X62" s="2699">
        <f t="shared" si="21"/>
        <v>1.7329619023437004</v>
      </c>
      <c r="Y62" s="2699">
        <f t="shared" si="22"/>
        <v>1.7329619023437004</v>
      </c>
      <c r="Z62" s="1018"/>
      <c r="AA62" s="2352"/>
      <c r="AB62" s="2702">
        <f t="shared" si="23"/>
        <v>0</v>
      </c>
      <c r="AR62" s="473">
        <f t="shared" si="24"/>
        <v>39</v>
      </c>
      <c r="AS62" s="809">
        <f t="shared" si="25"/>
        <v>714.46862532262696</v>
      </c>
      <c r="AT62" s="809">
        <f t="shared" si="83"/>
        <v>714.62407719940529</v>
      </c>
      <c r="AU62" s="97">
        <f t="shared" si="27"/>
        <v>619.39880495732098</v>
      </c>
      <c r="AV62" s="97">
        <f t="shared" si="28"/>
        <v>619.24335308054265</v>
      </c>
      <c r="AX62" s="2909">
        <f t="shared" si="63"/>
        <v>51079.291871234927</v>
      </c>
      <c r="AY62">
        <f t="shared" si="64"/>
        <v>50369.796823875768</v>
      </c>
      <c r="AZ62" s="2910">
        <f t="shared" si="65"/>
        <v>0</v>
      </c>
      <c r="BA62" s="2767">
        <f t="shared" si="66"/>
        <v>0</v>
      </c>
      <c r="BB62" s="2910">
        <f t="shared" si="67"/>
        <v>562.76733497093244</v>
      </c>
      <c r="BC62" s="2767">
        <f t="shared" si="68"/>
        <v>554.950456107695</v>
      </c>
      <c r="BD62" s="2910">
        <f t="shared" si="69"/>
        <v>309.21425054278853</v>
      </c>
      <c r="BE62" s="2767">
        <f t="shared" si="70"/>
        <v>304.91924230567298</v>
      </c>
      <c r="BF62" s="104"/>
      <c r="BG62" s="2910">
        <f t="shared" si="71"/>
        <v>0</v>
      </c>
      <c r="BH62" s="2767">
        <f t="shared" si="72"/>
        <v>0</v>
      </c>
      <c r="BI62" s="2910">
        <f t="shared" si="73"/>
        <v>-562.76733497093244</v>
      </c>
      <c r="BJ62" s="2767">
        <f t="shared" si="74"/>
        <v>-89.877504191045404</v>
      </c>
      <c r="BK62" s="2910">
        <f t="shared" si="75"/>
        <v>-309.21425054278853</v>
      </c>
      <c r="BL62" s="2767">
        <f t="shared" si="76"/>
        <v>-49.38347230214756</v>
      </c>
      <c r="BM62" s="2896">
        <f t="shared" si="77"/>
        <v>0</v>
      </c>
      <c r="BN62" s="2896">
        <f t="shared" si="78"/>
        <v>51218.552847728126</v>
      </c>
      <c r="BP62" s="2896">
        <f t="shared" si="79"/>
        <v>51079.291871234927</v>
      </c>
      <c r="BR62">
        <f t="shared" si="80"/>
        <v>0.98610992789117524</v>
      </c>
      <c r="BS62">
        <f t="shared" si="81"/>
        <v>0.15970632729720832</v>
      </c>
    </row>
    <row r="63" spans="1:71" ht="15.75">
      <c r="A63" s="2351">
        <v>40</v>
      </c>
      <c r="B63" s="2389">
        <f t="shared" si="82"/>
        <v>2.2930232558139534</v>
      </c>
      <c r="C63" s="2390">
        <f t="shared" si="82"/>
        <v>0</v>
      </c>
      <c r="D63" s="2569">
        <f t="shared" si="82"/>
        <v>3754.2723665615231</v>
      </c>
      <c r="E63" s="2569">
        <f t="shared" si="82"/>
        <v>1031.3982742262244</v>
      </c>
      <c r="F63" s="2569">
        <f t="shared" si="82"/>
        <v>0</v>
      </c>
      <c r="G63" s="2569"/>
      <c r="H63" s="1461">
        <f t="shared" si="38"/>
        <v>0</v>
      </c>
      <c r="I63" s="1461">
        <f t="shared" si="39"/>
        <v>713.53750577270955</v>
      </c>
      <c r="J63" s="1461">
        <f t="shared" si="40"/>
        <v>196.02769330337475</v>
      </c>
      <c r="K63" s="1461">
        <f t="shared" si="41"/>
        <v>51090.40554579594</v>
      </c>
      <c r="L63" s="2571">
        <f t="shared" si="18"/>
        <v>51999.970744872022</v>
      </c>
      <c r="M63" s="1461">
        <f t="shared" si="33"/>
        <v>11.113674561012886</v>
      </c>
      <c r="N63" s="1461"/>
      <c r="O63" s="1018">
        <v>2021</v>
      </c>
      <c r="P63" s="2351">
        <v>41</v>
      </c>
      <c r="Q63" s="1461">
        <f t="shared" si="19"/>
        <v>51999.970744872022</v>
      </c>
      <c r="R63" s="2921">
        <f t="shared" si="35"/>
        <v>51999.970744872022</v>
      </c>
      <c r="S63" s="1018">
        <f t="shared" si="20"/>
        <v>0</v>
      </c>
      <c r="T63" s="1018">
        <f t="shared" si="20"/>
        <v>0</v>
      </c>
      <c r="U63" s="13"/>
      <c r="V63" s="13"/>
      <c r="W63" s="1461">
        <f t="shared" si="36"/>
        <v>0</v>
      </c>
      <c r="X63" s="2699">
        <f t="shared" si="21"/>
        <v>1.7333323581624007</v>
      </c>
      <c r="Y63" s="2699">
        <f t="shared" si="22"/>
        <v>1.7333323581624007</v>
      </c>
      <c r="Z63" s="1018"/>
      <c r="AA63" s="2352"/>
      <c r="AB63" s="2702">
        <f t="shared" si="23"/>
        <v>0</v>
      </c>
      <c r="AC63" s="2354"/>
      <c r="AR63" s="473">
        <f t="shared" si="24"/>
        <v>40</v>
      </c>
      <c r="AS63" s="809">
        <f t="shared" si="25"/>
        <v>714.62407719940529</v>
      </c>
      <c r="AT63" s="809">
        <f t="shared" si="83"/>
        <v>714.77736983840566</v>
      </c>
      <c r="AU63" s="97">
        <f t="shared" si="27"/>
        <v>619.24335308054265</v>
      </c>
      <c r="AV63" s="97">
        <f t="shared" si="28"/>
        <v>619.09006044154228</v>
      </c>
      <c r="AX63" s="2909">
        <f t="shared" si="63"/>
        <v>51090.40554579594</v>
      </c>
      <c r="AY63">
        <f t="shared" si="64"/>
        <v>50380.756128695735</v>
      </c>
      <c r="AZ63" s="2910">
        <f t="shared" si="65"/>
        <v>0</v>
      </c>
      <c r="BA63" s="2767">
        <f t="shared" si="66"/>
        <v>0</v>
      </c>
      <c r="BB63" s="2910">
        <f t="shared" si="67"/>
        <v>562.76733497093244</v>
      </c>
      <c r="BC63" s="2767">
        <f t="shared" si="68"/>
        <v>554.950456107695</v>
      </c>
      <c r="BD63" s="2910">
        <f t="shared" si="69"/>
        <v>309.21425054278853</v>
      </c>
      <c r="BE63" s="2767">
        <f t="shared" si="70"/>
        <v>304.91924230567298</v>
      </c>
      <c r="BF63" s="104"/>
      <c r="BG63" s="2910">
        <f t="shared" si="71"/>
        <v>0</v>
      </c>
      <c r="BH63" s="2767">
        <f t="shared" si="72"/>
        <v>0</v>
      </c>
      <c r="BI63" s="2910">
        <f t="shared" si="73"/>
        <v>-562.76733497093244</v>
      </c>
      <c r="BJ63" s="2767">
        <f t="shared" si="74"/>
        <v>-89.877504191045404</v>
      </c>
      <c r="BK63" s="2910">
        <f t="shared" si="75"/>
        <v>-309.21425054278853</v>
      </c>
      <c r="BL63" s="2767">
        <f t="shared" si="76"/>
        <v>-49.38347230214756</v>
      </c>
      <c r="BM63" s="2896">
        <f t="shared" si="77"/>
        <v>0</v>
      </c>
      <c r="BN63" s="2896">
        <f t="shared" si="78"/>
        <v>51229.666522289139</v>
      </c>
      <c r="BP63" s="2896">
        <f t="shared" si="79"/>
        <v>51090.40554579594</v>
      </c>
      <c r="BR63">
        <f t="shared" si="80"/>
        <v>0.98610992789117524</v>
      </c>
      <c r="BS63">
        <f t="shared" si="81"/>
        <v>0.15970632729720832</v>
      </c>
    </row>
    <row r="64" spans="1:71" ht="15.75">
      <c r="A64" s="2351">
        <v>41</v>
      </c>
      <c r="B64" s="2389">
        <f t="shared" si="82"/>
        <v>2.2930232558139534</v>
      </c>
      <c r="C64" s="2390">
        <f t="shared" si="82"/>
        <v>0</v>
      </c>
      <c r="D64" s="2569">
        <f t="shared" si="82"/>
        <v>3754.2723665615231</v>
      </c>
      <c r="E64" s="2569">
        <f t="shared" si="82"/>
        <v>1031.3982742262244</v>
      </c>
      <c r="F64" s="2569">
        <f t="shared" si="82"/>
        <v>0</v>
      </c>
      <c r="G64" s="2569"/>
      <c r="H64" s="1461">
        <f t="shared" si="38"/>
        <v>0</v>
      </c>
      <c r="I64" s="1461">
        <f t="shared" si="39"/>
        <v>713.53750577270955</v>
      </c>
      <c r="J64" s="1461">
        <f t="shared" si="40"/>
        <v>196.02769330337475</v>
      </c>
      <c r="K64" s="1461">
        <f t="shared" si="41"/>
        <v>51101.364850615901</v>
      </c>
      <c r="L64" s="2571">
        <f t="shared" si="18"/>
        <v>52010.930049691982</v>
      </c>
      <c r="M64" s="1461">
        <f t="shared" si="33"/>
        <v>10.95930481996038</v>
      </c>
      <c r="N64" s="1461"/>
      <c r="O64" s="1018">
        <v>2022</v>
      </c>
      <c r="P64" s="2351">
        <v>42</v>
      </c>
      <c r="Q64" s="1461">
        <f t="shared" si="19"/>
        <v>52010.930049691982</v>
      </c>
      <c r="R64" s="2921">
        <f t="shared" si="35"/>
        <v>52010.930049691982</v>
      </c>
      <c r="S64" s="1018">
        <f t="shared" si="20"/>
        <v>0</v>
      </c>
      <c r="T64" s="1018">
        <f t="shared" si="20"/>
        <v>0</v>
      </c>
      <c r="U64" s="13"/>
      <c r="V64" s="13"/>
      <c r="W64" s="1461">
        <f t="shared" si="36"/>
        <v>0</v>
      </c>
      <c r="X64" s="2699">
        <f t="shared" si="21"/>
        <v>1.733697668323066</v>
      </c>
      <c r="Y64" s="2699">
        <f t="shared" si="22"/>
        <v>1.733697668323066</v>
      </c>
      <c r="Z64" s="1018"/>
      <c r="AA64" s="2352"/>
      <c r="AB64" s="2702">
        <f t="shared" si="23"/>
        <v>0</v>
      </c>
      <c r="AC64" s="2354"/>
      <c r="AR64" s="473">
        <f t="shared" si="24"/>
        <v>41</v>
      </c>
      <c r="AS64" s="809">
        <f t="shared" si="25"/>
        <v>714.77736983840566</v>
      </c>
      <c r="AT64" s="809">
        <f t="shared" si="83"/>
        <v>714.92853323159659</v>
      </c>
      <c r="AU64" s="97">
        <f t="shared" si="27"/>
        <v>619.09006044154228</v>
      </c>
      <c r="AV64" s="97">
        <f t="shared" si="28"/>
        <v>618.93889704835135</v>
      </c>
      <c r="AX64" s="2909">
        <f t="shared" si="63"/>
        <v>51101.364850615901</v>
      </c>
      <c r="AY64">
        <f t="shared" si="64"/>
        <v>50391.563207981482</v>
      </c>
      <c r="AZ64" s="2910">
        <f t="shared" si="65"/>
        <v>0</v>
      </c>
      <c r="BA64" s="2767">
        <f t="shared" si="66"/>
        <v>0</v>
      </c>
      <c r="BB64" s="2910">
        <f t="shared" si="67"/>
        <v>562.76733497093244</v>
      </c>
      <c r="BC64" s="2767">
        <f t="shared" si="68"/>
        <v>554.950456107695</v>
      </c>
      <c r="BD64" s="2910">
        <f t="shared" si="69"/>
        <v>309.21425054278853</v>
      </c>
      <c r="BE64" s="2767">
        <f t="shared" si="70"/>
        <v>304.91924230567298</v>
      </c>
      <c r="BF64" s="104"/>
      <c r="BG64" s="2910">
        <f t="shared" si="71"/>
        <v>0</v>
      </c>
      <c r="BH64" s="2767">
        <f t="shared" si="72"/>
        <v>0</v>
      </c>
      <c r="BI64" s="2910">
        <f t="shared" si="73"/>
        <v>-562.76733497093244</v>
      </c>
      <c r="BJ64" s="2767">
        <f t="shared" si="74"/>
        <v>-89.877504191045404</v>
      </c>
      <c r="BK64" s="2910">
        <f t="shared" si="75"/>
        <v>-309.21425054278853</v>
      </c>
      <c r="BL64" s="2767">
        <f t="shared" si="76"/>
        <v>-49.38347230214756</v>
      </c>
      <c r="BM64" s="2896">
        <f t="shared" si="77"/>
        <v>0</v>
      </c>
      <c r="BN64" s="2896">
        <f t="shared" si="78"/>
        <v>51240.625827109099</v>
      </c>
      <c r="BP64" s="2896">
        <f t="shared" si="79"/>
        <v>51101.364850615901</v>
      </c>
      <c r="BR64">
        <f t="shared" si="80"/>
        <v>0.98610992789117524</v>
      </c>
      <c r="BS64">
        <f t="shared" si="81"/>
        <v>0.15970632729720832</v>
      </c>
    </row>
    <row r="65" spans="1:71" ht="15.75">
      <c r="A65" s="2351">
        <v>42</v>
      </c>
      <c r="B65" s="2389">
        <f t="shared" si="82"/>
        <v>2.2930232558139534</v>
      </c>
      <c r="C65" s="2390">
        <f t="shared" si="82"/>
        <v>0</v>
      </c>
      <c r="D65" s="2569">
        <f t="shared" si="82"/>
        <v>3754.2723665615231</v>
      </c>
      <c r="E65" s="2569">
        <f t="shared" si="82"/>
        <v>1031.3982742262244</v>
      </c>
      <c r="F65" s="2569">
        <f t="shared" si="82"/>
        <v>0</v>
      </c>
      <c r="G65" s="2569"/>
      <c r="H65" s="1461">
        <f t="shared" si="38"/>
        <v>0</v>
      </c>
      <c r="I65" s="1461">
        <f t="shared" si="39"/>
        <v>713.53750577270955</v>
      </c>
      <c r="J65" s="1461">
        <f t="shared" si="40"/>
        <v>196.02769330337475</v>
      </c>
      <c r="K65" s="1461">
        <f t="shared" si="41"/>
        <v>51112.171929901655</v>
      </c>
      <c r="L65" s="2571">
        <f t="shared" si="18"/>
        <v>52021.737128977737</v>
      </c>
      <c r="M65" s="1461">
        <f t="shared" si="33"/>
        <v>10.807079285754298</v>
      </c>
      <c r="N65" s="1461"/>
      <c r="O65" s="1018">
        <v>2023</v>
      </c>
      <c r="P65" s="2351">
        <v>43</v>
      </c>
      <c r="Q65" s="1461">
        <f t="shared" si="19"/>
        <v>52021.737128977737</v>
      </c>
      <c r="R65" s="2921">
        <f t="shared" si="35"/>
        <v>52021.737128977737</v>
      </c>
      <c r="S65" s="1018">
        <f t="shared" si="20"/>
        <v>0</v>
      </c>
      <c r="T65" s="1018">
        <f t="shared" si="20"/>
        <v>0</v>
      </c>
      <c r="U65" s="13"/>
      <c r="V65" s="13"/>
      <c r="W65" s="1461">
        <f t="shared" si="36"/>
        <v>0</v>
      </c>
      <c r="X65" s="2699">
        <f t="shared" si="21"/>
        <v>1.7340579042992579</v>
      </c>
      <c r="Y65" s="2699">
        <f t="shared" si="22"/>
        <v>1.7340579042992579</v>
      </c>
      <c r="Z65" s="1018"/>
      <c r="AA65" s="2352"/>
      <c r="AB65" s="2702">
        <f t="shared" si="23"/>
        <v>0</v>
      </c>
      <c r="AC65" s="2354"/>
      <c r="AR65" s="473">
        <f t="shared" si="24"/>
        <v>42</v>
      </c>
      <c r="AS65" s="809">
        <f t="shared" si="25"/>
        <v>714.92853323159659</v>
      </c>
      <c r="AT65" s="809">
        <f t="shared" si="83"/>
        <v>715.07759695435584</v>
      </c>
      <c r="AU65" s="97">
        <f t="shared" si="27"/>
        <v>618.93889704835135</v>
      </c>
      <c r="AV65" s="97">
        <f t="shared" si="28"/>
        <v>618.7898333255921</v>
      </c>
      <c r="AX65" s="2909">
        <f t="shared" si="63"/>
        <v>51112.171929901655</v>
      </c>
      <c r="AY65">
        <f t="shared" si="64"/>
        <v>50402.220176156676</v>
      </c>
      <c r="AZ65" s="2910">
        <f t="shared" si="65"/>
        <v>0</v>
      </c>
      <c r="BA65" s="2767">
        <f t="shared" si="66"/>
        <v>0</v>
      </c>
      <c r="BB65" s="2910">
        <f t="shared" si="67"/>
        <v>562.76733497093244</v>
      </c>
      <c r="BC65" s="2767">
        <f t="shared" si="68"/>
        <v>554.950456107695</v>
      </c>
      <c r="BD65" s="2910">
        <f t="shared" si="69"/>
        <v>309.21425054278853</v>
      </c>
      <c r="BE65" s="2767">
        <f t="shared" si="70"/>
        <v>304.91924230567298</v>
      </c>
      <c r="BF65" s="104"/>
      <c r="BG65" s="2910">
        <f t="shared" si="71"/>
        <v>0</v>
      </c>
      <c r="BH65" s="2767">
        <f t="shared" si="72"/>
        <v>0</v>
      </c>
      <c r="BI65" s="2910">
        <f t="shared" si="73"/>
        <v>-562.76733497093244</v>
      </c>
      <c r="BJ65" s="2767">
        <f t="shared" si="74"/>
        <v>-89.877504191045404</v>
      </c>
      <c r="BK65" s="2910">
        <f t="shared" si="75"/>
        <v>-309.21425054278853</v>
      </c>
      <c r="BL65" s="2767">
        <f t="shared" si="76"/>
        <v>-49.38347230214756</v>
      </c>
      <c r="BM65" s="2896">
        <f t="shared" si="77"/>
        <v>0</v>
      </c>
      <c r="BN65" s="2896">
        <f t="shared" si="78"/>
        <v>51251.432906394853</v>
      </c>
      <c r="BP65" s="2896">
        <f t="shared" si="79"/>
        <v>51112.171929901655</v>
      </c>
      <c r="BR65">
        <f t="shared" si="80"/>
        <v>0.98610992789117524</v>
      </c>
      <c r="BS65">
        <f t="shared" si="81"/>
        <v>0.15970632729720832</v>
      </c>
    </row>
    <row r="66" spans="1:71" ht="15.75">
      <c r="A66" s="2351">
        <v>43</v>
      </c>
      <c r="B66" s="2389">
        <f t="shared" si="82"/>
        <v>2.2930232558139534</v>
      </c>
      <c r="C66" s="2390">
        <f t="shared" si="82"/>
        <v>0</v>
      </c>
      <c r="D66" s="2569">
        <f t="shared" si="82"/>
        <v>3754.2723665615231</v>
      </c>
      <c r="E66" s="2569">
        <f t="shared" si="82"/>
        <v>1031.3982742262244</v>
      </c>
      <c r="F66" s="2569">
        <f t="shared" si="82"/>
        <v>0</v>
      </c>
      <c r="G66" s="2569"/>
      <c r="H66" s="1461">
        <f t="shared" si="38"/>
        <v>0</v>
      </c>
      <c r="I66" s="1461">
        <f t="shared" si="39"/>
        <v>713.53750577270955</v>
      </c>
      <c r="J66" s="1461">
        <f t="shared" si="40"/>
        <v>196.02769330337475</v>
      </c>
      <c r="K66" s="1461">
        <f t="shared" si="41"/>
        <v>51122.828898076841</v>
      </c>
      <c r="L66" s="2571">
        <f t="shared" si="18"/>
        <v>52032.394097152923</v>
      </c>
      <c r="M66" s="1461">
        <f t="shared" si="33"/>
        <v>10.656968175186194</v>
      </c>
      <c r="N66" s="1461"/>
      <c r="O66" s="1018">
        <v>2024</v>
      </c>
      <c r="P66" s="2351">
        <v>44</v>
      </c>
      <c r="Q66" s="1461">
        <f t="shared" si="19"/>
        <v>52032.394097152923</v>
      </c>
      <c r="R66" s="2921">
        <f t="shared" si="35"/>
        <v>52032.394097152923</v>
      </c>
      <c r="S66" s="1018">
        <f t="shared" si="20"/>
        <v>0</v>
      </c>
      <c r="T66" s="1018">
        <f t="shared" si="20"/>
        <v>0</v>
      </c>
      <c r="U66" s="13"/>
      <c r="V66" s="13"/>
      <c r="W66" s="1461">
        <f t="shared" si="36"/>
        <v>0</v>
      </c>
      <c r="X66" s="2699">
        <f t="shared" si="21"/>
        <v>1.7344131365717641</v>
      </c>
      <c r="Y66" s="2699">
        <f t="shared" si="22"/>
        <v>1.7344131365717641</v>
      </c>
      <c r="Z66" s="1018"/>
      <c r="AA66" s="2352"/>
      <c r="AB66" s="2702">
        <f t="shared" si="23"/>
        <v>0</v>
      </c>
      <c r="AC66" s="2354"/>
      <c r="AR66" s="473">
        <f t="shared" si="24"/>
        <v>43</v>
      </c>
      <c r="AS66" s="809">
        <f t="shared" si="25"/>
        <v>715.07759695435584</v>
      </c>
      <c r="AT66" s="809">
        <f t="shared" si="83"/>
        <v>715.22459017125709</v>
      </c>
      <c r="AU66" s="97">
        <f t="shared" si="27"/>
        <v>618.7898333255921</v>
      </c>
      <c r="AV66" s="97">
        <f t="shared" si="28"/>
        <v>618.64284010869085</v>
      </c>
      <c r="AX66" s="2909">
        <f t="shared" si="63"/>
        <v>51122.828898076841</v>
      </c>
      <c r="AY66">
        <f t="shared" si="64"/>
        <v>50412.729118275442</v>
      </c>
      <c r="AZ66" s="2910">
        <f t="shared" si="65"/>
        <v>0</v>
      </c>
      <c r="BA66" s="2767">
        <f t="shared" si="66"/>
        <v>0</v>
      </c>
      <c r="BB66" s="2910">
        <f t="shared" si="67"/>
        <v>562.76733497093244</v>
      </c>
      <c r="BC66" s="2767">
        <f t="shared" si="68"/>
        <v>554.950456107695</v>
      </c>
      <c r="BD66" s="2910">
        <f t="shared" si="69"/>
        <v>309.21425054278853</v>
      </c>
      <c r="BE66" s="2767">
        <f t="shared" si="70"/>
        <v>304.91924230567298</v>
      </c>
      <c r="BF66" s="104"/>
      <c r="BG66" s="2910">
        <f t="shared" si="71"/>
        <v>0</v>
      </c>
      <c r="BH66" s="2767">
        <f t="shared" si="72"/>
        <v>0</v>
      </c>
      <c r="BI66" s="2910">
        <f t="shared" si="73"/>
        <v>-562.76733497093244</v>
      </c>
      <c r="BJ66" s="2767">
        <f t="shared" si="74"/>
        <v>-89.877504191045404</v>
      </c>
      <c r="BK66" s="2910">
        <f t="shared" si="75"/>
        <v>-309.21425054278853</v>
      </c>
      <c r="BL66" s="2767">
        <f t="shared" si="76"/>
        <v>-49.38347230214756</v>
      </c>
      <c r="BM66" s="2896">
        <f t="shared" si="77"/>
        <v>0</v>
      </c>
      <c r="BN66" s="2896">
        <f t="shared" si="78"/>
        <v>51262.08987457004</v>
      </c>
      <c r="BP66" s="2896">
        <f t="shared" si="79"/>
        <v>51122.828898076841</v>
      </c>
      <c r="BR66">
        <f t="shared" si="80"/>
        <v>0.98610992789117524</v>
      </c>
      <c r="BS66">
        <f t="shared" si="81"/>
        <v>0.15970632729720832</v>
      </c>
    </row>
    <row r="67" spans="1:71" ht="15.75">
      <c r="A67" s="2351">
        <v>44</v>
      </c>
      <c r="B67" s="2389">
        <f t="shared" si="82"/>
        <v>2.2930232558139534</v>
      </c>
      <c r="C67" s="2390">
        <f t="shared" si="82"/>
        <v>0</v>
      </c>
      <c r="D67" s="2569">
        <f t="shared" si="82"/>
        <v>3754.2723665615231</v>
      </c>
      <c r="E67" s="2569">
        <f t="shared" si="82"/>
        <v>1031.3982742262244</v>
      </c>
      <c r="F67" s="2569">
        <f t="shared" si="82"/>
        <v>0</v>
      </c>
      <c r="G67" s="2569"/>
      <c r="H67" s="1461">
        <f t="shared" si="38"/>
        <v>0</v>
      </c>
      <c r="I67" s="1461">
        <f t="shared" si="39"/>
        <v>713.53750577270955</v>
      </c>
      <c r="J67" s="1461">
        <f t="shared" si="40"/>
        <v>196.02769330337475</v>
      </c>
      <c r="K67" s="1461">
        <f t="shared" si="41"/>
        <v>51133.337840195614</v>
      </c>
      <c r="L67" s="2571">
        <f t="shared" si="18"/>
        <v>52042.903039271696</v>
      </c>
      <c r="M67" s="1461">
        <f t="shared" si="33"/>
        <v>10.50894211877312</v>
      </c>
      <c r="N67" s="1461"/>
      <c r="O67" s="1018">
        <v>2025</v>
      </c>
      <c r="P67" s="2351">
        <v>45</v>
      </c>
      <c r="Q67" s="1461">
        <f t="shared" si="19"/>
        <v>52042.903039271696</v>
      </c>
      <c r="R67" s="2921">
        <f t="shared" si="35"/>
        <v>52042.903039271696</v>
      </c>
      <c r="S67" s="1018">
        <f t="shared" si="20"/>
        <v>0</v>
      </c>
      <c r="T67" s="1018">
        <f t="shared" si="20"/>
        <v>0</v>
      </c>
      <c r="U67" s="13"/>
      <c r="V67" s="13"/>
      <c r="W67" s="1461">
        <f t="shared" si="36"/>
        <v>0</v>
      </c>
      <c r="X67" s="2699">
        <f t="shared" si="21"/>
        <v>1.7347634346423899</v>
      </c>
      <c r="Y67" s="2699">
        <f t="shared" si="22"/>
        <v>1.7347634346423899</v>
      </c>
      <c r="Z67" s="1018"/>
      <c r="AA67" s="2352"/>
      <c r="AB67" s="2702">
        <f t="shared" si="23"/>
        <v>0</v>
      </c>
      <c r="AC67" s="2354"/>
      <c r="AR67" s="473">
        <f t="shared" si="24"/>
        <v>44</v>
      </c>
      <c r="AS67" s="809">
        <f t="shared" si="25"/>
        <v>715.22459017125709</v>
      </c>
      <c r="AT67" s="809">
        <f t="shared" si="83"/>
        <v>715.3695416417761</v>
      </c>
      <c r="AU67" s="97">
        <f t="shared" si="27"/>
        <v>618.64284010869085</v>
      </c>
      <c r="AV67" s="97">
        <f t="shared" si="28"/>
        <v>618.49788863817184</v>
      </c>
      <c r="AX67" s="2909">
        <f t="shared" si="63"/>
        <v>51133.337840195614</v>
      </c>
      <c r="AY67">
        <f t="shared" si="64"/>
        <v>50423.0920904304</v>
      </c>
      <c r="AZ67" s="2910">
        <f t="shared" si="65"/>
        <v>0</v>
      </c>
      <c r="BA67" s="2767">
        <f t="shared" si="66"/>
        <v>0</v>
      </c>
      <c r="BB67" s="2910">
        <f t="shared" si="67"/>
        <v>562.76733497093244</v>
      </c>
      <c r="BC67" s="2767">
        <f t="shared" si="68"/>
        <v>554.950456107695</v>
      </c>
      <c r="BD67" s="2910">
        <f t="shared" si="69"/>
        <v>309.21425054278853</v>
      </c>
      <c r="BE67" s="2767">
        <f t="shared" si="70"/>
        <v>304.91924230567298</v>
      </c>
      <c r="BF67" s="104"/>
      <c r="BG67" s="2910">
        <f t="shared" si="71"/>
        <v>0</v>
      </c>
      <c r="BH67" s="2767">
        <f t="shared" si="72"/>
        <v>0</v>
      </c>
      <c r="BI67" s="2910">
        <f t="shared" si="73"/>
        <v>-562.76733497093244</v>
      </c>
      <c r="BJ67" s="2767">
        <f t="shared" si="74"/>
        <v>-89.877504191045404</v>
      </c>
      <c r="BK67" s="2910">
        <f t="shared" si="75"/>
        <v>-309.21425054278853</v>
      </c>
      <c r="BL67" s="2767">
        <f t="shared" si="76"/>
        <v>-49.38347230214756</v>
      </c>
      <c r="BM67" s="2896">
        <f t="shared" si="77"/>
        <v>0</v>
      </c>
      <c r="BN67" s="2896">
        <f t="shared" si="78"/>
        <v>51272.598816688813</v>
      </c>
      <c r="BP67" s="2896">
        <f t="shared" si="79"/>
        <v>51133.337840195614</v>
      </c>
      <c r="BR67">
        <f t="shared" si="80"/>
        <v>0.98610992789117524</v>
      </c>
      <c r="BS67">
        <f t="shared" si="81"/>
        <v>0.15970632729720832</v>
      </c>
    </row>
    <row r="68" spans="1:71" ht="15.75">
      <c r="A68" s="2351">
        <v>45</v>
      </c>
      <c r="B68" s="2389">
        <f t="shared" si="82"/>
        <v>2.2930232558139534</v>
      </c>
      <c r="C68" s="2390">
        <f t="shared" si="82"/>
        <v>0</v>
      </c>
      <c r="D68" s="2569">
        <f t="shared" si="82"/>
        <v>3754.2723665615231</v>
      </c>
      <c r="E68" s="2569">
        <f t="shared" si="82"/>
        <v>1031.3982742262244</v>
      </c>
      <c r="F68" s="2569">
        <f t="shared" si="82"/>
        <v>0</v>
      </c>
      <c r="G68" s="2569"/>
      <c r="H68" s="1461">
        <f t="shared" si="38"/>
        <v>0</v>
      </c>
      <c r="I68" s="1461">
        <f t="shared" si="39"/>
        <v>713.53750577270955</v>
      </c>
      <c r="J68" s="1461">
        <f t="shared" si="40"/>
        <v>196.02769330337475</v>
      </c>
      <c r="K68" s="1461">
        <f t="shared" si="41"/>
        <v>51143.700812350566</v>
      </c>
      <c r="L68" s="2571">
        <f t="shared" si="18"/>
        <v>52053.266011426647</v>
      </c>
      <c r="M68" s="1461">
        <f>L68-L67</f>
        <v>10.362972154951422</v>
      </c>
      <c r="N68" s="1461"/>
      <c r="O68" s="1018">
        <v>2026</v>
      </c>
      <c r="P68" s="2351">
        <v>46</v>
      </c>
      <c r="Q68" s="1461">
        <f t="shared" si="19"/>
        <v>52053.266011426647</v>
      </c>
      <c r="R68" s="2921">
        <f t="shared" si="35"/>
        <v>52053.266011426647</v>
      </c>
      <c r="S68" s="1018">
        <f t="shared" si="20"/>
        <v>0</v>
      </c>
      <c r="T68" s="1018">
        <f t="shared" si="20"/>
        <v>0</v>
      </c>
      <c r="U68" s="13"/>
      <c r="V68" s="13"/>
      <c r="W68" s="1461">
        <f t="shared" si="36"/>
        <v>0</v>
      </c>
      <c r="X68" s="2699">
        <f t="shared" si="21"/>
        <v>1.735108867047555</v>
      </c>
      <c r="Y68" s="2699">
        <f t="shared" si="22"/>
        <v>1.735108867047555</v>
      </c>
      <c r="Z68" s="1018"/>
      <c r="AA68" s="2352"/>
      <c r="AB68" s="2702">
        <f t="shared" si="23"/>
        <v>0</v>
      </c>
      <c r="AC68" s="2354"/>
      <c r="AJ68" s="2393"/>
      <c r="AR68" s="473">
        <f t="shared" si="24"/>
        <v>45</v>
      </c>
      <c r="AS68" s="809">
        <f t="shared" si="25"/>
        <v>715.3695416417761</v>
      </c>
      <c r="AT68" s="809">
        <f t="shared" si="83"/>
        <v>715.51247972591739</v>
      </c>
      <c r="AU68" s="97">
        <f t="shared" si="27"/>
        <v>618.49788863817184</v>
      </c>
      <c r="AV68" s="97">
        <f t="shared" si="28"/>
        <v>618.35495055403055</v>
      </c>
      <c r="AX68" s="2909">
        <f t="shared" si="63"/>
        <v>51143.700812350566</v>
      </c>
      <c r="AY68">
        <f t="shared" si="64"/>
        <v>50433.31112015486</v>
      </c>
      <c r="AZ68" s="2910">
        <f t="shared" si="65"/>
        <v>0</v>
      </c>
      <c r="BA68" s="2767">
        <f t="shared" si="66"/>
        <v>0</v>
      </c>
      <c r="BB68" s="2910">
        <f t="shared" si="67"/>
        <v>562.76733497093244</v>
      </c>
      <c r="BC68" s="2767">
        <f t="shared" si="68"/>
        <v>554.950456107695</v>
      </c>
      <c r="BD68" s="2910">
        <f t="shared" si="69"/>
        <v>309.21425054278853</v>
      </c>
      <c r="BE68" s="2767">
        <f t="shared" si="70"/>
        <v>304.91924230567298</v>
      </c>
      <c r="BF68" s="104"/>
      <c r="BG68" s="2910">
        <f t="shared" si="71"/>
        <v>0</v>
      </c>
      <c r="BH68" s="2767">
        <f t="shared" si="72"/>
        <v>0</v>
      </c>
      <c r="BI68" s="2910">
        <f t="shared" si="73"/>
        <v>-562.76733497093244</v>
      </c>
      <c r="BJ68" s="2767">
        <f t="shared" si="74"/>
        <v>-89.877504191045404</v>
      </c>
      <c r="BK68" s="2910">
        <f t="shared" si="75"/>
        <v>-309.21425054278853</v>
      </c>
      <c r="BL68" s="2767">
        <f t="shared" si="76"/>
        <v>-49.38347230214756</v>
      </c>
      <c r="BM68" s="2896">
        <f t="shared" si="77"/>
        <v>0</v>
      </c>
      <c r="BN68" s="2896">
        <f t="shared" si="78"/>
        <v>51282.961788843764</v>
      </c>
      <c r="BP68" s="2896">
        <f t="shared" si="79"/>
        <v>51143.700812350566</v>
      </c>
      <c r="BR68">
        <f t="shared" si="80"/>
        <v>0.98610992789117524</v>
      </c>
      <c r="BS68">
        <f t="shared" si="81"/>
        <v>0.15970632729720832</v>
      </c>
    </row>
    <row r="69" spans="1:71" ht="15.75">
      <c r="A69" s="2351">
        <v>46</v>
      </c>
      <c r="B69" s="2389">
        <f t="shared" si="82"/>
        <v>2.2930232558139534</v>
      </c>
      <c r="C69" s="2390">
        <f t="shared" si="82"/>
        <v>0</v>
      </c>
      <c r="D69" s="2569">
        <f t="shared" si="82"/>
        <v>3754.2723665615231</v>
      </c>
      <c r="E69" s="2569">
        <f t="shared" si="82"/>
        <v>1031.3982742262244</v>
      </c>
      <c r="F69" s="2569">
        <f t="shared" si="82"/>
        <v>0</v>
      </c>
      <c r="G69" s="2569"/>
      <c r="H69" s="1461">
        <f t="shared" si="38"/>
        <v>0</v>
      </c>
      <c r="I69" s="1461">
        <f t="shared" si="39"/>
        <v>713.53750577270955</v>
      </c>
      <c r="J69" s="1461">
        <f t="shared" si="40"/>
        <v>196.02769330337475</v>
      </c>
      <c r="K69" s="1461">
        <f t="shared" si="41"/>
        <v>51153.919842075025</v>
      </c>
      <c r="L69" s="2571">
        <f t="shared" si="18"/>
        <v>52063.485041151107</v>
      </c>
      <c r="M69" s="1461">
        <f t="shared" si="33"/>
        <v>10.219029724459688</v>
      </c>
      <c r="N69" s="1461"/>
      <c r="O69" s="1018">
        <v>2027</v>
      </c>
      <c r="P69" s="2351">
        <v>47</v>
      </c>
      <c r="Q69" s="1461">
        <f t="shared" si="19"/>
        <v>52063.485041151107</v>
      </c>
      <c r="R69" s="2921">
        <f t="shared" si="35"/>
        <v>52063.485041151107</v>
      </c>
      <c r="S69" s="1018">
        <f t="shared" si="20"/>
        <v>0</v>
      </c>
      <c r="T69" s="1018">
        <f t="shared" si="20"/>
        <v>0</v>
      </c>
      <c r="U69" s="13"/>
      <c r="V69" s="13"/>
      <c r="W69" s="1461">
        <f t="shared" si="36"/>
        <v>0</v>
      </c>
      <c r="X69" s="2699">
        <f t="shared" si="21"/>
        <v>1.7354495013717035</v>
      </c>
      <c r="Y69" s="2699">
        <f t="shared" si="22"/>
        <v>1.7354495013717035</v>
      </c>
      <c r="Z69" s="1018"/>
      <c r="AA69" s="2352"/>
      <c r="AB69" s="2702">
        <f t="shared" si="23"/>
        <v>0</v>
      </c>
      <c r="AC69" s="2354"/>
      <c r="AJ69" s="2393"/>
      <c r="AR69" s="473">
        <f t="shared" si="24"/>
        <v>46</v>
      </c>
      <c r="AS69" s="809">
        <f t="shared" si="25"/>
        <v>715.51247972591739</v>
      </c>
      <c r="AT69" s="809">
        <f t="shared" si="83"/>
        <v>715.65343238976288</v>
      </c>
      <c r="AU69" s="97">
        <f t="shared" si="27"/>
        <v>618.35495055403055</v>
      </c>
      <c r="AV69" s="97">
        <f t="shared" si="28"/>
        <v>618.21399789018506</v>
      </c>
      <c r="AX69" s="2909">
        <f t="shared" si="63"/>
        <v>51153.919842075025</v>
      </c>
      <c r="AY69">
        <f t="shared" si="64"/>
        <v>50443.38820681956</v>
      </c>
      <c r="AZ69" s="2910">
        <f t="shared" si="65"/>
        <v>0</v>
      </c>
      <c r="BA69" s="2767">
        <f t="shared" si="66"/>
        <v>0</v>
      </c>
      <c r="BB69" s="2910">
        <f t="shared" si="67"/>
        <v>562.76733497093244</v>
      </c>
      <c r="BC69" s="2767">
        <f t="shared" si="68"/>
        <v>554.950456107695</v>
      </c>
      <c r="BD69" s="2910">
        <f t="shared" si="69"/>
        <v>309.21425054278853</v>
      </c>
      <c r="BE69" s="2767">
        <f t="shared" si="70"/>
        <v>304.91924230567298</v>
      </c>
      <c r="BF69" s="104"/>
      <c r="BG69" s="2910">
        <f t="shared" si="71"/>
        <v>0</v>
      </c>
      <c r="BH69" s="2767">
        <f t="shared" si="72"/>
        <v>0</v>
      </c>
      <c r="BI69" s="2910">
        <f t="shared" si="73"/>
        <v>-562.76733497093244</v>
      </c>
      <c r="BJ69" s="2767">
        <f t="shared" si="74"/>
        <v>-89.877504191045404</v>
      </c>
      <c r="BK69" s="2910">
        <f t="shared" si="75"/>
        <v>-309.21425054278853</v>
      </c>
      <c r="BL69" s="2767">
        <f t="shared" si="76"/>
        <v>-49.38347230214756</v>
      </c>
      <c r="BM69" s="2896">
        <f t="shared" si="77"/>
        <v>0</v>
      </c>
      <c r="BN69" s="2896">
        <f t="shared" si="78"/>
        <v>51293.180818568224</v>
      </c>
      <c r="BP69" s="2896">
        <f t="shared" si="79"/>
        <v>51153.919842075025</v>
      </c>
      <c r="BR69">
        <f t="shared" si="80"/>
        <v>0.98610992789117524</v>
      </c>
      <c r="BS69">
        <f t="shared" si="81"/>
        <v>0.15970632729720832</v>
      </c>
    </row>
    <row r="70" spans="1:71" ht="15.75">
      <c r="A70" s="2351">
        <v>47</v>
      </c>
      <c r="B70" s="2389">
        <f t="shared" si="82"/>
        <v>2.2930232558139534</v>
      </c>
      <c r="C70" s="2390">
        <f t="shared" si="82"/>
        <v>0</v>
      </c>
      <c r="D70" s="2569">
        <f t="shared" si="82"/>
        <v>3754.2723665615231</v>
      </c>
      <c r="E70" s="2569">
        <f t="shared" si="82"/>
        <v>1031.3982742262244</v>
      </c>
      <c r="F70" s="2569">
        <f t="shared" si="82"/>
        <v>0</v>
      </c>
      <c r="G70" s="2569"/>
      <c r="H70" s="1461">
        <f t="shared" si="38"/>
        <v>0</v>
      </c>
      <c r="I70" s="1461">
        <f t="shared" si="39"/>
        <v>713.53750577270955</v>
      </c>
      <c r="J70" s="1461">
        <f t="shared" si="40"/>
        <v>196.02769330337475</v>
      </c>
      <c r="K70" s="1461">
        <f t="shared" si="41"/>
        <v>51163.996928739733</v>
      </c>
      <c r="L70" s="2571">
        <f t="shared" si="18"/>
        <v>52073.562127815814</v>
      </c>
      <c r="M70" s="1461">
        <f t="shared" si="33"/>
        <v>10.077086664707167</v>
      </c>
      <c r="N70" s="1461"/>
      <c r="O70" s="1018">
        <v>2028</v>
      </c>
      <c r="P70" s="2351">
        <v>48</v>
      </c>
      <c r="Q70" s="1461">
        <f t="shared" si="19"/>
        <v>52073.562127815814</v>
      </c>
      <c r="R70" s="2921">
        <f t="shared" si="35"/>
        <v>52073.562127815814</v>
      </c>
      <c r="S70" s="1018">
        <f t="shared" si="20"/>
        <v>0</v>
      </c>
      <c r="T70" s="1018">
        <f t="shared" si="20"/>
        <v>0</v>
      </c>
      <c r="U70" s="13"/>
      <c r="V70" s="13"/>
      <c r="W70" s="1461">
        <f t="shared" si="36"/>
        <v>0</v>
      </c>
      <c r="X70" s="2699">
        <f t="shared" si="21"/>
        <v>1.7357854042605272</v>
      </c>
      <c r="Y70" s="2699">
        <f t="shared" si="22"/>
        <v>1.7357854042605272</v>
      </c>
      <c r="Z70" s="1018"/>
      <c r="AA70" s="2352"/>
      <c r="AB70" s="2702">
        <f t="shared" si="23"/>
        <v>0</v>
      </c>
      <c r="AC70" s="2354"/>
      <c r="AJ70" s="2393"/>
      <c r="AR70" s="473">
        <f t="shared" si="24"/>
        <v>47</v>
      </c>
      <c r="AS70" s="809">
        <f t="shared" si="25"/>
        <v>715.65343238976288</v>
      </c>
      <c r="AT70" s="809">
        <f t="shared" si="83"/>
        <v>715.79242721094352</v>
      </c>
      <c r="AU70" s="97">
        <f t="shared" si="27"/>
        <v>618.21399789018506</v>
      </c>
      <c r="AV70" s="97">
        <f t="shared" si="28"/>
        <v>618.07500306900442</v>
      </c>
      <c r="AX70" s="2909">
        <f t="shared" si="63"/>
        <v>51163.996928739733</v>
      </c>
      <c r="AY70">
        <f t="shared" si="64"/>
        <v>50453.325322023848</v>
      </c>
      <c r="AZ70" s="2910">
        <f t="shared" si="65"/>
        <v>0</v>
      </c>
      <c r="BA70" s="2767">
        <f t="shared" si="66"/>
        <v>0</v>
      </c>
      <c r="BB70" s="2910">
        <f t="shared" si="67"/>
        <v>562.76733497093244</v>
      </c>
      <c r="BC70" s="2767">
        <f t="shared" si="68"/>
        <v>554.950456107695</v>
      </c>
      <c r="BD70" s="2910">
        <f t="shared" si="69"/>
        <v>309.21425054278853</v>
      </c>
      <c r="BE70" s="2767">
        <f t="shared" si="70"/>
        <v>304.91924230567298</v>
      </c>
      <c r="BF70" s="104"/>
      <c r="BG70" s="2910">
        <f t="shared" si="71"/>
        <v>0</v>
      </c>
      <c r="BH70" s="2767">
        <f t="shared" si="72"/>
        <v>0</v>
      </c>
      <c r="BI70" s="2910">
        <f t="shared" si="73"/>
        <v>-562.76733497093244</v>
      </c>
      <c r="BJ70" s="2767">
        <f t="shared" si="74"/>
        <v>-89.877504191045404</v>
      </c>
      <c r="BK70" s="2910">
        <f t="shared" si="75"/>
        <v>-309.21425054278853</v>
      </c>
      <c r="BL70" s="2767">
        <f t="shared" si="76"/>
        <v>-49.38347230214756</v>
      </c>
      <c r="BM70" s="2896">
        <f t="shared" si="77"/>
        <v>0</v>
      </c>
      <c r="BN70" s="2896">
        <f t="shared" si="78"/>
        <v>51303.257905232931</v>
      </c>
      <c r="BP70" s="2896">
        <f t="shared" si="79"/>
        <v>51163.996928739733</v>
      </c>
      <c r="BR70">
        <f t="shared" si="80"/>
        <v>0.98610992789117524</v>
      </c>
      <c r="BS70">
        <f t="shared" si="81"/>
        <v>0.15970632729720832</v>
      </c>
    </row>
    <row r="71" spans="1:71" ht="15.75">
      <c r="A71" s="2351">
        <v>48</v>
      </c>
      <c r="B71" s="2389">
        <f t="shared" si="82"/>
        <v>2.2930232558139534</v>
      </c>
      <c r="C71" s="2390">
        <f t="shared" si="82"/>
        <v>0</v>
      </c>
      <c r="D71" s="2569">
        <f t="shared" si="82"/>
        <v>3754.2723665615231</v>
      </c>
      <c r="E71" s="2569">
        <f t="shared" si="82"/>
        <v>1031.3982742262244</v>
      </c>
      <c r="F71" s="2569">
        <f t="shared" si="82"/>
        <v>0</v>
      </c>
      <c r="G71" s="2569"/>
      <c r="H71" s="1461">
        <f t="shared" si="38"/>
        <v>0</v>
      </c>
      <c r="I71" s="1461">
        <f t="shared" si="39"/>
        <v>713.53750577270955</v>
      </c>
      <c r="J71" s="1461">
        <f t="shared" si="40"/>
        <v>196.02769330337475</v>
      </c>
      <c r="K71" s="1461">
        <f t="shared" si="41"/>
        <v>51173.93404394402</v>
      </c>
      <c r="L71" s="2571">
        <f t="shared" si="18"/>
        <v>52083.499243020102</v>
      </c>
      <c r="M71" s="1461">
        <f t="shared" si="33"/>
        <v>9.9371152042876929</v>
      </c>
      <c r="N71" s="1461"/>
      <c r="O71" s="1018">
        <v>2029</v>
      </c>
      <c r="P71" s="2351">
        <v>49</v>
      </c>
      <c r="Q71" s="1461">
        <f t="shared" si="19"/>
        <v>52083.499243020102</v>
      </c>
      <c r="R71" s="2921">
        <f t="shared" si="35"/>
        <v>52083.499243020102</v>
      </c>
      <c r="S71" s="1018">
        <f t="shared" si="20"/>
        <v>0</v>
      </c>
      <c r="T71" s="1018">
        <f t="shared" si="20"/>
        <v>0</v>
      </c>
      <c r="U71" s="13"/>
      <c r="V71" s="13"/>
      <c r="W71" s="1461">
        <f t="shared" si="36"/>
        <v>0</v>
      </c>
      <c r="X71" s="2699">
        <f t="shared" si="21"/>
        <v>1.7361166414340035</v>
      </c>
      <c r="Y71" s="2699">
        <f t="shared" si="22"/>
        <v>1.7361166414340035</v>
      </c>
      <c r="Z71" s="1018"/>
      <c r="AA71" s="2352"/>
      <c r="AB71" s="2702">
        <f t="shared" si="23"/>
        <v>0</v>
      </c>
      <c r="AC71" s="2354"/>
      <c r="AJ71" s="2393"/>
      <c r="AR71" s="473">
        <f t="shared" si="24"/>
        <v>48</v>
      </c>
      <c r="AS71" s="809">
        <f t="shared" si="25"/>
        <v>715.79242721094352</v>
      </c>
      <c r="AT71" s="809">
        <f t="shared" si="83"/>
        <v>715.92949138403526</v>
      </c>
      <c r="AU71" s="97">
        <f t="shared" si="27"/>
        <v>618.07500306900442</v>
      </c>
      <c r="AV71" s="97">
        <f t="shared" si="28"/>
        <v>617.93793889591268</v>
      </c>
      <c r="AX71" s="2909">
        <f t="shared" si="63"/>
        <v>51173.93404394402</v>
      </c>
      <c r="AY71">
        <f t="shared" si="64"/>
        <v>50463.124409981392</v>
      </c>
      <c r="AZ71" s="2910">
        <f t="shared" si="65"/>
        <v>0</v>
      </c>
      <c r="BA71" s="2767">
        <f t="shared" si="66"/>
        <v>0</v>
      </c>
      <c r="BB71" s="2910">
        <f t="shared" si="67"/>
        <v>562.76733497093244</v>
      </c>
      <c r="BC71" s="2767">
        <f t="shared" si="68"/>
        <v>554.950456107695</v>
      </c>
      <c r="BD71" s="2910">
        <f t="shared" si="69"/>
        <v>309.21425054278853</v>
      </c>
      <c r="BE71" s="2767">
        <f t="shared" si="70"/>
        <v>304.91924230567298</v>
      </c>
      <c r="BF71" s="104"/>
      <c r="BG71" s="2910">
        <f t="shared" si="71"/>
        <v>0</v>
      </c>
      <c r="BH71" s="2767">
        <f t="shared" si="72"/>
        <v>0</v>
      </c>
      <c r="BI71" s="2910">
        <f t="shared" si="73"/>
        <v>-562.76733497093244</v>
      </c>
      <c r="BJ71" s="2767">
        <f t="shared" si="74"/>
        <v>-89.877504191045404</v>
      </c>
      <c r="BK71" s="2910">
        <f t="shared" si="75"/>
        <v>-309.21425054278853</v>
      </c>
      <c r="BL71" s="2767">
        <f t="shared" si="76"/>
        <v>-49.38347230214756</v>
      </c>
      <c r="BM71" s="2896">
        <f t="shared" si="77"/>
        <v>0</v>
      </c>
      <c r="BN71" s="2896">
        <f t="shared" si="78"/>
        <v>51313.195020437219</v>
      </c>
      <c r="BP71" s="2896">
        <f t="shared" si="79"/>
        <v>51173.93404394402</v>
      </c>
      <c r="BR71">
        <f t="shared" si="80"/>
        <v>0.98610992789117524</v>
      </c>
      <c r="BS71">
        <f t="shared" si="81"/>
        <v>0.15970632729720832</v>
      </c>
    </row>
    <row r="72" spans="1:71" ht="15.75">
      <c r="A72" s="2351">
        <v>49</v>
      </c>
      <c r="B72" s="2389">
        <f t="shared" ref="B72:F72" si="84">+B71</f>
        <v>2.2930232558139534</v>
      </c>
      <c r="C72" s="2390">
        <f t="shared" si="84"/>
        <v>0</v>
      </c>
      <c r="D72" s="2569">
        <f t="shared" si="84"/>
        <v>3754.2723665615231</v>
      </c>
      <c r="E72" s="2569">
        <f t="shared" si="84"/>
        <v>1031.3982742262244</v>
      </c>
      <c r="F72" s="2569">
        <f t="shared" si="84"/>
        <v>0</v>
      </c>
      <c r="G72" s="2569"/>
      <c r="H72" s="1461">
        <f t="shared" si="38"/>
        <v>0</v>
      </c>
      <c r="I72" s="1461">
        <f t="shared" si="39"/>
        <v>713.53750577270955</v>
      </c>
      <c r="J72" s="1461">
        <f t="shared" si="40"/>
        <v>196.02769330337475</v>
      </c>
      <c r="K72" s="1461">
        <f t="shared" si="41"/>
        <v>51183.733131901565</v>
      </c>
      <c r="L72" s="2571">
        <f t="shared" si="18"/>
        <v>52093.298330977646</v>
      </c>
      <c r="M72" s="1461">
        <f t="shared" si="33"/>
        <v>9.7990879575445433</v>
      </c>
      <c r="N72" s="1461"/>
      <c r="O72" s="1018"/>
      <c r="P72" s="2351">
        <v>50</v>
      </c>
      <c r="Q72" s="1461">
        <f t="shared" si="19"/>
        <v>52093.298330977646</v>
      </c>
      <c r="R72" s="2921">
        <f t="shared" si="35"/>
        <v>52093.298330977646</v>
      </c>
      <c r="S72" s="1018">
        <f t="shared" si="20"/>
        <v>0</v>
      </c>
      <c r="T72" s="1018">
        <f t="shared" si="20"/>
        <v>0</v>
      </c>
      <c r="U72" s="13"/>
      <c r="V72" s="13"/>
      <c r="W72" s="1461">
        <f t="shared" si="36"/>
        <v>0</v>
      </c>
      <c r="X72" s="2699">
        <f t="shared" si="21"/>
        <v>1.7364432776992549</v>
      </c>
      <c r="Y72" s="2699">
        <f t="shared" si="22"/>
        <v>1.7364432776992549</v>
      </c>
      <c r="Z72" s="1018"/>
      <c r="AA72" s="2352"/>
      <c r="AB72" s="2702">
        <f t="shared" si="23"/>
        <v>0</v>
      </c>
      <c r="AC72" s="2354"/>
      <c r="AJ72" s="2393"/>
      <c r="AR72" s="473">
        <f t="shared" si="24"/>
        <v>49</v>
      </c>
      <c r="AS72" s="809">
        <f t="shared" si="25"/>
        <v>715.92949138403526</v>
      </c>
      <c r="AT72" s="809">
        <f t="shared" si="83"/>
        <v>716.06465172587923</v>
      </c>
      <c r="AU72" s="97">
        <f t="shared" si="27"/>
        <v>617.93793889591268</v>
      </c>
      <c r="AV72" s="97">
        <f t="shared" si="28"/>
        <v>617.80277855406871</v>
      </c>
      <c r="AX72" s="2909">
        <f t="shared" si="63"/>
        <v>51183.733131901565</v>
      </c>
      <c r="AY72">
        <f t="shared" si="64"/>
        <v>51183.733131901565</v>
      </c>
      <c r="AZ72" s="2910">
        <f t="shared" si="65"/>
        <v>0</v>
      </c>
      <c r="BA72" s="2767">
        <f t="shared" si="66"/>
        <v>0</v>
      </c>
      <c r="BB72" s="2910">
        <f t="shared" si="67"/>
        <v>562.76733497093244</v>
      </c>
      <c r="BC72" s="2767">
        <f t="shared" si="68"/>
        <v>562.76733497093244</v>
      </c>
      <c r="BD72" s="2910">
        <f t="shared" si="69"/>
        <v>309.21425054278853</v>
      </c>
      <c r="BE72" s="2767">
        <f t="shared" si="70"/>
        <v>309.21425054278853</v>
      </c>
      <c r="BF72" s="104"/>
      <c r="BG72" s="2910">
        <f t="shared" si="71"/>
        <v>0</v>
      </c>
      <c r="BH72" s="2767">
        <f t="shared" si="72"/>
        <v>0</v>
      </c>
      <c r="BI72" s="2910">
        <f t="shared" si="73"/>
        <v>-562.76733497093244</v>
      </c>
      <c r="BJ72" s="2767">
        <f t="shared" si="74"/>
        <v>-562.76733497093244</v>
      </c>
      <c r="BK72" s="2910">
        <f t="shared" si="75"/>
        <v>-309.21425054278853</v>
      </c>
      <c r="BL72" s="2767">
        <f t="shared" si="76"/>
        <v>-309.21425054278853</v>
      </c>
      <c r="BM72" s="2896">
        <f t="shared" si="77"/>
        <v>0</v>
      </c>
      <c r="BN72" s="2896">
        <f t="shared" si="78"/>
        <v>52045.915629457741</v>
      </c>
      <c r="BP72" s="2896">
        <f t="shared" si="79"/>
        <v>51173.93404394402</v>
      </c>
      <c r="BR72">
        <f t="shared" si="80"/>
        <v>1</v>
      </c>
      <c r="BS72">
        <f t="shared" si="81"/>
        <v>1</v>
      </c>
    </row>
    <row r="73" spans="1:71" ht="15">
      <c r="B73" s="2389"/>
      <c r="C73" s="2390"/>
      <c r="D73" s="2389"/>
      <c r="E73" s="2389"/>
      <c r="F73" s="2389"/>
      <c r="G73" s="2389"/>
      <c r="H73" s="101">
        <f>SUM(H69:H72)</f>
        <v>0</v>
      </c>
      <c r="I73" s="101">
        <f>SUM(I69:I72)</f>
        <v>2854.1500230908382</v>
      </c>
      <c r="J73" s="101">
        <f>SUM(J69:J72)</f>
        <v>784.11077321349899</v>
      </c>
      <c r="K73" s="101">
        <f>SUM(K69:K72)</f>
        <v>204675.58394666034</v>
      </c>
      <c r="L73" s="101">
        <f>SUM(L69:L72)</f>
        <v>208313.84474296466</v>
      </c>
      <c r="M73" s="1018"/>
      <c r="N73" s="1018"/>
      <c r="O73" s="1018"/>
      <c r="P73" s="1018"/>
      <c r="Q73" s="1018"/>
      <c r="R73" s="1018"/>
      <c r="S73" s="1018"/>
      <c r="T73" s="1018"/>
      <c r="U73" s="13"/>
      <c r="V73" s="13"/>
      <c r="W73" s="1018"/>
      <c r="X73" s="1018"/>
      <c r="Y73" s="1018"/>
      <c r="Z73" s="2352"/>
      <c r="AA73" s="2352"/>
      <c r="AB73" s="2354"/>
      <c r="AC73" s="2354"/>
      <c r="AJ73" s="2393"/>
      <c r="AR73" s="473">
        <f t="shared" si="24"/>
        <v>0</v>
      </c>
      <c r="AS73" s="809"/>
      <c r="AT73" s="809"/>
      <c r="AX73" s="2909">
        <f t="shared" si="63"/>
        <v>204675.58394666034</v>
      </c>
      <c r="AY73">
        <f t="shared" si="64"/>
        <v>204675.58394666034</v>
      </c>
      <c r="AZ73" s="2910">
        <f t="shared" si="65"/>
        <v>0</v>
      </c>
      <c r="BA73" s="2767">
        <f t="shared" si="66"/>
        <v>0</v>
      </c>
      <c r="BB73" s="2910">
        <f t="shared" si="67"/>
        <v>359.51001676418167</v>
      </c>
      <c r="BC73" s="2767">
        <f t="shared" si="68"/>
        <v>359.51001676418167</v>
      </c>
      <c r="BD73" s="2910">
        <f t="shared" si="69"/>
        <v>197.53388920859027</v>
      </c>
      <c r="BE73" s="2767">
        <f t="shared" si="70"/>
        <v>197.53388920859027</v>
      </c>
      <c r="BF73" s="104"/>
      <c r="BG73" s="2910">
        <f t="shared" si="71"/>
        <v>0</v>
      </c>
      <c r="BH73" s="2767">
        <f t="shared" si="72"/>
        <v>0</v>
      </c>
      <c r="BI73" s="2910">
        <f t="shared" si="73"/>
        <v>-359.51001676418167</v>
      </c>
      <c r="BJ73" s="2767">
        <f t="shared" si="74"/>
        <v>-359.51001676418167</v>
      </c>
      <c r="BK73" s="2910">
        <f t="shared" si="75"/>
        <v>-197.53388920859027</v>
      </c>
      <c r="BL73" s="2767">
        <f t="shared" si="76"/>
        <v>-197.53388920859027</v>
      </c>
      <c r="BM73" s="2896">
        <f t="shared" si="77"/>
        <v>0</v>
      </c>
      <c r="BN73" s="2896">
        <f t="shared" si="78"/>
        <v>51740.777037874337</v>
      </c>
      <c r="BP73" s="2896">
        <f t="shared" si="79"/>
        <v>51183.733131901565</v>
      </c>
      <c r="BR73">
        <f t="shared" si="80"/>
        <v>1</v>
      </c>
      <c r="BS73">
        <f t="shared" si="81"/>
        <v>1</v>
      </c>
    </row>
    <row r="74" spans="1:71" ht="15">
      <c r="B74" s="2389"/>
      <c r="C74" s="2390"/>
      <c r="D74" s="2389"/>
      <c r="E74" s="2389"/>
      <c r="F74" s="2389"/>
      <c r="G74" s="2389"/>
      <c r="H74" s="2392">
        <f>+H73/4</f>
        <v>0</v>
      </c>
      <c r="I74" s="2392">
        <f>+I73/4</f>
        <v>713.53750577270955</v>
      </c>
      <c r="J74" s="2392">
        <f>+J73/4</f>
        <v>196.02769330337475</v>
      </c>
      <c r="K74" s="2392">
        <f>+K73/4</f>
        <v>51168.895986665084</v>
      </c>
      <c r="L74" s="2392">
        <f>+L73/4</f>
        <v>52078.461185741166</v>
      </c>
      <c r="M74" s="1018"/>
      <c r="N74" s="1018">
        <v>245</v>
      </c>
      <c r="O74" s="1018"/>
      <c r="P74" s="1018"/>
      <c r="Q74" s="1018"/>
      <c r="R74" s="1018">
        <v>4204</v>
      </c>
      <c r="S74" s="1018"/>
      <c r="T74" s="1018"/>
      <c r="U74" s="13"/>
      <c r="V74" s="13"/>
      <c r="W74" s="1018"/>
      <c r="X74" s="1018"/>
      <c r="Y74" s="1018"/>
      <c r="Z74" s="2352"/>
      <c r="AA74" s="2352"/>
      <c r="AB74" s="2354"/>
      <c r="AC74" s="2354"/>
      <c r="AJ74" s="2393"/>
      <c r="AX74" s="2909">
        <f t="shared" si="63"/>
        <v>51168.895986665084</v>
      </c>
      <c r="AY74">
        <f t="shared" si="64"/>
        <v>51168.895986665084</v>
      </c>
      <c r="AZ74" s="2910">
        <f t="shared" si="65"/>
        <v>0</v>
      </c>
      <c r="BA74" s="2767">
        <f t="shared" si="66"/>
        <v>0</v>
      </c>
      <c r="BB74" s="2910">
        <f t="shared" si="67"/>
        <v>89.877504191045418</v>
      </c>
      <c r="BC74" s="2767">
        <f t="shared" si="68"/>
        <v>89.877504191045418</v>
      </c>
      <c r="BD74" s="2910">
        <f t="shared" si="69"/>
        <v>49.383472302147567</v>
      </c>
      <c r="BE74" s="2767">
        <f t="shared" si="70"/>
        <v>49.383472302147567</v>
      </c>
      <c r="BF74" s="104"/>
      <c r="BG74" s="2910">
        <f t="shared" si="71"/>
        <v>0</v>
      </c>
      <c r="BH74" s="2767">
        <f t="shared" si="72"/>
        <v>0</v>
      </c>
      <c r="BI74" s="2910">
        <f t="shared" si="73"/>
        <v>-89.877504191045418</v>
      </c>
      <c r="BJ74" s="2767">
        <f t="shared" si="74"/>
        <v>-89.877504191045418</v>
      </c>
      <c r="BK74" s="2910">
        <f t="shared" si="75"/>
        <v>-49.383472302147567</v>
      </c>
      <c r="BL74" s="2767">
        <f t="shared" si="76"/>
        <v>-49.383472302147567</v>
      </c>
      <c r="BM74" s="2896">
        <f t="shared" si="77"/>
        <v>0</v>
      </c>
      <c r="BN74" s="2896">
        <f t="shared" si="78"/>
        <v>204814.84492315352</v>
      </c>
      <c r="BP74" s="2896">
        <f t="shared" si="79"/>
        <v>204675.58394666034</v>
      </c>
      <c r="BR74">
        <f t="shared" si="80"/>
        <v>1</v>
      </c>
      <c r="BS74">
        <f t="shared" si="81"/>
        <v>1</v>
      </c>
    </row>
    <row r="75" spans="1:71" ht="15.75">
      <c r="B75" s="2389"/>
      <c r="C75" s="2390"/>
      <c r="D75" s="2389"/>
      <c r="E75" s="2389"/>
      <c r="F75" s="2389"/>
      <c r="G75" s="2389"/>
      <c r="H75" s="2392"/>
      <c r="I75" s="2392"/>
      <c r="J75" s="2392"/>
      <c r="K75" s="2392"/>
      <c r="L75" s="2391"/>
      <c r="M75" s="1018"/>
      <c r="N75" s="1018"/>
      <c r="O75" s="1018"/>
      <c r="P75" s="1018"/>
      <c r="Q75" s="1018"/>
      <c r="R75" s="1018"/>
      <c r="S75" s="1018"/>
      <c r="T75" s="1018"/>
      <c r="U75" s="13"/>
      <c r="V75" s="13"/>
      <c r="W75" s="1018"/>
      <c r="X75" s="1018"/>
      <c r="Y75" s="1018"/>
      <c r="Z75" s="2352"/>
      <c r="AA75" s="2352"/>
      <c r="AB75" s="2354"/>
      <c r="AC75" s="2354"/>
      <c r="AJ75" s="2393"/>
      <c r="AX75" s="2909">
        <f t="shared" si="63"/>
        <v>0</v>
      </c>
      <c r="AY75">
        <f t="shared" si="64"/>
        <v>0</v>
      </c>
      <c r="AZ75" s="2910">
        <f t="shared" si="65"/>
        <v>0</v>
      </c>
      <c r="BA75" s="2767">
        <f t="shared" si="66"/>
        <v>0</v>
      </c>
      <c r="BB75" s="2910">
        <f t="shared" si="67"/>
        <v>0</v>
      </c>
      <c r="BC75" s="2767">
        <f t="shared" si="68"/>
        <v>0</v>
      </c>
      <c r="BD75" s="2910">
        <f t="shared" si="69"/>
        <v>0</v>
      </c>
      <c r="BE75" s="2767">
        <f t="shared" si="70"/>
        <v>0</v>
      </c>
      <c r="BF75" s="104"/>
      <c r="BG75" s="2910">
        <f t="shared" si="71"/>
        <v>0</v>
      </c>
      <c r="BH75" s="2767">
        <f t="shared" si="72"/>
        <v>0</v>
      </c>
      <c r="BI75" s="2910">
        <f t="shared" si="73"/>
        <v>0</v>
      </c>
      <c r="BJ75" s="2767">
        <f t="shared" si="74"/>
        <v>0</v>
      </c>
      <c r="BK75" s="2910">
        <f t="shared" si="75"/>
        <v>0</v>
      </c>
      <c r="BL75" s="2767">
        <f t="shared" si="76"/>
        <v>0</v>
      </c>
      <c r="BM75" s="2896">
        <f t="shared" si="77"/>
        <v>0</v>
      </c>
      <c r="BN75" s="2896">
        <f t="shared" si="78"/>
        <v>51168.895986665084</v>
      </c>
      <c r="BP75" s="2896">
        <f t="shared" si="79"/>
        <v>51168.895986665084</v>
      </c>
      <c r="BR75">
        <f t="shared" si="80"/>
        <v>1</v>
      </c>
      <c r="BS75">
        <f t="shared" si="81"/>
        <v>1</v>
      </c>
    </row>
    <row r="76" spans="1:71" ht="15.75">
      <c r="B76" s="2389"/>
      <c r="C76" s="2390"/>
      <c r="D76" s="2389"/>
      <c r="E76" s="2389"/>
      <c r="F76" s="2389"/>
      <c r="G76" s="2389"/>
      <c r="H76" s="2392"/>
      <c r="I76" s="2392"/>
      <c r="J76" s="2392"/>
      <c r="K76" s="2392"/>
      <c r="L76" s="2391"/>
      <c r="M76" s="1018"/>
      <c r="N76" s="1018"/>
      <c r="O76" s="1018"/>
      <c r="P76" s="1018"/>
      <c r="Q76" s="1018"/>
      <c r="R76" s="1018"/>
      <c r="S76" s="1018"/>
      <c r="T76" s="1018"/>
      <c r="U76" s="13"/>
      <c r="V76" s="13"/>
      <c r="W76" s="1018"/>
      <c r="X76" s="1018"/>
      <c r="Y76" s="1018"/>
      <c r="Z76" s="2352"/>
      <c r="AA76" s="2352"/>
      <c r="AB76" s="2354"/>
      <c r="AC76" s="2354"/>
      <c r="AJ76" s="2393"/>
      <c r="AX76" s="2909">
        <f t="shared" si="63"/>
        <v>0</v>
      </c>
      <c r="AY76">
        <f t="shared" si="64"/>
        <v>0</v>
      </c>
      <c r="AZ76" s="2910">
        <f t="shared" si="65"/>
        <v>0</v>
      </c>
      <c r="BA76" s="2767">
        <f t="shared" si="66"/>
        <v>0</v>
      </c>
      <c r="BB76" s="2910">
        <f t="shared" si="67"/>
        <v>0</v>
      </c>
      <c r="BC76" s="2767">
        <f t="shared" si="68"/>
        <v>0</v>
      </c>
      <c r="BD76" s="2910">
        <f t="shared" si="69"/>
        <v>0</v>
      </c>
      <c r="BE76" s="2767">
        <f t="shared" si="70"/>
        <v>0</v>
      </c>
      <c r="BF76" s="104"/>
      <c r="BG76" s="2910">
        <f t="shared" si="71"/>
        <v>0</v>
      </c>
      <c r="BH76" s="2767">
        <f t="shared" si="72"/>
        <v>0</v>
      </c>
      <c r="BI76" s="2910">
        <f t="shared" si="73"/>
        <v>0</v>
      </c>
      <c r="BJ76" s="2767">
        <f t="shared" si="74"/>
        <v>0</v>
      </c>
      <c r="BK76" s="2910">
        <f t="shared" si="75"/>
        <v>0</v>
      </c>
      <c r="BL76" s="2767">
        <f t="shared" si="76"/>
        <v>0</v>
      </c>
      <c r="BM76" s="2896">
        <f t="shared" si="77"/>
        <v>0</v>
      </c>
      <c r="BN76" s="2896">
        <f t="shared" si="78"/>
        <v>0</v>
      </c>
      <c r="BP76" s="2896">
        <f t="shared" si="79"/>
        <v>0</v>
      </c>
      <c r="BR76">
        <f t="shared" si="80"/>
        <v>1</v>
      </c>
      <c r="BS76">
        <f t="shared" si="81"/>
        <v>1</v>
      </c>
    </row>
    <row r="77" spans="1:71" ht="15.75">
      <c r="A77" s="2343"/>
      <c r="B77" s="2343"/>
      <c r="C77" s="2343"/>
      <c r="D77" s="2343"/>
      <c r="E77" s="2343"/>
      <c r="F77" s="2343"/>
      <c r="G77" s="2343"/>
      <c r="H77" s="2343"/>
      <c r="I77" s="2343"/>
      <c r="J77" s="2343"/>
      <c r="K77" s="2343"/>
      <c r="L77" s="2604"/>
      <c r="M77" s="2605"/>
      <c r="N77" s="2606"/>
      <c r="O77" s="2605"/>
      <c r="P77" s="2605"/>
      <c r="Q77" s="2605"/>
      <c r="R77" s="2606"/>
      <c r="S77" s="2605"/>
      <c r="T77" s="2605"/>
      <c r="U77" s="2607"/>
      <c r="V77" s="2607"/>
      <c r="W77" s="2605"/>
      <c r="X77" s="2608"/>
      <c r="Y77" s="2608"/>
      <c r="Z77" s="2609"/>
      <c r="AA77" s="2352"/>
      <c r="AB77" s="2354"/>
      <c r="AC77" s="2354"/>
      <c r="AJ77" s="2393"/>
      <c r="AX77" s="2909">
        <f t="shared" si="63"/>
        <v>0</v>
      </c>
      <c r="AY77">
        <f t="shared" si="64"/>
        <v>0</v>
      </c>
      <c r="AZ77" s="2910">
        <f t="shared" si="65"/>
        <v>0</v>
      </c>
      <c r="BA77" s="2767">
        <f t="shared" si="66"/>
        <v>0</v>
      </c>
      <c r="BB77" s="2910">
        <f t="shared" si="67"/>
        <v>0</v>
      </c>
      <c r="BC77" s="2767">
        <f t="shared" si="68"/>
        <v>0</v>
      </c>
      <c r="BD77" s="2910">
        <f t="shared" si="69"/>
        <v>0</v>
      </c>
      <c r="BE77" s="2767">
        <f t="shared" si="70"/>
        <v>0</v>
      </c>
      <c r="BF77" s="104"/>
      <c r="BG77" s="2910">
        <f t="shared" si="71"/>
        <v>0</v>
      </c>
      <c r="BH77" s="2767">
        <f t="shared" si="72"/>
        <v>0</v>
      </c>
      <c r="BI77" s="2910">
        <f t="shared" si="73"/>
        <v>0</v>
      </c>
      <c r="BJ77" s="2767">
        <f t="shared" si="74"/>
        <v>0</v>
      </c>
      <c r="BK77" s="2910">
        <f t="shared" si="75"/>
        <v>0</v>
      </c>
      <c r="BL77" s="2767">
        <f t="shared" si="76"/>
        <v>0</v>
      </c>
      <c r="BM77" s="2896">
        <f t="shared" si="77"/>
        <v>0</v>
      </c>
      <c r="BN77" s="2896">
        <f t="shared" si="78"/>
        <v>0</v>
      </c>
      <c r="BP77" s="2896">
        <f t="shared" si="79"/>
        <v>0</v>
      </c>
      <c r="BR77">
        <f t="shared" si="80"/>
        <v>1</v>
      </c>
      <c r="BS77">
        <f t="shared" si="81"/>
        <v>1</v>
      </c>
    </row>
    <row r="78" spans="1:71" ht="15">
      <c r="A78" s="2343"/>
      <c r="B78" s="2343"/>
      <c r="C78" s="2343"/>
      <c r="D78" s="2343"/>
      <c r="E78" s="2343"/>
      <c r="F78" s="2343"/>
      <c r="G78" s="2343"/>
      <c r="H78" s="2343"/>
      <c r="I78" s="2343"/>
      <c r="J78" s="2343"/>
      <c r="K78" s="2343"/>
      <c r="L78" s="1202"/>
      <c r="M78" s="2605"/>
      <c r="N78" s="2606"/>
      <c r="O78" s="2605"/>
      <c r="P78" s="2605"/>
      <c r="Q78" s="2605"/>
      <c r="R78" s="2606"/>
      <c r="S78" s="2605"/>
      <c r="T78" s="2605"/>
      <c r="U78" s="2607"/>
      <c r="V78" s="2607"/>
      <c r="W78" s="2605"/>
      <c r="X78" s="2608"/>
      <c r="Y78" s="2608"/>
      <c r="Z78" s="2609"/>
      <c r="AA78" s="2352"/>
      <c r="AB78" s="2354"/>
      <c r="AC78" s="2354"/>
      <c r="AJ78" s="2393"/>
      <c r="AX78" s="2909">
        <f t="shared" si="63"/>
        <v>0</v>
      </c>
      <c r="AY78">
        <f t="shared" si="64"/>
        <v>0</v>
      </c>
      <c r="AZ78" s="2910">
        <f t="shared" si="65"/>
        <v>0</v>
      </c>
      <c r="BA78" s="2767">
        <f t="shared" si="66"/>
        <v>0</v>
      </c>
      <c r="BB78" s="2910">
        <f t="shared" si="67"/>
        <v>0</v>
      </c>
      <c r="BC78" s="2767">
        <f t="shared" si="68"/>
        <v>0</v>
      </c>
      <c r="BD78" s="2910">
        <f t="shared" si="69"/>
        <v>0</v>
      </c>
      <c r="BE78" s="2767">
        <f t="shared" si="70"/>
        <v>0</v>
      </c>
      <c r="BF78" s="104"/>
      <c r="BG78" s="2910">
        <f t="shared" si="71"/>
        <v>0</v>
      </c>
      <c r="BH78" s="2767">
        <f t="shared" si="72"/>
        <v>0</v>
      </c>
      <c r="BI78" s="2910">
        <f t="shared" si="73"/>
        <v>0</v>
      </c>
      <c r="BJ78" s="2767">
        <f t="shared" si="74"/>
        <v>0</v>
      </c>
      <c r="BK78" s="2910">
        <f t="shared" si="75"/>
        <v>0</v>
      </c>
      <c r="BL78" s="2767">
        <f t="shared" si="76"/>
        <v>0</v>
      </c>
      <c r="BM78" s="2896">
        <f t="shared" si="77"/>
        <v>0</v>
      </c>
      <c r="BN78" s="2896">
        <f t="shared" si="78"/>
        <v>0</v>
      </c>
      <c r="BP78" s="2896">
        <f t="shared" si="79"/>
        <v>0</v>
      </c>
      <c r="BR78">
        <f t="shared" si="80"/>
        <v>1</v>
      </c>
      <c r="BS78">
        <f t="shared" si="81"/>
        <v>1</v>
      </c>
    </row>
    <row r="79" spans="1:71" ht="18.75">
      <c r="A79" s="2343"/>
      <c r="B79" s="2343"/>
      <c r="C79" s="2343"/>
      <c r="D79" s="2343"/>
      <c r="E79" s="2343"/>
      <c r="F79" s="2343"/>
      <c r="G79" s="2343"/>
      <c r="H79" s="2343"/>
      <c r="I79" s="2343"/>
      <c r="J79" s="2343"/>
      <c r="K79" s="2343"/>
      <c r="L79" s="1202"/>
      <c r="M79" s="2610"/>
      <c r="N79" s="2611"/>
      <c r="O79" s="2611"/>
      <c r="P79" s="2612"/>
      <c r="Q79" s="2612"/>
      <c r="R79" s="2611"/>
      <c r="S79" s="2608"/>
      <c r="T79" s="2613"/>
      <c r="U79" s="2607"/>
      <c r="V79" s="2607"/>
      <c r="W79" s="2611"/>
      <c r="X79" s="486"/>
      <c r="Y79" s="486"/>
      <c r="Z79" s="2609"/>
      <c r="AA79" s="2352"/>
      <c r="AB79" s="2354"/>
      <c r="AC79" s="2354"/>
      <c r="AJ79" s="2393"/>
      <c r="AX79" s="2909">
        <f t="shared" si="63"/>
        <v>0</v>
      </c>
      <c r="AY79">
        <f t="shared" si="64"/>
        <v>0</v>
      </c>
      <c r="AZ79" s="2910">
        <f t="shared" si="65"/>
        <v>0</v>
      </c>
      <c r="BA79" s="2767">
        <f t="shared" si="66"/>
        <v>0</v>
      </c>
      <c r="BB79" s="2910">
        <f t="shared" si="67"/>
        <v>0</v>
      </c>
      <c r="BC79" s="2767">
        <f t="shared" si="68"/>
        <v>0</v>
      </c>
      <c r="BD79" s="2910">
        <f t="shared" si="69"/>
        <v>0</v>
      </c>
      <c r="BE79" s="2767">
        <f t="shared" si="70"/>
        <v>0</v>
      </c>
      <c r="BF79" s="104"/>
      <c r="BG79" s="2910">
        <f t="shared" si="71"/>
        <v>0</v>
      </c>
      <c r="BH79" s="2767">
        <f t="shared" si="72"/>
        <v>0</v>
      </c>
      <c r="BI79" s="2910">
        <f t="shared" si="73"/>
        <v>0</v>
      </c>
      <c r="BJ79" s="2767">
        <f t="shared" si="74"/>
        <v>0</v>
      </c>
      <c r="BK79" s="2910">
        <f t="shared" si="75"/>
        <v>0</v>
      </c>
      <c r="BL79" s="2767">
        <f t="shared" si="76"/>
        <v>0</v>
      </c>
      <c r="BM79" s="2896">
        <f t="shared" si="77"/>
        <v>0</v>
      </c>
      <c r="BN79" s="2896">
        <f t="shared" si="78"/>
        <v>0</v>
      </c>
      <c r="BP79" s="2896">
        <f t="shared" si="79"/>
        <v>0</v>
      </c>
      <c r="BR79">
        <f t="shared" si="80"/>
        <v>1</v>
      </c>
      <c r="BS79">
        <f t="shared" si="81"/>
        <v>1</v>
      </c>
    </row>
    <row r="80" spans="1:71" ht="15">
      <c r="A80" s="2343"/>
      <c r="B80" s="2343"/>
      <c r="C80" s="2343"/>
      <c r="D80" s="2343"/>
      <c r="E80" s="2343"/>
      <c r="F80" s="2343"/>
      <c r="G80" s="2343"/>
      <c r="H80" s="2343"/>
      <c r="I80" s="2343"/>
      <c r="J80" s="2343"/>
      <c r="K80" s="2343"/>
      <c r="L80" s="1202"/>
      <c r="M80" s="2605"/>
      <c r="N80" s="2608"/>
      <c r="O80" s="2606"/>
      <c r="P80" s="2605"/>
      <c r="Q80" s="2605"/>
      <c r="R80" s="2605"/>
      <c r="S80" s="2614"/>
      <c r="T80" s="2605"/>
      <c r="U80" s="2607"/>
      <c r="V80" s="2607"/>
      <c r="W80" s="2605"/>
      <c r="X80" s="486"/>
      <c r="Y80" s="486"/>
      <c r="Z80" s="2609"/>
      <c r="AA80" s="2352"/>
      <c r="AB80" s="2354"/>
      <c r="AC80" s="2354"/>
      <c r="AJ80" s="2393"/>
      <c r="AX80" s="2909">
        <f t="shared" si="63"/>
        <v>0</v>
      </c>
      <c r="AY80">
        <f t="shared" si="64"/>
        <v>0</v>
      </c>
      <c r="AZ80" s="2910">
        <f t="shared" si="65"/>
        <v>0</v>
      </c>
      <c r="BA80" s="2767">
        <f t="shared" si="66"/>
        <v>0</v>
      </c>
      <c r="BB80" s="2910">
        <f t="shared" si="67"/>
        <v>0</v>
      </c>
      <c r="BC80" s="2767">
        <f t="shared" si="68"/>
        <v>0</v>
      </c>
      <c r="BD80" s="2910">
        <f t="shared" si="69"/>
        <v>0</v>
      </c>
      <c r="BE80" s="2767">
        <f t="shared" si="70"/>
        <v>0</v>
      </c>
      <c r="BF80" s="104"/>
      <c r="BG80" s="2910">
        <f t="shared" si="71"/>
        <v>0</v>
      </c>
      <c r="BH80" s="2767">
        <f t="shared" si="72"/>
        <v>0</v>
      </c>
      <c r="BI80" s="2910">
        <f t="shared" si="73"/>
        <v>0</v>
      </c>
      <c r="BJ80" s="2767">
        <f t="shared" si="74"/>
        <v>0</v>
      </c>
      <c r="BK80" s="2910">
        <f t="shared" si="75"/>
        <v>0</v>
      </c>
      <c r="BL80" s="2767">
        <f t="shared" si="76"/>
        <v>0</v>
      </c>
      <c r="BM80" s="2896">
        <f t="shared" si="77"/>
        <v>0</v>
      </c>
      <c r="BN80" s="2896">
        <f t="shared" si="78"/>
        <v>0</v>
      </c>
      <c r="BP80" s="2896">
        <f t="shared" si="79"/>
        <v>0</v>
      </c>
      <c r="BR80">
        <f t="shared" si="80"/>
        <v>1</v>
      </c>
      <c r="BS80">
        <f t="shared" si="81"/>
        <v>1</v>
      </c>
    </row>
    <row r="81" spans="1:71" ht="15">
      <c r="A81" s="2343"/>
      <c r="B81" s="2343"/>
      <c r="C81" s="2343"/>
      <c r="D81" s="2343"/>
      <c r="E81" s="2343"/>
      <c r="F81" s="2343"/>
      <c r="G81" s="2343"/>
      <c r="H81" s="2343"/>
      <c r="I81" s="2343"/>
      <c r="J81" s="2343"/>
      <c r="K81" s="2343"/>
      <c r="L81" s="1202"/>
      <c r="M81" s="2605"/>
      <c r="N81" s="2606"/>
      <c r="O81" s="2605"/>
      <c r="P81" s="2608"/>
      <c r="Q81" s="2606"/>
      <c r="R81" s="2605"/>
      <c r="S81" s="2605"/>
      <c r="T81" s="2605"/>
      <c r="U81" s="2607"/>
      <c r="V81" s="2607"/>
      <c r="W81" s="2608"/>
      <c r="X81" s="2608"/>
      <c r="Y81" s="2608"/>
      <c r="Z81" s="2609"/>
      <c r="AA81" s="2352"/>
      <c r="AB81" s="2354"/>
      <c r="AC81" s="2354"/>
      <c r="AJ81" s="2393"/>
      <c r="AX81" s="2909">
        <f t="shared" si="63"/>
        <v>0</v>
      </c>
      <c r="AY81">
        <f t="shared" si="64"/>
        <v>0</v>
      </c>
      <c r="AZ81" s="2910">
        <f t="shared" si="65"/>
        <v>0</v>
      </c>
      <c r="BA81" s="2767">
        <f t="shared" si="66"/>
        <v>0</v>
      </c>
      <c r="BB81" s="2910">
        <f t="shared" si="67"/>
        <v>0</v>
      </c>
      <c r="BC81" s="2767">
        <f t="shared" si="68"/>
        <v>0</v>
      </c>
      <c r="BD81" s="2910">
        <f t="shared" si="69"/>
        <v>0</v>
      </c>
      <c r="BE81" s="2767">
        <f t="shared" si="70"/>
        <v>0</v>
      </c>
      <c r="BF81" s="104"/>
      <c r="BG81" s="2910">
        <f t="shared" si="71"/>
        <v>0</v>
      </c>
      <c r="BH81" s="2767">
        <f t="shared" si="72"/>
        <v>0</v>
      </c>
      <c r="BI81" s="2910">
        <f t="shared" si="73"/>
        <v>0</v>
      </c>
      <c r="BJ81" s="2767">
        <f t="shared" si="74"/>
        <v>0</v>
      </c>
      <c r="BK81" s="2910">
        <f t="shared" si="75"/>
        <v>0</v>
      </c>
      <c r="BL81" s="2767">
        <f t="shared" si="76"/>
        <v>0</v>
      </c>
      <c r="BM81" s="2896">
        <f t="shared" si="77"/>
        <v>0</v>
      </c>
      <c r="BN81" s="2896">
        <f t="shared" si="78"/>
        <v>0</v>
      </c>
      <c r="BP81" s="2896">
        <f t="shared" si="79"/>
        <v>0</v>
      </c>
      <c r="BR81">
        <f t="shared" si="80"/>
        <v>1</v>
      </c>
      <c r="BS81">
        <f t="shared" si="81"/>
        <v>1</v>
      </c>
    </row>
    <row r="82" spans="1:71" ht="15">
      <c r="A82" s="2343"/>
      <c r="B82" s="2343"/>
      <c r="C82" s="2343"/>
      <c r="D82" s="2343"/>
      <c r="E82" s="2343"/>
      <c r="F82" s="2343"/>
      <c r="G82" s="2343"/>
      <c r="H82" s="2343"/>
      <c r="I82" s="2343"/>
      <c r="J82" s="2343"/>
      <c r="K82" s="2343"/>
      <c r="L82" s="2343"/>
      <c r="M82" s="2344"/>
      <c r="N82" s="2345"/>
      <c r="O82" s="2344"/>
      <c r="P82" s="2344"/>
      <c r="Q82" s="2346"/>
      <c r="R82" s="2344"/>
      <c r="S82" s="2344"/>
      <c r="T82" s="2344"/>
      <c r="U82" s="13"/>
      <c r="V82" s="13"/>
      <c r="W82" s="2347"/>
      <c r="X82" s="2347"/>
      <c r="Y82" s="2347"/>
      <c r="Z82" s="2352"/>
      <c r="AA82" s="2352"/>
      <c r="AB82" s="2354"/>
      <c r="AC82" s="2354"/>
      <c r="AJ82" s="2393"/>
      <c r="AX82" s="2909">
        <f t="shared" si="63"/>
        <v>0</v>
      </c>
      <c r="AY82">
        <f t="shared" si="64"/>
        <v>0</v>
      </c>
      <c r="AZ82" s="2910">
        <f t="shared" si="65"/>
        <v>0</v>
      </c>
      <c r="BA82" s="2767">
        <f t="shared" si="66"/>
        <v>0</v>
      </c>
      <c r="BB82" s="2910">
        <f t="shared" si="67"/>
        <v>0</v>
      </c>
      <c r="BC82" s="2767">
        <f t="shared" si="68"/>
        <v>0</v>
      </c>
      <c r="BD82" s="2910">
        <f t="shared" si="69"/>
        <v>0</v>
      </c>
      <c r="BE82" s="2767">
        <f t="shared" si="70"/>
        <v>0</v>
      </c>
      <c r="BF82" s="104"/>
      <c r="BG82" s="2910">
        <f t="shared" si="71"/>
        <v>0</v>
      </c>
      <c r="BH82" s="2767">
        <f t="shared" si="72"/>
        <v>0</v>
      </c>
      <c r="BI82" s="2910">
        <f t="shared" si="73"/>
        <v>0</v>
      </c>
      <c r="BJ82" s="2767">
        <f t="shared" si="74"/>
        <v>0</v>
      </c>
      <c r="BK82" s="2910">
        <f t="shared" si="75"/>
        <v>0</v>
      </c>
      <c r="BL82" s="2767">
        <f t="shared" si="76"/>
        <v>0</v>
      </c>
      <c r="BM82" s="2896">
        <f t="shared" si="77"/>
        <v>0</v>
      </c>
      <c r="BN82" s="2896">
        <f t="shared" si="78"/>
        <v>0</v>
      </c>
      <c r="BP82" s="2896">
        <f t="shared" si="79"/>
        <v>0</v>
      </c>
      <c r="BR82">
        <f t="shared" si="80"/>
        <v>1</v>
      </c>
      <c r="BS82">
        <f t="shared" si="81"/>
        <v>1</v>
      </c>
    </row>
    <row r="83" spans="1:71" ht="15">
      <c r="A83" s="2343"/>
      <c r="B83" s="2343"/>
      <c r="C83" s="2343"/>
      <c r="D83" s="2343"/>
      <c r="E83" s="2343"/>
      <c r="F83" s="2343"/>
      <c r="G83" s="2343"/>
      <c r="H83" s="2343"/>
      <c r="I83" s="2343"/>
      <c r="J83" s="2343"/>
      <c r="K83" s="2343"/>
      <c r="M83" s="2344"/>
      <c r="N83" s="2345"/>
      <c r="O83" s="2344"/>
      <c r="P83" s="2344"/>
      <c r="Q83" s="2346"/>
      <c r="R83" s="2344"/>
      <c r="S83" s="2344"/>
      <c r="T83" s="2344"/>
      <c r="U83" s="13"/>
      <c r="V83" s="13"/>
      <c r="W83" s="2343"/>
      <c r="X83" s="2347"/>
      <c r="Y83" s="2343"/>
      <c r="Z83" s="2352"/>
      <c r="AA83" s="2352"/>
      <c r="AB83" s="2354"/>
      <c r="AC83" s="2354"/>
      <c r="AJ83" s="2393"/>
      <c r="AX83" s="2909">
        <f t="shared" si="63"/>
        <v>0</v>
      </c>
      <c r="AY83" t="e">
        <f t="shared" si="64"/>
        <v>#VALUE!</v>
      </c>
      <c r="AZ83" s="2910">
        <f t="shared" si="65"/>
        <v>0</v>
      </c>
      <c r="BA83" s="2767" t="e">
        <f t="shared" si="66"/>
        <v>#VALUE!</v>
      </c>
      <c r="BB83" s="2910">
        <f t="shared" si="67"/>
        <v>0</v>
      </c>
      <c r="BC83" s="2767" t="e">
        <f t="shared" si="68"/>
        <v>#VALUE!</v>
      </c>
      <c r="BD83" s="2910">
        <f t="shared" si="69"/>
        <v>0</v>
      </c>
      <c r="BE83" s="2767" t="e">
        <f t="shared" si="70"/>
        <v>#VALUE!</v>
      </c>
      <c r="BF83" s="104"/>
      <c r="BG83" s="2910">
        <f t="shared" si="71"/>
        <v>0</v>
      </c>
      <c r="BH83" s="2767" t="e">
        <f t="shared" si="72"/>
        <v>#VALUE!</v>
      </c>
      <c r="BI83" s="2910">
        <f t="shared" si="73"/>
        <v>0</v>
      </c>
      <c r="BJ83" s="2767" t="e">
        <f t="shared" si="74"/>
        <v>#VALUE!</v>
      </c>
      <c r="BK83" s="2910">
        <f t="shared" si="75"/>
        <v>0</v>
      </c>
      <c r="BL83" s="2767" t="e">
        <f t="shared" si="76"/>
        <v>#VALUE!</v>
      </c>
      <c r="BM83" s="2896">
        <f t="shared" si="77"/>
        <v>0</v>
      </c>
      <c r="BN83" s="2896" t="e">
        <f t="shared" si="78"/>
        <v>#VALUE!</v>
      </c>
      <c r="BP83" s="2896" t="e">
        <f t="shared" si="79"/>
        <v>#VALUE!</v>
      </c>
      <c r="BR83" t="e">
        <f t="shared" si="80"/>
        <v>#VALUE!</v>
      </c>
      <c r="BS83" t="e">
        <f t="shared" si="81"/>
        <v>#VALUE!</v>
      </c>
    </row>
    <row r="84" spans="1:71" ht="45">
      <c r="A84" s="2343"/>
      <c r="B84" s="2394" t="s">
        <v>1428</v>
      </c>
      <c r="C84" s="2343"/>
      <c r="D84" s="2343"/>
      <c r="E84" s="2343"/>
      <c r="F84" s="2343"/>
      <c r="G84" s="2343"/>
      <c r="H84" s="2343"/>
      <c r="I84" s="2343"/>
      <c r="J84" s="2343"/>
      <c r="K84" s="2343"/>
      <c r="M84" s="2347"/>
      <c r="N84" s="2355"/>
      <c r="O84" s="2344"/>
      <c r="P84" s="2345"/>
      <c r="Q84" s="2344"/>
      <c r="R84" s="2344"/>
      <c r="S84" s="2344"/>
      <c r="T84" s="2346"/>
      <c r="U84" s="13"/>
      <c r="V84" s="13"/>
      <c r="W84" s="2343"/>
      <c r="X84" s="2344"/>
      <c r="Y84" s="2343"/>
      <c r="Z84" s="2352"/>
      <c r="AA84" s="2352"/>
      <c r="AB84" s="2354"/>
      <c r="AC84" s="2354"/>
      <c r="AJ84" s="2393"/>
      <c r="AX84" s="2909"/>
      <c r="AZ84" s="2910"/>
      <c r="BA84" s="2767"/>
      <c r="BB84" s="2910"/>
      <c r="BC84" s="2767"/>
      <c r="BD84" s="2910"/>
      <c r="BE84" s="2767"/>
      <c r="BF84" s="104"/>
      <c r="BG84" s="2910"/>
      <c r="BH84" s="2767"/>
      <c r="BI84" s="2910"/>
      <c r="BJ84" s="2767"/>
      <c r="BK84" s="2910"/>
      <c r="BL84" s="2767"/>
      <c r="BM84" s="2896"/>
      <c r="BN84" s="2896"/>
      <c r="BP84" s="2896"/>
    </row>
    <row r="85" spans="1:71" ht="15.75">
      <c r="A85" s="2343"/>
      <c r="B85" s="2343"/>
      <c r="C85" s="2343"/>
      <c r="D85" s="2343"/>
      <c r="E85" s="2343"/>
      <c r="F85" s="2343"/>
      <c r="G85" s="2343"/>
      <c r="H85" s="2343"/>
      <c r="I85" s="2343"/>
      <c r="J85" s="2343"/>
      <c r="K85" s="2343"/>
      <c r="L85" s="2353" t="s">
        <v>1427</v>
      </c>
      <c r="M85" s="2347"/>
      <c r="N85" s="2355"/>
      <c r="O85" s="2344"/>
      <c r="P85" s="2345"/>
      <c r="Q85" s="2344"/>
      <c r="R85" s="2344"/>
      <c r="S85" s="2347"/>
      <c r="T85" s="2346"/>
      <c r="U85" s="13"/>
      <c r="V85" s="13"/>
      <c r="W85" s="2343"/>
      <c r="X85" s="2344"/>
      <c r="Y85" s="2343"/>
      <c r="Z85" s="2352"/>
      <c r="AA85" s="2352"/>
      <c r="AB85" s="2354"/>
      <c r="AC85" s="2354"/>
      <c r="AJ85" s="2393"/>
      <c r="AX85" s="2909"/>
      <c r="AZ85" s="2910"/>
      <c r="BA85" s="2767"/>
      <c r="BB85" s="2910"/>
      <c r="BC85" s="2767"/>
      <c r="BD85" s="2910"/>
      <c r="BE85" s="2767"/>
      <c r="BF85" s="104"/>
      <c r="BG85" s="2910"/>
      <c r="BH85" s="2767"/>
      <c r="BI85" s="2910"/>
      <c r="BJ85" s="2767"/>
      <c r="BK85" s="2910"/>
      <c r="BL85" s="2767"/>
      <c r="BM85" s="2896"/>
      <c r="BN85" s="2896"/>
      <c r="BP85" s="2896"/>
    </row>
    <row r="86" spans="1:71" ht="19.5">
      <c r="A86" s="2343"/>
      <c r="B86" s="2343"/>
      <c r="C86" s="2343"/>
      <c r="D86" s="2343"/>
      <c r="E86" s="2343"/>
      <c r="F86" s="2343"/>
      <c r="G86" s="2343"/>
      <c r="H86" s="2343"/>
      <c r="I86" s="2343"/>
      <c r="J86" s="1018"/>
      <c r="K86" s="2343"/>
      <c r="L86" s="2343" t="s">
        <v>1429</v>
      </c>
      <c r="M86" s="2347"/>
      <c r="N86" s="2355"/>
      <c r="O86" s="2344"/>
      <c r="P86" s="2343"/>
      <c r="Q86" s="2344"/>
      <c r="R86" s="2347"/>
      <c r="S86" s="2347"/>
      <c r="T86" s="2346"/>
      <c r="U86" s="13"/>
      <c r="V86" s="13"/>
      <c r="W86" s="2343"/>
      <c r="X86" s="2344"/>
      <c r="Y86" s="2343"/>
      <c r="Z86" s="2352"/>
      <c r="AA86" s="2352"/>
      <c r="AB86" s="2354"/>
      <c r="AC86" s="2354"/>
      <c r="AJ86" s="2393"/>
      <c r="AX86" s="2909"/>
      <c r="AZ86" s="2910"/>
      <c r="BA86" s="2767"/>
      <c r="BB86" s="2910"/>
      <c r="BC86" s="2767"/>
      <c r="BD86" s="2910"/>
      <c r="BE86" s="2767"/>
      <c r="BF86" s="104"/>
      <c r="BG86" s="2910"/>
      <c r="BH86" s="2767"/>
      <c r="BI86" s="2910"/>
      <c r="BJ86" s="2767"/>
      <c r="BK86" s="2910"/>
      <c r="BL86" s="2767"/>
      <c r="BM86" s="2896"/>
      <c r="BN86" s="2896"/>
      <c r="BP86" s="2896"/>
    </row>
    <row r="87" spans="1:71" ht="18.75">
      <c r="A87" s="2356" t="s">
        <v>1395</v>
      </c>
      <c r="B87" s="2357">
        <v>0</v>
      </c>
      <c r="C87" s="2343" t="s">
        <v>1399</v>
      </c>
      <c r="D87" s="2343"/>
      <c r="E87" s="2343"/>
      <c r="F87" s="2343"/>
      <c r="G87" s="2343"/>
      <c r="H87" s="2343"/>
      <c r="I87" s="2343"/>
      <c r="J87" s="2343"/>
      <c r="K87" s="2343"/>
      <c r="L87" s="2343"/>
      <c r="M87" s="2347"/>
      <c r="N87" s="2355"/>
      <c r="O87" s="2344"/>
      <c r="P87" s="2345"/>
      <c r="Q87" s="2344"/>
      <c r="R87" s="2344"/>
      <c r="S87" s="2344" t="s">
        <v>1386</v>
      </c>
      <c r="T87" s="2346"/>
      <c r="U87" s="13"/>
      <c r="V87" s="13"/>
      <c r="W87" s="2343"/>
      <c r="X87" s="2344"/>
      <c r="Y87" s="2343"/>
      <c r="Z87" s="2352"/>
      <c r="AA87" s="2352"/>
      <c r="AB87" s="2354"/>
      <c r="AC87" s="2354"/>
      <c r="AJ87" s="2393"/>
      <c r="AX87" s="2909"/>
      <c r="AZ87" s="2910"/>
      <c r="BA87" s="2767"/>
      <c r="BB87" s="2910"/>
      <c r="BC87" s="2767"/>
      <c r="BD87" s="2910"/>
      <c r="BE87" s="2767"/>
      <c r="BF87" s="104"/>
      <c r="BG87" s="2910"/>
      <c r="BH87" s="2767"/>
      <c r="BI87" s="2910"/>
      <c r="BJ87" s="2767"/>
      <c r="BK87" s="2910"/>
      <c r="BL87" s="2767"/>
      <c r="BM87" s="2896"/>
      <c r="BN87" s="2896"/>
      <c r="BP87" s="2896"/>
    </row>
    <row r="88" spans="1:71" ht="18.75">
      <c r="A88" s="2356" t="s">
        <v>1396</v>
      </c>
      <c r="B88" s="2357">
        <v>0</v>
      </c>
      <c r="C88" s="2343" t="s">
        <v>1399</v>
      </c>
      <c r="D88" s="2343"/>
      <c r="E88" s="2343"/>
      <c r="F88" s="2343"/>
      <c r="G88" s="2343"/>
      <c r="H88" s="2343"/>
      <c r="I88" s="2343"/>
      <c r="J88" s="2343"/>
      <c r="K88" s="2343"/>
      <c r="L88" s="2343"/>
      <c r="M88" s="2347"/>
      <c r="N88" s="2355"/>
      <c r="O88" s="2344"/>
      <c r="P88" s="2345" t="s">
        <v>1400</v>
      </c>
      <c r="Q88" s="2344" t="s">
        <v>1401</v>
      </c>
      <c r="R88" s="2347" t="s">
        <v>1402</v>
      </c>
      <c r="S88" s="2347" t="s">
        <v>1393</v>
      </c>
      <c r="T88" s="2346"/>
      <c r="U88" s="13"/>
      <c r="V88" s="13"/>
      <c r="W88" s="2344"/>
      <c r="X88" s="2344"/>
      <c r="Y88" s="2344"/>
      <c r="Z88" s="2352"/>
      <c r="AA88" s="2352"/>
      <c r="AB88" s="2354"/>
      <c r="AC88" s="2354"/>
      <c r="AJ88" s="2393"/>
      <c r="AX88" s="2909"/>
      <c r="AZ88" s="2910"/>
      <c r="BA88" s="2767"/>
      <c r="BB88" s="2910"/>
      <c r="BC88" s="2767"/>
      <c r="BD88" s="2910"/>
      <c r="BE88" s="2767"/>
      <c r="BF88" s="104"/>
      <c r="BG88" s="2910"/>
      <c r="BH88" s="2767"/>
      <c r="BI88" s="2910"/>
      <c r="BJ88" s="2767"/>
      <c r="BK88" s="2910"/>
      <c r="BL88" s="2767"/>
      <c r="BM88" s="2896"/>
      <c r="BN88" s="2896"/>
      <c r="BP88" s="2896"/>
    </row>
    <row r="89" spans="1:71" ht="20.25">
      <c r="A89" s="2368" t="s">
        <v>1394</v>
      </c>
      <c r="B89" s="2357">
        <v>0</v>
      </c>
      <c r="C89" s="2343" t="s">
        <v>1399</v>
      </c>
      <c r="D89" s="2343"/>
      <c r="E89" s="2343"/>
      <c r="F89" s="2343"/>
      <c r="G89" s="2343"/>
      <c r="H89" s="2343"/>
      <c r="I89" s="2343"/>
      <c r="J89" s="2343"/>
      <c r="K89" s="2343"/>
      <c r="L89" s="2343"/>
      <c r="M89" s="2347"/>
      <c r="N89" s="2355"/>
      <c r="O89" s="2344"/>
      <c r="P89" s="2345" t="s">
        <v>1404</v>
      </c>
      <c r="Q89" s="2344" t="s">
        <v>1405</v>
      </c>
      <c r="R89" s="2344" t="s">
        <v>1406</v>
      </c>
      <c r="S89" s="2347" t="s">
        <v>1407</v>
      </c>
      <c r="T89" s="2346"/>
      <c r="U89" s="13"/>
      <c r="V89" s="13"/>
      <c r="W89" s="2350"/>
      <c r="X89" s="2350"/>
      <c r="Y89" s="2344"/>
      <c r="Z89" s="2352"/>
      <c r="AA89" s="2352"/>
      <c r="AB89" s="2354"/>
      <c r="AC89" s="2354"/>
      <c r="AJ89" s="2393"/>
      <c r="AX89" s="2909"/>
      <c r="AZ89" s="2910"/>
      <c r="BA89" s="2767"/>
      <c r="BB89" s="2910"/>
      <c r="BC89" s="2767"/>
      <c r="BD89" s="2910"/>
      <c r="BE89" s="2767"/>
      <c r="BF89" s="104"/>
      <c r="BG89" s="2910"/>
      <c r="BH89" s="2767"/>
      <c r="BI89" s="2910"/>
      <c r="BJ89" s="2767"/>
      <c r="BK89" s="2910"/>
      <c r="BL89" s="2767"/>
      <c r="BM89" s="2896"/>
      <c r="BN89" s="2896"/>
      <c r="BP89" s="2896"/>
    </row>
    <row r="90" spans="1:71" ht="18.75">
      <c r="A90" s="2374" t="s">
        <v>1397</v>
      </c>
      <c r="B90" s="2357">
        <v>0</v>
      </c>
      <c r="C90" s="2343" t="s">
        <v>1399</v>
      </c>
      <c r="D90" s="2343"/>
      <c r="E90" s="2343"/>
      <c r="F90" s="2343"/>
      <c r="G90" s="2343"/>
      <c r="H90" s="2343"/>
      <c r="I90" s="2343"/>
      <c r="J90" s="2343"/>
      <c r="K90" s="2343"/>
      <c r="L90" s="2343"/>
      <c r="M90" s="2347"/>
      <c r="N90" s="2355"/>
      <c r="O90" s="2344"/>
      <c r="P90" s="2375">
        <v>1</v>
      </c>
      <c r="Q90" s="2376">
        <v>25</v>
      </c>
      <c r="R90" s="2377">
        <v>1.1000000000000001</v>
      </c>
      <c r="S90" s="2377">
        <f>(P90*Q90*R90)/10</f>
        <v>2.7500000000000004</v>
      </c>
      <c r="T90" s="2346"/>
      <c r="U90" s="13"/>
      <c r="V90" s="13"/>
      <c r="W90" s="2344"/>
      <c r="X90" s="2344"/>
      <c r="Y90" s="2344"/>
      <c r="Z90" s="2352"/>
      <c r="AA90" s="2352"/>
      <c r="AB90" s="2354"/>
      <c r="AC90" s="2354"/>
      <c r="AJ90" s="2393"/>
      <c r="AX90" s="2909"/>
      <c r="AZ90" s="2910"/>
      <c r="BA90" s="2767"/>
      <c r="BB90" s="2910"/>
      <c r="BC90" s="2767"/>
      <c r="BD90" s="2910"/>
      <c r="BE90" s="2767"/>
      <c r="BF90" s="104"/>
      <c r="BG90" s="2910"/>
      <c r="BH90" s="2767"/>
      <c r="BI90" s="2910"/>
      <c r="BJ90" s="2767"/>
      <c r="BK90" s="2910"/>
      <c r="BL90" s="2767"/>
      <c r="BM90" s="2896"/>
      <c r="BN90" s="2896"/>
      <c r="BP90" s="2896"/>
    </row>
    <row r="91" spans="1:71" ht="18.75">
      <c r="A91" s="2378" t="s">
        <v>1409</v>
      </c>
      <c r="B91" s="2379">
        <v>0.8</v>
      </c>
      <c r="C91" s="2343"/>
      <c r="D91" s="2343"/>
      <c r="E91" s="2343" t="s">
        <v>327</v>
      </c>
      <c r="F91" s="2343"/>
      <c r="G91" s="2343"/>
      <c r="H91" s="2343"/>
      <c r="I91" s="2343"/>
      <c r="J91" s="2343"/>
      <c r="K91" s="2343"/>
      <c r="L91" s="2343"/>
      <c r="M91" s="2347"/>
      <c r="N91" s="2355"/>
      <c r="O91" s="2344"/>
      <c r="P91" s="2375">
        <v>1.5</v>
      </c>
      <c r="Q91" s="2376">
        <v>25</v>
      </c>
      <c r="R91" s="2377">
        <v>1.1000000000000001</v>
      </c>
      <c r="S91" s="2377">
        <f>(P91*Q91*R91)/10</f>
        <v>4.125</v>
      </c>
      <c r="T91" s="2346"/>
      <c r="U91" s="13"/>
      <c r="V91" s="13"/>
      <c r="W91" s="2344"/>
      <c r="X91" s="2344"/>
      <c r="Y91" s="2344"/>
      <c r="Z91" s="2352"/>
      <c r="AA91" s="2352"/>
      <c r="AB91" s="2354"/>
      <c r="AC91" s="2354"/>
      <c r="AJ91" s="2393"/>
      <c r="AX91" s="2909"/>
      <c r="AZ91" s="2910"/>
      <c r="BA91" s="2767"/>
      <c r="BB91" s="2910"/>
      <c r="BC91" s="2767"/>
      <c r="BD91" s="2910"/>
      <c r="BE91" s="2767"/>
      <c r="BF91" s="104"/>
      <c r="BG91" s="2910"/>
      <c r="BH91" s="2767"/>
      <c r="BI91" s="2910"/>
      <c r="BJ91" s="2767"/>
      <c r="BK91" s="2910"/>
      <c r="BL91" s="2767"/>
      <c r="BM91" s="2896"/>
      <c r="BN91" s="2896"/>
      <c r="BP91" s="2896"/>
    </row>
    <row r="92" spans="1:71" ht="18.75">
      <c r="A92" s="2378" t="s">
        <v>1410</v>
      </c>
      <c r="B92" s="2380">
        <v>6.1000000000000004E-3</v>
      </c>
      <c r="C92" s="2343"/>
      <c r="D92" s="2343"/>
      <c r="E92" s="2343"/>
      <c r="F92" s="2343"/>
      <c r="G92" s="2343"/>
      <c r="H92" s="2343"/>
      <c r="I92" s="1018"/>
      <c r="J92" s="1018"/>
      <c r="K92" s="2343"/>
      <c r="L92" s="2343"/>
      <c r="M92" s="2347"/>
      <c r="N92" s="2355"/>
      <c r="O92" s="2344"/>
      <c r="P92" s="2375">
        <v>2</v>
      </c>
      <c r="Q92" s="2376">
        <v>25</v>
      </c>
      <c r="R92" s="2377">
        <v>1.1000000000000001</v>
      </c>
      <c r="S92" s="2377">
        <f>(P92*Q92*R92)/10</f>
        <v>5.5000000000000009</v>
      </c>
      <c r="T92" s="2346"/>
      <c r="U92" s="13"/>
      <c r="V92" s="13"/>
      <c r="W92" s="2344"/>
      <c r="X92" s="2344"/>
      <c r="Y92" s="2344"/>
      <c r="Z92" s="2352"/>
      <c r="AA92" s="2352"/>
      <c r="AB92" s="2354"/>
      <c r="AC92" s="2354"/>
      <c r="AJ92" s="2393"/>
      <c r="AX92" s="2909"/>
      <c r="AZ92" s="2910"/>
      <c r="BA92" s="2767"/>
      <c r="BB92" s="2910"/>
      <c r="BC92" s="2767"/>
      <c r="BD92" s="2910"/>
      <c r="BE92" s="2767"/>
      <c r="BF92" s="104"/>
      <c r="BG92" s="2910"/>
      <c r="BH92" s="2767"/>
      <c r="BI92" s="2910"/>
      <c r="BJ92" s="2767"/>
      <c r="BK92" s="2910"/>
      <c r="BL92" s="2767"/>
      <c r="BM92" s="2896"/>
      <c r="BN92" s="2896"/>
      <c r="BP92" s="2896"/>
    </row>
    <row r="93" spans="1:71" ht="15">
      <c r="A93" s="2381" t="s">
        <v>1411</v>
      </c>
      <c r="B93" s="2379">
        <v>0.125</v>
      </c>
      <c r="C93" s="2343"/>
      <c r="D93" s="2343"/>
      <c r="E93" s="2343"/>
      <c r="F93" s="2343"/>
      <c r="G93" s="2343"/>
      <c r="H93" s="2343"/>
      <c r="I93" s="1018"/>
      <c r="J93" s="1018"/>
      <c r="K93" s="2343"/>
      <c r="L93" s="2343"/>
      <c r="M93" s="2343"/>
      <c r="N93" s="2343"/>
      <c r="O93" s="2343"/>
      <c r="P93" s="2343"/>
      <c r="Q93" s="2343"/>
      <c r="R93" s="2343"/>
      <c r="S93" s="2343"/>
      <c r="T93" s="2343"/>
      <c r="U93" s="13"/>
      <c r="V93" s="13"/>
      <c r="W93" s="2343"/>
      <c r="X93" s="2343"/>
      <c r="Y93" s="2343"/>
      <c r="Z93" s="2352"/>
      <c r="AA93" s="2352"/>
      <c r="AB93" s="2354"/>
      <c r="AC93" s="2354"/>
      <c r="AJ93" s="2393"/>
      <c r="AX93" s="2909"/>
      <c r="AZ93" s="2910"/>
      <c r="BA93" s="2767"/>
      <c r="BB93" s="2910"/>
      <c r="BC93" s="2767"/>
      <c r="BD93" s="2910"/>
      <c r="BE93" s="2767"/>
      <c r="BF93" s="104"/>
      <c r="BG93" s="2910"/>
      <c r="BH93" s="2767"/>
      <c r="BI93" s="2910"/>
      <c r="BJ93" s="2767"/>
      <c r="BK93" s="2910"/>
      <c r="BL93" s="2767"/>
      <c r="BM93" s="2896"/>
      <c r="BN93" s="2896"/>
      <c r="BP93" s="2896"/>
    </row>
    <row r="94" spans="1:71" ht="15">
      <c r="A94" s="2382" t="s">
        <v>1387</v>
      </c>
      <c r="B94" s="2383">
        <v>0.25</v>
      </c>
      <c r="C94" s="2343"/>
      <c r="D94" s="2343"/>
      <c r="E94" s="2343"/>
      <c r="F94" s="2343"/>
      <c r="G94" s="2343"/>
      <c r="H94" s="2343"/>
      <c r="I94" s="1018"/>
      <c r="J94" s="1018"/>
      <c r="K94" s="2343"/>
      <c r="L94" s="2343"/>
      <c r="M94" s="2343"/>
      <c r="N94" s="2343"/>
      <c r="O94" s="2343"/>
      <c r="P94" s="2343"/>
      <c r="Q94" s="2343"/>
      <c r="R94" s="2343"/>
      <c r="S94" s="2343"/>
      <c r="T94" s="2343"/>
      <c r="U94" s="13"/>
      <c r="V94" s="13"/>
      <c r="W94" s="2343"/>
      <c r="X94" s="2343"/>
      <c r="Y94" s="2343"/>
      <c r="Z94" s="2352"/>
      <c r="AA94" s="2352"/>
      <c r="AB94" s="2354"/>
      <c r="AC94" s="2354"/>
      <c r="AJ94" s="2393"/>
      <c r="AX94" s="2909"/>
      <c r="AZ94" s="2910"/>
      <c r="BA94" s="2767"/>
      <c r="BB94" s="2910"/>
      <c r="BC94" s="2767"/>
      <c r="BD94" s="2910"/>
      <c r="BE94" s="2767"/>
      <c r="BF94" s="104"/>
      <c r="BG94" s="2910"/>
      <c r="BH94" s="2767"/>
      <c r="BI94" s="2910"/>
      <c r="BJ94" s="2767"/>
      <c r="BK94" s="2910"/>
      <c r="BL94" s="2767"/>
      <c r="BM94" s="2896"/>
      <c r="BN94" s="2896"/>
      <c r="BP94" s="2896"/>
    </row>
    <row r="95" spans="1:71" ht="15.75">
      <c r="A95" s="2378" t="s">
        <v>1388</v>
      </c>
      <c r="B95" s="2383">
        <v>0.31</v>
      </c>
      <c r="C95" s="2343"/>
      <c r="D95" s="2343"/>
      <c r="E95" s="2343"/>
      <c r="F95" s="2343"/>
      <c r="G95" s="2343"/>
      <c r="H95" s="2343"/>
      <c r="I95" s="1018"/>
      <c r="J95" s="1018"/>
      <c r="K95" s="2343"/>
      <c r="L95" s="2343"/>
      <c r="M95" s="2343"/>
      <c r="N95" s="2343"/>
      <c r="O95" s="2343"/>
      <c r="P95" s="2343"/>
      <c r="Q95" s="2343"/>
      <c r="U95" s="13"/>
      <c r="V95" s="13"/>
      <c r="W95" s="2388"/>
      <c r="X95" s="2388"/>
      <c r="Y95" s="2388"/>
      <c r="Z95" s="2352"/>
      <c r="AA95" s="2352"/>
      <c r="AB95" s="2354"/>
      <c r="AC95" s="2354"/>
      <c r="AJ95" s="2393"/>
      <c r="AX95" s="2909"/>
      <c r="AZ95" s="2910"/>
      <c r="BA95" s="2767"/>
      <c r="BB95" s="2910"/>
      <c r="BC95" s="2767"/>
      <c r="BD95" s="2910"/>
      <c r="BE95" s="2767"/>
      <c r="BF95" s="104"/>
      <c r="BG95" s="2910"/>
      <c r="BH95" s="2767"/>
      <c r="BI95" s="2910"/>
      <c r="BJ95" s="2767"/>
      <c r="BK95" s="2910"/>
      <c r="BL95" s="2767"/>
      <c r="BM95" s="2896"/>
      <c r="BN95" s="2896"/>
      <c r="BP95" s="2896"/>
    </row>
    <row r="96" spans="1:71" ht="15">
      <c r="A96" s="2384"/>
      <c r="B96" s="2343">
        <v>2</v>
      </c>
      <c r="C96" s="2343">
        <v>0</v>
      </c>
      <c r="D96" s="1018">
        <v>0.14274999999999999</v>
      </c>
      <c r="E96" s="1018">
        <v>4.2050000000000004E-2</v>
      </c>
      <c r="F96" s="1018">
        <v>0</v>
      </c>
      <c r="G96" s="1018"/>
      <c r="H96" s="1018"/>
      <c r="I96" s="1018">
        <v>0.05</v>
      </c>
      <c r="J96" s="1018">
        <v>0.05</v>
      </c>
      <c r="K96" s="1018"/>
      <c r="L96" s="1018"/>
      <c r="M96" s="1018"/>
      <c r="N96" s="1018"/>
      <c r="O96" s="1018"/>
      <c r="P96" s="1018"/>
      <c r="Q96" s="1018"/>
      <c r="R96" s="2388" t="s">
        <v>1300</v>
      </c>
      <c r="S96" s="2388" t="s">
        <v>823</v>
      </c>
      <c r="T96" s="2388" t="s">
        <v>872</v>
      </c>
      <c r="U96" s="451"/>
      <c r="V96" s="451"/>
      <c r="W96" s="1018"/>
      <c r="X96" s="1018"/>
      <c r="Y96" s="1018"/>
      <c r="Z96" s="1018"/>
      <c r="AA96" s="1018"/>
      <c r="AB96" s="2354"/>
      <c r="AC96" s="2354"/>
      <c r="AJ96" s="2393"/>
      <c r="AX96" s="2897"/>
      <c r="AZ96" s="2898" t="s">
        <v>1753</v>
      </c>
      <c r="BA96" s="2899"/>
      <c r="BB96" s="2898" t="s">
        <v>1760</v>
      </c>
      <c r="BC96" s="2899"/>
      <c r="BD96" s="2898" t="s">
        <v>1369</v>
      </c>
      <c r="BE96" s="2899"/>
      <c r="BF96" s="2880"/>
      <c r="BG96" s="2898" t="s">
        <v>1753</v>
      </c>
      <c r="BH96" s="2899"/>
      <c r="BI96" s="2898" t="s">
        <v>1760</v>
      </c>
      <c r="BJ96" s="2899"/>
      <c r="BK96" s="2898" t="s">
        <v>1369</v>
      </c>
      <c r="BL96" s="2899"/>
      <c r="BM96" t="s">
        <v>1764</v>
      </c>
      <c r="BN96" t="s">
        <v>1763</v>
      </c>
      <c r="BP96" t="s">
        <v>1765</v>
      </c>
    </row>
    <row r="97" spans="1:71" ht="18.75">
      <c r="A97" s="2351" t="s">
        <v>137</v>
      </c>
      <c r="B97" s="2348" t="s">
        <v>1389</v>
      </c>
      <c r="C97" s="2348" t="s">
        <v>1392</v>
      </c>
      <c r="D97" s="2349" t="s">
        <v>1390</v>
      </c>
      <c r="E97" s="2349" t="s">
        <v>1391</v>
      </c>
      <c r="F97" s="2349"/>
      <c r="G97" s="2349"/>
      <c r="H97" s="2385" t="s">
        <v>1414</v>
      </c>
      <c r="I97" s="2386" t="s">
        <v>1415</v>
      </c>
      <c r="J97" s="2386" t="s">
        <v>1416</v>
      </c>
      <c r="K97" s="2395" t="s">
        <v>1417</v>
      </c>
      <c r="L97" s="2387" t="s">
        <v>1418</v>
      </c>
      <c r="M97" s="2388"/>
      <c r="N97" s="2388" t="s">
        <v>1419</v>
      </c>
      <c r="O97" s="2388"/>
      <c r="P97" s="2388"/>
      <c r="Q97" s="2388"/>
      <c r="R97" s="1018">
        <v>1</v>
      </c>
      <c r="S97">
        <v>2.37</v>
      </c>
      <c r="T97">
        <v>2.39</v>
      </c>
      <c r="U97" s="451"/>
      <c r="V97" s="451"/>
      <c r="W97" s="1018"/>
      <c r="X97" s="1018"/>
      <c r="Y97" s="1018"/>
      <c r="Z97" s="1018"/>
      <c r="AA97" s="1018"/>
      <c r="AB97" s="2354"/>
      <c r="AC97" s="2354"/>
      <c r="AJ97" s="2393"/>
      <c r="AX97" s="2900" t="s">
        <v>1757</v>
      </c>
      <c r="AY97" t="s">
        <v>1766</v>
      </c>
      <c r="AZ97" s="2901" t="s">
        <v>1227</v>
      </c>
      <c r="BA97" s="2902" t="s">
        <v>1761</v>
      </c>
      <c r="BB97" s="2901" t="s">
        <v>1748</v>
      </c>
      <c r="BC97" s="2902" t="s">
        <v>1761</v>
      </c>
      <c r="BD97" s="2901" t="s">
        <v>1749</v>
      </c>
      <c r="BE97" s="2902" t="s">
        <v>1761</v>
      </c>
      <c r="BF97" s="2880"/>
      <c r="BG97" s="2901" t="s">
        <v>1750</v>
      </c>
      <c r="BH97" s="2902" t="s">
        <v>1756</v>
      </c>
      <c r="BI97" s="2901" t="s">
        <v>1751</v>
      </c>
      <c r="BJ97" s="2902" t="s">
        <v>1762</v>
      </c>
      <c r="BK97" s="2901" t="s">
        <v>1752</v>
      </c>
      <c r="BL97" s="2902" t="s">
        <v>1762</v>
      </c>
      <c r="BR97" t="s">
        <v>1759</v>
      </c>
      <c r="BS97" t="s">
        <v>1756</v>
      </c>
    </row>
    <row r="98" spans="1:71" ht="15.75">
      <c r="A98" s="2351">
        <v>0</v>
      </c>
      <c r="B98" s="2389">
        <f>Mull_ICBM!X59</f>
        <v>2.2930232558139534</v>
      </c>
      <c r="C98" s="2390">
        <f>Mull_ICBM!T58</f>
        <v>0</v>
      </c>
      <c r="D98" s="2569">
        <f>Mull_ICBM!J58</f>
        <v>3754.2723665615231</v>
      </c>
      <c r="E98" s="2569">
        <f>Mull_ICBM!K58</f>
        <v>1031.3982742262244</v>
      </c>
      <c r="F98" s="2569">
        <f>Mull_ICBM!O60</f>
        <v>0</v>
      </c>
      <c r="G98" s="2569"/>
      <c r="H98" s="2570">
        <f>B13</f>
        <v>0</v>
      </c>
      <c r="I98" s="2570">
        <f>Mull_ICBM!AN12</f>
        <v>150</v>
      </c>
      <c r="J98" s="2570">
        <f>Mull_ICBM!AO12</f>
        <v>150</v>
      </c>
      <c r="K98" s="2570">
        <f>Mull_ICBM!AJ12</f>
        <v>50581.395348837206</v>
      </c>
      <c r="L98" s="2571">
        <f>I98+K98+H98+J98</f>
        <v>50881.395348837206</v>
      </c>
      <c r="M98" s="1018"/>
      <c r="N98" s="1018"/>
      <c r="O98" s="2388"/>
      <c r="P98" s="2388"/>
      <c r="Q98" s="2388"/>
      <c r="R98" s="1018">
        <v>2</v>
      </c>
      <c r="S98" s="13"/>
      <c r="T98" s="13"/>
      <c r="U98" s="451"/>
      <c r="V98" s="451"/>
      <c r="W98" s="1018"/>
      <c r="X98" s="1018"/>
      <c r="Y98" s="1018"/>
      <c r="Z98" s="1018"/>
      <c r="AA98" s="1018"/>
      <c r="AB98" s="2354"/>
      <c r="AC98" s="2354"/>
      <c r="AJ98" s="2393"/>
      <c r="AX98" s="2900"/>
      <c r="AZ98" s="2901"/>
      <c r="BA98" s="2902"/>
      <c r="BB98" s="2901"/>
      <c r="BC98" s="2902"/>
      <c r="BD98" s="2901"/>
      <c r="BE98" s="2902"/>
      <c r="BF98" s="2880"/>
      <c r="BG98" s="2901"/>
      <c r="BH98" s="2902"/>
      <c r="BI98" s="2901"/>
      <c r="BJ98" s="2902"/>
      <c r="BK98" s="2901"/>
      <c r="BL98" s="2902"/>
    </row>
    <row r="99" spans="1:71" ht="15.75">
      <c r="A99" s="2351">
        <v>1</v>
      </c>
      <c r="B99" s="2389">
        <f t="shared" ref="B99:F102" si="85">B98</f>
        <v>2.2930232558139534</v>
      </c>
      <c r="C99" s="2390">
        <f t="shared" si="85"/>
        <v>0</v>
      </c>
      <c r="D99" s="2569">
        <f t="shared" si="85"/>
        <v>3754.2723665615231</v>
      </c>
      <c r="E99" s="2569">
        <f t="shared" si="85"/>
        <v>1031.3982742262244</v>
      </c>
      <c r="F99" s="2569">
        <f t="shared" si="85"/>
        <v>0</v>
      </c>
      <c r="G99" s="2390"/>
      <c r="H99" s="1461">
        <f t="shared" ref="H99" si="86">(H98+C98)*EXP(-$B$15*B99)</f>
        <v>0</v>
      </c>
      <c r="I99" s="1461">
        <f t="shared" ref="I99" si="87">(I98+D98)*EXP(-$B$15*B99)</f>
        <v>623.53700043152071</v>
      </c>
      <c r="J99" s="1461">
        <f t="shared" ref="J99" si="88">(J98+E98)*EXP(-$B$15*B99)</f>
        <v>188.67677945193046</v>
      </c>
      <c r="K99" s="1461">
        <f t="shared" ref="K99" si="89">F98+(K98-$B$19*$B$15*(H98+C98)/($B$16-$B$15)-$B$17*$B$15*(I98+D98)/($B$16-$B$15)-$B$18*$B$15*(J98+E98)/($B$16-$B$15))*EXP(-$B$16*B99)+$B$19*$B$15*(H98+C98)/($B$16-$B$15)*EXP(-$B$15*B99)+$B$17*$B$15*(I98+D98)/($B$16-$B$15)*EXP(-$B$15*B99)+$B$18*$B$15*(J98+E98)/($B$16-$B$15)*EXP(-$B$15*B99)</f>
        <v>50531.181445248571</v>
      </c>
      <c r="L99" s="2571">
        <f t="shared" ref="L99" si="90">I99+K99+H99+J99</f>
        <v>51343.395225132022</v>
      </c>
      <c r="M99" s="1461">
        <f>L99-L98</f>
        <v>461.9998762948162</v>
      </c>
      <c r="N99" s="2390"/>
      <c r="O99" s="2351"/>
      <c r="P99" s="2351"/>
      <c r="Q99" s="2351"/>
      <c r="R99" s="2388">
        <v>3</v>
      </c>
      <c r="S99" s="13"/>
      <c r="T99" s="13"/>
      <c r="U99" s="451"/>
      <c r="V99" s="451"/>
      <c r="W99" s="1018"/>
      <c r="X99" s="1018"/>
      <c r="Y99" s="1018"/>
      <c r="Z99" s="1018"/>
      <c r="AA99" s="1018"/>
      <c r="AB99" s="2354"/>
      <c r="AC99" s="2354"/>
      <c r="AJ99" s="2393"/>
      <c r="AX99" s="2909">
        <f>K98</f>
        <v>50581.395348837206</v>
      </c>
      <c r="AY99">
        <f t="shared" si="64"/>
        <v>49878.816120076881</v>
      </c>
      <c r="AZ99" s="2910">
        <f>-$B$19 * $B$15* (H98+C98)/($B$16-$B$15)</f>
        <v>0</v>
      </c>
      <c r="BA99" s="2767">
        <f t="shared" si="66"/>
        <v>0</v>
      </c>
      <c r="BB99" s="2910">
        <f>-$B$17* $B$15* (I98 + D98) / ($B$16-$B$15)</f>
        <v>491.78389804276645</v>
      </c>
      <c r="BC99" s="2767">
        <f t="shared" si="68"/>
        <v>484.95298423699353</v>
      </c>
      <c r="BD99" s="2910">
        <f>-$B$18*$B$15* (J98 + E98) / ($B$16-$B$15)</f>
        <v>297.61891276639989</v>
      </c>
      <c r="BE99" s="2767">
        <f t="shared" si="70"/>
        <v>293.4849646071246</v>
      </c>
      <c r="BF99" s="104"/>
      <c r="BG99" s="2910">
        <f>+$B$19*$B$15* (H98 + C98) / ($B$16-$B$15)</f>
        <v>0</v>
      </c>
      <c r="BH99" s="2767">
        <f t="shared" si="72"/>
        <v>0</v>
      </c>
      <c r="BI99" s="2910">
        <f>+$B$17*$B$15* (I98 + D98) / ($B$16-$B$15)</f>
        <v>-491.78389804276645</v>
      </c>
      <c r="BJ99" s="2767">
        <f t="shared" si="74"/>
        <v>-78.541000180314981</v>
      </c>
      <c r="BK99" s="2910">
        <f>+$B$18*$B$15* (J98 + E98) / ($B$16-$B$15)</f>
        <v>-297.61891276639989</v>
      </c>
      <c r="BL99" s="2767">
        <f t="shared" si="76"/>
        <v>-47.531623492109951</v>
      </c>
      <c r="BM99" s="2896">
        <f>F98</f>
        <v>0</v>
      </c>
      <c r="BN99" s="2896" t="e">
        <f>BM99+((AX97+AZ99+BB99+BD99)*BR99)</f>
        <v>#VALUE!</v>
      </c>
      <c r="BP99" s="2896" t="e">
        <f t="shared" si="79"/>
        <v>#VALUE!</v>
      </c>
      <c r="BR99">
        <f t="shared" si="80"/>
        <v>0.98610992789117524</v>
      </c>
      <c r="BS99">
        <f t="shared" si="81"/>
        <v>0.15970632729720832</v>
      </c>
    </row>
    <row r="100" spans="1:71" ht="15.75">
      <c r="A100" s="2351">
        <v>2</v>
      </c>
      <c r="B100" s="2389">
        <f t="shared" si="85"/>
        <v>2.2930232558139534</v>
      </c>
      <c r="C100" s="2390">
        <f t="shared" si="85"/>
        <v>0</v>
      </c>
      <c r="D100" s="2569">
        <f t="shared" si="85"/>
        <v>3754.2723665615231</v>
      </c>
      <c r="E100" s="2569">
        <f t="shared" si="85"/>
        <v>1031.3982742262244</v>
      </c>
      <c r="F100" s="2569">
        <f t="shared" si="85"/>
        <v>0</v>
      </c>
      <c r="G100" s="2390"/>
      <c r="H100" s="1461">
        <f t="shared" ref="H100:H103" si="91">(H99+C99)*EXP(-$B$15*B100)</f>
        <v>0</v>
      </c>
      <c r="I100" s="1461">
        <f t="shared" ref="I100:I103" si="92">(I99+D99)*EXP(-$B$15*B100)</f>
        <v>699.16385560977551</v>
      </c>
      <c r="J100" s="1461">
        <f t="shared" ref="J100:J103" si="93">(J99+E99)*EXP(-$B$15*B100)</f>
        <v>194.85370584988243</v>
      </c>
      <c r="K100" s="1461">
        <f t="shared" ref="K100:K103" si="94">F99+(K99-$B$19*$B$15*(H99+C99)/($B$16-$B$15)-$B$17*$B$15*(I99+D99)/($B$16-$B$15)-$B$18*$B$15*(J99+E99)/($B$16-$B$15))*EXP(-$B$16*B100)+$B$19*$B$15*(H99+C99)/($B$16-$B$15)*EXP(-$B$15*B100)+$B$17*$B$15*(I99+D99)/($B$16-$B$15)*EXP(-$B$15*B100)+$B$18*$B$15*(J99+E99)/($B$16-$B$15)*EXP(-$B$15*B100)</f>
        <v>50539.009510893156</v>
      </c>
      <c r="L100" s="2571">
        <f t="shared" ref="L100:L103" si="95">I100+K100+H100+J100</f>
        <v>51433.027072352816</v>
      </c>
      <c r="M100" s="1461">
        <f t="shared" ref="M100:M106" si="96">L100-L99</f>
        <v>89.631847220793134</v>
      </c>
      <c r="N100" s="1461">
        <f t="shared" ref="N100:N131" si="97">+(L100-L$98)*10000/A99</f>
        <v>5516317.2351560937</v>
      </c>
      <c r="O100" s="1018"/>
      <c r="P100" s="1018"/>
      <c r="Q100" s="1018"/>
      <c r="R100" s="1018">
        <v>4</v>
      </c>
      <c r="S100" s="13"/>
      <c r="T100" s="13"/>
      <c r="U100" s="451"/>
      <c r="V100" s="451"/>
      <c r="W100" s="1018"/>
      <c r="X100" s="1018"/>
      <c r="Y100" s="1018"/>
      <c r="Z100" s="1018"/>
      <c r="AA100" s="1018"/>
      <c r="AB100" s="2354"/>
      <c r="AC100" s="2354"/>
      <c r="AJ100" s="2393"/>
      <c r="AX100" s="2909">
        <f t="shared" si="63"/>
        <v>50539.009510893156</v>
      </c>
      <c r="AY100">
        <f t="shared" si="64"/>
        <v>49837.019024478272</v>
      </c>
      <c r="AZ100" s="2910">
        <f t="shared" si="65"/>
        <v>0</v>
      </c>
      <c r="BA100" s="2767">
        <f t="shared" si="66"/>
        <v>0</v>
      </c>
      <c r="BB100" s="2910">
        <f t="shared" si="67"/>
        <v>560.95682355098859</v>
      </c>
      <c r="BC100" s="2767">
        <f t="shared" si="68"/>
        <v>553.16509282192806</v>
      </c>
      <c r="BD100" s="2910">
        <f t="shared" si="69"/>
        <v>308.91849857062778</v>
      </c>
      <c r="BE100" s="2767">
        <f t="shared" si="70"/>
        <v>304.6275983497319</v>
      </c>
      <c r="BF100" s="104"/>
      <c r="BG100" s="2910">
        <f t="shared" si="71"/>
        <v>0</v>
      </c>
      <c r="BH100" s="2767">
        <f t="shared" si="72"/>
        <v>0</v>
      </c>
      <c r="BI100" s="2910">
        <f t="shared" si="73"/>
        <v>-560.95682355098859</v>
      </c>
      <c r="BJ100" s="2767">
        <f t="shared" si="74"/>
        <v>-89.588354061636522</v>
      </c>
      <c r="BK100" s="2910">
        <f t="shared" si="75"/>
        <v>-308.91849857062778</v>
      </c>
      <c r="BL100" s="2767">
        <f t="shared" si="76"/>
        <v>-49.336238840882864</v>
      </c>
      <c r="BM100" s="2896">
        <f t="shared" si="77"/>
        <v>0</v>
      </c>
      <c r="BN100" s="2896">
        <f t="shared" si="78"/>
        <v>50736.608811248545</v>
      </c>
      <c r="BP100" s="2896">
        <f t="shared" si="79"/>
        <v>50597.684218346025</v>
      </c>
      <c r="BR100">
        <f t="shared" si="80"/>
        <v>0.98610992789117524</v>
      </c>
      <c r="BS100">
        <f t="shared" si="81"/>
        <v>0.15970632729720832</v>
      </c>
    </row>
    <row r="101" spans="1:71" ht="15.75">
      <c r="A101" s="2351">
        <v>3</v>
      </c>
      <c r="B101" s="2389">
        <f t="shared" si="85"/>
        <v>2.2930232558139534</v>
      </c>
      <c r="C101" s="2390">
        <f t="shared" si="85"/>
        <v>0</v>
      </c>
      <c r="D101" s="2569">
        <f t="shared" si="85"/>
        <v>3754.2723665615231</v>
      </c>
      <c r="E101" s="2569">
        <f t="shared" si="85"/>
        <v>1031.3982742262244</v>
      </c>
      <c r="F101" s="2569">
        <f t="shared" si="85"/>
        <v>0</v>
      </c>
      <c r="G101" s="2390"/>
      <c r="H101" s="1461">
        <f t="shared" si="91"/>
        <v>0</v>
      </c>
      <c r="I101" s="1461">
        <f t="shared" si="92"/>
        <v>711.24194289533227</v>
      </c>
      <c r="J101" s="1461">
        <f t="shared" si="93"/>
        <v>195.84020007888452</v>
      </c>
      <c r="K101" s="1461">
        <f t="shared" si="94"/>
        <v>50555.887122747408</v>
      </c>
      <c r="L101" s="2571">
        <f t="shared" si="95"/>
        <v>51462.969265721622</v>
      </c>
      <c r="M101" s="1461">
        <f t="shared" si="96"/>
        <v>29.942193368806329</v>
      </c>
      <c r="N101" s="1461">
        <f t="shared" si="97"/>
        <v>2907869.5844220784</v>
      </c>
      <c r="O101" s="1018"/>
      <c r="P101" s="1018"/>
      <c r="Q101" s="1018"/>
      <c r="R101" s="1018">
        <v>5</v>
      </c>
      <c r="S101" s="13"/>
      <c r="T101" s="13"/>
      <c r="U101" s="451"/>
      <c r="V101" s="451"/>
      <c r="W101" s="1018"/>
      <c r="X101" s="1018"/>
      <c r="Y101" s="1018"/>
      <c r="Z101" s="1018"/>
      <c r="AA101" s="1018"/>
      <c r="AB101" s="2354"/>
      <c r="AC101" s="2354"/>
      <c r="AJ101" s="2393"/>
      <c r="AX101" s="2909">
        <f t="shared" si="63"/>
        <v>50555.887122747408</v>
      </c>
      <c r="AY101">
        <f t="shared" si="64"/>
        <v>49853.662205086839</v>
      </c>
      <c r="AZ101" s="2910">
        <f t="shared" si="65"/>
        <v>0</v>
      </c>
      <c r="BA101" s="2767">
        <f t="shared" si="66"/>
        <v>0</v>
      </c>
      <c r="BB101" s="2910">
        <f t="shared" si="67"/>
        <v>562.47818484152356</v>
      </c>
      <c r="BC101" s="2767">
        <f t="shared" si="68"/>
        <v>554.66532229443396</v>
      </c>
      <c r="BD101" s="2910">
        <f t="shared" si="69"/>
        <v>309.1670170815238</v>
      </c>
      <c r="BE101" s="2767">
        <f t="shared" si="70"/>
        <v>304.87266492059115</v>
      </c>
      <c r="BF101" s="104"/>
      <c r="BG101" s="2910">
        <f t="shared" si="71"/>
        <v>0</v>
      </c>
      <c r="BH101" s="2767">
        <f t="shared" si="72"/>
        <v>0</v>
      </c>
      <c r="BI101" s="2910">
        <f t="shared" si="73"/>
        <v>-562.47818484152356</v>
      </c>
      <c r="BJ101" s="2767">
        <f t="shared" si="74"/>
        <v>-89.831325085840007</v>
      </c>
      <c r="BK101" s="2910">
        <f t="shared" si="75"/>
        <v>-309.1670170815238</v>
      </c>
      <c r="BL101" s="2767">
        <f t="shared" si="76"/>
        <v>-49.375928819523438</v>
      </c>
      <c r="BM101" s="2896">
        <f t="shared" si="77"/>
        <v>0</v>
      </c>
      <c r="BN101" s="2896">
        <f t="shared" si="78"/>
        <v>50696.557011693294</v>
      </c>
      <c r="BP101" s="2896">
        <f t="shared" si="79"/>
        <v>50557.349757787932</v>
      </c>
      <c r="BR101">
        <f t="shared" si="80"/>
        <v>0.98610992789117524</v>
      </c>
      <c r="BS101">
        <f t="shared" si="81"/>
        <v>0.15970632729720832</v>
      </c>
    </row>
    <row r="102" spans="1:71" ht="15.75">
      <c r="A102" s="2351">
        <v>4</v>
      </c>
      <c r="B102" s="2389">
        <f t="shared" si="85"/>
        <v>2.2930232558139534</v>
      </c>
      <c r="C102" s="2390">
        <f t="shared" si="85"/>
        <v>0</v>
      </c>
      <c r="D102" s="2569">
        <f t="shared" si="85"/>
        <v>3754.2723665615231</v>
      </c>
      <c r="E102" s="2569">
        <f t="shared" si="85"/>
        <v>1031.3982742262244</v>
      </c>
      <c r="F102" s="2569">
        <f t="shared" si="85"/>
        <v>0</v>
      </c>
      <c r="G102" s="2390"/>
      <c r="H102" s="1461">
        <f t="shared" si="91"/>
        <v>0</v>
      </c>
      <c r="I102" s="1461">
        <f t="shared" si="92"/>
        <v>713.17088985648377</v>
      </c>
      <c r="J102" s="1461">
        <f t="shared" si="93"/>
        <v>195.99774944909831</v>
      </c>
      <c r="K102" s="1461">
        <f t="shared" si="94"/>
        <v>50573.992938396506</v>
      </c>
      <c r="L102" s="2571">
        <f t="shared" si="95"/>
        <v>51483.161577702085</v>
      </c>
      <c r="M102" s="1461">
        <f t="shared" si="96"/>
        <v>20.192311980463273</v>
      </c>
      <c r="N102" s="1461">
        <f t="shared" si="97"/>
        <v>2005887.4295495965</v>
      </c>
      <c r="O102" s="1018"/>
      <c r="P102" s="1018" t="s">
        <v>327</v>
      </c>
      <c r="Q102" s="1018"/>
      <c r="R102" s="1018">
        <v>6</v>
      </c>
      <c r="S102" s="13"/>
      <c r="T102" s="13"/>
      <c r="U102" s="451"/>
      <c r="V102" s="451"/>
      <c r="W102" s="1018"/>
      <c r="X102" s="1018"/>
      <c r="Y102" s="1018"/>
      <c r="Z102" s="1018"/>
      <c r="AA102" s="1018"/>
      <c r="AB102" s="2354"/>
      <c r="AC102" s="2354"/>
      <c r="AJ102" s="2393"/>
      <c r="AX102" s="2909">
        <f t="shared" si="63"/>
        <v>50573.992938396506</v>
      </c>
      <c r="AY102">
        <f t="shared" si="64"/>
        <v>49871.516529650988</v>
      </c>
      <c r="AZ102" s="2910">
        <f t="shared" si="65"/>
        <v>0</v>
      </c>
      <c r="BA102" s="2767">
        <f t="shared" si="66"/>
        <v>0</v>
      </c>
      <c r="BB102" s="2910">
        <f t="shared" si="67"/>
        <v>562.72115586572704</v>
      </c>
      <c r="BC102" s="2767">
        <f t="shared" si="68"/>
        <v>554.90491843359086</v>
      </c>
      <c r="BD102" s="2910">
        <f t="shared" si="69"/>
        <v>309.20670706016443</v>
      </c>
      <c r="BE102" s="2767">
        <f t="shared" si="70"/>
        <v>304.91180360256652</v>
      </c>
      <c r="BF102" s="104"/>
      <c r="BG102" s="2910">
        <f t="shared" si="71"/>
        <v>0</v>
      </c>
      <c r="BH102" s="2767">
        <f t="shared" si="72"/>
        <v>0</v>
      </c>
      <c r="BI102" s="2910">
        <f t="shared" si="73"/>
        <v>-562.72115586572704</v>
      </c>
      <c r="BJ102" s="2767">
        <f t="shared" si="74"/>
        <v>-89.870129095755175</v>
      </c>
      <c r="BK102" s="2910">
        <f t="shared" si="75"/>
        <v>-309.20670706016443</v>
      </c>
      <c r="BL102" s="2767">
        <f t="shared" si="76"/>
        <v>-49.382267560242639</v>
      </c>
      <c r="BM102" s="2896">
        <f t="shared" si="77"/>
        <v>0</v>
      </c>
      <c r="BN102" s="2896">
        <f t="shared" si="78"/>
        <v>50713.478927122997</v>
      </c>
      <c r="BP102" s="2896">
        <f t="shared" si="79"/>
        <v>50574.226530467</v>
      </c>
      <c r="BR102">
        <f t="shared" si="80"/>
        <v>0.98610992789117524</v>
      </c>
      <c r="BS102">
        <f t="shared" si="81"/>
        <v>0.15970632729720832</v>
      </c>
    </row>
    <row r="103" spans="1:71" ht="15.75">
      <c r="A103" s="2351">
        <v>5</v>
      </c>
      <c r="B103" s="2389">
        <f t="shared" ref="B103:B148" si="98">B102</f>
        <v>2.2930232558139534</v>
      </c>
      <c r="C103" s="2390">
        <f t="shared" ref="C103:C148" si="99">C102</f>
        <v>0</v>
      </c>
      <c r="D103" s="2569">
        <f t="shared" ref="D103:D148" si="100">D102</f>
        <v>3754.2723665615231</v>
      </c>
      <c r="E103" s="2569">
        <f t="shared" ref="E103:E148" si="101">E102</f>
        <v>1031.3982742262244</v>
      </c>
      <c r="F103" s="2569">
        <f t="shared" ref="F103:F148" si="102">F102</f>
        <v>0</v>
      </c>
      <c r="G103" s="2390"/>
      <c r="H103" s="1461">
        <f t="shared" si="91"/>
        <v>0</v>
      </c>
      <c r="I103" s="1461">
        <f t="shared" si="92"/>
        <v>713.47895489120037</v>
      </c>
      <c r="J103" s="1461">
        <f t="shared" si="93"/>
        <v>196.02291108038315</v>
      </c>
      <c r="K103" s="1461">
        <f t="shared" si="94"/>
        <v>50592.080855031149</v>
      </c>
      <c r="L103" s="2571">
        <f t="shared" si="95"/>
        <v>51501.582721002735</v>
      </c>
      <c r="M103" s="1461">
        <f t="shared" si="96"/>
        <v>18.421143300649419</v>
      </c>
      <c r="N103" s="1461">
        <f t="shared" si="97"/>
        <v>1550468.4304138208</v>
      </c>
      <c r="O103" s="1018"/>
      <c r="P103" s="1018"/>
      <c r="Q103" s="1018"/>
      <c r="R103" s="1018">
        <v>7</v>
      </c>
      <c r="S103" s="13">
        <v>2.25</v>
      </c>
      <c r="T103" s="13">
        <v>2.62</v>
      </c>
      <c r="U103" s="451"/>
      <c r="V103" s="451"/>
      <c r="W103" s="1018"/>
      <c r="X103" s="1018"/>
      <c r="Y103" s="1018"/>
      <c r="Z103" s="1018"/>
      <c r="AA103" s="1018"/>
      <c r="AB103" s="2354"/>
      <c r="AC103" s="2354"/>
      <c r="AJ103" s="2393"/>
      <c r="AX103" s="2909">
        <f t="shared" si="63"/>
        <v>50592.080855031149</v>
      </c>
      <c r="AY103">
        <f t="shared" si="64"/>
        <v>49889.353203819272</v>
      </c>
      <c r="AZ103" s="2910">
        <f t="shared" si="65"/>
        <v>0</v>
      </c>
      <c r="BA103" s="2767">
        <f t="shared" si="66"/>
        <v>0</v>
      </c>
      <c r="BB103" s="2910">
        <f t="shared" si="67"/>
        <v>562.75995987564227</v>
      </c>
      <c r="BC103" s="2767">
        <f t="shared" si="68"/>
        <v>554.94318345301031</v>
      </c>
      <c r="BD103" s="2910">
        <f t="shared" si="69"/>
        <v>309.21304580088366</v>
      </c>
      <c r="BE103" s="2767">
        <f t="shared" si="70"/>
        <v>304.91805429772006</v>
      </c>
      <c r="BF103" s="104"/>
      <c r="BG103" s="2910">
        <f t="shared" si="71"/>
        <v>0</v>
      </c>
      <c r="BH103" s="2767">
        <f t="shared" si="72"/>
        <v>0</v>
      </c>
      <c r="BI103" s="2910">
        <f t="shared" si="73"/>
        <v>-562.75995987564227</v>
      </c>
      <c r="BJ103" s="2767">
        <f t="shared" si="74"/>
        <v>-89.876326341663145</v>
      </c>
      <c r="BK103" s="2910">
        <f t="shared" si="75"/>
        <v>-309.21304580088366</v>
      </c>
      <c r="BL103" s="2767">
        <f t="shared" si="76"/>
        <v>-49.383279897242595</v>
      </c>
      <c r="BM103" s="2896">
        <f t="shared" si="77"/>
        <v>0</v>
      </c>
      <c r="BN103" s="2896">
        <f t="shared" si="78"/>
        <v>50731.377767401718</v>
      </c>
      <c r="BP103" s="2896">
        <f t="shared" si="79"/>
        <v>50592.118161162813</v>
      </c>
      <c r="BR103">
        <f t="shared" si="80"/>
        <v>0.98610992789117524</v>
      </c>
      <c r="BS103">
        <f t="shared" si="81"/>
        <v>0.15970632729720832</v>
      </c>
    </row>
    <row r="104" spans="1:71" ht="15.75">
      <c r="A104" s="2351">
        <v>5</v>
      </c>
      <c r="B104" s="2389">
        <f t="shared" si="98"/>
        <v>2.2930232558139534</v>
      </c>
      <c r="C104" s="2390">
        <f t="shared" si="99"/>
        <v>0</v>
      </c>
      <c r="D104" s="2569">
        <f t="shared" si="100"/>
        <v>3754.2723665615231</v>
      </c>
      <c r="E104" s="2569">
        <f t="shared" si="101"/>
        <v>1031.3982742262244</v>
      </c>
      <c r="F104" s="2569">
        <f t="shared" si="102"/>
        <v>0</v>
      </c>
      <c r="G104" s="2390"/>
      <c r="H104" s="1461">
        <f t="shared" ref="H104:H148" si="103">(H103+C103)*EXP(-$B$15*B104)</f>
        <v>0</v>
      </c>
      <c r="I104" s="1461">
        <f t="shared" ref="I104:I148" si="104">(I103+D103)*EXP(-$B$15*B104)</f>
        <v>713.52815482646361</v>
      </c>
      <c r="J104" s="1461">
        <f t="shared" ref="J104:J148" si="105">(J103+E103)*EXP(-$B$15*B104)</f>
        <v>196.02692955210446</v>
      </c>
      <c r="K104" s="1461">
        <f t="shared" ref="K104:K148" si="106">F103+(K103-$B$19*$B$15*(H103+C103)/($B$16-$B$15)-$B$17*$B$15*(I103+D103)/($B$16-$B$15)-$B$18*$B$15*(J103+E103)/($B$16-$B$15))*EXP(-$B$16*B104)+$B$19*$B$15*(H103+C103)/($B$16-$B$15)*EXP(-$B$15*B104)+$B$17*$B$15*(I103+D103)/($B$16-$B$15)*EXP(-$B$15*B104)+$B$18*$B$15*(J103+E103)/($B$16-$B$15)*EXP(-$B$15*B104)</f>
        <v>50609.954835331097</v>
      </c>
      <c r="L104" s="2571">
        <f t="shared" ref="L104:L148" si="107">I104+K104+H104+J104</f>
        <v>51519.509919709664</v>
      </c>
      <c r="M104" s="1461">
        <f t="shared" si="96"/>
        <v>17.92719870692963</v>
      </c>
      <c r="N104" s="1461">
        <f t="shared" si="97"/>
        <v>1276229.1417449159</v>
      </c>
      <c r="O104" s="1018"/>
      <c r="P104" s="1018"/>
      <c r="Q104" s="1018"/>
      <c r="R104" s="1018">
        <v>8</v>
      </c>
      <c r="S104" s="13"/>
      <c r="T104" s="13"/>
      <c r="U104" s="451"/>
      <c r="V104" s="451"/>
      <c r="W104" s="1018"/>
      <c r="X104" s="1018"/>
      <c r="Y104" s="1018"/>
      <c r="Z104" s="1018"/>
      <c r="AA104" s="1018"/>
      <c r="AB104" s="2354"/>
      <c r="AC104" s="2354"/>
      <c r="AJ104" s="2393"/>
      <c r="AX104" s="2909">
        <f t="shared" si="63"/>
        <v>50609.954835331097</v>
      </c>
      <c r="AY104">
        <f t="shared" si="64"/>
        <v>49906.978913243984</v>
      </c>
      <c r="AZ104" s="2910">
        <f t="shared" si="65"/>
        <v>0</v>
      </c>
      <c r="BA104" s="2767">
        <f t="shared" si="66"/>
        <v>0</v>
      </c>
      <c r="BB104" s="2910">
        <f t="shared" si="67"/>
        <v>562.76615712155024</v>
      </c>
      <c r="BC104" s="2767">
        <f t="shared" si="68"/>
        <v>554.94929461872573</v>
      </c>
      <c r="BD104" s="2910">
        <f t="shared" si="69"/>
        <v>309.21405813788363</v>
      </c>
      <c r="BE104" s="2767">
        <f t="shared" si="70"/>
        <v>304.91905257328608</v>
      </c>
      <c r="BF104" s="104"/>
      <c r="BG104" s="2910">
        <f t="shared" si="71"/>
        <v>0</v>
      </c>
      <c r="BH104" s="2767">
        <f t="shared" si="72"/>
        <v>0</v>
      </c>
      <c r="BI104" s="2910">
        <f t="shared" si="73"/>
        <v>-562.76615712155024</v>
      </c>
      <c r="BJ104" s="2767">
        <f t="shared" si="74"/>
        <v>-89.877316081046473</v>
      </c>
      <c r="BK104" s="2910">
        <f t="shared" si="75"/>
        <v>-309.21405813788363</v>
      </c>
      <c r="BL104" s="2767">
        <f t="shared" si="76"/>
        <v>-49.383441573866847</v>
      </c>
      <c r="BM104" s="2896">
        <f t="shared" si="77"/>
        <v>0</v>
      </c>
      <c r="BN104" s="2896">
        <f t="shared" si="78"/>
        <v>50749.221551011287</v>
      </c>
      <c r="BP104" s="2896">
        <f t="shared" si="79"/>
        <v>50609.960793356375</v>
      </c>
      <c r="BR104">
        <f t="shared" si="80"/>
        <v>0.98610992789117524</v>
      </c>
      <c r="BS104">
        <f t="shared" si="81"/>
        <v>0.15970632729720832</v>
      </c>
    </row>
    <row r="105" spans="1:71" ht="15.75">
      <c r="A105" s="2351">
        <v>5</v>
      </c>
      <c r="B105" s="2389">
        <f t="shared" si="98"/>
        <v>2.2930232558139534</v>
      </c>
      <c r="C105" s="2390">
        <f t="shared" si="99"/>
        <v>0</v>
      </c>
      <c r="D105" s="2569">
        <f t="shared" si="100"/>
        <v>3754.2723665615231</v>
      </c>
      <c r="E105" s="2569">
        <f t="shared" si="101"/>
        <v>1031.3982742262244</v>
      </c>
      <c r="F105" s="2569">
        <f t="shared" si="102"/>
        <v>0</v>
      </c>
      <c r="G105" s="2390"/>
      <c r="H105" s="1461">
        <f t="shared" si="103"/>
        <v>0</v>
      </c>
      <c r="I105" s="1461">
        <f t="shared" si="104"/>
        <v>713.53601236742782</v>
      </c>
      <c r="J105" s="1461">
        <f t="shared" si="105"/>
        <v>196.02757132746444</v>
      </c>
      <c r="K105" s="1461">
        <f t="shared" si="106"/>
        <v>50627.586502781087</v>
      </c>
      <c r="L105" s="2571">
        <f t="shared" si="107"/>
        <v>51537.15008647598</v>
      </c>
      <c r="M105" s="1461">
        <f t="shared" si="96"/>
        <v>17.640166766315815</v>
      </c>
      <c r="N105" s="1461">
        <f t="shared" si="97"/>
        <v>1311509.4752775475</v>
      </c>
      <c r="O105" s="1018"/>
      <c r="P105" s="1018"/>
      <c r="Q105" s="1018"/>
      <c r="R105" s="1018">
        <v>9</v>
      </c>
      <c r="S105" s="13"/>
      <c r="T105" s="13"/>
      <c r="U105" s="451"/>
      <c r="V105" s="451"/>
      <c r="W105" s="1018"/>
      <c r="X105" s="1018"/>
      <c r="Y105" s="1018"/>
      <c r="Z105" s="1018"/>
      <c r="AA105" s="1018"/>
      <c r="AB105" s="2354"/>
      <c r="AC105" s="2354"/>
      <c r="AX105" s="2909">
        <f t="shared" si="63"/>
        <v>50627.586502781087</v>
      </c>
      <c r="AY105">
        <f t="shared" si="64"/>
        <v>49924.365675561698</v>
      </c>
      <c r="AZ105" s="2910">
        <f t="shared" si="65"/>
        <v>0</v>
      </c>
      <c r="BA105" s="2767">
        <f t="shared" si="66"/>
        <v>0</v>
      </c>
      <c r="BB105" s="2910">
        <f t="shared" si="67"/>
        <v>562.76714686093351</v>
      </c>
      <c r="BC105" s="2767">
        <f t="shared" si="68"/>
        <v>554.9502706105576</v>
      </c>
      <c r="BD105" s="2910">
        <f t="shared" si="69"/>
        <v>309.21421981450777</v>
      </c>
      <c r="BE105" s="2767">
        <f t="shared" si="70"/>
        <v>304.91921200421029</v>
      </c>
      <c r="BF105" s="104"/>
      <c r="BG105" s="2910">
        <f t="shared" si="71"/>
        <v>0</v>
      </c>
      <c r="BH105" s="2767">
        <f t="shared" si="72"/>
        <v>0</v>
      </c>
      <c r="BI105" s="2910">
        <f t="shared" si="73"/>
        <v>-562.76714686093351</v>
      </c>
      <c r="BJ105" s="2767">
        <f t="shared" si="74"/>
        <v>-89.87747414868835</v>
      </c>
      <c r="BK105" s="2910">
        <f t="shared" si="75"/>
        <v>-309.21421981450777</v>
      </c>
      <c r="BL105" s="2767">
        <f t="shared" si="76"/>
        <v>-49.383467394646694</v>
      </c>
      <c r="BM105" s="2896">
        <f t="shared" si="77"/>
        <v>0</v>
      </c>
      <c r="BN105" s="2896">
        <f t="shared" si="78"/>
        <v>50766.848395858753</v>
      </c>
      <c r="BP105" s="2896">
        <f t="shared" si="79"/>
        <v>50627.58745431542</v>
      </c>
      <c r="BR105">
        <f t="shared" si="80"/>
        <v>0.98610992789117524</v>
      </c>
      <c r="BS105">
        <f t="shared" si="81"/>
        <v>0.15970632729720832</v>
      </c>
    </row>
    <row r="106" spans="1:71" ht="15.75">
      <c r="A106" s="2351">
        <v>5</v>
      </c>
      <c r="B106" s="2389">
        <f t="shared" si="98"/>
        <v>2.2930232558139534</v>
      </c>
      <c r="C106" s="2390">
        <f t="shared" si="99"/>
        <v>0</v>
      </c>
      <c r="D106" s="2569">
        <f t="shared" si="100"/>
        <v>3754.2723665615231</v>
      </c>
      <c r="E106" s="2569">
        <f t="shared" si="101"/>
        <v>1031.3982742262244</v>
      </c>
      <c r="F106" s="2569">
        <f t="shared" si="102"/>
        <v>0</v>
      </c>
      <c r="G106" s="2390"/>
      <c r="H106" s="1461">
        <f t="shared" si="103"/>
        <v>0</v>
      </c>
      <c r="I106" s="1461">
        <f t="shared" si="104"/>
        <v>713.53726726643686</v>
      </c>
      <c r="J106" s="1461">
        <f t="shared" si="105"/>
        <v>196.02767382305009</v>
      </c>
      <c r="K106" s="1461">
        <f t="shared" si="106"/>
        <v>50644.974216633127</v>
      </c>
      <c r="L106" s="2571">
        <f t="shared" si="107"/>
        <v>51554.539157722618</v>
      </c>
      <c r="M106" s="1461">
        <f t="shared" si="96"/>
        <v>17.389071246638196</v>
      </c>
      <c r="N106" s="1461">
        <f t="shared" si="97"/>
        <v>1346287.6177708241</v>
      </c>
      <c r="O106" s="1018"/>
      <c r="P106" s="1018"/>
      <c r="Q106" s="1018"/>
      <c r="R106" s="1018">
        <v>10</v>
      </c>
      <c r="S106" s="13"/>
      <c r="T106" s="13"/>
      <c r="U106" s="451"/>
      <c r="V106" s="451"/>
      <c r="W106" s="1018"/>
      <c r="X106" s="1018"/>
      <c r="Y106" s="1018"/>
      <c r="Z106" s="1018"/>
      <c r="AA106" s="1018"/>
      <c r="AB106" s="2354"/>
      <c r="AC106" s="2354"/>
      <c r="AX106" s="2909">
        <f t="shared" si="63"/>
        <v>50644.974216633127</v>
      </c>
      <c r="AY106">
        <f t="shared" si="64"/>
        <v>49941.511872814524</v>
      </c>
      <c r="AZ106" s="2910">
        <f t="shared" si="65"/>
        <v>0</v>
      </c>
      <c r="BA106" s="2767">
        <f t="shared" si="66"/>
        <v>0</v>
      </c>
      <c r="BB106" s="2910">
        <f t="shared" si="67"/>
        <v>562.76730492857541</v>
      </c>
      <c r="BC106" s="2767">
        <f t="shared" si="68"/>
        <v>554.95042648262859</v>
      </c>
      <c r="BD106" s="2910">
        <f t="shared" si="69"/>
        <v>309.21424563528768</v>
      </c>
      <c r="BE106" s="2767">
        <f t="shared" si="70"/>
        <v>304.91923746633768</v>
      </c>
      <c r="BF106" s="104"/>
      <c r="BG106" s="2910">
        <f t="shared" si="71"/>
        <v>0</v>
      </c>
      <c r="BH106" s="2767">
        <f t="shared" si="72"/>
        <v>0</v>
      </c>
      <c r="BI106" s="2910">
        <f t="shared" si="73"/>
        <v>-562.76730492857541</v>
      </c>
      <c r="BJ106" s="2767">
        <f t="shared" si="74"/>
        <v>-89.877499393090901</v>
      </c>
      <c r="BK106" s="2910">
        <f t="shared" si="75"/>
        <v>-309.21424563528768</v>
      </c>
      <c r="BL106" s="2767">
        <f t="shared" si="76"/>
        <v>-49.383471518388625</v>
      </c>
      <c r="BM106" s="2896">
        <f t="shared" si="77"/>
        <v>0</v>
      </c>
      <c r="BN106" s="2896">
        <f t="shared" si="78"/>
        <v>50784.235339510662</v>
      </c>
      <c r="BP106" s="2896">
        <f t="shared" si="79"/>
        <v>50644.974368599178</v>
      </c>
      <c r="BR106">
        <f t="shared" si="80"/>
        <v>0.98610992789117524</v>
      </c>
      <c r="BS106">
        <f t="shared" si="81"/>
        <v>0.15970632729720832</v>
      </c>
    </row>
    <row r="107" spans="1:71" ht="15.75">
      <c r="A107" s="2351">
        <v>9</v>
      </c>
      <c r="B107" s="2389">
        <f t="shared" si="98"/>
        <v>2.2930232558139534</v>
      </c>
      <c r="C107" s="2390">
        <f t="shared" si="99"/>
        <v>0</v>
      </c>
      <c r="D107" s="2569">
        <f t="shared" si="100"/>
        <v>3754.2723665615231</v>
      </c>
      <c r="E107" s="2569">
        <f t="shared" si="101"/>
        <v>1031.3982742262244</v>
      </c>
      <c r="F107" s="2569">
        <f t="shared" si="102"/>
        <v>0</v>
      </c>
      <c r="G107" s="2390"/>
      <c r="H107" s="1461">
        <f t="shared" si="103"/>
        <v>0</v>
      </c>
      <c r="I107" s="1461">
        <f t="shared" si="104"/>
        <v>713.53746768174869</v>
      </c>
      <c r="J107" s="1461">
        <f t="shared" si="105"/>
        <v>196.02769019224365</v>
      </c>
      <c r="K107" s="1461">
        <f t="shared" si="106"/>
        <v>50662.120565852005</v>
      </c>
      <c r="L107" s="2571">
        <f t="shared" si="107"/>
        <v>51571.685723725997</v>
      </c>
      <c r="M107" s="1461">
        <f t="shared" ref="M107:M148" si="108">L107-L106</f>
        <v>17.146566003379121</v>
      </c>
      <c r="N107" s="1461">
        <f t="shared" si="97"/>
        <v>1380580.7497775822</v>
      </c>
      <c r="O107" s="1018"/>
      <c r="P107" s="1018"/>
      <c r="Q107" s="1018"/>
      <c r="R107" s="1018">
        <v>11</v>
      </c>
      <c r="S107" s="13">
        <v>2.4500000000000002</v>
      </c>
      <c r="T107" s="13">
        <v>2.41</v>
      </c>
      <c r="U107" s="451"/>
      <c r="V107" s="451"/>
      <c r="W107" s="1018"/>
      <c r="X107" s="1018"/>
      <c r="Y107" s="1018"/>
      <c r="Z107" s="1018"/>
      <c r="AA107" s="1018"/>
      <c r="AB107" s="2354"/>
      <c r="AC107" s="2354"/>
      <c r="AX107" s="2911">
        <f t="shared" si="63"/>
        <v>50662.120565852005</v>
      </c>
      <c r="AY107" s="2912">
        <f t="shared" si="64"/>
        <v>49958.420058006348</v>
      </c>
      <c r="AZ107" s="2913">
        <f t="shared" si="65"/>
        <v>0</v>
      </c>
      <c r="BA107" s="2914">
        <f t="shared" si="66"/>
        <v>0</v>
      </c>
      <c r="BB107" s="2913">
        <f t="shared" si="67"/>
        <v>562.76733017297784</v>
      </c>
      <c r="BC107" s="2914">
        <f t="shared" si="68"/>
        <v>554.95045137638442</v>
      </c>
      <c r="BD107" s="2913">
        <f t="shared" si="69"/>
        <v>309.2142497590296</v>
      </c>
      <c r="BE107" s="2914">
        <f t="shared" si="70"/>
        <v>304.91924153280053</v>
      </c>
      <c r="BF107" s="2915"/>
      <c r="BG107" s="2913">
        <f t="shared" si="71"/>
        <v>0</v>
      </c>
      <c r="BH107" s="2914">
        <f t="shared" si="72"/>
        <v>0</v>
      </c>
      <c r="BI107" s="2913">
        <f t="shared" si="73"/>
        <v>-562.76733017297784</v>
      </c>
      <c r="BJ107" s="2914">
        <f t="shared" si="74"/>
        <v>-89.877503424781693</v>
      </c>
      <c r="BK107" s="2913">
        <f t="shared" si="75"/>
        <v>-309.2142497590296</v>
      </c>
      <c r="BL107" s="2914">
        <f t="shared" si="76"/>
        <v>-49.383472176976298</v>
      </c>
      <c r="BM107" s="2916">
        <f t="shared" si="77"/>
        <v>0</v>
      </c>
      <c r="BN107" s="2916">
        <f t="shared" si="78"/>
        <v>50801.381565723714</v>
      </c>
      <c r="BO107" s="2912"/>
      <c r="BP107" s="2916">
        <f t="shared" si="79"/>
        <v>50662.120590121958</v>
      </c>
      <c r="BQ107" s="2912"/>
      <c r="BR107" s="2912">
        <f t="shared" si="80"/>
        <v>0.98610992789117524</v>
      </c>
      <c r="BS107" s="2912">
        <f t="shared" si="81"/>
        <v>0.15970632729720832</v>
      </c>
    </row>
    <row r="108" spans="1:71" ht="15.75">
      <c r="A108" s="2917">
        <v>10</v>
      </c>
      <c r="B108" s="2389">
        <f t="shared" si="98"/>
        <v>2.2930232558139534</v>
      </c>
      <c r="C108" s="2390">
        <f t="shared" si="99"/>
        <v>0</v>
      </c>
      <c r="D108" s="2569">
        <f t="shared" si="100"/>
        <v>3754.2723665615231</v>
      </c>
      <c r="E108" s="2569">
        <f t="shared" si="101"/>
        <v>1031.3982742262244</v>
      </c>
      <c r="F108" s="2569">
        <f t="shared" si="102"/>
        <v>0</v>
      </c>
      <c r="G108" s="2390"/>
      <c r="H108" s="1461">
        <f t="shared" si="103"/>
        <v>0</v>
      </c>
      <c r="I108" s="1461">
        <f t="shared" si="104"/>
        <v>713.53749968934198</v>
      </c>
      <c r="J108" s="1461">
        <f t="shared" si="105"/>
        <v>196.02769280650745</v>
      </c>
      <c r="K108" s="1461">
        <f t="shared" si="106"/>
        <v>50679.028775313782</v>
      </c>
      <c r="L108" s="2571">
        <f t="shared" si="107"/>
        <v>51588.593967809633</v>
      </c>
      <c r="M108" s="2921">
        <f t="shared" si="108"/>
        <v>16.908244083635509</v>
      </c>
      <c r="N108" s="2921">
        <f t="shared" si="97"/>
        <v>785776.24330269627</v>
      </c>
      <c r="O108" s="2923"/>
      <c r="P108" s="2923"/>
      <c r="Q108" s="2923"/>
      <c r="R108" s="2923">
        <v>12</v>
      </c>
      <c r="S108" s="2924"/>
      <c r="T108" s="2924"/>
      <c r="U108" s="2930"/>
      <c r="V108" s="2930"/>
      <c r="W108" s="2923"/>
      <c r="X108" s="2923"/>
      <c r="Y108" s="2923"/>
      <c r="Z108" s="2923"/>
      <c r="AA108" s="2923"/>
      <c r="AB108" s="2928"/>
      <c r="AC108" s="2928"/>
      <c r="AX108" s="2909">
        <f t="shared" si="63"/>
        <v>50679.028775313782</v>
      </c>
      <c r="AY108">
        <f t="shared" si="64"/>
        <v>49975.093411219466</v>
      </c>
      <c r="AZ108" s="2910">
        <f t="shared" si="65"/>
        <v>0</v>
      </c>
      <c r="BA108" s="2767">
        <f t="shared" si="66"/>
        <v>0</v>
      </c>
      <c r="BB108" s="2910">
        <f t="shared" si="67"/>
        <v>562.76733420466883</v>
      </c>
      <c r="BC108" s="2767">
        <f t="shared" si="68"/>
        <v>554.95045535207487</v>
      </c>
      <c r="BD108" s="2910">
        <f t="shared" si="69"/>
        <v>309.21425041761728</v>
      </c>
      <c r="BE108" s="2767">
        <f t="shared" si="70"/>
        <v>304.9192421822404</v>
      </c>
      <c r="BF108" s="104"/>
      <c r="BG108" s="2910">
        <f t="shared" si="71"/>
        <v>0</v>
      </c>
      <c r="BH108" s="2767">
        <f t="shared" si="72"/>
        <v>0</v>
      </c>
      <c r="BI108" s="2910">
        <f t="shared" si="73"/>
        <v>-562.76733420466883</v>
      </c>
      <c r="BJ108" s="2767">
        <f t="shared" si="74"/>
        <v>-89.877504068668259</v>
      </c>
      <c r="BK108" s="2910">
        <f t="shared" si="75"/>
        <v>-309.21425041761728</v>
      </c>
      <c r="BL108" s="2767">
        <f t="shared" si="76"/>
        <v>-49.383472282156923</v>
      </c>
      <c r="BM108" s="2896">
        <f t="shared" si="77"/>
        <v>0</v>
      </c>
      <c r="BN108" s="2896">
        <f t="shared" si="78"/>
        <v>50818.28975554066</v>
      </c>
      <c r="BP108" s="2896">
        <f t="shared" si="79"/>
        <v>50679.028779189837</v>
      </c>
      <c r="BR108">
        <f t="shared" si="80"/>
        <v>0.98610992789117524</v>
      </c>
      <c r="BS108">
        <f t="shared" si="81"/>
        <v>0.15970632729720832</v>
      </c>
    </row>
    <row r="109" spans="1:71" ht="15.75">
      <c r="A109" s="2351">
        <v>11</v>
      </c>
      <c r="B109" s="2389">
        <f t="shared" si="98"/>
        <v>2.2930232558139534</v>
      </c>
      <c r="C109" s="2390">
        <f t="shared" si="99"/>
        <v>0</v>
      </c>
      <c r="D109" s="2569">
        <f t="shared" si="100"/>
        <v>3754.2723665615231</v>
      </c>
      <c r="E109" s="2569">
        <f t="shared" si="101"/>
        <v>1031.3982742262244</v>
      </c>
      <c r="F109" s="2569">
        <f t="shared" si="102"/>
        <v>0</v>
      </c>
      <c r="G109" s="2390"/>
      <c r="H109" s="1461">
        <f t="shared" si="103"/>
        <v>0</v>
      </c>
      <c r="I109" s="1461">
        <f t="shared" si="104"/>
        <v>713.5375048011573</v>
      </c>
      <c r="J109" s="1461">
        <f t="shared" si="105"/>
        <v>196.02769322402193</v>
      </c>
      <c r="K109" s="1461">
        <f t="shared" si="106"/>
        <v>50695.702132402963</v>
      </c>
      <c r="L109" s="2571">
        <f t="shared" si="107"/>
        <v>51605.267330428142</v>
      </c>
      <c r="M109" s="1461">
        <f t="shared" si="108"/>
        <v>16.673362618508691</v>
      </c>
      <c r="N109" s="1461">
        <f t="shared" si="97"/>
        <v>723871.98159093526</v>
      </c>
      <c r="O109" s="1018"/>
      <c r="P109" s="1018"/>
      <c r="Q109" s="1018"/>
      <c r="R109" s="1018">
        <v>13</v>
      </c>
      <c r="S109" s="13"/>
      <c r="T109" s="13"/>
      <c r="U109" s="451"/>
      <c r="V109" s="451" t="s">
        <v>823</v>
      </c>
      <c r="W109" s="1018">
        <v>234</v>
      </c>
      <c r="X109" s="1018">
        <v>-0.01</v>
      </c>
      <c r="Y109" s="1018" t="s">
        <v>1447</v>
      </c>
      <c r="Z109" s="1018" t="s">
        <v>1448</v>
      </c>
      <c r="AA109" s="1018">
        <f>+X109*30000</f>
        <v>-300</v>
      </c>
      <c r="AB109" s="2354" t="s">
        <v>1449</v>
      </c>
      <c r="AC109" s="2354"/>
      <c r="AX109" s="2909">
        <f t="shared" si="63"/>
        <v>50695.702132402963</v>
      </c>
      <c r="AY109">
        <f t="shared" si="64"/>
        <v>49991.535174176388</v>
      </c>
      <c r="AZ109" s="2910">
        <f t="shared" si="65"/>
        <v>0</v>
      </c>
      <c r="BA109" s="2767">
        <f t="shared" si="66"/>
        <v>0</v>
      </c>
      <c r="BB109" s="2910">
        <f t="shared" si="67"/>
        <v>562.76733484855527</v>
      </c>
      <c r="BC109" s="2767">
        <f t="shared" si="68"/>
        <v>554.95045598701768</v>
      </c>
      <c r="BD109" s="2910">
        <f t="shared" si="69"/>
        <v>309.2142505227979</v>
      </c>
      <c r="BE109" s="2767">
        <f t="shared" si="70"/>
        <v>304.91924228596002</v>
      </c>
      <c r="BF109" s="104"/>
      <c r="BG109" s="2910">
        <f t="shared" si="71"/>
        <v>0</v>
      </c>
      <c r="BH109" s="2767">
        <f t="shared" si="72"/>
        <v>0</v>
      </c>
      <c r="BI109" s="2910">
        <f t="shared" si="73"/>
        <v>-562.76733484855527</v>
      </c>
      <c r="BJ109" s="2767">
        <f t="shared" si="74"/>
        <v>-89.877504171501002</v>
      </c>
      <c r="BK109" s="2910">
        <f t="shared" si="75"/>
        <v>-309.2142505227979</v>
      </c>
      <c r="BL109" s="2767">
        <f t="shared" si="76"/>
        <v>-49.383472298954928</v>
      </c>
      <c r="BM109" s="2896">
        <f t="shared" si="77"/>
        <v>0</v>
      </c>
      <c r="BN109" s="2896">
        <f t="shared" si="78"/>
        <v>50834.963109492448</v>
      </c>
      <c r="BP109" s="2896">
        <f t="shared" si="79"/>
        <v>50695.702133021994</v>
      </c>
      <c r="BR109">
        <f t="shared" si="80"/>
        <v>0.98610992789117524</v>
      </c>
      <c r="BS109">
        <f t="shared" si="81"/>
        <v>0.15970632729720832</v>
      </c>
    </row>
    <row r="110" spans="1:71" ht="15.75">
      <c r="A110" s="2351">
        <v>12</v>
      </c>
      <c r="B110" s="2389">
        <f t="shared" si="98"/>
        <v>2.2930232558139534</v>
      </c>
      <c r="C110" s="2390">
        <f t="shared" si="99"/>
        <v>0</v>
      </c>
      <c r="D110" s="2569">
        <f t="shared" si="100"/>
        <v>3754.2723665615231</v>
      </c>
      <c r="E110" s="2569">
        <f t="shared" si="101"/>
        <v>1031.3982742262244</v>
      </c>
      <c r="F110" s="2569">
        <f t="shared" si="102"/>
        <v>0</v>
      </c>
      <c r="G110" s="2390"/>
      <c r="H110" s="1461">
        <f t="shared" si="103"/>
        <v>0</v>
      </c>
      <c r="I110" s="1461">
        <f t="shared" si="104"/>
        <v>713.53750561754646</v>
      </c>
      <c r="J110" s="1461">
        <f t="shared" si="105"/>
        <v>196.02769329070162</v>
      </c>
      <c r="K110" s="1461">
        <f t="shared" si="106"/>
        <v>50712.143895978908</v>
      </c>
      <c r="L110" s="2571">
        <f t="shared" si="107"/>
        <v>51621.709094887156</v>
      </c>
      <c r="M110" s="1461">
        <f t="shared" si="108"/>
        <v>16.441764459013939</v>
      </c>
      <c r="N110" s="1461">
        <f t="shared" si="97"/>
        <v>673012.49640904472</v>
      </c>
      <c r="O110" s="1018"/>
      <c r="P110" s="1018"/>
      <c r="Q110" s="1018"/>
      <c r="R110" s="1018">
        <v>14</v>
      </c>
      <c r="S110" s="13"/>
      <c r="T110" s="13"/>
      <c r="U110" s="451"/>
      <c r="V110" s="451" t="s">
        <v>872</v>
      </c>
      <c r="W110" s="1018">
        <v>231</v>
      </c>
      <c r="X110" s="1018">
        <v>-1.09E-2</v>
      </c>
      <c r="Y110" s="1018" t="s">
        <v>1447</v>
      </c>
      <c r="Z110" s="1018" t="s">
        <v>1448</v>
      </c>
      <c r="AA110" s="1018">
        <f>+X110*30000</f>
        <v>-327</v>
      </c>
      <c r="AB110" s="2354"/>
      <c r="AC110" s="2354"/>
      <c r="AX110" s="2909">
        <f t="shared" si="63"/>
        <v>50712.143895978908</v>
      </c>
      <c r="AY110">
        <f t="shared" si="64"/>
        <v>50007.748560470667</v>
      </c>
      <c r="AZ110" s="2910">
        <f t="shared" si="65"/>
        <v>0</v>
      </c>
      <c r="BA110" s="2767">
        <f t="shared" si="66"/>
        <v>0</v>
      </c>
      <c r="BB110" s="2910">
        <f t="shared" si="67"/>
        <v>562.76733495138797</v>
      </c>
      <c r="BC110" s="2767">
        <f t="shared" si="68"/>
        <v>554.95045608842202</v>
      </c>
      <c r="BD110" s="2910">
        <f t="shared" si="69"/>
        <v>309.21425053959592</v>
      </c>
      <c r="BE110" s="2767">
        <f t="shared" si="70"/>
        <v>304.91924230252471</v>
      </c>
      <c r="BF110" s="104"/>
      <c r="BG110" s="2910">
        <f t="shared" si="71"/>
        <v>0</v>
      </c>
      <c r="BH110" s="2767">
        <f t="shared" si="72"/>
        <v>0</v>
      </c>
      <c r="BI110" s="2910">
        <f t="shared" si="73"/>
        <v>-562.76733495138797</v>
      </c>
      <c r="BJ110" s="2767">
        <f t="shared" si="74"/>
        <v>-89.877504187924032</v>
      </c>
      <c r="BK110" s="2910">
        <f t="shared" si="75"/>
        <v>-309.21425053959592</v>
      </c>
      <c r="BL110" s="2767">
        <f t="shared" si="76"/>
        <v>-49.383472301637681</v>
      </c>
      <c r="BM110" s="2896">
        <f t="shared" si="77"/>
        <v>0</v>
      </c>
      <c r="BN110" s="2896">
        <f t="shared" si="78"/>
        <v>50851.404872567327</v>
      </c>
      <c r="BP110" s="2896">
        <f t="shared" si="79"/>
        <v>50712.14389607776</v>
      </c>
      <c r="BR110">
        <f t="shared" si="80"/>
        <v>0.98610992789117524</v>
      </c>
      <c r="BS110">
        <f t="shared" si="81"/>
        <v>0.15970632729720832</v>
      </c>
    </row>
    <row r="111" spans="1:71" ht="15.75">
      <c r="A111" s="2351">
        <v>13</v>
      </c>
      <c r="B111" s="2389">
        <f t="shared" si="98"/>
        <v>2.2930232558139534</v>
      </c>
      <c r="C111" s="2390">
        <f t="shared" si="99"/>
        <v>0</v>
      </c>
      <c r="D111" s="2569">
        <f t="shared" si="100"/>
        <v>3754.2723665615231</v>
      </c>
      <c r="E111" s="2569">
        <f t="shared" si="101"/>
        <v>1031.3982742262244</v>
      </c>
      <c r="F111" s="2569">
        <f t="shared" si="102"/>
        <v>0</v>
      </c>
      <c r="G111" s="2390"/>
      <c r="H111" s="1461">
        <f t="shared" si="103"/>
        <v>0</v>
      </c>
      <c r="I111" s="1461">
        <f t="shared" si="104"/>
        <v>713.53750574792889</v>
      </c>
      <c r="J111" s="1461">
        <f t="shared" si="105"/>
        <v>196.02769330135078</v>
      </c>
      <c r="K111" s="1461">
        <f t="shared" si="106"/>
        <v>50728.357282372039</v>
      </c>
      <c r="L111" s="2571">
        <f t="shared" si="107"/>
        <v>51637.922481421323</v>
      </c>
      <c r="M111" s="1461">
        <f t="shared" si="108"/>
        <v>16.213386534167512</v>
      </c>
      <c r="N111" s="1461">
        <f t="shared" si="97"/>
        <v>630439.27715343062</v>
      </c>
      <c r="O111" s="1018"/>
      <c r="P111" s="1018"/>
      <c r="Q111" s="1018"/>
      <c r="R111" s="1018">
        <v>15</v>
      </c>
      <c r="S111" s="13">
        <v>2.13</v>
      </c>
      <c r="T111" s="13">
        <v>2.17</v>
      </c>
      <c r="U111" s="451"/>
      <c r="V111" s="451"/>
      <c r="W111" s="1018"/>
      <c r="X111" s="1018"/>
      <c r="Y111" s="1018"/>
      <c r="Z111" s="1018"/>
      <c r="AA111" s="1018"/>
      <c r="AB111" s="2354"/>
      <c r="AC111" s="2354"/>
      <c r="AX111" s="2909">
        <f t="shared" si="63"/>
        <v>50728.357282372039</v>
      </c>
      <c r="AY111">
        <f t="shared" si="64"/>
        <v>50023.736741757668</v>
      </c>
      <c r="AZ111" s="2910">
        <f t="shared" si="65"/>
        <v>0</v>
      </c>
      <c r="BA111" s="2767">
        <f t="shared" si="66"/>
        <v>0</v>
      </c>
      <c r="BB111" s="2910">
        <f t="shared" si="67"/>
        <v>562.76733496781105</v>
      </c>
      <c r="BC111" s="2767">
        <f t="shared" si="68"/>
        <v>554.95045610461705</v>
      </c>
      <c r="BD111" s="2910">
        <f t="shared" si="69"/>
        <v>309.21425054227871</v>
      </c>
      <c r="BE111" s="2767">
        <f t="shared" si="70"/>
        <v>304.91924230517026</v>
      </c>
      <c r="BF111" s="104"/>
      <c r="BG111" s="2910">
        <f t="shared" si="71"/>
        <v>0</v>
      </c>
      <c r="BH111" s="2767">
        <f t="shared" si="72"/>
        <v>0</v>
      </c>
      <c r="BI111" s="2910">
        <f t="shared" si="73"/>
        <v>-562.76733496781105</v>
      </c>
      <c r="BJ111" s="2767">
        <f t="shared" si="74"/>
        <v>-89.877504190546901</v>
      </c>
      <c r="BK111" s="2910">
        <f t="shared" si="75"/>
        <v>-309.21425054227871</v>
      </c>
      <c r="BL111" s="2767">
        <f t="shared" si="76"/>
        <v>-49.383472302066139</v>
      </c>
      <c r="BM111" s="2896">
        <f t="shared" si="77"/>
        <v>0</v>
      </c>
      <c r="BN111" s="2896">
        <f t="shared" si="78"/>
        <v>50867.618258880451</v>
      </c>
      <c r="BP111" s="2896">
        <f t="shared" si="79"/>
        <v>50728.357282387842</v>
      </c>
      <c r="BR111">
        <f t="shared" si="80"/>
        <v>0.98610992789117524</v>
      </c>
      <c r="BS111">
        <f t="shared" si="81"/>
        <v>0.15970632729720832</v>
      </c>
    </row>
    <row r="112" spans="1:71" ht="15.75">
      <c r="A112" s="2351">
        <v>14</v>
      </c>
      <c r="B112" s="2389">
        <f t="shared" si="98"/>
        <v>2.2930232558139534</v>
      </c>
      <c r="C112" s="2390">
        <f t="shared" si="99"/>
        <v>0</v>
      </c>
      <c r="D112" s="2569">
        <f t="shared" si="100"/>
        <v>3754.2723665615231</v>
      </c>
      <c r="E112" s="2569">
        <f t="shared" si="101"/>
        <v>1031.3982742262244</v>
      </c>
      <c r="F112" s="2569">
        <f t="shared" si="102"/>
        <v>0</v>
      </c>
      <c r="G112" s="2390"/>
      <c r="H112" s="1461">
        <f t="shared" si="103"/>
        <v>0</v>
      </c>
      <c r="I112" s="1461">
        <f t="shared" si="104"/>
        <v>713.53750576875177</v>
      </c>
      <c r="J112" s="1461">
        <f t="shared" si="105"/>
        <v>196.02769330305154</v>
      </c>
      <c r="K112" s="1461">
        <f t="shared" si="106"/>
        <v>50744.345463674843</v>
      </c>
      <c r="L112" s="2571">
        <f t="shared" si="107"/>
        <v>51653.910662746646</v>
      </c>
      <c r="M112" s="1461">
        <f t="shared" si="108"/>
        <v>15.988181325323239</v>
      </c>
      <c r="N112" s="1461">
        <f t="shared" si="97"/>
        <v>594242.54916110775</v>
      </c>
      <c r="O112" s="1018"/>
      <c r="P112" s="1018"/>
      <c r="Q112" s="1018"/>
      <c r="R112" s="1018">
        <v>16</v>
      </c>
      <c r="S112" s="13"/>
      <c r="T112" s="13"/>
      <c r="U112" s="451"/>
      <c r="V112" s="451"/>
      <c r="W112" s="1018"/>
      <c r="X112" s="1018"/>
      <c r="Y112" s="1018"/>
      <c r="Z112" s="1018"/>
      <c r="AA112" s="1018"/>
      <c r="AB112" s="2354"/>
      <c r="AC112" s="2354"/>
      <c r="AX112" s="2909">
        <f t="shared" si="63"/>
        <v>50744.345463674843</v>
      </c>
      <c r="AY112">
        <f t="shared" si="64"/>
        <v>50039.502846069285</v>
      </c>
      <c r="AZ112" s="2910">
        <f t="shared" si="65"/>
        <v>0</v>
      </c>
      <c r="BA112" s="2767">
        <f t="shared" si="66"/>
        <v>0</v>
      </c>
      <c r="BB112" s="2910">
        <f t="shared" si="67"/>
        <v>562.76733497043392</v>
      </c>
      <c r="BC112" s="2767">
        <f t="shared" si="68"/>
        <v>554.95045610720342</v>
      </c>
      <c r="BD112" s="2910">
        <f t="shared" si="69"/>
        <v>309.21425054270713</v>
      </c>
      <c r="BE112" s="2767">
        <f t="shared" si="70"/>
        <v>304.91924230559272</v>
      </c>
      <c r="BF112" s="104"/>
      <c r="BG112" s="2910">
        <f t="shared" si="71"/>
        <v>0</v>
      </c>
      <c r="BH112" s="2767">
        <f t="shared" si="72"/>
        <v>0</v>
      </c>
      <c r="BI112" s="2910">
        <f t="shared" si="73"/>
        <v>-562.76733497043392</v>
      </c>
      <c r="BJ112" s="2767">
        <f t="shared" si="74"/>
        <v>-89.877504190965794</v>
      </c>
      <c r="BK112" s="2910">
        <f t="shared" si="75"/>
        <v>-309.21425054270713</v>
      </c>
      <c r="BL112" s="2767">
        <f t="shared" si="76"/>
        <v>-49.383472302134564</v>
      </c>
      <c r="BM112" s="2896">
        <f t="shared" si="77"/>
        <v>0</v>
      </c>
      <c r="BN112" s="2896">
        <f t="shared" si="78"/>
        <v>50883.606440170457</v>
      </c>
      <c r="BP112" s="2896">
        <f t="shared" si="79"/>
        <v>50744.345463677353</v>
      </c>
      <c r="BR112">
        <f t="shared" si="80"/>
        <v>0.98610992789117524</v>
      </c>
      <c r="BS112">
        <f t="shared" si="81"/>
        <v>0.15970632729720832</v>
      </c>
    </row>
    <row r="113" spans="1:71" ht="15.75">
      <c r="A113" s="2351">
        <v>15</v>
      </c>
      <c r="B113" s="2389">
        <f t="shared" si="98"/>
        <v>2.2930232558139534</v>
      </c>
      <c r="C113" s="2390">
        <f t="shared" si="99"/>
        <v>0</v>
      </c>
      <c r="D113" s="2569">
        <f t="shared" si="100"/>
        <v>3754.2723665615231</v>
      </c>
      <c r="E113" s="2569">
        <f t="shared" si="101"/>
        <v>1031.3982742262244</v>
      </c>
      <c r="F113" s="2569">
        <f t="shared" si="102"/>
        <v>0</v>
      </c>
      <c r="G113" s="2390"/>
      <c r="H113" s="1461">
        <f t="shared" si="103"/>
        <v>0</v>
      </c>
      <c r="I113" s="1461">
        <f t="shared" si="104"/>
        <v>713.53750577207734</v>
      </c>
      <c r="J113" s="1461">
        <f t="shared" si="105"/>
        <v>196.02769330332316</v>
      </c>
      <c r="K113" s="1461">
        <f t="shared" si="106"/>
        <v>50760.111567988977</v>
      </c>
      <c r="L113" s="2571">
        <f t="shared" si="107"/>
        <v>51669.676767064375</v>
      </c>
      <c r="M113" s="1461">
        <f t="shared" si="108"/>
        <v>15.766104317728605</v>
      </c>
      <c r="N113" s="1461">
        <f t="shared" si="97"/>
        <v>563058.15587654908</v>
      </c>
      <c r="O113" s="1018"/>
      <c r="P113" s="1018"/>
      <c r="Q113" s="1018"/>
      <c r="R113" s="1018">
        <v>17</v>
      </c>
      <c r="S113" s="13"/>
      <c r="T113" s="13"/>
      <c r="U113" s="451"/>
      <c r="V113" s="451"/>
      <c r="W113" s="1018"/>
      <c r="X113" s="1018"/>
      <c r="Y113" s="1018"/>
      <c r="Z113" s="1018"/>
      <c r="AA113" s="1018"/>
      <c r="AB113" s="2354"/>
      <c r="AC113" s="2354"/>
      <c r="AX113" s="2909">
        <f t="shared" si="63"/>
        <v>50760.111567988977</v>
      </c>
      <c r="AY113">
        <f t="shared" si="64"/>
        <v>50055.049958057622</v>
      </c>
      <c r="AZ113" s="2910">
        <f t="shared" si="65"/>
        <v>0</v>
      </c>
      <c r="BA113" s="2767">
        <f t="shared" si="66"/>
        <v>0</v>
      </c>
      <c r="BB113" s="2910">
        <f t="shared" si="67"/>
        <v>562.76733497085274</v>
      </c>
      <c r="BC113" s="2767">
        <f t="shared" si="68"/>
        <v>554.95045610761645</v>
      </c>
      <c r="BD113" s="2910">
        <f t="shared" si="69"/>
        <v>309.21425054277552</v>
      </c>
      <c r="BE113" s="2767">
        <f t="shared" si="70"/>
        <v>304.91924230566013</v>
      </c>
      <c r="BF113" s="104"/>
      <c r="BG113" s="2910">
        <f t="shared" si="71"/>
        <v>0</v>
      </c>
      <c r="BH113" s="2767">
        <f t="shared" si="72"/>
        <v>0</v>
      </c>
      <c r="BI113" s="2910">
        <f t="shared" si="73"/>
        <v>-562.76733497085274</v>
      </c>
      <c r="BJ113" s="2767">
        <f t="shared" si="74"/>
        <v>-89.877504191032685</v>
      </c>
      <c r="BK113" s="2910">
        <f t="shared" si="75"/>
        <v>-309.21425054277552</v>
      </c>
      <c r="BL113" s="2767">
        <f t="shared" si="76"/>
        <v>-49.383472302145485</v>
      </c>
      <c r="BM113" s="2896">
        <f t="shared" si="77"/>
        <v>0</v>
      </c>
      <c r="BN113" s="2896">
        <f t="shared" si="78"/>
        <v>50899.372544482561</v>
      </c>
      <c r="BP113" s="2896">
        <f t="shared" si="79"/>
        <v>50760.111567989385</v>
      </c>
      <c r="BR113">
        <f t="shared" si="80"/>
        <v>0.98610992789117524</v>
      </c>
      <c r="BS113">
        <f t="shared" si="81"/>
        <v>0.15970632729720832</v>
      </c>
    </row>
    <row r="114" spans="1:71" ht="15.75">
      <c r="A114" s="2351">
        <v>16</v>
      </c>
      <c r="B114" s="2389">
        <f t="shared" si="98"/>
        <v>2.2930232558139534</v>
      </c>
      <c r="C114" s="2390">
        <f t="shared" si="99"/>
        <v>0</v>
      </c>
      <c r="D114" s="2569">
        <f t="shared" si="100"/>
        <v>3754.2723665615231</v>
      </c>
      <c r="E114" s="2569">
        <f t="shared" si="101"/>
        <v>1031.3982742262244</v>
      </c>
      <c r="F114" s="2569">
        <f t="shared" si="102"/>
        <v>0</v>
      </c>
      <c r="G114" s="2390"/>
      <c r="H114" s="1461">
        <f t="shared" si="103"/>
        <v>0</v>
      </c>
      <c r="I114" s="1461">
        <f t="shared" si="104"/>
        <v>713.5375057726086</v>
      </c>
      <c r="J114" s="1461">
        <f t="shared" si="105"/>
        <v>196.0276933033665</v>
      </c>
      <c r="K114" s="1461">
        <f t="shared" si="106"/>
        <v>50775.658679977721</v>
      </c>
      <c r="L114" s="2571">
        <f t="shared" si="107"/>
        <v>51685.223879053694</v>
      </c>
      <c r="M114" s="1461">
        <f t="shared" si="108"/>
        <v>15.547111989319092</v>
      </c>
      <c r="N114" s="1461">
        <f t="shared" si="97"/>
        <v>535885.68681099184</v>
      </c>
      <c r="O114" s="1018"/>
      <c r="P114" s="1018"/>
      <c r="Q114" s="1018"/>
      <c r="R114" s="1018">
        <v>18</v>
      </c>
      <c r="S114" s="13"/>
      <c r="T114" s="13"/>
      <c r="U114" s="451"/>
      <c r="V114" s="451"/>
      <c r="W114" s="1018"/>
      <c r="X114" s="1018"/>
      <c r="Y114" s="1018"/>
      <c r="Z114" s="1018"/>
      <c r="AA114" s="1018"/>
      <c r="AB114" s="2354"/>
      <c r="AC114" s="2354"/>
      <c r="AX114" s="2909">
        <f t="shared" si="63"/>
        <v>50775.658679977721</v>
      </c>
      <c r="AY114">
        <f t="shared" si="64"/>
        <v>50070.381119539757</v>
      </c>
      <c r="AZ114" s="2910">
        <f t="shared" si="65"/>
        <v>0</v>
      </c>
      <c r="BA114" s="2767">
        <f t="shared" si="66"/>
        <v>0</v>
      </c>
      <c r="BB114" s="2910">
        <f t="shared" si="67"/>
        <v>562.76733497091971</v>
      </c>
      <c r="BC114" s="2767">
        <f t="shared" si="68"/>
        <v>554.9504561076825</v>
      </c>
      <c r="BD114" s="2910">
        <f t="shared" si="69"/>
        <v>309.21425054278649</v>
      </c>
      <c r="BE114" s="2767">
        <f t="shared" si="70"/>
        <v>304.91924230567099</v>
      </c>
      <c r="BF114" s="104"/>
      <c r="BG114" s="2910">
        <f t="shared" si="71"/>
        <v>0</v>
      </c>
      <c r="BH114" s="2767">
        <f t="shared" si="72"/>
        <v>0</v>
      </c>
      <c r="BI114" s="2910">
        <f t="shared" si="73"/>
        <v>-562.76733497091971</v>
      </c>
      <c r="BJ114" s="2767">
        <f t="shared" si="74"/>
        <v>-89.877504191043371</v>
      </c>
      <c r="BK114" s="2910">
        <f t="shared" si="75"/>
        <v>-309.21425054278649</v>
      </c>
      <c r="BL114" s="2767">
        <f t="shared" si="76"/>
        <v>-49.383472302147233</v>
      </c>
      <c r="BM114" s="2896">
        <f t="shared" si="77"/>
        <v>0</v>
      </c>
      <c r="BN114" s="2896">
        <f t="shared" si="78"/>
        <v>50914.919656470971</v>
      </c>
      <c r="BP114" s="2896">
        <f t="shared" si="79"/>
        <v>50775.65867997778</v>
      </c>
      <c r="BR114">
        <f t="shared" si="80"/>
        <v>0.98610992789117524</v>
      </c>
      <c r="BS114">
        <f t="shared" si="81"/>
        <v>0.15970632729720832</v>
      </c>
    </row>
    <row r="115" spans="1:71" ht="15.75">
      <c r="A115" s="2351">
        <v>17</v>
      </c>
      <c r="B115" s="2389">
        <f t="shared" si="98"/>
        <v>2.2930232558139534</v>
      </c>
      <c r="C115" s="2390">
        <f t="shared" si="99"/>
        <v>0</v>
      </c>
      <c r="D115" s="2569">
        <f t="shared" si="100"/>
        <v>3754.2723665615231</v>
      </c>
      <c r="E115" s="2569">
        <f t="shared" si="101"/>
        <v>1031.3982742262244</v>
      </c>
      <c r="F115" s="2569">
        <f t="shared" si="102"/>
        <v>0</v>
      </c>
      <c r="G115" s="2390"/>
      <c r="H115" s="1461">
        <f t="shared" si="103"/>
        <v>0</v>
      </c>
      <c r="I115" s="1461">
        <f t="shared" si="104"/>
        <v>713.53750577269341</v>
      </c>
      <c r="J115" s="1461">
        <f t="shared" si="105"/>
        <v>196.02769330337344</v>
      </c>
      <c r="K115" s="1461">
        <f t="shared" si="106"/>
        <v>50790.989841459916</v>
      </c>
      <c r="L115" s="2571">
        <f t="shared" si="107"/>
        <v>51700.555040535983</v>
      </c>
      <c r="M115" s="1461">
        <f t="shared" si="108"/>
        <v>15.331161482288735</v>
      </c>
      <c r="N115" s="1461">
        <f t="shared" si="97"/>
        <v>511974.80731173529</v>
      </c>
      <c r="O115" s="1018"/>
      <c r="P115" s="1018"/>
      <c r="Q115" s="1018"/>
      <c r="R115" s="1018">
        <v>19</v>
      </c>
      <c r="S115" s="13"/>
      <c r="T115" s="13"/>
      <c r="U115" s="451"/>
      <c r="V115" s="451"/>
      <c r="W115" s="1018"/>
      <c r="X115" s="1018"/>
      <c r="Y115" s="1018"/>
      <c r="Z115" s="1018"/>
      <c r="AA115" s="1018"/>
      <c r="AB115" s="2354"/>
      <c r="AC115" s="2354"/>
      <c r="AX115" s="2909">
        <f t="shared" si="63"/>
        <v>50790.989841459916</v>
      </c>
      <c r="AY115">
        <f t="shared" si="64"/>
        <v>50085.499330083454</v>
      </c>
      <c r="AZ115" s="2910">
        <f t="shared" si="65"/>
        <v>0</v>
      </c>
      <c r="BA115" s="2767">
        <f t="shared" si="66"/>
        <v>0</v>
      </c>
      <c r="BB115" s="2910">
        <f t="shared" si="67"/>
        <v>562.76733497093039</v>
      </c>
      <c r="BC115" s="2767">
        <f t="shared" si="68"/>
        <v>554.95045610769307</v>
      </c>
      <c r="BD115" s="2910">
        <f t="shared" si="69"/>
        <v>309.21425054278825</v>
      </c>
      <c r="BE115" s="2767">
        <f t="shared" si="70"/>
        <v>304.9192423056727</v>
      </c>
      <c r="BF115" s="104"/>
      <c r="BG115" s="2910">
        <f t="shared" si="71"/>
        <v>0</v>
      </c>
      <c r="BH115" s="2767">
        <f t="shared" si="72"/>
        <v>0</v>
      </c>
      <c r="BI115" s="2910">
        <f t="shared" si="73"/>
        <v>-562.76733497093039</v>
      </c>
      <c r="BJ115" s="2767">
        <f t="shared" si="74"/>
        <v>-89.877504191045077</v>
      </c>
      <c r="BK115" s="2910">
        <f t="shared" si="75"/>
        <v>-309.21425054278825</v>
      </c>
      <c r="BL115" s="2767">
        <f t="shared" si="76"/>
        <v>-49.383472302147517</v>
      </c>
      <c r="BM115" s="2896">
        <f t="shared" si="77"/>
        <v>0</v>
      </c>
      <c r="BN115" s="2896">
        <f t="shared" si="78"/>
        <v>50930.250817953121</v>
      </c>
      <c r="BP115" s="2896">
        <f t="shared" si="79"/>
        <v>50790.989841459923</v>
      </c>
      <c r="BR115">
        <f t="shared" si="80"/>
        <v>0.98610992789117524</v>
      </c>
      <c r="BS115">
        <f t="shared" si="81"/>
        <v>0.15970632729720832</v>
      </c>
    </row>
    <row r="116" spans="1:71" ht="15.75">
      <c r="A116" s="2351">
        <v>18</v>
      </c>
      <c r="B116" s="2389">
        <f t="shared" si="98"/>
        <v>2.2930232558139534</v>
      </c>
      <c r="C116" s="2390">
        <f t="shared" si="99"/>
        <v>0</v>
      </c>
      <c r="D116" s="2569">
        <f t="shared" si="100"/>
        <v>3754.2723665615231</v>
      </c>
      <c r="E116" s="2569">
        <f t="shared" si="101"/>
        <v>1031.3982742262244</v>
      </c>
      <c r="F116" s="2569">
        <f t="shared" si="102"/>
        <v>0</v>
      </c>
      <c r="G116" s="2390"/>
      <c r="H116" s="1461">
        <f t="shared" si="103"/>
        <v>0</v>
      </c>
      <c r="I116" s="1461">
        <f t="shared" si="104"/>
        <v>713.53750577270694</v>
      </c>
      <c r="J116" s="1461">
        <f t="shared" si="105"/>
        <v>196.02769330337458</v>
      </c>
      <c r="K116" s="1461">
        <f t="shared" si="106"/>
        <v>50806.108052003619</v>
      </c>
      <c r="L116" s="2571">
        <f t="shared" si="107"/>
        <v>51715.673251079701</v>
      </c>
      <c r="M116" s="1461">
        <f t="shared" si="108"/>
        <v>15.118210543718305</v>
      </c>
      <c r="N116" s="1461">
        <f t="shared" si="97"/>
        <v>490751.70720146748</v>
      </c>
      <c r="O116" s="1018"/>
      <c r="P116" s="1018"/>
      <c r="Q116" s="1018"/>
      <c r="R116" s="1018">
        <v>20</v>
      </c>
      <c r="S116" s="13"/>
      <c r="T116" s="13"/>
      <c r="U116" s="451"/>
      <c r="V116" s="451"/>
      <c r="W116" s="1018"/>
      <c r="X116" s="1018"/>
      <c r="Y116" s="1018"/>
      <c r="Z116" s="1018"/>
      <c r="AA116" s="1018"/>
      <c r="AB116" s="2354"/>
      <c r="AC116" s="2354"/>
      <c r="AX116" s="2909">
        <f t="shared" si="63"/>
        <v>50806.108052003619</v>
      </c>
      <c r="AY116">
        <f t="shared" si="64"/>
        <v>50100.407547592549</v>
      </c>
      <c r="AZ116" s="2910">
        <f t="shared" si="65"/>
        <v>0</v>
      </c>
      <c r="BA116" s="2767">
        <f t="shared" si="66"/>
        <v>0</v>
      </c>
      <c r="BB116" s="2910">
        <f t="shared" si="67"/>
        <v>562.7673349709321</v>
      </c>
      <c r="BC116" s="2767">
        <f t="shared" si="68"/>
        <v>554.95045610769466</v>
      </c>
      <c r="BD116" s="2910">
        <f t="shared" si="69"/>
        <v>309.21425054278848</v>
      </c>
      <c r="BE116" s="2767">
        <f t="shared" si="70"/>
        <v>304.91924230567292</v>
      </c>
      <c r="BF116" s="104"/>
      <c r="BG116" s="2910">
        <f t="shared" si="71"/>
        <v>0</v>
      </c>
      <c r="BH116" s="2767">
        <f t="shared" si="72"/>
        <v>0</v>
      </c>
      <c r="BI116" s="2910">
        <f t="shared" si="73"/>
        <v>-562.7673349709321</v>
      </c>
      <c r="BJ116" s="2767">
        <f t="shared" si="74"/>
        <v>-89.877504191045347</v>
      </c>
      <c r="BK116" s="2910">
        <f t="shared" si="75"/>
        <v>-309.21425054278848</v>
      </c>
      <c r="BL116" s="2767">
        <f t="shared" si="76"/>
        <v>-49.383472302147553</v>
      </c>
      <c r="BM116" s="2896">
        <f t="shared" si="77"/>
        <v>0</v>
      </c>
      <c r="BN116" s="2896">
        <f t="shared" si="78"/>
        <v>50945.369028496818</v>
      </c>
      <c r="BP116" s="2896">
        <f t="shared" si="79"/>
        <v>50806.108052003619</v>
      </c>
      <c r="BR116">
        <f t="shared" si="80"/>
        <v>0.98610992789117524</v>
      </c>
      <c r="BS116">
        <f t="shared" si="81"/>
        <v>0.15970632729720832</v>
      </c>
    </row>
    <row r="117" spans="1:71" ht="15.75">
      <c r="A117" s="2351">
        <v>19</v>
      </c>
      <c r="B117" s="2389">
        <f t="shared" si="98"/>
        <v>2.2930232558139534</v>
      </c>
      <c r="C117" s="2390">
        <f t="shared" si="99"/>
        <v>0</v>
      </c>
      <c r="D117" s="2569">
        <f t="shared" si="100"/>
        <v>3754.2723665615231</v>
      </c>
      <c r="E117" s="2569">
        <f t="shared" si="101"/>
        <v>1031.3982742262244</v>
      </c>
      <c r="F117" s="2569">
        <f t="shared" si="102"/>
        <v>0</v>
      </c>
      <c r="G117" s="2390"/>
      <c r="H117" s="1461">
        <f t="shared" si="103"/>
        <v>0</v>
      </c>
      <c r="I117" s="1461">
        <f t="shared" si="104"/>
        <v>713.5375057727091</v>
      </c>
      <c r="J117" s="1461">
        <f t="shared" si="105"/>
        <v>196.02769330337472</v>
      </c>
      <c r="K117" s="1461">
        <f t="shared" si="106"/>
        <v>50821.016269512715</v>
      </c>
      <c r="L117" s="2571">
        <f t="shared" si="107"/>
        <v>51730.581468588796</v>
      </c>
      <c r="M117" s="1461">
        <f t="shared" si="108"/>
        <v>14.908217509095266</v>
      </c>
      <c r="N117" s="1461">
        <f t="shared" si="97"/>
        <v>471770.06652866106</v>
      </c>
      <c r="O117" s="1018"/>
      <c r="P117" s="1018"/>
      <c r="Q117" s="1018"/>
      <c r="R117" s="1018">
        <v>21</v>
      </c>
      <c r="S117" s="13"/>
      <c r="T117" s="13"/>
      <c r="U117" s="451"/>
      <c r="V117" s="451"/>
      <c r="W117" s="1018"/>
      <c r="X117" s="1018"/>
      <c r="Y117" s="1018"/>
      <c r="Z117" s="1018"/>
      <c r="AA117" s="1018"/>
      <c r="AB117" s="2354"/>
      <c r="AC117" s="2354"/>
      <c r="AX117" s="2909">
        <f t="shared" si="63"/>
        <v>50821.016269512715</v>
      </c>
      <c r="AY117">
        <f t="shared" si="64"/>
        <v>50115.108688885426</v>
      </c>
      <c r="AZ117" s="2910">
        <f t="shared" si="65"/>
        <v>0</v>
      </c>
      <c r="BA117" s="2767">
        <f t="shared" si="66"/>
        <v>0</v>
      </c>
      <c r="BB117" s="2910">
        <f t="shared" si="67"/>
        <v>562.76733497093232</v>
      </c>
      <c r="BC117" s="2767">
        <f t="shared" si="68"/>
        <v>554.95045610769489</v>
      </c>
      <c r="BD117" s="2910">
        <f t="shared" si="69"/>
        <v>309.21425054278853</v>
      </c>
      <c r="BE117" s="2767">
        <f t="shared" si="70"/>
        <v>304.91924230567298</v>
      </c>
      <c r="BF117" s="104"/>
      <c r="BG117" s="2910">
        <f t="shared" si="71"/>
        <v>0</v>
      </c>
      <c r="BH117" s="2767">
        <f t="shared" si="72"/>
        <v>0</v>
      </c>
      <c r="BI117" s="2910">
        <f t="shared" si="73"/>
        <v>-562.76733497093232</v>
      </c>
      <c r="BJ117" s="2767">
        <f t="shared" si="74"/>
        <v>-89.877504191045389</v>
      </c>
      <c r="BK117" s="2910">
        <f t="shared" si="75"/>
        <v>-309.21425054278853</v>
      </c>
      <c r="BL117" s="2767">
        <f t="shared" si="76"/>
        <v>-49.38347230214756</v>
      </c>
      <c r="BM117" s="2896">
        <f t="shared" si="77"/>
        <v>0</v>
      </c>
      <c r="BN117" s="2896">
        <f t="shared" si="78"/>
        <v>50960.277246005913</v>
      </c>
      <c r="BP117" s="2896">
        <f t="shared" si="79"/>
        <v>50821.016269512715</v>
      </c>
      <c r="BR117">
        <f t="shared" si="80"/>
        <v>0.98610992789117524</v>
      </c>
      <c r="BS117">
        <f t="shared" si="81"/>
        <v>0.15970632729720832</v>
      </c>
    </row>
    <row r="118" spans="1:71" ht="15.75">
      <c r="A118" s="2351">
        <v>20</v>
      </c>
      <c r="B118" s="2389">
        <f t="shared" si="98"/>
        <v>2.2930232558139534</v>
      </c>
      <c r="C118" s="2390">
        <f t="shared" si="99"/>
        <v>0</v>
      </c>
      <c r="D118" s="2569">
        <f t="shared" si="100"/>
        <v>3754.2723665615231</v>
      </c>
      <c r="E118" s="2569">
        <f t="shared" si="101"/>
        <v>1031.3982742262244</v>
      </c>
      <c r="F118" s="2569">
        <f t="shared" si="102"/>
        <v>0</v>
      </c>
      <c r="G118" s="2390"/>
      <c r="H118" s="1461">
        <f t="shared" si="103"/>
        <v>0</v>
      </c>
      <c r="I118" s="1461">
        <f t="shared" si="104"/>
        <v>713.53750577270932</v>
      </c>
      <c r="J118" s="1461">
        <f t="shared" si="105"/>
        <v>196.02769330337475</v>
      </c>
      <c r="K118" s="1461">
        <f t="shared" si="106"/>
        <v>50835.717410805599</v>
      </c>
      <c r="L118" s="2571">
        <f t="shared" si="107"/>
        <v>51745.28260988168</v>
      </c>
      <c r="M118" s="1461">
        <f t="shared" si="108"/>
        <v>14.701141292884131</v>
      </c>
      <c r="N118" s="1461">
        <f t="shared" si="97"/>
        <v>454677.50581288111</v>
      </c>
      <c r="O118" s="1018"/>
      <c r="P118" s="1018"/>
      <c r="Q118" s="1018"/>
      <c r="R118" s="1018">
        <v>22</v>
      </c>
      <c r="S118" s="13"/>
      <c r="T118" s="13"/>
      <c r="U118" s="451"/>
      <c r="V118" s="451"/>
      <c r="W118" s="1018"/>
      <c r="X118" s="1018"/>
      <c r="Y118" s="1018"/>
      <c r="Z118" s="1018"/>
      <c r="AA118" s="1018"/>
      <c r="AB118" s="2354"/>
      <c r="AC118" s="2354"/>
      <c r="AX118" s="2909">
        <f t="shared" ref="AX118:AX148" si="109">K118</f>
        <v>50835.717410805599</v>
      </c>
      <c r="AY118">
        <f t="shared" ref="AY118:AY148" si="110">AX118*BR118</f>
        <v>50129.605630265673</v>
      </c>
      <c r="AZ118" s="2910">
        <f t="shared" ref="AZ118:AZ148" si="111">-$B$19 * $B$15* (H118+C118)/($B$16-$B$15)</f>
        <v>0</v>
      </c>
      <c r="BA118" s="2767">
        <f t="shared" ref="BA118:BA148" si="112">AZ118*BR118</f>
        <v>0</v>
      </c>
      <c r="BB118" s="2910">
        <f t="shared" ref="BB118:BB148" si="113">-$B$17* $B$15* (I118 + D118) / ($B$16-$B$15)</f>
        <v>562.76733497093244</v>
      </c>
      <c r="BC118" s="2767">
        <f t="shared" ref="BC118:BC148" si="114">BB118*BR118</f>
        <v>554.950456107695</v>
      </c>
      <c r="BD118" s="2910">
        <f t="shared" ref="BD118:BD148" si="115">-$B$18*$B$15* (J118 + E118) / ($B$16-$B$15)</f>
        <v>309.21425054278853</v>
      </c>
      <c r="BE118" s="2767">
        <f t="shared" ref="BE118:BE148" si="116">BD118*BR118</f>
        <v>304.91924230567298</v>
      </c>
      <c r="BF118" s="104"/>
      <c r="BG118" s="2910">
        <f t="shared" ref="BG118:BG148" si="117">+$B$19*$B$15* (H118 + C118) / ($B$16-$B$15)</f>
        <v>0</v>
      </c>
      <c r="BH118" s="2767">
        <f t="shared" ref="BH118:BH148" si="118">BG118*BS118</f>
        <v>0</v>
      </c>
      <c r="BI118" s="2910">
        <f t="shared" ref="BI118:BI148" si="119">+$B$17*$B$15* (I118 + D118) / ($B$16-$B$15)</f>
        <v>-562.76733497093244</v>
      </c>
      <c r="BJ118" s="2767">
        <f t="shared" ref="BJ118:BJ148" si="120">BI118*BS118</f>
        <v>-89.877504191045404</v>
      </c>
      <c r="BK118" s="2910">
        <f t="shared" ref="BK118:BK148" si="121">+$B$18*$B$15* (J118 + E118) / ($B$16-$B$15)</f>
        <v>-309.21425054278853</v>
      </c>
      <c r="BL118" s="2767">
        <f t="shared" ref="BL118:BL148" si="122">BK118*BS118</f>
        <v>-49.38347230214756</v>
      </c>
      <c r="BM118" s="2896">
        <f t="shared" ref="BM118:BM148" si="123">F118</f>
        <v>0</v>
      </c>
      <c r="BN118" s="2896">
        <f t="shared" ref="BN118:BN148" si="124">BM118+((AX117+AZ118+BB118+BD118)*BR118)</f>
        <v>50974.978387298797</v>
      </c>
      <c r="BP118" s="2896">
        <f t="shared" ref="BP118:BP148" si="125">BN118+BH118+BJ118+BL118</f>
        <v>50835.717410805599</v>
      </c>
      <c r="BR118">
        <f t="shared" ref="BR118:BR148" si="126">EXP(-$B$16*B119)</f>
        <v>0.98610992789117524</v>
      </c>
      <c r="BS118">
        <f t="shared" ref="BS118:BS148" si="127">EXP(-$B$15*B119)</f>
        <v>0.15970632729720832</v>
      </c>
    </row>
    <row r="119" spans="1:71" ht="15.75">
      <c r="A119" s="2351">
        <v>21</v>
      </c>
      <c r="B119" s="2389">
        <f t="shared" si="98"/>
        <v>2.2930232558139534</v>
      </c>
      <c r="C119" s="2390">
        <f t="shared" si="99"/>
        <v>0</v>
      </c>
      <c r="D119" s="2569">
        <f t="shared" si="100"/>
        <v>3754.2723665615231</v>
      </c>
      <c r="E119" s="2569">
        <f t="shared" si="101"/>
        <v>1031.3982742262244</v>
      </c>
      <c r="F119" s="2569">
        <f t="shared" si="102"/>
        <v>0</v>
      </c>
      <c r="G119" s="2390"/>
      <c r="H119" s="1461">
        <f t="shared" si="103"/>
        <v>0</v>
      </c>
      <c r="I119" s="1461">
        <f t="shared" si="104"/>
        <v>713.53750577270955</v>
      </c>
      <c r="J119" s="1461">
        <f t="shared" si="105"/>
        <v>196.02769330337475</v>
      </c>
      <c r="K119" s="1461">
        <f t="shared" si="106"/>
        <v>50850.214352185838</v>
      </c>
      <c r="L119" s="2571">
        <f t="shared" si="107"/>
        <v>51759.77955126192</v>
      </c>
      <c r="M119" s="1461">
        <f t="shared" si="108"/>
        <v>14.49694138023915</v>
      </c>
      <c r="N119" s="1461">
        <f t="shared" si="97"/>
        <v>439192.10121235659</v>
      </c>
      <c r="O119" s="1018"/>
      <c r="P119" s="1018"/>
      <c r="Q119" s="1018"/>
      <c r="R119" s="1018">
        <v>23</v>
      </c>
      <c r="S119" s="13"/>
      <c r="T119" s="13"/>
      <c r="U119" s="451"/>
      <c r="V119" s="451"/>
      <c r="W119" s="1018"/>
      <c r="X119" s="1018"/>
      <c r="Y119" s="1018"/>
      <c r="Z119" s="1018"/>
      <c r="AA119" s="1018"/>
      <c r="AB119" s="2354"/>
      <c r="AC119" s="2354"/>
      <c r="AX119" s="2909">
        <f t="shared" si="109"/>
        <v>50850.214352185838</v>
      </c>
      <c r="AY119">
        <f t="shared" si="110"/>
        <v>50143.901208084782</v>
      </c>
      <c r="AZ119" s="2910">
        <f t="shared" si="111"/>
        <v>0</v>
      </c>
      <c r="BA119" s="2767">
        <f t="shared" si="112"/>
        <v>0</v>
      </c>
      <c r="BB119" s="2910">
        <f t="shared" si="113"/>
        <v>562.76733497093244</v>
      </c>
      <c r="BC119" s="2767">
        <f t="shared" si="114"/>
        <v>554.950456107695</v>
      </c>
      <c r="BD119" s="2910">
        <f t="shared" si="115"/>
        <v>309.21425054278853</v>
      </c>
      <c r="BE119" s="2767">
        <f t="shared" si="116"/>
        <v>304.91924230567298</v>
      </c>
      <c r="BF119" s="104"/>
      <c r="BG119" s="2910">
        <f t="shared" si="117"/>
        <v>0</v>
      </c>
      <c r="BH119" s="2767">
        <f t="shared" si="118"/>
        <v>0</v>
      </c>
      <c r="BI119" s="2910">
        <f t="shared" si="119"/>
        <v>-562.76733497093244</v>
      </c>
      <c r="BJ119" s="2767">
        <f t="shared" si="120"/>
        <v>-89.877504191045404</v>
      </c>
      <c r="BK119" s="2910">
        <f t="shared" si="121"/>
        <v>-309.21425054278853</v>
      </c>
      <c r="BL119" s="2767">
        <f t="shared" si="122"/>
        <v>-49.38347230214756</v>
      </c>
      <c r="BM119" s="2896">
        <f t="shared" si="123"/>
        <v>0</v>
      </c>
      <c r="BN119" s="2896">
        <f t="shared" si="124"/>
        <v>50989.475328679036</v>
      </c>
      <c r="BP119" s="2896">
        <f t="shared" si="125"/>
        <v>50850.214352185838</v>
      </c>
      <c r="BR119">
        <f t="shared" si="126"/>
        <v>0.98610992789117524</v>
      </c>
      <c r="BS119">
        <f t="shared" si="127"/>
        <v>0.15970632729720832</v>
      </c>
    </row>
    <row r="120" spans="1:71" ht="15.75">
      <c r="A120" s="2351">
        <v>22</v>
      </c>
      <c r="B120" s="2389">
        <f t="shared" si="98"/>
        <v>2.2930232558139534</v>
      </c>
      <c r="C120" s="2390">
        <f t="shared" si="99"/>
        <v>0</v>
      </c>
      <c r="D120" s="2569">
        <f t="shared" si="100"/>
        <v>3754.2723665615231</v>
      </c>
      <c r="E120" s="2569">
        <f t="shared" si="101"/>
        <v>1031.3982742262244</v>
      </c>
      <c r="F120" s="2569">
        <f t="shared" si="102"/>
        <v>0</v>
      </c>
      <c r="G120" s="2390"/>
      <c r="H120" s="1461">
        <f t="shared" si="103"/>
        <v>0</v>
      </c>
      <c r="I120" s="1461">
        <f t="shared" si="104"/>
        <v>713.53750577270955</v>
      </c>
      <c r="J120" s="1461">
        <f t="shared" si="105"/>
        <v>196.02769330337475</v>
      </c>
      <c r="K120" s="1461">
        <f t="shared" si="106"/>
        <v>50864.509930004948</v>
      </c>
      <c r="L120" s="2571">
        <f t="shared" si="107"/>
        <v>51774.075129081029</v>
      </c>
      <c r="M120" s="1461">
        <f t="shared" si="108"/>
        <v>14.295577819109894</v>
      </c>
      <c r="N120" s="1461">
        <f t="shared" si="97"/>
        <v>425085.60963991575</v>
      </c>
      <c r="O120" s="1018"/>
      <c r="P120" s="1018"/>
      <c r="Q120" s="1018"/>
      <c r="R120" s="1018">
        <v>24</v>
      </c>
      <c r="S120" s="13"/>
      <c r="T120" s="13"/>
      <c r="U120" s="451"/>
      <c r="V120" s="451"/>
      <c r="W120" s="1018"/>
      <c r="X120" s="1018"/>
      <c r="Y120" s="1018"/>
      <c r="Z120" s="1018"/>
      <c r="AA120" s="1018"/>
      <c r="AB120" s="2354"/>
      <c r="AC120" s="2354"/>
      <c r="AX120" s="2909">
        <f t="shared" si="109"/>
        <v>50864.509930004948</v>
      </c>
      <c r="AY120">
        <f t="shared" si="110"/>
        <v>50157.998219297144</v>
      </c>
      <c r="AZ120" s="2910">
        <f t="shared" si="111"/>
        <v>0</v>
      </c>
      <c r="BA120" s="2767">
        <f t="shared" si="112"/>
        <v>0</v>
      </c>
      <c r="BB120" s="2910">
        <f t="shared" si="113"/>
        <v>562.76733497093244</v>
      </c>
      <c r="BC120" s="2767">
        <f t="shared" si="114"/>
        <v>554.950456107695</v>
      </c>
      <c r="BD120" s="2910">
        <f t="shared" si="115"/>
        <v>309.21425054278853</v>
      </c>
      <c r="BE120" s="2767">
        <f t="shared" si="116"/>
        <v>304.91924230567298</v>
      </c>
      <c r="BF120" s="104"/>
      <c r="BG120" s="2910">
        <f t="shared" si="117"/>
        <v>0</v>
      </c>
      <c r="BH120" s="2767">
        <f t="shared" si="118"/>
        <v>0</v>
      </c>
      <c r="BI120" s="2910">
        <f t="shared" si="119"/>
        <v>-562.76733497093244</v>
      </c>
      <c r="BJ120" s="2767">
        <f t="shared" si="120"/>
        <v>-89.877504191045404</v>
      </c>
      <c r="BK120" s="2910">
        <f t="shared" si="121"/>
        <v>-309.21425054278853</v>
      </c>
      <c r="BL120" s="2767">
        <f t="shared" si="122"/>
        <v>-49.38347230214756</v>
      </c>
      <c r="BM120" s="2896">
        <f t="shared" si="123"/>
        <v>0</v>
      </c>
      <c r="BN120" s="2896">
        <f t="shared" si="124"/>
        <v>51003.770906498146</v>
      </c>
      <c r="BP120" s="2896">
        <f t="shared" si="125"/>
        <v>50864.509930004948</v>
      </c>
      <c r="BR120">
        <f t="shared" si="126"/>
        <v>0.98610992789117524</v>
      </c>
      <c r="BS120">
        <f t="shared" si="127"/>
        <v>0.15970632729720832</v>
      </c>
    </row>
    <row r="121" spans="1:71" ht="15.75">
      <c r="A121" s="2351">
        <v>23</v>
      </c>
      <c r="B121" s="2389">
        <f t="shared" si="98"/>
        <v>2.2930232558139534</v>
      </c>
      <c r="C121" s="2390">
        <f t="shared" si="99"/>
        <v>0</v>
      </c>
      <c r="D121" s="2569">
        <f t="shared" si="100"/>
        <v>3754.2723665615231</v>
      </c>
      <c r="E121" s="2569">
        <f t="shared" si="101"/>
        <v>1031.3982742262244</v>
      </c>
      <c r="F121" s="2569">
        <f t="shared" si="102"/>
        <v>0</v>
      </c>
      <c r="G121" s="2390"/>
      <c r="H121" s="1461">
        <f t="shared" si="103"/>
        <v>0</v>
      </c>
      <c r="I121" s="1461">
        <f t="shared" si="104"/>
        <v>713.53750577270955</v>
      </c>
      <c r="J121" s="1461">
        <f t="shared" si="105"/>
        <v>196.02769330337475</v>
      </c>
      <c r="K121" s="1461">
        <f t="shared" si="106"/>
        <v>50878.606941217316</v>
      </c>
      <c r="L121" s="2571">
        <f t="shared" si="107"/>
        <v>51788.172140293398</v>
      </c>
      <c r="M121" s="1461">
        <f t="shared" si="108"/>
        <v>14.09701121236867</v>
      </c>
      <c r="N121" s="1461">
        <f t="shared" si="97"/>
        <v>412171.26884372352</v>
      </c>
      <c r="O121" s="1018"/>
      <c r="P121" s="1018"/>
      <c r="Q121" s="1018"/>
      <c r="R121" s="1018">
        <v>25</v>
      </c>
      <c r="S121" s="13"/>
      <c r="T121" s="13"/>
      <c r="U121" s="451"/>
      <c r="V121" s="451"/>
      <c r="W121" s="1018"/>
      <c r="X121" s="1018"/>
      <c r="Y121" s="1018"/>
      <c r="Z121" s="1018"/>
      <c r="AA121" s="1018"/>
      <c r="AB121" s="2354"/>
      <c r="AC121" s="2354"/>
      <c r="AX121" s="2909">
        <f t="shared" si="109"/>
        <v>50878.606941217316</v>
      </c>
      <c r="AY121">
        <f t="shared" si="110"/>
        <v>50171.899422007256</v>
      </c>
      <c r="AZ121" s="2910">
        <f t="shared" si="111"/>
        <v>0</v>
      </c>
      <c r="BA121" s="2767">
        <f t="shared" si="112"/>
        <v>0</v>
      </c>
      <c r="BB121" s="2910">
        <f t="shared" si="113"/>
        <v>562.76733497093244</v>
      </c>
      <c r="BC121" s="2767">
        <f t="shared" si="114"/>
        <v>554.950456107695</v>
      </c>
      <c r="BD121" s="2910">
        <f t="shared" si="115"/>
        <v>309.21425054278853</v>
      </c>
      <c r="BE121" s="2767">
        <f t="shared" si="116"/>
        <v>304.91924230567298</v>
      </c>
      <c r="BF121" s="104"/>
      <c r="BG121" s="2910">
        <f t="shared" si="117"/>
        <v>0</v>
      </c>
      <c r="BH121" s="2767">
        <f t="shared" si="118"/>
        <v>0</v>
      </c>
      <c r="BI121" s="2910">
        <f t="shared" si="119"/>
        <v>-562.76733497093244</v>
      </c>
      <c r="BJ121" s="2767">
        <f t="shared" si="120"/>
        <v>-89.877504191045404</v>
      </c>
      <c r="BK121" s="2910">
        <f t="shared" si="121"/>
        <v>-309.21425054278853</v>
      </c>
      <c r="BL121" s="2767">
        <f t="shared" si="122"/>
        <v>-49.38347230214756</v>
      </c>
      <c r="BM121" s="2896">
        <f t="shared" si="123"/>
        <v>0</v>
      </c>
      <c r="BN121" s="2896">
        <f t="shared" si="124"/>
        <v>51017.867917710515</v>
      </c>
      <c r="BP121" s="2896">
        <f t="shared" si="125"/>
        <v>50878.606941217316</v>
      </c>
      <c r="BR121">
        <f t="shared" si="126"/>
        <v>0.98610992789117524</v>
      </c>
      <c r="BS121">
        <f t="shared" si="127"/>
        <v>0.15970632729720832</v>
      </c>
    </row>
    <row r="122" spans="1:71" ht="15.75">
      <c r="A122" s="2351">
        <v>24</v>
      </c>
      <c r="B122" s="2389">
        <f t="shared" si="98"/>
        <v>2.2930232558139534</v>
      </c>
      <c r="C122" s="2390">
        <f t="shared" si="99"/>
        <v>0</v>
      </c>
      <c r="D122" s="2569">
        <f t="shared" si="100"/>
        <v>3754.2723665615231</v>
      </c>
      <c r="E122" s="2569">
        <f t="shared" si="101"/>
        <v>1031.3982742262244</v>
      </c>
      <c r="F122" s="2569">
        <f t="shared" si="102"/>
        <v>0</v>
      </c>
      <c r="G122" s="2390"/>
      <c r="H122" s="1461">
        <f t="shared" si="103"/>
        <v>0</v>
      </c>
      <c r="I122" s="1461">
        <f t="shared" si="104"/>
        <v>713.53750577270955</v>
      </c>
      <c r="J122" s="1461">
        <f t="shared" si="105"/>
        <v>196.02769330337475</v>
      </c>
      <c r="K122" s="1461">
        <f t="shared" si="106"/>
        <v>50892.508143927422</v>
      </c>
      <c r="L122" s="2571">
        <f t="shared" si="107"/>
        <v>51802.073343003503</v>
      </c>
      <c r="M122" s="1461">
        <f t="shared" si="108"/>
        <v>13.901202710105281</v>
      </c>
      <c r="N122" s="1461">
        <f t="shared" si="97"/>
        <v>400294.78007230308</v>
      </c>
      <c r="O122" s="1018"/>
      <c r="P122" s="1018"/>
      <c r="Q122" s="1018"/>
      <c r="R122" s="1018">
        <v>26</v>
      </c>
      <c r="S122" s="13"/>
      <c r="T122" s="13"/>
      <c r="U122" s="451"/>
      <c r="V122" s="451"/>
      <c r="W122" s="1018"/>
      <c r="X122" s="1018"/>
      <c r="Y122" s="1018"/>
      <c r="Z122" s="1018"/>
      <c r="AA122" s="1018"/>
      <c r="AB122" s="2354"/>
      <c r="AC122" s="2354"/>
      <c r="AX122" s="2909">
        <f t="shared" si="109"/>
        <v>50892.508143927422</v>
      </c>
      <c r="AY122">
        <f t="shared" si="110"/>
        <v>50185.607536009316</v>
      </c>
      <c r="AZ122" s="2910">
        <f t="shared" si="111"/>
        <v>0</v>
      </c>
      <c r="BA122" s="2767">
        <f t="shared" si="112"/>
        <v>0</v>
      </c>
      <c r="BB122" s="2910">
        <f t="shared" si="113"/>
        <v>562.76733497093244</v>
      </c>
      <c r="BC122" s="2767">
        <f t="shared" si="114"/>
        <v>554.950456107695</v>
      </c>
      <c r="BD122" s="2910">
        <f t="shared" si="115"/>
        <v>309.21425054278853</v>
      </c>
      <c r="BE122" s="2767">
        <f t="shared" si="116"/>
        <v>304.91924230567298</v>
      </c>
      <c r="BF122" s="104"/>
      <c r="BG122" s="2910">
        <f t="shared" si="117"/>
        <v>0</v>
      </c>
      <c r="BH122" s="2767">
        <f t="shared" si="118"/>
        <v>0</v>
      </c>
      <c r="BI122" s="2910">
        <f t="shared" si="119"/>
        <v>-562.76733497093244</v>
      </c>
      <c r="BJ122" s="2767">
        <f t="shared" si="120"/>
        <v>-89.877504191045404</v>
      </c>
      <c r="BK122" s="2910">
        <f t="shared" si="121"/>
        <v>-309.21425054278853</v>
      </c>
      <c r="BL122" s="2767">
        <f t="shared" si="122"/>
        <v>-49.38347230214756</v>
      </c>
      <c r="BM122" s="2896">
        <f t="shared" si="123"/>
        <v>0</v>
      </c>
      <c r="BN122" s="2896">
        <f t="shared" si="124"/>
        <v>51031.76912042062</v>
      </c>
      <c r="BP122" s="2896">
        <f t="shared" si="125"/>
        <v>50892.508143927422</v>
      </c>
      <c r="BR122">
        <f t="shared" si="126"/>
        <v>0.98610992789117524</v>
      </c>
      <c r="BS122">
        <f t="shared" si="127"/>
        <v>0.15970632729720832</v>
      </c>
    </row>
    <row r="123" spans="1:71" ht="15.75">
      <c r="A123" s="2351">
        <v>25</v>
      </c>
      <c r="B123" s="2389">
        <f t="shared" si="98"/>
        <v>2.2930232558139534</v>
      </c>
      <c r="C123" s="2390">
        <f t="shared" si="99"/>
        <v>0</v>
      </c>
      <c r="D123" s="2569">
        <f t="shared" si="100"/>
        <v>3754.2723665615231</v>
      </c>
      <c r="E123" s="2569">
        <f t="shared" si="101"/>
        <v>1031.3982742262244</v>
      </c>
      <c r="F123" s="2569">
        <f t="shared" si="102"/>
        <v>0</v>
      </c>
      <c r="G123" s="2390"/>
      <c r="H123" s="1461">
        <f t="shared" si="103"/>
        <v>0</v>
      </c>
      <c r="I123" s="1461">
        <f t="shared" si="104"/>
        <v>713.53750577270955</v>
      </c>
      <c r="J123" s="1461">
        <f t="shared" si="105"/>
        <v>196.02769330337475</v>
      </c>
      <c r="K123" s="1461">
        <f t="shared" si="106"/>
        <v>50906.216257929489</v>
      </c>
      <c r="L123" s="2571">
        <f t="shared" si="107"/>
        <v>51815.781457005571</v>
      </c>
      <c r="M123" s="1461">
        <f t="shared" si="108"/>
        <v>13.708114002067305</v>
      </c>
      <c r="N123" s="1461">
        <f t="shared" si="97"/>
        <v>389327.54507015186</v>
      </c>
      <c r="O123" s="1018"/>
      <c r="P123" s="1018"/>
      <c r="Q123" s="1018"/>
      <c r="R123" s="1018">
        <v>27</v>
      </c>
      <c r="S123" s="13">
        <v>2.2799999999999998</v>
      </c>
      <c r="T123" s="13">
        <v>2.27</v>
      </c>
      <c r="U123" s="451"/>
      <c r="V123" s="451"/>
      <c r="W123" s="1018"/>
      <c r="X123" s="1018"/>
      <c r="Y123" s="1018"/>
      <c r="Z123" s="1018"/>
      <c r="AA123" s="1018"/>
      <c r="AB123" s="2354"/>
      <c r="AC123" s="2354"/>
      <c r="AX123" s="2909">
        <f t="shared" si="109"/>
        <v>50906.216257929489</v>
      </c>
      <c r="AY123">
        <f t="shared" si="110"/>
        <v>50199.125243319424</v>
      </c>
      <c r="AZ123" s="2910">
        <f t="shared" si="111"/>
        <v>0</v>
      </c>
      <c r="BA123" s="2767">
        <f t="shared" si="112"/>
        <v>0</v>
      </c>
      <c r="BB123" s="2910">
        <f t="shared" si="113"/>
        <v>562.76733497093244</v>
      </c>
      <c r="BC123" s="2767">
        <f t="shared" si="114"/>
        <v>554.950456107695</v>
      </c>
      <c r="BD123" s="2910">
        <f t="shared" si="115"/>
        <v>309.21425054278853</v>
      </c>
      <c r="BE123" s="2767">
        <f t="shared" si="116"/>
        <v>304.91924230567298</v>
      </c>
      <c r="BF123" s="104"/>
      <c r="BG123" s="2910">
        <f t="shared" si="117"/>
        <v>0</v>
      </c>
      <c r="BH123" s="2767">
        <f t="shared" si="118"/>
        <v>0</v>
      </c>
      <c r="BI123" s="2910">
        <f t="shared" si="119"/>
        <v>-562.76733497093244</v>
      </c>
      <c r="BJ123" s="2767">
        <f t="shared" si="120"/>
        <v>-89.877504191045404</v>
      </c>
      <c r="BK123" s="2910">
        <f t="shared" si="121"/>
        <v>-309.21425054278853</v>
      </c>
      <c r="BL123" s="2767">
        <f t="shared" si="122"/>
        <v>-49.38347230214756</v>
      </c>
      <c r="BM123" s="2896">
        <f t="shared" si="123"/>
        <v>0</v>
      </c>
      <c r="BN123" s="2896">
        <f t="shared" si="124"/>
        <v>51045.477234422688</v>
      </c>
      <c r="BP123" s="2896">
        <f t="shared" si="125"/>
        <v>50906.216257929489</v>
      </c>
      <c r="BR123">
        <f t="shared" si="126"/>
        <v>0.98610992789117524</v>
      </c>
      <c r="BS123">
        <f t="shared" si="127"/>
        <v>0.15970632729720832</v>
      </c>
    </row>
    <row r="124" spans="1:71" ht="15.75">
      <c r="A124" s="2351">
        <v>26</v>
      </c>
      <c r="B124" s="2389">
        <f t="shared" si="98"/>
        <v>2.2930232558139534</v>
      </c>
      <c r="C124" s="2390">
        <f t="shared" si="99"/>
        <v>0</v>
      </c>
      <c r="D124" s="2569">
        <f t="shared" si="100"/>
        <v>3754.2723665615231</v>
      </c>
      <c r="E124" s="2569">
        <f t="shared" si="101"/>
        <v>1031.3982742262244</v>
      </c>
      <c r="F124" s="2569">
        <f t="shared" si="102"/>
        <v>0</v>
      </c>
      <c r="G124" s="2390"/>
      <c r="H124" s="1461">
        <f t="shared" si="103"/>
        <v>0</v>
      </c>
      <c r="I124" s="1461">
        <f t="shared" si="104"/>
        <v>713.53750577270955</v>
      </c>
      <c r="J124" s="1461">
        <f t="shared" si="105"/>
        <v>196.02769330337475</v>
      </c>
      <c r="K124" s="1461">
        <f t="shared" si="106"/>
        <v>50919.733965239589</v>
      </c>
      <c r="L124" s="2571">
        <f t="shared" si="107"/>
        <v>51829.299164315671</v>
      </c>
      <c r="M124" s="1461">
        <f t="shared" si="108"/>
        <v>13.517707310100377</v>
      </c>
      <c r="N124" s="1461">
        <f t="shared" si="97"/>
        <v>379161.52619138593</v>
      </c>
      <c r="O124" s="1018"/>
      <c r="P124" s="1018"/>
      <c r="Q124" s="1018"/>
      <c r="R124" s="1018">
        <v>28</v>
      </c>
      <c r="S124" s="13"/>
      <c r="T124" s="13"/>
      <c r="U124" s="451"/>
      <c r="V124" s="451"/>
      <c r="W124" s="1018"/>
      <c r="X124" s="1018"/>
      <c r="Y124" s="1018"/>
      <c r="Z124" s="1018"/>
      <c r="AA124" s="1018"/>
      <c r="AB124" s="2354"/>
      <c r="AC124" s="2354"/>
      <c r="AX124" s="2909">
        <f t="shared" si="109"/>
        <v>50919.733965239589</v>
      </c>
      <c r="AY124">
        <f t="shared" si="110"/>
        <v>50212.455188700238</v>
      </c>
      <c r="AZ124" s="2910">
        <f t="shared" si="111"/>
        <v>0</v>
      </c>
      <c r="BA124" s="2767">
        <f t="shared" si="112"/>
        <v>0</v>
      </c>
      <c r="BB124" s="2910">
        <f t="shared" si="113"/>
        <v>562.76733497093244</v>
      </c>
      <c r="BC124" s="2767">
        <f t="shared" si="114"/>
        <v>554.950456107695</v>
      </c>
      <c r="BD124" s="2910">
        <f t="shared" si="115"/>
        <v>309.21425054278853</v>
      </c>
      <c r="BE124" s="2767">
        <f t="shared" si="116"/>
        <v>304.91924230567298</v>
      </c>
      <c r="BF124" s="104"/>
      <c r="BG124" s="2910">
        <f t="shared" si="117"/>
        <v>0</v>
      </c>
      <c r="BH124" s="2767">
        <f t="shared" si="118"/>
        <v>0</v>
      </c>
      <c r="BI124" s="2910">
        <f t="shared" si="119"/>
        <v>-562.76733497093244</v>
      </c>
      <c r="BJ124" s="2767">
        <f t="shared" si="120"/>
        <v>-89.877504191045404</v>
      </c>
      <c r="BK124" s="2910">
        <f t="shared" si="121"/>
        <v>-309.21425054278853</v>
      </c>
      <c r="BL124" s="2767">
        <f t="shared" si="122"/>
        <v>-49.38347230214756</v>
      </c>
      <c r="BM124" s="2896">
        <f t="shared" si="123"/>
        <v>0</v>
      </c>
      <c r="BN124" s="2896">
        <f t="shared" si="124"/>
        <v>51058.994941732788</v>
      </c>
      <c r="BP124" s="2896">
        <f t="shared" si="125"/>
        <v>50919.733965239589</v>
      </c>
      <c r="BR124">
        <f t="shared" si="126"/>
        <v>0.98610992789117524</v>
      </c>
      <c r="BS124">
        <f t="shared" si="127"/>
        <v>0.15970632729720832</v>
      </c>
    </row>
    <row r="125" spans="1:71" ht="15.75">
      <c r="A125" s="2351">
        <v>27</v>
      </c>
      <c r="B125" s="2389">
        <f t="shared" si="98"/>
        <v>2.2930232558139534</v>
      </c>
      <c r="C125" s="2390">
        <f t="shared" si="99"/>
        <v>0</v>
      </c>
      <c r="D125" s="2569">
        <f t="shared" si="100"/>
        <v>3754.2723665615231</v>
      </c>
      <c r="E125" s="2569">
        <f t="shared" si="101"/>
        <v>1031.3982742262244</v>
      </c>
      <c r="F125" s="2569">
        <f t="shared" si="102"/>
        <v>0</v>
      </c>
      <c r="G125" s="2390"/>
      <c r="H125" s="1461">
        <f t="shared" si="103"/>
        <v>0</v>
      </c>
      <c r="I125" s="1461">
        <f t="shared" si="104"/>
        <v>713.53750577270955</v>
      </c>
      <c r="J125" s="1461">
        <f t="shared" si="105"/>
        <v>196.02769330337475</v>
      </c>
      <c r="K125" s="1461">
        <f t="shared" si="106"/>
        <v>50933.063910620411</v>
      </c>
      <c r="L125" s="2571">
        <f t="shared" si="107"/>
        <v>51842.629109696492</v>
      </c>
      <c r="M125" s="1461">
        <f t="shared" si="108"/>
        <v>13.3299453808213</v>
      </c>
      <c r="N125" s="1461">
        <f t="shared" si="97"/>
        <v>369705.29263818695</v>
      </c>
      <c r="O125" s="1018"/>
      <c r="P125" s="1018"/>
      <c r="Q125" s="1018"/>
      <c r="R125" s="1018">
        <v>29</v>
      </c>
      <c r="S125" s="13"/>
      <c r="T125" s="13"/>
      <c r="U125" s="451"/>
      <c r="V125" s="451"/>
      <c r="W125" s="1018"/>
      <c r="X125" s="1018"/>
      <c r="Y125" s="1018"/>
      <c r="Z125" s="1018"/>
      <c r="AA125" s="1018"/>
      <c r="AB125" s="2354"/>
      <c r="AC125" s="2354"/>
      <c r="AX125" s="2909">
        <f t="shared" si="109"/>
        <v>50933.063910620411</v>
      </c>
      <c r="AY125">
        <f t="shared" si="110"/>
        <v>50225.599980178515</v>
      </c>
      <c r="AZ125" s="2910">
        <f t="shared" si="111"/>
        <v>0</v>
      </c>
      <c r="BA125" s="2767">
        <f t="shared" si="112"/>
        <v>0</v>
      </c>
      <c r="BB125" s="2910">
        <f t="shared" si="113"/>
        <v>562.76733497093244</v>
      </c>
      <c r="BC125" s="2767">
        <f t="shared" si="114"/>
        <v>554.950456107695</v>
      </c>
      <c r="BD125" s="2910">
        <f t="shared" si="115"/>
        <v>309.21425054278853</v>
      </c>
      <c r="BE125" s="2767">
        <f t="shared" si="116"/>
        <v>304.91924230567298</v>
      </c>
      <c r="BF125" s="104"/>
      <c r="BG125" s="2910">
        <f t="shared" si="117"/>
        <v>0</v>
      </c>
      <c r="BH125" s="2767">
        <f t="shared" si="118"/>
        <v>0</v>
      </c>
      <c r="BI125" s="2910">
        <f t="shared" si="119"/>
        <v>-562.76733497093244</v>
      </c>
      <c r="BJ125" s="2767">
        <f t="shared" si="120"/>
        <v>-89.877504191045404</v>
      </c>
      <c r="BK125" s="2910">
        <f t="shared" si="121"/>
        <v>-309.21425054278853</v>
      </c>
      <c r="BL125" s="2767">
        <f t="shared" si="122"/>
        <v>-49.38347230214756</v>
      </c>
      <c r="BM125" s="2896">
        <f t="shared" si="123"/>
        <v>0</v>
      </c>
      <c r="BN125" s="2896">
        <f t="shared" si="124"/>
        <v>51072.324887113609</v>
      </c>
      <c r="BP125" s="2896">
        <f t="shared" si="125"/>
        <v>50933.063910620411</v>
      </c>
      <c r="BR125">
        <f t="shared" si="126"/>
        <v>0.98610992789117524</v>
      </c>
      <c r="BS125">
        <f t="shared" si="127"/>
        <v>0.15970632729720832</v>
      </c>
    </row>
    <row r="126" spans="1:71" ht="15.75">
      <c r="A126" s="2351">
        <v>28</v>
      </c>
      <c r="B126" s="2389">
        <f t="shared" si="98"/>
        <v>2.2930232558139534</v>
      </c>
      <c r="C126" s="2390">
        <f t="shared" si="99"/>
        <v>0</v>
      </c>
      <c r="D126" s="2569">
        <f t="shared" si="100"/>
        <v>3754.2723665615231</v>
      </c>
      <c r="E126" s="2569">
        <f t="shared" si="101"/>
        <v>1031.3982742262244</v>
      </c>
      <c r="F126" s="2569">
        <f t="shared" si="102"/>
        <v>0</v>
      </c>
      <c r="G126" s="2390"/>
      <c r="H126" s="1461">
        <f t="shared" si="103"/>
        <v>0</v>
      </c>
      <c r="I126" s="1461">
        <f t="shared" si="104"/>
        <v>713.53750577270955</v>
      </c>
      <c r="J126" s="1461">
        <f t="shared" si="105"/>
        <v>196.02769330337475</v>
      </c>
      <c r="K126" s="1461">
        <f t="shared" si="106"/>
        <v>50946.20870209868</v>
      </c>
      <c r="L126" s="2571">
        <f t="shared" si="107"/>
        <v>51855.773901174762</v>
      </c>
      <c r="M126" s="1461">
        <f t="shared" si="108"/>
        <v>13.144791478269326</v>
      </c>
      <c r="N126" s="1461">
        <f t="shared" si="97"/>
        <v>360880.94531020569</v>
      </c>
      <c r="O126" s="1018"/>
      <c r="P126" s="1018"/>
      <c r="Q126" s="1018"/>
      <c r="R126" s="1018">
        <v>30</v>
      </c>
      <c r="S126" s="13"/>
      <c r="T126" s="13"/>
      <c r="U126" s="451"/>
      <c r="V126" s="451"/>
      <c r="W126" s="1018"/>
      <c r="X126" s="1018"/>
      <c r="Y126" s="1018"/>
      <c r="Z126" s="1018"/>
      <c r="AA126" s="1018"/>
      <c r="AC126" s="2354"/>
      <c r="AX126" s="2909">
        <f t="shared" si="109"/>
        <v>50946.20870209868</v>
      </c>
      <c r="AY126">
        <f t="shared" si="110"/>
        <v>50238.56218955529</v>
      </c>
      <c r="AZ126" s="2910">
        <f t="shared" si="111"/>
        <v>0</v>
      </c>
      <c r="BA126" s="2767">
        <f t="shared" si="112"/>
        <v>0</v>
      </c>
      <c r="BB126" s="2910">
        <f t="shared" si="113"/>
        <v>562.76733497093244</v>
      </c>
      <c r="BC126" s="2767">
        <f t="shared" si="114"/>
        <v>554.950456107695</v>
      </c>
      <c r="BD126" s="2910">
        <f t="shared" si="115"/>
        <v>309.21425054278853</v>
      </c>
      <c r="BE126" s="2767">
        <f t="shared" si="116"/>
        <v>304.91924230567298</v>
      </c>
      <c r="BF126" s="104"/>
      <c r="BG126" s="2910">
        <f t="shared" si="117"/>
        <v>0</v>
      </c>
      <c r="BH126" s="2767">
        <f t="shared" si="118"/>
        <v>0</v>
      </c>
      <c r="BI126" s="2910">
        <f t="shared" si="119"/>
        <v>-562.76733497093244</v>
      </c>
      <c r="BJ126" s="2767">
        <f t="shared" si="120"/>
        <v>-89.877504191045404</v>
      </c>
      <c r="BK126" s="2910">
        <f t="shared" si="121"/>
        <v>-309.21425054278853</v>
      </c>
      <c r="BL126" s="2767">
        <f t="shared" si="122"/>
        <v>-49.38347230214756</v>
      </c>
      <c r="BM126" s="2896">
        <f t="shared" si="123"/>
        <v>0</v>
      </c>
      <c r="BN126" s="2896">
        <f t="shared" si="124"/>
        <v>51085.469678591879</v>
      </c>
      <c r="BP126" s="2896">
        <f t="shared" si="125"/>
        <v>50946.20870209868</v>
      </c>
      <c r="BR126">
        <f t="shared" si="126"/>
        <v>0.98610992789117524</v>
      </c>
      <c r="BS126">
        <f t="shared" si="127"/>
        <v>0.15970632729720832</v>
      </c>
    </row>
    <row r="127" spans="1:71" ht="15.75">
      <c r="A127" s="2351">
        <v>29</v>
      </c>
      <c r="B127" s="2389">
        <f t="shared" si="98"/>
        <v>2.2930232558139534</v>
      </c>
      <c r="C127" s="2390">
        <f t="shared" si="99"/>
        <v>0</v>
      </c>
      <c r="D127" s="2569">
        <f t="shared" si="100"/>
        <v>3754.2723665615231</v>
      </c>
      <c r="E127" s="2569">
        <f t="shared" si="101"/>
        <v>1031.3982742262244</v>
      </c>
      <c r="F127" s="2569">
        <f t="shared" si="102"/>
        <v>0</v>
      </c>
      <c r="G127" s="2390"/>
      <c r="H127" s="1461">
        <f t="shared" si="103"/>
        <v>0</v>
      </c>
      <c r="I127" s="1461">
        <f t="shared" si="104"/>
        <v>713.53750577270955</v>
      </c>
      <c r="J127" s="1461">
        <f t="shared" si="105"/>
        <v>196.02769330337475</v>
      </c>
      <c r="K127" s="1461">
        <f t="shared" si="106"/>
        <v>50959.170911475463</v>
      </c>
      <c r="L127" s="2571">
        <f t="shared" si="107"/>
        <v>51868.736110551545</v>
      </c>
      <c r="M127" s="1461">
        <f t="shared" si="108"/>
        <v>12.962209376782994</v>
      </c>
      <c r="N127" s="1461">
        <f t="shared" si="97"/>
        <v>352621.70061226375</v>
      </c>
      <c r="O127" s="1018"/>
      <c r="P127" s="1018"/>
      <c r="Q127" s="1018"/>
      <c r="R127" s="1018">
        <v>31</v>
      </c>
      <c r="S127" s="13"/>
      <c r="T127" s="13"/>
      <c r="U127" s="451"/>
      <c r="V127" s="451"/>
      <c r="W127" s="1018"/>
      <c r="X127" s="1018"/>
      <c r="Y127" s="1018"/>
      <c r="Z127" s="1018"/>
      <c r="AA127" s="1018"/>
      <c r="AC127" s="2354"/>
      <c r="AX127" s="2909">
        <f t="shared" si="109"/>
        <v>50959.170911475463</v>
      </c>
      <c r="AY127">
        <f t="shared" si="110"/>
        <v>50251.344352909146</v>
      </c>
      <c r="AZ127" s="2910">
        <f t="shared" si="111"/>
        <v>0</v>
      </c>
      <c r="BA127" s="2767">
        <f t="shared" si="112"/>
        <v>0</v>
      </c>
      <c r="BB127" s="2910">
        <f t="shared" si="113"/>
        <v>562.76733497093244</v>
      </c>
      <c r="BC127" s="2767">
        <f t="shared" si="114"/>
        <v>554.950456107695</v>
      </c>
      <c r="BD127" s="2910">
        <f t="shared" si="115"/>
        <v>309.21425054278853</v>
      </c>
      <c r="BE127" s="2767">
        <f t="shared" si="116"/>
        <v>304.91924230567298</v>
      </c>
      <c r="BF127" s="104"/>
      <c r="BG127" s="2910">
        <f t="shared" si="117"/>
        <v>0</v>
      </c>
      <c r="BH127" s="2767">
        <f t="shared" si="118"/>
        <v>0</v>
      </c>
      <c r="BI127" s="2910">
        <f t="shared" si="119"/>
        <v>-562.76733497093244</v>
      </c>
      <c r="BJ127" s="2767">
        <f t="shared" si="120"/>
        <v>-89.877504191045404</v>
      </c>
      <c r="BK127" s="2910">
        <f t="shared" si="121"/>
        <v>-309.21425054278853</v>
      </c>
      <c r="BL127" s="2767">
        <f t="shared" si="122"/>
        <v>-49.38347230214756</v>
      </c>
      <c r="BM127" s="2896">
        <f t="shared" si="123"/>
        <v>0</v>
      </c>
      <c r="BN127" s="2896">
        <f t="shared" si="124"/>
        <v>51098.431887968662</v>
      </c>
      <c r="BP127" s="2896">
        <f t="shared" si="125"/>
        <v>50959.170911475463</v>
      </c>
      <c r="BR127">
        <f t="shared" si="126"/>
        <v>0.98610992789117524</v>
      </c>
      <c r="BS127">
        <f t="shared" si="127"/>
        <v>0.15970632729720832</v>
      </c>
    </row>
    <row r="128" spans="1:71" ht="15.75">
      <c r="A128" s="2351">
        <v>30</v>
      </c>
      <c r="B128" s="2389">
        <f t="shared" si="98"/>
        <v>2.2930232558139534</v>
      </c>
      <c r="C128" s="2390">
        <f t="shared" si="99"/>
        <v>0</v>
      </c>
      <c r="D128" s="2569">
        <f t="shared" si="100"/>
        <v>3754.2723665615231</v>
      </c>
      <c r="E128" s="2569">
        <f t="shared" si="101"/>
        <v>1031.3982742262244</v>
      </c>
      <c r="F128" s="2569">
        <f t="shared" si="102"/>
        <v>0</v>
      </c>
      <c r="G128" s="2390"/>
      <c r="H128" s="1461">
        <f t="shared" si="103"/>
        <v>0</v>
      </c>
      <c r="I128" s="1461">
        <f t="shared" si="104"/>
        <v>713.53750577270955</v>
      </c>
      <c r="J128" s="1461">
        <f t="shared" si="105"/>
        <v>196.02769330337475</v>
      </c>
      <c r="K128" s="1461">
        <f t="shared" si="106"/>
        <v>50971.953074829311</v>
      </c>
      <c r="L128" s="2571">
        <f t="shared" si="107"/>
        <v>51881.518273905393</v>
      </c>
      <c r="M128" s="1461">
        <f t="shared" si="108"/>
        <v>12.782163353847864</v>
      </c>
      <c r="N128" s="1461">
        <f t="shared" si="97"/>
        <v>344869.97416144353</v>
      </c>
      <c r="O128" s="1018"/>
      <c r="P128" s="1018"/>
      <c r="Q128" s="1018"/>
      <c r="R128" s="1018">
        <v>32</v>
      </c>
      <c r="S128" s="13"/>
      <c r="T128" s="13"/>
      <c r="U128" s="451"/>
      <c r="V128" s="451"/>
      <c r="W128" s="1018"/>
      <c r="X128" s="1018"/>
      <c r="Y128" s="1018"/>
      <c r="Z128" s="1018"/>
      <c r="AA128" s="1018"/>
      <c r="AX128" s="2909">
        <f t="shared" si="109"/>
        <v>50971.953074829311</v>
      </c>
      <c r="AY128">
        <f t="shared" si="110"/>
        <v>50263.948971092301</v>
      </c>
      <c r="AZ128" s="2910">
        <f t="shared" si="111"/>
        <v>0</v>
      </c>
      <c r="BA128" s="2767">
        <f t="shared" si="112"/>
        <v>0</v>
      </c>
      <c r="BB128" s="2910">
        <f t="shared" si="113"/>
        <v>562.76733497093244</v>
      </c>
      <c r="BC128" s="2767">
        <f t="shared" si="114"/>
        <v>554.950456107695</v>
      </c>
      <c r="BD128" s="2910">
        <f t="shared" si="115"/>
        <v>309.21425054278853</v>
      </c>
      <c r="BE128" s="2767">
        <f t="shared" si="116"/>
        <v>304.91924230567298</v>
      </c>
      <c r="BF128" s="104"/>
      <c r="BG128" s="2910">
        <f t="shared" si="117"/>
        <v>0</v>
      </c>
      <c r="BH128" s="2767">
        <f t="shared" si="118"/>
        <v>0</v>
      </c>
      <c r="BI128" s="2910">
        <f t="shared" si="119"/>
        <v>-562.76733497093244</v>
      </c>
      <c r="BJ128" s="2767">
        <f t="shared" si="120"/>
        <v>-89.877504191045404</v>
      </c>
      <c r="BK128" s="2910">
        <f t="shared" si="121"/>
        <v>-309.21425054278853</v>
      </c>
      <c r="BL128" s="2767">
        <f t="shared" si="122"/>
        <v>-49.38347230214756</v>
      </c>
      <c r="BM128" s="2896">
        <f t="shared" si="123"/>
        <v>0</v>
      </c>
      <c r="BN128" s="2896">
        <f t="shared" si="124"/>
        <v>51111.214051322509</v>
      </c>
      <c r="BP128" s="2896">
        <f t="shared" si="125"/>
        <v>50971.953074829311</v>
      </c>
      <c r="BR128">
        <f t="shared" si="126"/>
        <v>0.98610992789117524</v>
      </c>
      <c r="BS128">
        <f t="shared" si="127"/>
        <v>0.15970632729720832</v>
      </c>
    </row>
    <row r="129" spans="1:71" ht="15.75">
      <c r="A129" s="2351">
        <v>31</v>
      </c>
      <c r="B129" s="2389">
        <f t="shared" si="98"/>
        <v>2.2930232558139534</v>
      </c>
      <c r="C129" s="2390">
        <f t="shared" si="99"/>
        <v>0</v>
      </c>
      <c r="D129" s="2569">
        <f t="shared" si="100"/>
        <v>3754.2723665615231</v>
      </c>
      <c r="E129" s="2569">
        <f t="shared" si="101"/>
        <v>1031.3982742262244</v>
      </c>
      <c r="F129" s="2569">
        <f t="shared" si="102"/>
        <v>0</v>
      </c>
      <c r="G129" s="2390"/>
      <c r="H129" s="1461">
        <f t="shared" si="103"/>
        <v>0</v>
      </c>
      <c r="I129" s="1461">
        <f t="shared" si="104"/>
        <v>713.53750577270955</v>
      </c>
      <c r="J129" s="1461">
        <f t="shared" si="105"/>
        <v>196.02769330337475</v>
      </c>
      <c r="K129" s="1461">
        <f t="shared" si="106"/>
        <v>50984.557693012466</v>
      </c>
      <c r="L129" s="2571">
        <f t="shared" si="107"/>
        <v>51894.122892088548</v>
      </c>
      <c r="M129" s="1461">
        <f t="shared" si="108"/>
        <v>12.604618183155253</v>
      </c>
      <c r="N129" s="1461">
        <f t="shared" si="97"/>
        <v>337575.84775044717</v>
      </c>
      <c r="O129" s="1018"/>
      <c r="P129" s="1018"/>
      <c r="Q129" s="1018"/>
      <c r="R129" s="1018">
        <v>33</v>
      </c>
      <c r="S129" s="13"/>
      <c r="T129" s="13"/>
      <c r="U129" s="451"/>
      <c r="V129" s="451"/>
      <c r="W129" s="1018"/>
      <c r="X129" s="1018"/>
      <c r="Y129" s="1018"/>
      <c r="Z129" s="1018"/>
      <c r="AA129" s="1018"/>
      <c r="AX129" s="2909">
        <f t="shared" si="109"/>
        <v>50984.557693012466</v>
      </c>
      <c r="AY129">
        <f t="shared" si="110"/>
        <v>50276.378510219984</v>
      </c>
      <c r="AZ129" s="2910">
        <f t="shared" si="111"/>
        <v>0</v>
      </c>
      <c r="BA129" s="2767">
        <f t="shared" si="112"/>
        <v>0</v>
      </c>
      <c r="BB129" s="2910">
        <f t="shared" si="113"/>
        <v>562.76733497093244</v>
      </c>
      <c r="BC129" s="2767">
        <f t="shared" si="114"/>
        <v>554.950456107695</v>
      </c>
      <c r="BD129" s="2910">
        <f t="shared" si="115"/>
        <v>309.21425054278853</v>
      </c>
      <c r="BE129" s="2767">
        <f t="shared" si="116"/>
        <v>304.91924230567298</v>
      </c>
      <c r="BF129" s="104"/>
      <c r="BG129" s="2910">
        <f t="shared" si="117"/>
        <v>0</v>
      </c>
      <c r="BH129" s="2767">
        <f t="shared" si="118"/>
        <v>0</v>
      </c>
      <c r="BI129" s="2910">
        <f t="shared" si="119"/>
        <v>-562.76733497093244</v>
      </c>
      <c r="BJ129" s="2767">
        <f t="shared" si="120"/>
        <v>-89.877504191045404</v>
      </c>
      <c r="BK129" s="2910">
        <f t="shared" si="121"/>
        <v>-309.21425054278853</v>
      </c>
      <c r="BL129" s="2767">
        <f t="shared" si="122"/>
        <v>-49.38347230214756</v>
      </c>
      <c r="BM129" s="2896">
        <f t="shared" si="123"/>
        <v>0</v>
      </c>
      <c r="BN129" s="2896">
        <f t="shared" si="124"/>
        <v>51123.818669505665</v>
      </c>
      <c r="BP129" s="2896">
        <f t="shared" si="125"/>
        <v>50984.557693012466</v>
      </c>
      <c r="BR129">
        <f t="shared" si="126"/>
        <v>0.98610992789117524</v>
      </c>
      <c r="BS129">
        <f t="shared" si="127"/>
        <v>0.15970632729720832</v>
      </c>
    </row>
    <row r="130" spans="1:71" ht="15.75">
      <c r="A130" s="2351">
        <v>32</v>
      </c>
      <c r="B130" s="2389">
        <f t="shared" si="98"/>
        <v>2.2930232558139534</v>
      </c>
      <c r="C130" s="2390">
        <f t="shared" si="99"/>
        <v>0</v>
      </c>
      <c r="D130" s="2569">
        <f t="shared" si="100"/>
        <v>3754.2723665615231</v>
      </c>
      <c r="E130" s="2569">
        <f t="shared" si="101"/>
        <v>1031.3982742262244</v>
      </c>
      <c r="F130" s="2569">
        <f t="shared" si="102"/>
        <v>0</v>
      </c>
      <c r="G130" s="2390"/>
      <c r="H130" s="1461">
        <f t="shared" si="103"/>
        <v>0</v>
      </c>
      <c r="I130" s="1461">
        <f t="shared" si="104"/>
        <v>713.53750577270955</v>
      </c>
      <c r="J130" s="1461">
        <f t="shared" si="105"/>
        <v>196.02769330337475</v>
      </c>
      <c r="K130" s="1461">
        <f t="shared" si="106"/>
        <v>50996.987232140156</v>
      </c>
      <c r="L130" s="2571">
        <f t="shared" si="107"/>
        <v>51906.552431216238</v>
      </c>
      <c r="M130" s="1461">
        <f t="shared" si="108"/>
        <v>12.429539127690077</v>
      </c>
      <c r="N130" s="1461">
        <f t="shared" si="97"/>
        <v>330695.83302549407</v>
      </c>
      <c r="O130" s="1018"/>
      <c r="P130" s="1018"/>
      <c r="Q130" s="1018"/>
      <c r="R130" s="1018">
        <v>34</v>
      </c>
      <c r="S130" s="13">
        <v>1.97</v>
      </c>
      <c r="T130" s="13">
        <v>1.91</v>
      </c>
      <c r="U130" s="451"/>
      <c r="V130" s="451"/>
      <c r="W130" s="1018"/>
      <c r="X130" s="1018"/>
      <c r="Y130" s="1018"/>
      <c r="Z130" s="1018"/>
      <c r="AA130" s="1018"/>
      <c r="AX130" s="2909">
        <f t="shared" si="109"/>
        <v>50996.987232140156</v>
      </c>
      <c r="AY130">
        <f t="shared" si="110"/>
        <v>50288.635402152911</v>
      </c>
      <c r="AZ130" s="2910">
        <f t="shared" si="111"/>
        <v>0</v>
      </c>
      <c r="BA130" s="2767">
        <f t="shared" si="112"/>
        <v>0</v>
      </c>
      <c r="BB130" s="2910">
        <f t="shared" si="113"/>
        <v>562.76733497093244</v>
      </c>
      <c r="BC130" s="2767">
        <f t="shared" si="114"/>
        <v>554.950456107695</v>
      </c>
      <c r="BD130" s="2910">
        <f t="shared" si="115"/>
        <v>309.21425054278853</v>
      </c>
      <c r="BE130" s="2767">
        <f t="shared" si="116"/>
        <v>304.91924230567298</v>
      </c>
      <c r="BF130" s="104"/>
      <c r="BG130" s="2910">
        <f t="shared" si="117"/>
        <v>0</v>
      </c>
      <c r="BH130" s="2767">
        <f t="shared" si="118"/>
        <v>0</v>
      </c>
      <c r="BI130" s="2910">
        <f t="shared" si="119"/>
        <v>-562.76733497093244</v>
      </c>
      <c r="BJ130" s="2767">
        <f t="shared" si="120"/>
        <v>-89.877504191045404</v>
      </c>
      <c r="BK130" s="2910">
        <f t="shared" si="121"/>
        <v>-309.21425054278853</v>
      </c>
      <c r="BL130" s="2767">
        <f t="shared" si="122"/>
        <v>-49.38347230214756</v>
      </c>
      <c r="BM130" s="2896">
        <f t="shared" si="123"/>
        <v>0</v>
      </c>
      <c r="BN130" s="2896">
        <f t="shared" si="124"/>
        <v>51136.248208633355</v>
      </c>
      <c r="BP130" s="2896">
        <f t="shared" si="125"/>
        <v>50996.987232140156</v>
      </c>
      <c r="BR130">
        <f t="shared" si="126"/>
        <v>0.98610992789117524</v>
      </c>
      <c r="BS130">
        <f t="shared" si="127"/>
        <v>0.15970632729720832</v>
      </c>
    </row>
    <row r="131" spans="1:71" ht="15.75">
      <c r="A131" s="2351">
        <v>33</v>
      </c>
      <c r="B131" s="2389">
        <f t="shared" si="98"/>
        <v>2.2930232558139534</v>
      </c>
      <c r="C131" s="2390">
        <f t="shared" si="99"/>
        <v>0</v>
      </c>
      <c r="D131" s="2569">
        <f t="shared" si="100"/>
        <v>3754.2723665615231</v>
      </c>
      <c r="E131" s="2569">
        <f t="shared" si="101"/>
        <v>1031.3982742262244</v>
      </c>
      <c r="F131" s="2569">
        <f t="shared" si="102"/>
        <v>0</v>
      </c>
      <c r="G131" s="2390"/>
      <c r="H131" s="1461">
        <f t="shared" si="103"/>
        <v>0</v>
      </c>
      <c r="I131" s="1461">
        <f t="shared" si="104"/>
        <v>713.53750577270955</v>
      </c>
      <c r="J131" s="1461">
        <f t="shared" si="105"/>
        <v>196.02769330337475</v>
      </c>
      <c r="K131" s="1461">
        <f t="shared" si="106"/>
        <v>51009.244124073084</v>
      </c>
      <c r="L131" s="2571">
        <f t="shared" si="107"/>
        <v>51918.809323149166</v>
      </c>
      <c r="M131" s="1461">
        <f t="shared" si="108"/>
        <v>12.256891932927829</v>
      </c>
      <c r="N131" s="1461">
        <f t="shared" si="97"/>
        <v>324191.8669724873</v>
      </c>
      <c r="O131" s="1018"/>
      <c r="P131" s="1018"/>
      <c r="Q131" s="1018"/>
      <c r="R131" s="1018">
        <v>35</v>
      </c>
      <c r="S131" s="13"/>
      <c r="T131" s="13"/>
      <c r="U131" s="451"/>
      <c r="V131" s="451"/>
      <c r="W131" s="1018"/>
      <c r="X131" s="1018"/>
      <c r="Y131" s="1018"/>
      <c r="Z131" s="1018"/>
      <c r="AA131" s="1018"/>
      <c r="AX131" s="2909">
        <f t="shared" si="109"/>
        <v>51009.244124073084</v>
      </c>
      <c r="AY131">
        <f t="shared" si="110"/>
        <v>50300.722044973067</v>
      </c>
      <c r="AZ131" s="2910">
        <f t="shared" si="111"/>
        <v>0</v>
      </c>
      <c r="BA131" s="2767">
        <f t="shared" si="112"/>
        <v>0</v>
      </c>
      <c r="BB131" s="2910">
        <f t="shared" si="113"/>
        <v>562.76733497093244</v>
      </c>
      <c r="BC131" s="2767">
        <f t="shared" si="114"/>
        <v>554.950456107695</v>
      </c>
      <c r="BD131" s="2910">
        <f t="shared" si="115"/>
        <v>309.21425054278853</v>
      </c>
      <c r="BE131" s="2767">
        <f t="shared" si="116"/>
        <v>304.91924230567298</v>
      </c>
      <c r="BF131" s="104"/>
      <c r="BG131" s="2910">
        <f t="shared" si="117"/>
        <v>0</v>
      </c>
      <c r="BH131" s="2767">
        <f t="shared" si="118"/>
        <v>0</v>
      </c>
      <c r="BI131" s="2910">
        <f t="shared" si="119"/>
        <v>-562.76733497093244</v>
      </c>
      <c r="BJ131" s="2767">
        <f t="shared" si="120"/>
        <v>-89.877504191045404</v>
      </c>
      <c r="BK131" s="2910">
        <f t="shared" si="121"/>
        <v>-309.21425054278853</v>
      </c>
      <c r="BL131" s="2767">
        <f t="shared" si="122"/>
        <v>-49.38347230214756</v>
      </c>
      <c r="BM131" s="2896">
        <f t="shared" si="123"/>
        <v>0</v>
      </c>
      <c r="BN131" s="2896">
        <f t="shared" si="124"/>
        <v>51148.505100566283</v>
      </c>
      <c r="BP131" s="2896">
        <f t="shared" si="125"/>
        <v>51009.244124073084</v>
      </c>
      <c r="BR131">
        <f t="shared" si="126"/>
        <v>0.98610992789117524</v>
      </c>
      <c r="BS131">
        <f t="shared" si="127"/>
        <v>0.15970632729720832</v>
      </c>
    </row>
    <row r="132" spans="1:71" ht="15.75">
      <c r="A132" s="2351">
        <v>34</v>
      </c>
      <c r="B132" s="2389">
        <f t="shared" si="98"/>
        <v>2.2930232558139534</v>
      </c>
      <c r="C132" s="2390">
        <f t="shared" si="99"/>
        <v>0</v>
      </c>
      <c r="D132" s="2569">
        <f t="shared" si="100"/>
        <v>3754.2723665615231</v>
      </c>
      <c r="E132" s="2569">
        <f t="shared" si="101"/>
        <v>1031.3982742262244</v>
      </c>
      <c r="F132" s="2569">
        <f t="shared" si="102"/>
        <v>0</v>
      </c>
      <c r="G132" s="2390"/>
      <c r="H132" s="1461">
        <f t="shared" si="103"/>
        <v>0</v>
      </c>
      <c r="I132" s="1461">
        <f t="shared" si="104"/>
        <v>713.53750577270955</v>
      </c>
      <c r="J132" s="1461">
        <f t="shared" si="105"/>
        <v>196.02769330337475</v>
      </c>
      <c r="K132" s="1461">
        <f t="shared" si="106"/>
        <v>51021.330766893232</v>
      </c>
      <c r="L132" s="2571">
        <f t="shared" si="107"/>
        <v>51930.895965969314</v>
      </c>
      <c r="M132" s="1461">
        <f t="shared" si="108"/>
        <v>12.086642820147972</v>
      </c>
      <c r="N132" s="1461">
        <f t="shared" ref="N132:N148" si="128">+(L132-L$98)*10000/A131</f>
        <v>318030.49004003254</v>
      </c>
      <c r="O132" s="1018"/>
      <c r="P132" s="1018"/>
      <c r="Q132" s="1018"/>
      <c r="R132" s="1018">
        <v>36</v>
      </c>
      <c r="S132" s="13"/>
      <c r="T132" s="13"/>
      <c r="U132" s="451"/>
      <c r="V132" s="451"/>
      <c r="W132" s="1018"/>
      <c r="X132" s="1018"/>
      <c r="Y132" s="1018"/>
      <c r="Z132" s="1018"/>
      <c r="AA132" s="1018"/>
      <c r="AX132" s="2909">
        <f t="shared" si="109"/>
        <v>51021.330766893232</v>
      </c>
      <c r="AY132">
        <f t="shared" si="110"/>
        <v>50312.640803452887</v>
      </c>
      <c r="AZ132" s="2910">
        <f t="shared" si="111"/>
        <v>0</v>
      </c>
      <c r="BA132" s="2767">
        <f t="shared" si="112"/>
        <v>0</v>
      </c>
      <c r="BB132" s="2910">
        <f t="shared" si="113"/>
        <v>562.76733497093244</v>
      </c>
      <c r="BC132" s="2767">
        <f t="shared" si="114"/>
        <v>554.950456107695</v>
      </c>
      <c r="BD132" s="2910">
        <f t="shared" si="115"/>
        <v>309.21425054278853</v>
      </c>
      <c r="BE132" s="2767">
        <f t="shared" si="116"/>
        <v>304.91924230567298</v>
      </c>
      <c r="BF132" s="104"/>
      <c r="BG132" s="2910">
        <f t="shared" si="117"/>
        <v>0</v>
      </c>
      <c r="BH132" s="2767">
        <f t="shared" si="118"/>
        <v>0</v>
      </c>
      <c r="BI132" s="2910">
        <f t="shared" si="119"/>
        <v>-562.76733497093244</v>
      </c>
      <c r="BJ132" s="2767">
        <f t="shared" si="120"/>
        <v>-89.877504191045404</v>
      </c>
      <c r="BK132" s="2910">
        <f t="shared" si="121"/>
        <v>-309.21425054278853</v>
      </c>
      <c r="BL132" s="2767">
        <f t="shared" si="122"/>
        <v>-49.38347230214756</v>
      </c>
      <c r="BM132" s="2896">
        <f t="shared" si="123"/>
        <v>0</v>
      </c>
      <c r="BN132" s="2896">
        <f t="shared" si="124"/>
        <v>51160.591743386431</v>
      </c>
      <c r="BP132" s="2896">
        <f t="shared" si="125"/>
        <v>51021.330766893232</v>
      </c>
      <c r="BR132">
        <f t="shared" si="126"/>
        <v>0.98610992789117524</v>
      </c>
      <c r="BS132">
        <f t="shared" si="127"/>
        <v>0.15970632729720832</v>
      </c>
    </row>
    <row r="133" spans="1:71" ht="15.75">
      <c r="A133" s="2351">
        <v>35</v>
      </c>
      <c r="B133" s="2389">
        <f t="shared" si="98"/>
        <v>2.2930232558139534</v>
      </c>
      <c r="C133" s="2390">
        <f t="shared" si="99"/>
        <v>0</v>
      </c>
      <c r="D133" s="2569">
        <f t="shared" si="100"/>
        <v>3754.2723665615231</v>
      </c>
      <c r="E133" s="2569">
        <f t="shared" si="101"/>
        <v>1031.3982742262244</v>
      </c>
      <c r="F133" s="2569">
        <f t="shared" si="102"/>
        <v>0</v>
      </c>
      <c r="G133" s="2390"/>
      <c r="H133" s="1461">
        <f t="shared" si="103"/>
        <v>0</v>
      </c>
      <c r="I133" s="1461">
        <f t="shared" si="104"/>
        <v>713.53750577270955</v>
      </c>
      <c r="J133" s="1461">
        <f t="shared" si="105"/>
        <v>196.02769330337475</v>
      </c>
      <c r="K133" s="1461">
        <f t="shared" si="106"/>
        <v>51033.249525373052</v>
      </c>
      <c r="L133" s="2571">
        <f t="shared" si="107"/>
        <v>51942.814724449134</v>
      </c>
      <c r="M133" s="1461">
        <f t="shared" si="108"/>
        <v>11.918758479820099</v>
      </c>
      <c r="N133" s="1461">
        <f t="shared" si="128"/>
        <v>312182.16929762578</v>
      </c>
      <c r="O133" s="1018"/>
      <c r="P133" s="1018"/>
      <c r="Q133" s="1018"/>
      <c r="R133" s="1018">
        <v>37</v>
      </c>
      <c r="S133" s="13"/>
      <c r="T133" s="13"/>
      <c r="U133" s="451"/>
      <c r="V133" s="451"/>
      <c r="W133" s="1018"/>
      <c r="X133" s="1018"/>
      <c r="Y133" s="1018"/>
      <c r="Z133" s="1018"/>
      <c r="AA133" s="1018"/>
      <c r="AX133" s="2909">
        <f t="shared" si="109"/>
        <v>51033.249525373052</v>
      </c>
      <c r="AY133">
        <f t="shared" si="110"/>
        <v>50324.394009517971</v>
      </c>
      <c r="AZ133" s="2910">
        <f t="shared" si="111"/>
        <v>0</v>
      </c>
      <c r="BA133" s="2767">
        <f t="shared" si="112"/>
        <v>0</v>
      </c>
      <c r="BB133" s="2910">
        <f t="shared" si="113"/>
        <v>562.76733497093244</v>
      </c>
      <c r="BC133" s="2767">
        <f t="shared" si="114"/>
        <v>554.950456107695</v>
      </c>
      <c r="BD133" s="2910">
        <f t="shared" si="115"/>
        <v>309.21425054278853</v>
      </c>
      <c r="BE133" s="2767">
        <f t="shared" si="116"/>
        <v>304.91924230567298</v>
      </c>
      <c r="BF133" s="104"/>
      <c r="BG133" s="2910">
        <f t="shared" si="117"/>
        <v>0</v>
      </c>
      <c r="BH133" s="2767">
        <f t="shared" si="118"/>
        <v>0</v>
      </c>
      <c r="BI133" s="2910">
        <f t="shared" si="119"/>
        <v>-562.76733497093244</v>
      </c>
      <c r="BJ133" s="2767">
        <f t="shared" si="120"/>
        <v>-89.877504191045404</v>
      </c>
      <c r="BK133" s="2910">
        <f t="shared" si="121"/>
        <v>-309.21425054278853</v>
      </c>
      <c r="BL133" s="2767">
        <f t="shared" si="122"/>
        <v>-49.38347230214756</v>
      </c>
      <c r="BM133" s="2896">
        <f t="shared" si="123"/>
        <v>0</v>
      </c>
      <c r="BN133" s="2896">
        <f t="shared" si="124"/>
        <v>51172.510501866251</v>
      </c>
      <c r="BP133" s="2896">
        <f t="shared" si="125"/>
        <v>51033.249525373052</v>
      </c>
      <c r="BR133">
        <f t="shared" si="126"/>
        <v>0.98610992789117524</v>
      </c>
      <c r="BS133">
        <f t="shared" si="127"/>
        <v>0.15970632729720832</v>
      </c>
    </row>
    <row r="134" spans="1:71" ht="15.75">
      <c r="A134" s="2351">
        <v>36</v>
      </c>
      <c r="B134" s="2389">
        <f t="shared" si="98"/>
        <v>2.2930232558139534</v>
      </c>
      <c r="C134" s="2390">
        <f t="shared" si="99"/>
        <v>0</v>
      </c>
      <c r="D134" s="2569">
        <f t="shared" si="100"/>
        <v>3754.2723665615231</v>
      </c>
      <c r="E134" s="2569">
        <f t="shared" si="101"/>
        <v>1031.3982742262244</v>
      </c>
      <c r="F134" s="2569">
        <f t="shared" si="102"/>
        <v>0</v>
      </c>
      <c r="G134" s="2390"/>
      <c r="H134" s="1461">
        <f t="shared" si="103"/>
        <v>0</v>
      </c>
      <c r="I134" s="1461">
        <f t="shared" si="104"/>
        <v>713.53750577270955</v>
      </c>
      <c r="J134" s="1461">
        <f t="shared" si="105"/>
        <v>196.02769330337475</v>
      </c>
      <c r="K134" s="1461">
        <f t="shared" si="106"/>
        <v>51045.002731438144</v>
      </c>
      <c r="L134" s="2571">
        <f t="shared" si="107"/>
        <v>51954.567930514226</v>
      </c>
      <c r="M134" s="1461">
        <f t="shared" si="108"/>
        <v>11.753206065091945</v>
      </c>
      <c r="N134" s="1461">
        <f t="shared" si="128"/>
        <v>306620.73762200557</v>
      </c>
      <c r="O134" s="1018"/>
      <c r="P134" s="1018"/>
      <c r="Q134" s="1018"/>
      <c r="R134" s="1018">
        <v>38</v>
      </c>
      <c r="S134" s="13">
        <v>2.09</v>
      </c>
      <c r="T134" s="13">
        <v>2.1800000000000002</v>
      </c>
      <c r="U134" s="451"/>
      <c r="V134" s="451"/>
      <c r="W134" s="1018"/>
      <c r="X134" s="1018"/>
      <c r="Y134" s="1018"/>
      <c r="Z134" s="1018"/>
      <c r="AA134" s="1018"/>
      <c r="AX134" s="2909">
        <f t="shared" si="109"/>
        <v>51045.002731438144</v>
      </c>
      <c r="AY134">
        <f t="shared" si="110"/>
        <v>50335.983962703314</v>
      </c>
      <c r="AZ134" s="2910">
        <f t="shared" si="111"/>
        <v>0</v>
      </c>
      <c r="BA134" s="2767">
        <f t="shared" si="112"/>
        <v>0</v>
      </c>
      <c r="BB134" s="2910">
        <f t="shared" si="113"/>
        <v>562.76733497093244</v>
      </c>
      <c r="BC134" s="2767">
        <f t="shared" si="114"/>
        <v>554.950456107695</v>
      </c>
      <c r="BD134" s="2910">
        <f t="shared" si="115"/>
        <v>309.21425054278853</v>
      </c>
      <c r="BE134" s="2767">
        <f t="shared" si="116"/>
        <v>304.91924230567298</v>
      </c>
      <c r="BF134" s="104"/>
      <c r="BG134" s="2910">
        <f t="shared" si="117"/>
        <v>0</v>
      </c>
      <c r="BH134" s="2767">
        <f t="shared" si="118"/>
        <v>0</v>
      </c>
      <c r="BI134" s="2910">
        <f t="shared" si="119"/>
        <v>-562.76733497093244</v>
      </c>
      <c r="BJ134" s="2767">
        <f t="shared" si="120"/>
        <v>-89.877504191045404</v>
      </c>
      <c r="BK134" s="2910">
        <f t="shared" si="121"/>
        <v>-309.21425054278853</v>
      </c>
      <c r="BL134" s="2767">
        <f t="shared" si="122"/>
        <v>-49.38347230214756</v>
      </c>
      <c r="BM134" s="2896">
        <f t="shared" si="123"/>
        <v>0</v>
      </c>
      <c r="BN134" s="2896">
        <f t="shared" si="124"/>
        <v>51184.263707931343</v>
      </c>
      <c r="BP134" s="2896">
        <f t="shared" si="125"/>
        <v>51045.002731438144</v>
      </c>
      <c r="BR134">
        <f t="shared" si="126"/>
        <v>0.98610992789117524</v>
      </c>
      <c r="BS134">
        <f t="shared" si="127"/>
        <v>0.15970632729720832</v>
      </c>
    </row>
    <row r="135" spans="1:71" ht="15.75">
      <c r="A135" s="2351">
        <v>37</v>
      </c>
      <c r="B135" s="2389">
        <f t="shared" si="98"/>
        <v>2.2930232558139534</v>
      </c>
      <c r="C135" s="2390">
        <f t="shared" si="99"/>
        <v>0</v>
      </c>
      <c r="D135" s="2569">
        <f t="shared" si="100"/>
        <v>3754.2723665615231</v>
      </c>
      <c r="E135" s="2569">
        <f t="shared" si="101"/>
        <v>1031.3982742262244</v>
      </c>
      <c r="F135" s="2569">
        <f t="shared" si="102"/>
        <v>0</v>
      </c>
      <c r="G135" s="2390"/>
      <c r="H135" s="1461">
        <f t="shared" si="103"/>
        <v>0</v>
      </c>
      <c r="I135" s="1461">
        <f t="shared" si="104"/>
        <v>713.53750577270955</v>
      </c>
      <c r="J135" s="1461">
        <f t="shared" si="105"/>
        <v>196.02769330337475</v>
      </c>
      <c r="K135" s="1461">
        <f t="shared" si="106"/>
        <v>51056.59268462348</v>
      </c>
      <c r="L135" s="2571">
        <f t="shared" si="107"/>
        <v>51966.157883699561</v>
      </c>
      <c r="M135" s="1461">
        <f t="shared" si="108"/>
        <v>11.589953185335617</v>
      </c>
      <c r="N135" s="1461">
        <f t="shared" si="128"/>
        <v>301322.92635065422</v>
      </c>
      <c r="O135" s="1018"/>
      <c r="P135" s="1018"/>
      <c r="Q135" s="1018"/>
      <c r="R135" s="1018">
        <v>39</v>
      </c>
      <c r="S135" s="13"/>
      <c r="T135" s="13"/>
      <c r="U135" s="451"/>
      <c r="V135" s="451"/>
      <c r="W135" s="1018"/>
      <c r="X135" s="1018"/>
      <c r="Y135" s="1018"/>
      <c r="Z135" s="1018"/>
      <c r="AA135" s="1018"/>
      <c r="AX135" s="2909">
        <f t="shared" si="109"/>
        <v>51056.59268462348</v>
      </c>
      <c r="AY135">
        <f t="shared" si="110"/>
        <v>50347.412930603168</v>
      </c>
      <c r="AZ135" s="2910">
        <f t="shared" si="111"/>
        <v>0</v>
      </c>
      <c r="BA135" s="2767">
        <f t="shared" si="112"/>
        <v>0</v>
      </c>
      <c r="BB135" s="2910">
        <f t="shared" si="113"/>
        <v>562.76733497093244</v>
      </c>
      <c r="BC135" s="2767">
        <f t="shared" si="114"/>
        <v>554.950456107695</v>
      </c>
      <c r="BD135" s="2910">
        <f t="shared" si="115"/>
        <v>309.21425054278853</v>
      </c>
      <c r="BE135" s="2767">
        <f t="shared" si="116"/>
        <v>304.91924230567298</v>
      </c>
      <c r="BF135" s="104"/>
      <c r="BG135" s="2910">
        <f t="shared" si="117"/>
        <v>0</v>
      </c>
      <c r="BH135" s="2767">
        <f t="shared" si="118"/>
        <v>0</v>
      </c>
      <c r="BI135" s="2910">
        <f t="shared" si="119"/>
        <v>-562.76733497093244</v>
      </c>
      <c r="BJ135" s="2767">
        <f t="shared" si="120"/>
        <v>-89.877504191045404</v>
      </c>
      <c r="BK135" s="2910">
        <f t="shared" si="121"/>
        <v>-309.21425054278853</v>
      </c>
      <c r="BL135" s="2767">
        <f t="shared" si="122"/>
        <v>-49.38347230214756</v>
      </c>
      <c r="BM135" s="2896">
        <f t="shared" si="123"/>
        <v>0</v>
      </c>
      <c r="BN135" s="2896">
        <f t="shared" si="124"/>
        <v>51195.853661116678</v>
      </c>
      <c r="BP135" s="2896">
        <f t="shared" si="125"/>
        <v>51056.59268462348</v>
      </c>
      <c r="BR135">
        <f t="shared" si="126"/>
        <v>0.98610992789117524</v>
      </c>
      <c r="BS135">
        <f t="shared" si="127"/>
        <v>0.15970632729720832</v>
      </c>
    </row>
    <row r="136" spans="1:71" ht="15.75">
      <c r="A136" s="2351">
        <v>38</v>
      </c>
      <c r="B136" s="2389">
        <f t="shared" si="98"/>
        <v>2.2930232558139534</v>
      </c>
      <c r="C136" s="2390">
        <f t="shared" si="99"/>
        <v>0</v>
      </c>
      <c r="D136" s="2569">
        <f t="shared" si="100"/>
        <v>3754.2723665615231</v>
      </c>
      <c r="E136" s="2569">
        <f t="shared" si="101"/>
        <v>1031.3982742262244</v>
      </c>
      <c r="F136" s="2569">
        <f t="shared" si="102"/>
        <v>0</v>
      </c>
      <c r="G136" s="2390"/>
      <c r="H136" s="1461">
        <f t="shared" si="103"/>
        <v>0</v>
      </c>
      <c r="I136" s="1461">
        <f t="shared" si="104"/>
        <v>713.53750577270955</v>
      </c>
      <c r="J136" s="1461">
        <f t="shared" si="105"/>
        <v>196.02769330337475</v>
      </c>
      <c r="K136" s="1461">
        <f t="shared" si="106"/>
        <v>51068.021652523334</v>
      </c>
      <c r="L136" s="2571">
        <f t="shared" si="107"/>
        <v>51977.586851599415</v>
      </c>
      <c r="M136" s="1461">
        <f t="shared" si="108"/>
        <v>11.428967899853888</v>
      </c>
      <c r="N136" s="1461">
        <f t="shared" si="128"/>
        <v>296267.97371951595</v>
      </c>
      <c r="O136" s="1018"/>
      <c r="P136" s="1018"/>
      <c r="Q136" s="1018"/>
      <c r="R136" s="1018">
        <v>40</v>
      </c>
      <c r="S136" s="13"/>
      <c r="T136" s="13"/>
      <c r="U136" s="451"/>
      <c r="V136" s="451"/>
      <c r="W136" s="1018"/>
      <c r="X136" s="1018"/>
      <c r="Y136" s="1018"/>
      <c r="Z136" s="1018"/>
      <c r="AA136" s="1018"/>
      <c r="AX136" s="2909">
        <f t="shared" si="109"/>
        <v>51068.021652523334</v>
      </c>
      <c r="AY136">
        <f t="shared" si="110"/>
        <v>50358.683149314762</v>
      </c>
      <c r="AZ136" s="2910">
        <f t="shared" si="111"/>
        <v>0</v>
      </c>
      <c r="BA136" s="2767">
        <f t="shared" si="112"/>
        <v>0</v>
      </c>
      <c r="BB136" s="2910">
        <f t="shared" si="113"/>
        <v>562.76733497093244</v>
      </c>
      <c r="BC136" s="2767">
        <f t="shared" si="114"/>
        <v>554.950456107695</v>
      </c>
      <c r="BD136" s="2910">
        <f t="shared" si="115"/>
        <v>309.21425054278853</v>
      </c>
      <c r="BE136" s="2767">
        <f t="shared" si="116"/>
        <v>304.91924230567298</v>
      </c>
      <c r="BF136" s="104"/>
      <c r="BG136" s="2910">
        <f t="shared" si="117"/>
        <v>0</v>
      </c>
      <c r="BH136" s="2767">
        <f t="shared" si="118"/>
        <v>0</v>
      </c>
      <c r="BI136" s="2910">
        <f t="shared" si="119"/>
        <v>-562.76733497093244</v>
      </c>
      <c r="BJ136" s="2767">
        <f t="shared" si="120"/>
        <v>-89.877504191045404</v>
      </c>
      <c r="BK136" s="2910">
        <f t="shared" si="121"/>
        <v>-309.21425054278853</v>
      </c>
      <c r="BL136" s="2767">
        <f t="shared" si="122"/>
        <v>-49.38347230214756</v>
      </c>
      <c r="BM136" s="2896">
        <f t="shared" si="123"/>
        <v>0</v>
      </c>
      <c r="BN136" s="2896">
        <f t="shared" si="124"/>
        <v>51207.282629016532</v>
      </c>
      <c r="BP136" s="2896">
        <f t="shared" si="125"/>
        <v>51068.021652523334</v>
      </c>
      <c r="BR136">
        <f t="shared" si="126"/>
        <v>0.98610992789117524</v>
      </c>
      <c r="BS136">
        <f t="shared" si="127"/>
        <v>0.15970632729720832</v>
      </c>
    </row>
    <row r="137" spans="1:71" ht="15.75">
      <c r="A137" s="2351">
        <v>39</v>
      </c>
      <c r="B137" s="2389">
        <f t="shared" si="98"/>
        <v>2.2930232558139534</v>
      </c>
      <c r="C137" s="2390">
        <f t="shared" si="99"/>
        <v>0</v>
      </c>
      <c r="D137" s="2569">
        <f t="shared" si="100"/>
        <v>3754.2723665615231</v>
      </c>
      <c r="E137" s="2569">
        <f t="shared" si="101"/>
        <v>1031.3982742262244</v>
      </c>
      <c r="F137" s="2569">
        <f t="shared" si="102"/>
        <v>0</v>
      </c>
      <c r="G137" s="2390"/>
      <c r="H137" s="1461">
        <f t="shared" si="103"/>
        <v>0</v>
      </c>
      <c r="I137" s="1461">
        <f t="shared" si="104"/>
        <v>713.53750577270955</v>
      </c>
      <c r="J137" s="1461">
        <f t="shared" si="105"/>
        <v>196.02769330337475</v>
      </c>
      <c r="K137" s="1461">
        <f t="shared" si="106"/>
        <v>51079.291871234927</v>
      </c>
      <c r="L137" s="2571">
        <f t="shared" si="107"/>
        <v>51988.857070311009</v>
      </c>
      <c r="M137" s="1461">
        <f t="shared" si="108"/>
        <v>11.27021871159377</v>
      </c>
      <c r="N137" s="1461">
        <f t="shared" si="128"/>
        <v>291437.29512468493</v>
      </c>
      <c r="O137" s="1018"/>
      <c r="P137" s="1018"/>
      <c r="Q137" s="1018"/>
      <c r="R137" s="1018">
        <v>41</v>
      </c>
      <c r="S137" s="13"/>
      <c r="T137" s="13"/>
      <c r="U137" s="451"/>
      <c r="V137" s="451"/>
      <c r="W137" s="1018"/>
      <c r="X137" s="1018"/>
      <c r="Y137" s="1018"/>
      <c r="Z137" s="1018"/>
      <c r="AA137" s="1018"/>
      <c r="AX137" s="2909">
        <f t="shared" si="109"/>
        <v>51079.291871234927</v>
      </c>
      <c r="AY137">
        <f t="shared" si="110"/>
        <v>50369.796823875768</v>
      </c>
      <c r="AZ137" s="2910">
        <f t="shared" si="111"/>
        <v>0</v>
      </c>
      <c r="BA137" s="2767">
        <f t="shared" si="112"/>
        <v>0</v>
      </c>
      <c r="BB137" s="2910">
        <f t="shared" si="113"/>
        <v>562.76733497093244</v>
      </c>
      <c r="BC137" s="2767">
        <f t="shared" si="114"/>
        <v>554.950456107695</v>
      </c>
      <c r="BD137" s="2910">
        <f t="shared" si="115"/>
        <v>309.21425054278853</v>
      </c>
      <c r="BE137" s="2767">
        <f t="shared" si="116"/>
        <v>304.91924230567298</v>
      </c>
      <c r="BF137" s="104"/>
      <c r="BG137" s="2910">
        <f t="shared" si="117"/>
        <v>0</v>
      </c>
      <c r="BH137" s="2767">
        <f t="shared" si="118"/>
        <v>0</v>
      </c>
      <c r="BI137" s="2910">
        <f t="shared" si="119"/>
        <v>-562.76733497093244</v>
      </c>
      <c r="BJ137" s="2767">
        <f t="shared" si="120"/>
        <v>-89.877504191045404</v>
      </c>
      <c r="BK137" s="2910">
        <f t="shared" si="121"/>
        <v>-309.21425054278853</v>
      </c>
      <c r="BL137" s="2767">
        <f t="shared" si="122"/>
        <v>-49.38347230214756</v>
      </c>
      <c r="BM137" s="2896">
        <f t="shared" si="123"/>
        <v>0</v>
      </c>
      <c r="BN137" s="2896">
        <f t="shared" si="124"/>
        <v>51218.552847728126</v>
      </c>
      <c r="BP137" s="2896">
        <f t="shared" si="125"/>
        <v>51079.291871234927</v>
      </c>
      <c r="BR137">
        <f t="shared" si="126"/>
        <v>0.98610992789117524</v>
      </c>
      <c r="BS137">
        <f t="shared" si="127"/>
        <v>0.15970632729720832</v>
      </c>
    </row>
    <row r="138" spans="1:71" ht="15.75">
      <c r="A138" s="2351">
        <v>40</v>
      </c>
      <c r="B138" s="2389">
        <f t="shared" si="98"/>
        <v>2.2930232558139534</v>
      </c>
      <c r="C138" s="2390">
        <f t="shared" si="99"/>
        <v>0</v>
      </c>
      <c r="D138" s="2569">
        <f t="shared" si="100"/>
        <v>3754.2723665615231</v>
      </c>
      <c r="E138" s="2569">
        <f t="shared" si="101"/>
        <v>1031.3982742262244</v>
      </c>
      <c r="F138" s="2569">
        <f t="shared" si="102"/>
        <v>0</v>
      </c>
      <c r="G138" s="2390"/>
      <c r="H138" s="1461">
        <f t="shared" si="103"/>
        <v>0</v>
      </c>
      <c r="I138" s="1461">
        <f t="shared" si="104"/>
        <v>713.53750577270955</v>
      </c>
      <c r="J138" s="1461">
        <f t="shared" si="105"/>
        <v>196.02769330337475</v>
      </c>
      <c r="K138" s="1461">
        <f t="shared" si="106"/>
        <v>51090.40554579594</v>
      </c>
      <c r="L138" s="2571">
        <f t="shared" si="107"/>
        <v>51999.970744872022</v>
      </c>
      <c r="M138" s="1461">
        <f t="shared" si="108"/>
        <v>11.113674561012886</v>
      </c>
      <c r="N138" s="1461">
        <f t="shared" si="128"/>
        <v>286814.20411149121</v>
      </c>
      <c r="O138" s="1018"/>
      <c r="P138" s="1018"/>
      <c r="Q138" s="1018"/>
      <c r="R138" s="1018">
        <v>42</v>
      </c>
      <c r="S138" s="13">
        <v>2</v>
      </c>
      <c r="T138" s="13">
        <v>1.94</v>
      </c>
      <c r="U138" s="451"/>
      <c r="V138" s="451"/>
      <c r="W138" s="1018"/>
      <c r="X138" s="1018"/>
      <c r="Y138" s="1018"/>
      <c r="Z138" s="1018"/>
      <c r="AA138" s="1018"/>
      <c r="AX138" s="2909">
        <f t="shared" si="109"/>
        <v>51090.40554579594</v>
      </c>
      <c r="AY138">
        <f t="shared" si="110"/>
        <v>50380.756128695735</v>
      </c>
      <c r="AZ138" s="2910">
        <f t="shared" si="111"/>
        <v>0</v>
      </c>
      <c r="BA138" s="2767">
        <f t="shared" si="112"/>
        <v>0</v>
      </c>
      <c r="BB138" s="2910">
        <f t="shared" si="113"/>
        <v>562.76733497093244</v>
      </c>
      <c r="BC138" s="2767">
        <f t="shared" si="114"/>
        <v>554.950456107695</v>
      </c>
      <c r="BD138" s="2910">
        <f t="shared" si="115"/>
        <v>309.21425054278853</v>
      </c>
      <c r="BE138" s="2767">
        <f t="shared" si="116"/>
        <v>304.91924230567298</v>
      </c>
      <c r="BF138" s="104"/>
      <c r="BG138" s="2910">
        <f t="shared" si="117"/>
        <v>0</v>
      </c>
      <c r="BH138" s="2767">
        <f t="shared" si="118"/>
        <v>0</v>
      </c>
      <c r="BI138" s="2910">
        <f t="shared" si="119"/>
        <v>-562.76733497093244</v>
      </c>
      <c r="BJ138" s="2767">
        <f t="shared" si="120"/>
        <v>-89.877504191045404</v>
      </c>
      <c r="BK138" s="2910">
        <f t="shared" si="121"/>
        <v>-309.21425054278853</v>
      </c>
      <c r="BL138" s="2767">
        <f t="shared" si="122"/>
        <v>-49.38347230214756</v>
      </c>
      <c r="BM138" s="2896">
        <f t="shared" si="123"/>
        <v>0</v>
      </c>
      <c r="BN138" s="2896">
        <f t="shared" si="124"/>
        <v>51229.666522289139</v>
      </c>
      <c r="BP138" s="2896">
        <f t="shared" si="125"/>
        <v>51090.40554579594</v>
      </c>
      <c r="BR138">
        <f t="shared" si="126"/>
        <v>0.98610992789117524</v>
      </c>
      <c r="BS138">
        <f t="shared" si="127"/>
        <v>0.15970632729720832</v>
      </c>
    </row>
    <row r="139" spans="1:71" ht="15.75">
      <c r="A139" s="2351">
        <v>41</v>
      </c>
      <c r="B139" s="2389">
        <f t="shared" si="98"/>
        <v>2.2930232558139534</v>
      </c>
      <c r="C139" s="2390">
        <f t="shared" si="99"/>
        <v>0</v>
      </c>
      <c r="D139" s="2569">
        <f t="shared" si="100"/>
        <v>3754.2723665615231</v>
      </c>
      <c r="E139" s="2569">
        <f t="shared" si="101"/>
        <v>1031.3982742262244</v>
      </c>
      <c r="F139" s="2569">
        <f t="shared" si="102"/>
        <v>0</v>
      </c>
      <c r="G139" s="2390"/>
      <c r="H139" s="1461">
        <f t="shared" si="103"/>
        <v>0</v>
      </c>
      <c r="I139" s="1461">
        <f t="shared" si="104"/>
        <v>713.53750577270955</v>
      </c>
      <c r="J139" s="1461">
        <f t="shared" si="105"/>
        <v>196.02769330337475</v>
      </c>
      <c r="K139" s="1461">
        <f t="shared" si="106"/>
        <v>51101.364850615901</v>
      </c>
      <c r="L139" s="2571">
        <f t="shared" si="107"/>
        <v>52010.930049691982</v>
      </c>
      <c r="M139" s="1461">
        <f t="shared" si="108"/>
        <v>10.95930481996038</v>
      </c>
      <c r="N139" s="1461">
        <f t="shared" si="128"/>
        <v>282383.67521369399</v>
      </c>
      <c r="O139" s="1018"/>
      <c r="P139" s="1018"/>
      <c r="Q139" s="1018"/>
      <c r="R139" s="1018">
        <v>43</v>
      </c>
      <c r="S139" s="13"/>
      <c r="T139" s="13"/>
      <c r="U139" s="451"/>
      <c r="V139" s="451"/>
      <c r="W139" s="1018"/>
      <c r="X139" s="1018"/>
      <c r="Y139" s="1018"/>
      <c r="Z139" s="1018"/>
      <c r="AA139" s="1018"/>
      <c r="AX139" s="2909">
        <f t="shared" si="109"/>
        <v>51101.364850615901</v>
      </c>
      <c r="AY139">
        <f t="shared" si="110"/>
        <v>50391.563207981482</v>
      </c>
      <c r="AZ139" s="2910">
        <f t="shared" si="111"/>
        <v>0</v>
      </c>
      <c r="BA139" s="2767">
        <f t="shared" si="112"/>
        <v>0</v>
      </c>
      <c r="BB139" s="2910">
        <f t="shared" si="113"/>
        <v>562.76733497093244</v>
      </c>
      <c r="BC139" s="2767">
        <f t="shared" si="114"/>
        <v>554.950456107695</v>
      </c>
      <c r="BD139" s="2910">
        <f t="shared" si="115"/>
        <v>309.21425054278853</v>
      </c>
      <c r="BE139" s="2767">
        <f t="shared" si="116"/>
        <v>304.91924230567298</v>
      </c>
      <c r="BF139" s="104"/>
      <c r="BG139" s="2910">
        <f t="shared" si="117"/>
        <v>0</v>
      </c>
      <c r="BH139" s="2767">
        <f t="shared" si="118"/>
        <v>0</v>
      </c>
      <c r="BI139" s="2910">
        <f t="shared" si="119"/>
        <v>-562.76733497093244</v>
      </c>
      <c r="BJ139" s="2767">
        <f t="shared" si="120"/>
        <v>-89.877504191045404</v>
      </c>
      <c r="BK139" s="2910">
        <f t="shared" si="121"/>
        <v>-309.21425054278853</v>
      </c>
      <c r="BL139" s="2767">
        <f t="shared" si="122"/>
        <v>-49.38347230214756</v>
      </c>
      <c r="BM139" s="2896">
        <f t="shared" si="123"/>
        <v>0</v>
      </c>
      <c r="BN139" s="2896">
        <f t="shared" si="124"/>
        <v>51240.625827109099</v>
      </c>
      <c r="BP139" s="2896">
        <f t="shared" si="125"/>
        <v>51101.364850615901</v>
      </c>
      <c r="BR139">
        <f t="shared" si="126"/>
        <v>0.98610992789117524</v>
      </c>
      <c r="BS139">
        <f t="shared" si="127"/>
        <v>0.15970632729720832</v>
      </c>
    </row>
    <row r="140" spans="1:71" ht="15.75">
      <c r="A140" s="2351">
        <v>42</v>
      </c>
      <c r="B140" s="2389">
        <f t="shared" si="98"/>
        <v>2.2930232558139534</v>
      </c>
      <c r="C140" s="2390">
        <f t="shared" si="99"/>
        <v>0</v>
      </c>
      <c r="D140" s="2569">
        <f t="shared" si="100"/>
        <v>3754.2723665615231</v>
      </c>
      <c r="E140" s="2569">
        <f t="shared" si="101"/>
        <v>1031.3982742262244</v>
      </c>
      <c r="F140" s="2569">
        <f t="shared" si="102"/>
        <v>0</v>
      </c>
      <c r="G140" s="2390"/>
      <c r="H140" s="1461">
        <f t="shared" si="103"/>
        <v>0</v>
      </c>
      <c r="I140" s="1461">
        <f t="shared" si="104"/>
        <v>713.53750577270955</v>
      </c>
      <c r="J140" s="1461">
        <f t="shared" si="105"/>
        <v>196.02769330337475</v>
      </c>
      <c r="K140" s="1461">
        <f t="shared" si="106"/>
        <v>51112.171929901655</v>
      </c>
      <c r="L140" s="2571">
        <f t="shared" si="107"/>
        <v>52021.737128977737</v>
      </c>
      <c r="M140" s="1461">
        <f t="shared" si="108"/>
        <v>10.807079285754298</v>
      </c>
      <c r="N140" s="1461">
        <f t="shared" si="128"/>
        <v>278132.14149769035</v>
      </c>
      <c r="O140" s="1018"/>
      <c r="P140" s="1018"/>
      <c r="Q140" s="1018"/>
      <c r="R140" s="1018">
        <v>44</v>
      </c>
      <c r="S140" s="13"/>
      <c r="T140" s="13"/>
      <c r="U140" s="451"/>
      <c r="V140" s="451"/>
      <c r="W140" s="1018"/>
      <c r="X140" s="1018"/>
      <c r="Y140" s="1018"/>
      <c r="Z140" s="1018"/>
      <c r="AA140" s="1018"/>
      <c r="AX140" s="2909">
        <f t="shared" si="109"/>
        <v>51112.171929901655</v>
      </c>
      <c r="AY140">
        <f t="shared" si="110"/>
        <v>50402.220176156676</v>
      </c>
      <c r="AZ140" s="2910">
        <f t="shared" si="111"/>
        <v>0</v>
      </c>
      <c r="BA140" s="2767">
        <f t="shared" si="112"/>
        <v>0</v>
      </c>
      <c r="BB140" s="2910">
        <f t="shared" si="113"/>
        <v>562.76733497093244</v>
      </c>
      <c r="BC140" s="2767">
        <f t="shared" si="114"/>
        <v>554.950456107695</v>
      </c>
      <c r="BD140" s="2910">
        <f t="shared" si="115"/>
        <v>309.21425054278853</v>
      </c>
      <c r="BE140" s="2767">
        <f t="shared" si="116"/>
        <v>304.91924230567298</v>
      </c>
      <c r="BF140" s="104"/>
      <c r="BG140" s="2910">
        <f t="shared" si="117"/>
        <v>0</v>
      </c>
      <c r="BH140" s="2767">
        <f t="shared" si="118"/>
        <v>0</v>
      </c>
      <c r="BI140" s="2910">
        <f t="shared" si="119"/>
        <v>-562.76733497093244</v>
      </c>
      <c r="BJ140" s="2767">
        <f t="shared" si="120"/>
        <v>-89.877504191045404</v>
      </c>
      <c r="BK140" s="2910">
        <f t="shared" si="121"/>
        <v>-309.21425054278853</v>
      </c>
      <c r="BL140" s="2767">
        <f t="shared" si="122"/>
        <v>-49.38347230214756</v>
      </c>
      <c r="BM140" s="2896">
        <f t="shared" si="123"/>
        <v>0</v>
      </c>
      <c r="BN140" s="2896">
        <f t="shared" si="124"/>
        <v>51251.432906394853</v>
      </c>
      <c r="BP140" s="2896">
        <f t="shared" si="125"/>
        <v>51112.171929901655</v>
      </c>
      <c r="BR140">
        <f t="shared" si="126"/>
        <v>0.98610992789117524</v>
      </c>
      <c r="BS140">
        <f t="shared" si="127"/>
        <v>0.15970632729720832</v>
      </c>
    </row>
    <row r="141" spans="1:71" ht="15.75">
      <c r="A141" s="2351">
        <v>43</v>
      </c>
      <c r="B141" s="2389">
        <f t="shared" si="98"/>
        <v>2.2930232558139534</v>
      </c>
      <c r="C141" s="2390">
        <f t="shared" si="99"/>
        <v>0</v>
      </c>
      <c r="D141" s="2569">
        <f t="shared" si="100"/>
        <v>3754.2723665615231</v>
      </c>
      <c r="E141" s="2569">
        <f t="shared" si="101"/>
        <v>1031.3982742262244</v>
      </c>
      <c r="F141" s="2569">
        <f t="shared" si="102"/>
        <v>0</v>
      </c>
      <c r="G141" s="2390"/>
      <c r="H141" s="1461">
        <f t="shared" si="103"/>
        <v>0</v>
      </c>
      <c r="I141" s="1461">
        <f t="shared" si="104"/>
        <v>713.53750577270955</v>
      </c>
      <c r="J141" s="1461">
        <f t="shared" si="105"/>
        <v>196.02769330337475</v>
      </c>
      <c r="K141" s="1461">
        <f t="shared" si="106"/>
        <v>51122.828898076841</v>
      </c>
      <c r="L141" s="2571">
        <f t="shared" si="107"/>
        <v>52032.394097152923</v>
      </c>
      <c r="M141" s="1461">
        <f t="shared" si="108"/>
        <v>10.656968175186194</v>
      </c>
      <c r="N141" s="1461">
        <f t="shared" si="128"/>
        <v>274047.32102755154</v>
      </c>
      <c r="O141" s="1018"/>
      <c r="P141" s="1018"/>
      <c r="Q141" s="1018"/>
      <c r="R141" s="1018">
        <v>45</v>
      </c>
      <c r="S141" s="13"/>
      <c r="T141" s="13"/>
      <c r="U141" s="451"/>
      <c r="V141" s="451"/>
      <c r="W141" s="1018"/>
      <c r="X141" s="1018"/>
      <c r="Y141" s="1018"/>
      <c r="Z141" s="1018"/>
      <c r="AA141" s="1018"/>
      <c r="AX141" s="2909">
        <f t="shared" si="109"/>
        <v>51122.828898076841</v>
      </c>
      <c r="AY141">
        <f t="shared" si="110"/>
        <v>50412.729118275442</v>
      </c>
      <c r="AZ141" s="2910">
        <f t="shared" si="111"/>
        <v>0</v>
      </c>
      <c r="BA141" s="2767">
        <f t="shared" si="112"/>
        <v>0</v>
      </c>
      <c r="BB141" s="2910">
        <f t="shared" si="113"/>
        <v>562.76733497093244</v>
      </c>
      <c r="BC141" s="2767">
        <f t="shared" si="114"/>
        <v>554.950456107695</v>
      </c>
      <c r="BD141" s="2910">
        <f t="shared" si="115"/>
        <v>309.21425054278853</v>
      </c>
      <c r="BE141" s="2767">
        <f t="shared" si="116"/>
        <v>304.91924230567298</v>
      </c>
      <c r="BF141" s="104"/>
      <c r="BG141" s="2910">
        <f t="shared" si="117"/>
        <v>0</v>
      </c>
      <c r="BH141" s="2767">
        <f t="shared" si="118"/>
        <v>0</v>
      </c>
      <c r="BI141" s="2910">
        <f t="shared" si="119"/>
        <v>-562.76733497093244</v>
      </c>
      <c r="BJ141" s="2767">
        <f t="shared" si="120"/>
        <v>-89.877504191045404</v>
      </c>
      <c r="BK141" s="2910">
        <f t="shared" si="121"/>
        <v>-309.21425054278853</v>
      </c>
      <c r="BL141" s="2767">
        <f t="shared" si="122"/>
        <v>-49.38347230214756</v>
      </c>
      <c r="BM141" s="2896">
        <f t="shared" si="123"/>
        <v>0</v>
      </c>
      <c r="BN141" s="2896">
        <f t="shared" si="124"/>
        <v>51262.08987457004</v>
      </c>
      <c r="BP141" s="2896">
        <f t="shared" si="125"/>
        <v>51122.828898076841</v>
      </c>
      <c r="BR141">
        <f t="shared" si="126"/>
        <v>0.98610992789117524</v>
      </c>
      <c r="BS141">
        <f t="shared" si="127"/>
        <v>0.15970632729720832</v>
      </c>
    </row>
    <row r="142" spans="1:71" ht="15.75">
      <c r="A142" s="2351">
        <v>44</v>
      </c>
      <c r="B142" s="2389">
        <f t="shared" si="98"/>
        <v>2.2930232558139534</v>
      </c>
      <c r="C142" s="2390">
        <f t="shared" si="99"/>
        <v>0</v>
      </c>
      <c r="D142" s="2569">
        <f t="shared" si="100"/>
        <v>3754.2723665615231</v>
      </c>
      <c r="E142" s="2569">
        <f t="shared" si="101"/>
        <v>1031.3982742262244</v>
      </c>
      <c r="F142" s="2569">
        <f t="shared" si="102"/>
        <v>0</v>
      </c>
      <c r="G142" s="2390"/>
      <c r="H142" s="1461">
        <f t="shared" si="103"/>
        <v>0</v>
      </c>
      <c r="I142" s="1461">
        <f t="shared" si="104"/>
        <v>713.53750577270955</v>
      </c>
      <c r="J142" s="1461">
        <f t="shared" si="105"/>
        <v>196.02769330337475</v>
      </c>
      <c r="K142" s="1461">
        <f t="shared" si="106"/>
        <v>51133.337840195614</v>
      </c>
      <c r="L142" s="2571">
        <f t="shared" si="107"/>
        <v>52042.903039271696</v>
      </c>
      <c r="M142" s="1461">
        <f t="shared" si="108"/>
        <v>10.50894211877312</v>
      </c>
      <c r="N142" s="1461">
        <f t="shared" si="128"/>
        <v>270118.06754290458</v>
      </c>
      <c r="O142" s="1018"/>
      <c r="P142" s="1018"/>
      <c r="Q142" s="1018"/>
      <c r="R142" s="1018">
        <v>46</v>
      </c>
      <c r="S142" s="13">
        <v>1.96</v>
      </c>
      <c r="T142" s="13">
        <v>2.0299999999999998</v>
      </c>
      <c r="U142" s="451"/>
      <c r="V142" s="451"/>
      <c r="W142" s="1018"/>
      <c r="X142" s="1018"/>
      <c r="Y142" s="1018"/>
      <c r="Z142" s="1018"/>
      <c r="AA142" s="1018"/>
      <c r="AX142" s="2909">
        <f t="shared" si="109"/>
        <v>51133.337840195614</v>
      </c>
      <c r="AY142">
        <f t="shared" si="110"/>
        <v>50423.0920904304</v>
      </c>
      <c r="AZ142" s="2910">
        <f t="shared" si="111"/>
        <v>0</v>
      </c>
      <c r="BA142" s="2767">
        <f t="shared" si="112"/>
        <v>0</v>
      </c>
      <c r="BB142" s="2910">
        <f t="shared" si="113"/>
        <v>562.76733497093244</v>
      </c>
      <c r="BC142" s="2767">
        <f t="shared" si="114"/>
        <v>554.950456107695</v>
      </c>
      <c r="BD142" s="2910">
        <f t="shared" si="115"/>
        <v>309.21425054278853</v>
      </c>
      <c r="BE142" s="2767">
        <f t="shared" si="116"/>
        <v>304.91924230567298</v>
      </c>
      <c r="BF142" s="104"/>
      <c r="BG142" s="2910">
        <f t="shared" si="117"/>
        <v>0</v>
      </c>
      <c r="BH142" s="2767">
        <f t="shared" si="118"/>
        <v>0</v>
      </c>
      <c r="BI142" s="2910">
        <f t="shared" si="119"/>
        <v>-562.76733497093244</v>
      </c>
      <c r="BJ142" s="2767">
        <f t="shared" si="120"/>
        <v>-89.877504191045404</v>
      </c>
      <c r="BK142" s="2910">
        <f t="shared" si="121"/>
        <v>-309.21425054278853</v>
      </c>
      <c r="BL142" s="2767">
        <f t="shared" si="122"/>
        <v>-49.38347230214756</v>
      </c>
      <c r="BM142" s="2896">
        <f t="shared" si="123"/>
        <v>0</v>
      </c>
      <c r="BN142" s="2896">
        <f t="shared" si="124"/>
        <v>51272.598816688813</v>
      </c>
      <c r="BP142" s="2896">
        <f t="shared" si="125"/>
        <v>51133.337840195614</v>
      </c>
      <c r="BR142">
        <f t="shared" si="126"/>
        <v>0.98610992789117524</v>
      </c>
      <c r="BS142">
        <f t="shared" si="127"/>
        <v>0.15970632729720832</v>
      </c>
    </row>
    <row r="143" spans="1:71" ht="15.75">
      <c r="A143" s="2351">
        <v>45</v>
      </c>
      <c r="B143" s="2389">
        <f t="shared" si="98"/>
        <v>2.2930232558139534</v>
      </c>
      <c r="C143" s="2390">
        <f t="shared" si="99"/>
        <v>0</v>
      </c>
      <c r="D143" s="2569">
        <f t="shared" si="100"/>
        <v>3754.2723665615231</v>
      </c>
      <c r="E143" s="2569">
        <f t="shared" si="101"/>
        <v>1031.3982742262244</v>
      </c>
      <c r="F143" s="2569">
        <f t="shared" si="102"/>
        <v>0</v>
      </c>
      <c r="G143" s="2390"/>
      <c r="H143" s="1461">
        <f t="shared" si="103"/>
        <v>0</v>
      </c>
      <c r="I143" s="1461">
        <f t="shared" si="104"/>
        <v>713.53750577270955</v>
      </c>
      <c r="J143" s="1461">
        <f t="shared" si="105"/>
        <v>196.02769330337475</v>
      </c>
      <c r="K143" s="1461">
        <f t="shared" si="106"/>
        <v>51143.700812350566</v>
      </c>
      <c r="L143" s="2571">
        <f t="shared" si="107"/>
        <v>52053.266011426647</v>
      </c>
      <c r="M143" s="1461">
        <f t="shared" si="108"/>
        <v>10.362972154951422</v>
      </c>
      <c r="N143" s="1461">
        <f t="shared" si="128"/>
        <v>266334.24149760022</v>
      </c>
      <c r="O143" s="1018"/>
      <c r="P143" s="1018"/>
      <c r="Q143" s="1018"/>
      <c r="R143" s="1018">
        <v>47</v>
      </c>
      <c r="S143" s="13"/>
      <c r="T143" s="13"/>
      <c r="U143" s="451"/>
      <c r="V143" s="451"/>
      <c r="W143" s="1018"/>
      <c r="X143" s="1018"/>
      <c r="Y143" s="1018"/>
      <c r="Z143" s="1018"/>
      <c r="AA143" s="1018"/>
      <c r="AX143" s="2909">
        <f t="shared" si="109"/>
        <v>51143.700812350566</v>
      </c>
      <c r="AY143">
        <f t="shared" si="110"/>
        <v>50433.31112015486</v>
      </c>
      <c r="AZ143" s="2910">
        <f t="shared" si="111"/>
        <v>0</v>
      </c>
      <c r="BA143" s="2767">
        <f t="shared" si="112"/>
        <v>0</v>
      </c>
      <c r="BB143" s="2910">
        <f t="shared" si="113"/>
        <v>562.76733497093244</v>
      </c>
      <c r="BC143" s="2767">
        <f t="shared" si="114"/>
        <v>554.950456107695</v>
      </c>
      <c r="BD143" s="2910">
        <f t="shared" si="115"/>
        <v>309.21425054278853</v>
      </c>
      <c r="BE143" s="2767">
        <f t="shared" si="116"/>
        <v>304.91924230567298</v>
      </c>
      <c r="BF143" s="104"/>
      <c r="BG143" s="2910">
        <f t="shared" si="117"/>
        <v>0</v>
      </c>
      <c r="BH143" s="2767">
        <f t="shared" si="118"/>
        <v>0</v>
      </c>
      <c r="BI143" s="2910">
        <f t="shared" si="119"/>
        <v>-562.76733497093244</v>
      </c>
      <c r="BJ143" s="2767">
        <f t="shared" si="120"/>
        <v>-89.877504191045404</v>
      </c>
      <c r="BK143" s="2910">
        <f t="shared" si="121"/>
        <v>-309.21425054278853</v>
      </c>
      <c r="BL143" s="2767">
        <f t="shared" si="122"/>
        <v>-49.38347230214756</v>
      </c>
      <c r="BM143" s="2896">
        <f t="shared" si="123"/>
        <v>0</v>
      </c>
      <c r="BN143" s="2896">
        <f t="shared" si="124"/>
        <v>51282.961788843764</v>
      </c>
      <c r="BP143" s="2896">
        <f t="shared" si="125"/>
        <v>51143.700812350566</v>
      </c>
      <c r="BR143">
        <f t="shared" si="126"/>
        <v>0.98610992789117524</v>
      </c>
      <c r="BS143">
        <f t="shared" si="127"/>
        <v>0.15970632729720832</v>
      </c>
    </row>
    <row r="144" spans="1:71" ht="15.75">
      <c r="A144" s="2351">
        <v>46</v>
      </c>
      <c r="B144" s="2389">
        <f t="shared" si="98"/>
        <v>2.2930232558139534</v>
      </c>
      <c r="C144" s="2390">
        <f t="shared" si="99"/>
        <v>0</v>
      </c>
      <c r="D144" s="2569">
        <f t="shared" si="100"/>
        <v>3754.2723665615231</v>
      </c>
      <c r="E144" s="2569">
        <f t="shared" si="101"/>
        <v>1031.3982742262244</v>
      </c>
      <c r="F144" s="2569">
        <f t="shared" si="102"/>
        <v>0</v>
      </c>
      <c r="G144" s="2390"/>
      <c r="H144" s="1461">
        <f t="shared" si="103"/>
        <v>0</v>
      </c>
      <c r="I144" s="1461">
        <f t="shared" si="104"/>
        <v>713.53750577270955</v>
      </c>
      <c r="J144" s="1461">
        <f t="shared" si="105"/>
        <v>196.02769330337475</v>
      </c>
      <c r="K144" s="1461">
        <f t="shared" si="106"/>
        <v>51153.919842075025</v>
      </c>
      <c r="L144" s="2571">
        <f t="shared" si="107"/>
        <v>52063.485041151107</v>
      </c>
      <c r="M144" s="1461">
        <f t="shared" si="108"/>
        <v>10.219029724459688</v>
      </c>
      <c r="N144" s="1461">
        <f t="shared" si="128"/>
        <v>262686.59829197795</v>
      </c>
      <c r="O144" s="1018"/>
      <c r="P144" s="1018"/>
      <c r="Q144" s="1018"/>
      <c r="R144" s="1018">
        <v>48</v>
      </c>
      <c r="S144" s="13"/>
      <c r="T144" s="13"/>
      <c r="U144" s="13"/>
      <c r="V144" s="13"/>
      <c r="W144" s="1018"/>
      <c r="X144" s="1018"/>
      <c r="Y144" s="1018"/>
      <c r="AX144" s="2909">
        <f t="shared" si="109"/>
        <v>51153.919842075025</v>
      </c>
      <c r="AY144">
        <f t="shared" si="110"/>
        <v>50443.38820681956</v>
      </c>
      <c r="AZ144" s="2910">
        <f t="shared" si="111"/>
        <v>0</v>
      </c>
      <c r="BA144" s="2767">
        <f t="shared" si="112"/>
        <v>0</v>
      </c>
      <c r="BB144" s="2910">
        <f t="shared" si="113"/>
        <v>562.76733497093244</v>
      </c>
      <c r="BC144" s="2767">
        <f t="shared" si="114"/>
        <v>554.950456107695</v>
      </c>
      <c r="BD144" s="2910">
        <f t="shared" si="115"/>
        <v>309.21425054278853</v>
      </c>
      <c r="BE144" s="2767">
        <f t="shared" si="116"/>
        <v>304.91924230567298</v>
      </c>
      <c r="BF144" s="104"/>
      <c r="BG144" s="2910">
        <f t="shared" si="117"/>
        <v>0</v>
      </c>
      <c r="BH144" s="2767">
        <f t="shared" si="118"/>
        <v>0</v>
      </c>
      <c r="BI144" s="2910">
        <f t="shared" si="119"/>
        <v>-562.76733497093244</v>
      </c>
      <c r="BJ144" s="2767">
        <f t="shared" si="120"/>
        <v>-89.877504191045404</v>
      </c>
      <c r="BK144" s="2910">
        <f t="shared" si="121"/>
        <v>-309.21425054278853</v>
      </c>
      <c r="BL144" s="2767">
        <f t="shared" si="122"/>
        <v>-49.38347230214756</v>
      </c>
      <c r="BM144" s="2896">
        <f t="shared" si="123"/>
        <v>0</v>
      </c>
      <c r="BN144" s="2896">
        <f t="shared" si="124"/>
        <v>51293.180818568224</v>
      </c>
      <c r="BP144" s="2896">
        <f t="shared" si="125"/>
        <v>51153.919842075025</v>
      </c>
      <c r="BR144">
        <f t="shared" si="126"/>
        <v>0.98610992789117524</v>
      </c>
      <c r="BS144">
        <f t="shared" si="127"/>
        <v>0.15970632729720832</v>
      </c>
    </row>
    <row r="145" spans="1:71" ht="15.75">
      <c r="A145" s="2351">
        <v>47</v>
      </c>
      <c r="B145" s="2389">
        <f t="shared" si="98"/>
        <v>2.2930232558139534</v>
      </c>
      <c r="C145" s="2390">
        <f t="shared" si="99"/>
        <v>0</v>
      </c>
      <c r="D145" s="2569">
        <f t="shared" si="100"/>
        <v>3754.2723665615231</v>
      </c>
      <c r="E145" s="2569">
        <f t="shared" si="101"/>
        <v>1031.3982742262244</v>
      </c>
      <c r="F145" s="2569">
        <f t="shared" si="102"/>
        <v>0</v>
      </c>
      <c r="G145" s="2390"/>
      <c r="H145" s="1461">
        <f t="shared" si="103"/>
        <v>0</v>
      </c>
      <c r="I145" s="1461">
        <f t="shared" si="104"/>
        <v>713.53750577270955</v>
      </c>
      <c r="J145" s="1461">
        <f t="shared" si="105"/>
        <v>196.02769330337475</v>
      </c>
      <c r="K145" s="1461">
        <f t="shared" si="106"/>
        <v>51163.996928739733</v>
      </c>
      <c r="L145" s="2571">
        <f t="shared" si="107"/>
        <v>52073.562127815814</v>
      </c>
      <c r="M145" s="1461">
        <f t="shared" si="108"/>
        <v>10.077086664707167</v>
      </c>
      <c r="N145" s="1461">
        <f t="shared" si="128"/>
        <v>259166.69108230609</v>
      </c>
      <c r="O145" s="1018"/>
      <c r="P145" s="1018"/>
      <c r="Q145" s="1018"/>
      <c r="R145" s="1018">
        <v>49</v>
      </c>
      <c r="S145" s="13"/>
      <c r="T145" s="13"/>
      <c r="U145" s="1018"/>
      <c r="V145" s="1018"/>
      <c r="W145" s="1018"/>
      <c r="X145" s="1018"/>
      <c r="Y145" s="1018"/>
      <c r="AX145" s="2909">
        <f t="shared" si="109"/>
        <v>51163.996928739733</v>
      </c>
      <c r="AY145">
        <f t="shared" si="110"/>
        <v>50453.325322023848</v>
      </c>
      <c r="AZ145" s="2910">
        <f t="shared" si="111"/>
        <v>0</v>
      </c>
      <c r="BA145" s="2767">
        <f t="shared" si="112"/>
        <v>0</v>
      </c>
      <c r="BB145" s="2910">
        <f t="shared" si="113"/>
        <v>562.76733497093244</v>
      </c>
      <c r="BC145" s="2767">
        <f t="shared" si="114"/>
        <v>554.950456107695</v>
      </c>
      <c r="BD145" s="2910">
        <f t="shared" si="115"/>
        <v>309.21425054278853</v>
      </c>
      <c r="BE145" s="2767">
        <f t="shared" si="116"/>
        <v>304.91924230567298</v>
      </c>
      <c r="BF145" s="104"/>
      <c r="BG145" s="2910">
        <f t="shared" si="117"/>
        <v>0</v>
      </c>
      <c r="BH145" s="2767">
        <f t="shared" si="118"/>
        <v>0</v>
      </c>
      <c r="BI145" s="2910">
        <f t="shared" si="119"/>
        <v>-562.76733497093244</v>
      </c>
      <c r="BJ145" s="2767">
        <f t="shared" si="120"/>
        <v>-89.877504191045404</v>
      </c>
      <c r="BK145" s="2910">
        <f t="shared" si="121"/>
        <v>-309.21425054278853</v>
      </c>
      <c r="BL145" s="2767">
        <f t="shared" si="122"/>
        <v>-49.38347230214756</v>
      </c>
      <c r="BM145" s="2896">
        <f t="shared" si="123"/>
        <v>0</v>
      </c>
      <c r="BN145" s="2896">
        <f t="shared" si="124"/>
        <v>51303.257905232931</v>
      </c>
      <c r="BP145" s="2896">
        <f t="shared" si="125"/>
        <v>51163.996928739733</v>
      </c>
      <c r="BR145">
        <f t="shared" si="126"/>
        <v>0.98610992789117524</v>
      </c>
      <c r="BS145">
        <f t="shared" si="127"/>
        <v>0.15970632729720832</v>
      </c>
    </row>
    <row r="146" spans="1:71" ht="15.75">
      <c r="A146" s="2351">
        <v>48</v>
      </c>
      <c r="B146" s="2389">
        <f t="shared" si="98"/>
        <v>2.2930232558139534</v>
      </c>
      <c r="C146" s="2390">
        <f t="shared" si="99"/>
        <v>0</v>
      </c>
      <c r="D146" s="2569">
        <f t="shared" si="100"/>
        <v>3754.2723665615231</v>
      </c>
      <c r="E146" s="2569">
        <f t="shared" si="101"/>
        <v>1031.3982742262244</v>
      </c>
      <c r="F146" s="2569">
        <f t="shared" si="102"/>
        <v>0</v>
      </c>
      <c r="G146" s="2390"/>
      <c r="H146" s="1461">
        <f t="shared" si="103"/>
        <v>0</v>
      </c>
      <c r="I146" s="1461">
        <f t="shared" si="104"/>
        <v>713.53750577270955</v>
      </c>
      <c r="J146" s="1461">
        <f t="shared" si="105"/>
        <v>196.02769330337475</v>
      </c>
      <c r="K146" s="1461">
        <f t="shared" si="106"/>
        <v>51173.93404394402</v>
      </c>
      <c r="L146" s="2571">
        <f t="shared" si="107"/>
        <v>52083.499243020102</v>
      </c>
      <c r="M146" s="1461">
        <f t="shared" si="108"/>
        <v>9.9371152042876929</v>
      </c>
      <c r="N146" s="1461">
        <f t="shared" si="128"/>
        <v>255766.78599636079</v>
      </c>
      <c r="O146" s="1018"/>
      <c r="P146" s="1018"/>
      <c r="Q146" s="1018"/>
      <c r="R146" s="1018">
        <v>50</v>
      </c>
      <c r="S146" s="13">
        <v>1.74</v>
      </c>
      <c r="T146" s="13">
        <v>2.0099999999999998</v>
      </c>
      <c r="U146" s="1018"/>
      <c r="V146" s="1018"/>
      <c r="W146" s="1018"/>
      <c r="X146" s="1018"/>
      <c r="Y146" s="1018"/>
      <c r="AX146" s="2909">
        <f t="shared" si="109"/>
        <v>51173.93404394402</v>
      </c>
      <c r="AY146">
        <f t="shared" si="110"/>
        <v>50463.124409981392</v>
      </c>
      <c r="AZ146" s="2910">
        <f t="shared" si="111"/>
        <v>0</v>
      </c>
      <c r="BA146" s="2767">
        <f t="shared" si="112"/>
        <v>0</v>
      </c>
      <c r="BB146" s="2910">
        <f t="shared" si="113"/>
        <v>562.76733497093244</v>
      </c>
      <c r="BC146" s="2767">
        <f t="shared" si="114"/>
        <v>554.950456107695</v>
      </c>
      <c r="BD146" s="2910">
        <f t="shared" si="115"/>
        <v>309.21425054278853</v>
      </c>
      <c r="BE146" s="2767">
        <f t="shared" si="116"/>
        <v>304.91924230567298</v>
      </c>
      <c r="BF146" s="104"/>
      <c r="BG146" s="2910">
        <f t="shared" si="117"/>
        <v>0</v>
      </c>
      <c r="BH146" s="2767">
        <f t="shared" si="118"/>
        <v>0</v>
      </c>
      <c r="BI146" s="2910">
        <f t="shared" si="119"/>
        <v>-562.76733497093244</v>
      </c>
      <c r="BJ146" s="2767">
        <f t="shared" si="120"/>
        <v>-89.877504191045404</v>
      </c>
      <c r="BK146" s="2910">
        <f t="shared" si="121"/>
        <v>-309.21425054278853</v>
      </c>
      <c r="BL146" s="2767">
        <f t="shared" si="122"/>
        <v>-49.38347230214756</v>
      </c>
      <c r="BM146" s="2896">
        <f t="shared" si="123"/>
        <v>0</v>
      </c>
      <c r="BN146" s="2896">
        <f t="shared" si="124"/>
        <v>51313.195020437219</v>
      </c>
      <c r="BP146" s="2896">
        <f t="shared" si="125"/>
        <v>51173.93404394402</v>
      </c>
      <c r="BR146">
        <f t="shared" si="126"/>
        <v>0.98610992789117524</v>
      </c>
      <c r="BS146">
        <f t="shared" si="127"/>
        <v>0.15970632729720832</v>
      </c>
    </row>
    <row r="147" spans="1:71" ht="15.75">
      <c r="A147" s="2351">
        <v>49</v>
      </c>
      <c r="B147" s="2389">
        <f t="shared" si="98"/>
        <v>2.2930232558139534</v>
      </c>
      <c r="C147" s="2390">
        <f t="shared" si="99"/>
        <v>0</v>
      </c>
      <c r="D147" s="2569">
        <f t="shared" si="100"/>
        <v>3754.2723665615231</v>
      </c>
      <c r="E147" s="2569">
        <f t="shared" si="101"/>
        <v>1031.3982742262244</v>
      </c>
      <c r="F147" s="2569">
        <f t="shared" si="102"/>
        <v>0</v>
      </c>
      <c r="G147" s="2390"/>
      <c r="H147" s="1461">
        <f t="shared" si="103"/>
        <v>0</v>
      </c>
      <c r="I147" s="1461">
        <f t="shared" si="104"/>
        <v>713.53750577270955</v>
      </c>
      <c r="J147" s="1461">
        <f t="shared" si="105"/>
        <v>196.02769330337475</v>
      </c>
      <c r="K147" s="1461">
        <f t="shared" si="106"/>
        <v>51183.733131901565</v>
      </c>
      <c r="L147" s="2571">
        <f t="shared" si="107"/>
        <v>52093.298330977646</v>
      </c>
      <c r="M147" s="1461">
        <f t="shared" si="108"/>
        <v>9.7990879575445433</v>
      </c>
      <c r="N147" s="1461">
        <f t="shared" si="128"/>
        <v>252479.78794592503</v>
      </c>
      <c r="O147" s="1018"/>
      <c r="P147" s="1018"/>
      <c r="Q147" s="1018"/>
      <c r="R147" s="1018"/>
      <c r="S147" s="1018">
        <f>AVERAGE(S97:S146)</f>
        <v>2.1239999999999997</v>
      </c>
      <c r="T147" s="1018">
        <f>AVERAGE(T97:T146)</f>
        <v>2.1930000000000001</v>
      </c>
      <c r="U147" s="1018"/>
      <c r="V147" s="1018"/>
      <c r="W147" s="1018"/>
      <c r="X147" s="1018"/>
      <c r="Y147" s="1018"/>
      <c r="AX147" s="2909">
        <f t="shared" si="109"/>
        <v>51183.733131901565</v>
      </c>
      <c r="AY147">
        <f t="shared" si="110"/>
        <v>50472.787387900607</v>
      </c>
      <c r="AZ147" s="2910">
        <f t="shared" si="111"/>
        <v>0</v>
      </c>
      <c r="BA147" s="2767">
        <f t="shared" si="112"/>
        <v>0</v>
      </c>
      <c r="BB147" s="2910">
        <f t="shared" si="113"/>
        <v>562.76733497093244</v>
      </c>
      <c r="BC147" s="2767">
        <f t="shared" si="114"/>
        <v>554.950456107695</v>
      </c>
      <c r="BD147" s="2910">
        <f t="shared" si="115"/>
        <v>309.21425054278853</v>
      </c>
      <c r="BE147" s="2767">
        <f t="shared" si="116"/>
        <v>304.91924230567298</v>
      </c>
      <c r="BF147" s="104"/>
      <c r="BG147" s="2910">
        <f t="shared" si="117"/>
        <v>0</v>
      </c>
      <c r="BH147" s="2767">
        <f t="shared" si="118"/>
        <v>0</v>
      </c>
      <c r="BI147" s="2910">
        <f t="shared" si="119"/>
        <v>-562.76733497093244</v>
      </c>
      <c r="BJ147" s="2767">
        <f t="shared" si="120"/>
        <v>-89.877504191045404</v>
      </c>
      <c r="BK147" s="2910">
        <f t="shared" si="121"/>
        <v>-309.21425054278853</v>
      </c>
      <c r="BL147" s="2767">
        <f t="shared" si="122"/>
        <v>-49.38347230214756</v>
      </c>
      <c r="BM147" s="2896">
        <f t="shared" si="123"/>
        <v>0</v>
      </c>
      <c r="BN147" s="2896">
        <f t="shared" si="124"/>
        <v>51322.994108394763</v>
      </c>
      <c r="BP147" s="2896">
        <f t="shared" si="125"/>
        <v>51183.733131901565</v>
      </c>
      <c r="BR147">
        <f t="shared" si="126"/>
        <v>0.98610992789117524</v>
      </c>
      <c r="BS147">
        <f t="shared" si="127"/>
        <v>0.15970632729720832</v>
      </c>
    </row>
    <row r="148" spans="1:71" ht="15.75">
      <c r="A148" s="2351">
        <v>50</v>
      </c>
      <c r="B148" s="2389">
        <f t="shared" si="98"/>
        <v>2.2930232558139534</v>
      </c>
      <c r="C148" s="2390">
        <f t="shared" si="99"/>
        <v>0</v>
      </c>
      <c r="D148" s="2569">
        <f t="shared" si="100"/>
        <v>3754.2723665615231</v>
      </c>
      <c r="E148" s="2569">
        <f t="shared" si="101"/>
        <v>1031.3982742262244</v>
      </c>
      <c r="F148" s="2569">
        <f t="shared" si="102"/>
        <v>0</v>
      </c>
      <c r="G148" s="2390"/>
      <c r="H148" s="1461">
        <f t="shared" si="103"/>
        <v>0</v>
      </c>
      <c r="I148" s="1461">
        <f t="shared" si="104"/>
        <v>713.53750577270955</v>
      </c>
      <c r="J148" s="1461">
        <f t="shared" si="105"/>
        <v>196.02769330337475</v>
      </c>
      <c r="K148" s="1461">
        <f t="shared" si="106"/>
        <v>51193.39610982078</v>
      </c>
      <c r="L148" s="2571">
        <f t="shared" si="107"/>
        <v>52102.961308896862</v>
      </c>
      <c r="M148" s="1461">
        <f t="shared" si="108"/>
        <v>9.6629779192153364</v>
      </c>
      <c r="N148" s="1461">
        <f t="shared" si="128"/>
        <v>249299.17552237867</v>
      </c>
      <c r="O148" s="1018"/>
      <c r="P148" s="1018"/>
      <c r="Q148" s="1018"/>
      <c r="R148" s="1018"/>
      <c r="S148" s="1018"/>
      <c r="T148" s="1018"/>
      <c r="U148" s="1018"/>
      <c r="V148" s="1018"/>
      <c r="W148" s="1018"/>
      <c r="X148" s="1018"/>
      <c r="Y148" s="1018"/>
      <c r="AX148" s="2909">
        <f t="shared" si="109"/>
        <v>51193.39610982078</v>
      </c>
      <c r="AY148">
        <f t="shared" si="110"/>
        <v>51193.39610982078</v>
      </c>
      <c r="AZ148" s="2910">
        <f t="shared" si="111"/>
        <v>0</v>
      </c>
      <c r="BA148" s="2767">
        <f t="shared" si="112"/>
        <v>0</v>
      </c>
      <c r="BB148" s="2910">
        <f t="shared" si="113"/>
        <v>562.76733497093244</v>
      </c>
      <c r="BC148" s="2767">
        <f t="shared" si="114"/>
        <v>562.76733497093244</v>
      </c>
      <c r="BD148" s="2910">
        <f t="shared" si="115"/>
        <v>309.21425054278853</v>
      </c>
      <c r="BE148" s="2767">
        <f t="shared" si="116"/>
        <v>309.21425054278853</v>
      </c>
      <c r="BF148" s="104"/>
      <c r="BG148" s="2910">
        <f t="shared" si="117"/>
        <v>0</v>
      </c>
      <c r="BH148" s="2767">
        <f t="shared" si="118"/>
        <v>0</v>
      </c>
      <c r="BI148" s="2910">
        <f t="shared" si="119"/>
        <v>-562.76733497093244</v>
      </c>
      <c r="BJ148" s="2767">
        <f t="shared" si="120"/>
        <v>-562.76733497093244</v>
      </c>
      <c r="BK148" s="2910">
        <f t="shared" si="121"/>
        <v>-309.21425054278853</v>
      </c>
      <c r="BL148" s="2767">
        <f t="shared" si="122"/>
        <v>-309.21425054278853</v>
      </c>
      <c r="BM148" s="2896">
        <f t="shared" si="123"/>
        <v>0</v>
      </c>
      <c r="BN148" s="2896">
        <f t="shared" si="124"/>
        <v>52055.714717415285</v>
      </c>
      <c r="BP148" s="2896">
        <f t="shared" si="125"/>
        <v>51183.733131901565</v>
      </c>
      <c r="BR148">
        <f t="shared" si="126"/>
        <v>1</v>
      </c>
      <c r="BS148">
        <f t="shared" si="127"/>
        <v>1</v>
      </c>
    </row>
    <row r="149" spans="1:71" ht="15">
      <c r="B149" s="2389"/>
      <c r="C149" s="2390"/>
      <c r="D149" s="2569"/>
      <c r="E149" s="2569"/>
      <c r="F149" s="2569"/>
      <c r="G149" s="97"/>
      <c r="H149" s="97">
        <f>SUM(H145:H148)</f>
        <v>0</v>
      </c>
      <c r="I149" s="97">
        <f>SUM(I145:I148)</f>
        <v>2854.1500230908382</v>
      </c>
      <c r="J149" s="97">
        <f>SUM(J145:J148)</f>
        <v>784.11077321349899</v>
      </c>
      <c r="K149" s="97">
        <f>SUM(K145:K148)</f>
        <v>204715.06021440608</v>
      </c>
      <c r="L149" s="97">
        <f>SUM(L145:L148)</f>
        <v>208353.32101071041</v>
      </c>
    </row>
    <row r="150" spans="1:71" ht="15">
      <c r="B150" s="2389"/>
      <c r="C150" s="2390"/>
      <c r="D150" s="2569"/>
      <c r="E150" s="2569"/>
      <c r="F150" s="2569"/>
      <c r="G150" s="97"/>
      <c r="H150" s="1461">
        <f>+H149/4</f>
        <v>0</v>
      </c>
      <c r="I150" s="1461">
        <f>+I149/4</f>
        <v>713.53750577270955</v>
      </c>
      <c r="J150" s="1461">
        <f>+J149/4</f>
        <v>196.02769330337475</v>
      </c>
      <c r="K150" s="1461">
        <f>+K149/4</f>
        <v>51178.765053601521</v>
      </c>
      <c r="L150" s="1461">
        <f>+L149/4</f>
        <v>52088.330252677602</v>
      </c>
    </row>
    <row r="151" spans="1:71" ht="15">
      <c r="B151" s="2389"/>
      <c r="C151" s="2390"/>
      <c r="D151" s="2389"/>
      <c r="E151" s="2389"/>
      <c r="I151" t="s">
        <v>1430</v>
      </c>
    </row>
    <row r="152" spans="1:71" ht="15">
      <c r="B152" s="2389"/>
      <c r="C152" s="2390"/>
      <c r="D152" s="2389"/>
      <c r="E152" s="2389"/>
    </row>
  </sheetData>
  <sheetProtection sheet="1" objects="1" scenarios="1"/>
  <mergeCells count="1">
    <mergeCell ref="S19:V19"/>
  </mergeCells>
  <pageMargins left="0.7" right="0.7" top="0.75" bottom="0.75" header="0.3" footer="0.3"/>
  <pageSetup paperSize="9"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39</vt:i4>
      </vt:variant>
      <vt:variant>
        <vt:lpstr>Namngivna områden</vt:lpstr>
      </vt:variant>
      <vt:variant>
        <vt:i4>69</vt:i4>
      </vt:variant>
    </vt:vector>
  </HeadingPairs>
  <TitlesOfParts>
    <vt:vector size="108" baseType="lpstr">
      <vt:lpstr>Manual</vt:lpstr>
      <vt:lpstr>Grunddata</vt:lpstr>
      <vt:lpstr>Huvudinmatning</vt:lpstr>
      <vt:lpstr>Försöksdata</vt:lpstr>
      <vt:lpstr>Kostnader</vt:lpstr>
      <vt:lpstr>Miljösammanfattning</vt:lpstr>
      <vt:lpstr>RAPPORT</vt:lpstr>
      <vt:lpstr>Mull_ICBM</vt:lpstr>
      <vt:lpstr>ICBM</vt:lpstr>
      <vt:lpstr>Data skörd-mull</vt:lpstr>
      <vt:lpstr>Mullinfo</vt:lpstr>
      <vt:lpstr>Produktionsområde</vt:lpstr>
      <vt:lpstr>Utlakning</vt:lpstr>
      <vt:lpstr>Växthusgaser</vt:lpstr>
      <vt:lpstr>Gröddata</vt:lpstr>
      <vt:lpstr>Stallgödseldata</vt:lpstr>
      <vt:lpstr>TB_spannmål</vt:lpstr>
      <vt:lpstr>TB_oljeväxter, trindsäd</vt:lpstr>
      <vt:lpstr>TB_sbetor,potatis, grovfoder</vt:lpstr>
      <vt:lpstr>NPK-rekommendationer</vt:lpstr>
      <vt:lpstr>"Kvävesimulator"</vt:lpstr>
      <vt:lpstr>Rapport OP</vt:lpstr>
      <vt:lpstr>klimat</vt:lpstr>
      <vt:lpstr>Utveckling</vt:lpstr>
      <vt:lpstr>Energi</vt:lpstr>
      <vt:lpstr>Mullberäkning</vt:lpstr>
      <vt:lpstr>Tekniskt underlag</vt:lpstr>
      <vt:lpstr>Kopplingsfil</vt:lpstr>
      <vt:lpstr>Spannmål_S</vt:lpstr>
      <vt:lpstr>Giva_S</vt:lpstr>
      <vt:lpstr>Spannmål_N</vt:lpstr>
      <vt:lpstr>Giva_N</vt:lpstr>
      <vt:lpstr>Oljeväxter</vt:lpstr>
      <vt:lpstr>Vall</vt:lpstr>
      <vt:lpstr>Förfrukt</vt:lpstr>
      <vt:lpstr>stallgödseleffekt</vt:lpstr>
      <vt:lpstr>Listor</vt:lpstr>
      <vt:lpstr>Blad1</vt:lpstr>
      <vt:lpstr>Förändringar</vt:lpstr>
      <vt:lpstr>Foderkorn_S</vt:lpstr>
      <vt:lpstr>Kopplingsfil!Fodervete_M</vt:lpstr>
      <vt:lpstr>Fodervete_M</vt:lpstr>
      <vt:lpstr>Kopplingsfil!Fodervete_S</vt:lpstr>
      <vt:lpstr>Fodervete_S</vt:lpstr>
      <vt:lpstr>Kopplingsfil!Förfrukt</vt:lpstr>
      <vt:lpstr>Förfrukt</vt:lpstr>
      <vt:lpstr>Kopplingsfil!Förfruktseffekter</vt:lpstr>
      <vt:lpstr>Förfruktseffekter</vt:lpstr>
      <vt:lpstr>Kopplingsfil!Havre_M</vt:lpstr>
      <vt:lpstr>Havre_M</vt:lpstr>
      <vt:lpstr>Kopplingsfil!Havre_S</vt:lpstr>
      <vt:lpstr>Havre_S</vt:lpstr>
      <vt:lpstr>Kopplingsfil!Höstkorn_M</vt:lpstr>
      <vt:lpstr>Höstkorn_M</vt:lpstr>
      <vt:lpstr>Kopplingsfil!Höstkorn_S</vt:lpstr>
      <vt:lpstr>Höstkorn_S</vt:lpstr>
      <vt:lpstr>Kopplingsfil!Höstraps</vt:lpstr>
      <vt:lpstr>Höstraps</vt:lpstr>
      <vt:lpstr>Klöverhalt</vt:lpstr>
      <vt:lpstr>Kopplingsfil!Kvarnvete_M</vt:lpstr>
      <vt:lpstr>Kvarnvete_M</vt:lpstr>
      <vt:lpstr>Kopplingsfil!Kvarnvete_S</vt:lpstr>
      <vt:lpstr>Kvarnvete_S</vt:lpstr>
      <vt:lpstr>Kopplingsfil!Maltkorn_M</vt:lpstr>
      <vt:lpstr>Maltkorn_M</vt:lpstr>
      <vt:lpstr>Kopplingsfil!Maltkorn_S</vt:lpstr>
      <vt:lpstr>Maltkorn_S</vt:lpstr>
      <vt:lpstr>Kopplingsfil!Max_oljeväxter</vt:lpstr>
      <vt:lpstr>Max_oljeväxter</vt:lpstr>
      <vt:lpstr>Kopplingsfil!Max_vall</vt:lpstr>
      <vt:lpstr>Max_vall</vt:lpstr>
      <vt:lpstr>Kopplingsfil!Maxgiva</vt:lpstr>
      <vt:lpstr>Maxgiva</vt:lpstr>
      <vt:lpstr>Kopplingsfil!Maxgiva_M</vt:lpstr>
      <vt:lpstr>Maxgiva_M</vt:lpstr>
      <vt:lpstr>Maxgiva_oljev</vt:lpstr>
      <vt:lpstr>N_giva_hv</vt:lpstr>
      <vt:lpstr>N_giva_korn</vt:lpstr>
      <vt:lpstr>Plats</vt:lpstr>
      <vt:lpstr>Produktionsområde</vt:lpstr>
      <vt:lpstr>Radmyllning</vt:lpstr>
      <vt:lpstr>Kopplingsfil!Råg_M</vt:lpstr>
      <vt:lpstr>Råg_M</vt:lpstr>
      <vt:lpstr>Kopplingsfil!Råg_S</vt:lpstr>
      <vt:lpstr>Råg_S</vt:lpstr>
      <vt:lpstr>Kopplingsfil!Rågvete_M</vt:lpstr>
      <vt:lpstr>Rågvete_M</vt:lpstr>
      <vt:lpstr>Kopplingsfil!Rågvete_S</vt:lpstr>
      <vt:lpstr>Rågvete_S</vt:lpstr>
      <vt:lpstr>tidpunkt</vt:lpstr>
      <vt:lpstr>Kopplingsfil!Vall_1</vt:lpstr>
      <vt:lpstr>Vall_1</vt:lpstr>
      <vt:lpstr>Kopplingsfil!Vall_2</vt:lpstr>
      <vt:lpstr>Vall_2</vt:lpstr>
      <vt:lpstr>Kopplingsfil!Vall_4</vt:lpstr>
      <vt:lpstr>Vall_4</vt:lpstr>
      <vt:lpstr>Vallmängd</vt:lpstr>
      <vt:lpstr>Vallsk</vt:lpstr>
      <vt:lpstr>Kopplingsfil!Vårkorn_M</vt:lpstr>
      <vt:lpstr>Vårkorn_M</vt:lpstr>
      <vt:lpstr>Kopplingsfil!Vårkorn_S</vt:lpstr>
      <vt:lpstr>Vårkorn_S</vt:lpstr>
      <vt:lpstr>Kopplingsfil!Vårraps</vt:lpstr>
      <vt:lpstr>Vårraps</vt:lpstr>
      <vt:lpstr>Kopplingsfil!Vårvete_M</vt:lpstr>
      <vt:lpstr>Vårvete_M</vt:lpstr>
      <vt:lpstr>Kopplingsfil!Vårvete_S</vt:lpstr>
      <vt:lpstr>Vårvete_S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Nilsson Hans</dc:creator>
  <cp:lastModifiedBy>Emma Hjelm</cp:lastModifiedBy>
  <cp:lastPrinted>2020-09-15T07:40:33Z</cp:lastPrinted>
  <dcterms:created xsi:type="dcterms:W3CDTF">2010-09-07T09:41:32Z</dcterms:created>
  <dcterms:modified xsi:type="dcterms:W3CDTF">2022-03-01T16:18:30Z</dcterms:modified>
</cp:coreProperties>
</file>